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29"/>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<sst xmlns="http://schemas.openxmlformats.org/spreadsheetml/2006/main" count="65969" uniqueCount="5261">
  <si>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</si>
  <si>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</si>
  <si>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</si>
  <si>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</si>
  <si>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</si>
  <si>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</si>
  <si>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</si>
  <si>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</si>
  <si>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</si>
  <si>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</si>
  <si>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</si>
  <si>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</si>
  <si>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</si>
  <si>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</si>
  <si>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</si>
  <si>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</si>
  <si>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</si>
  <si>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</si>
  <si>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</si>
  <si>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</si>
  <si>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</si>
  <si>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</si>
  <si>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</si>
  <si>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</si>
  <si>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</si>
  <si>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</si>
  <si>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</si>
  <si>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</si>
  <si>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</si>
  <si>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</si>
  <si>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</si>
  <si>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</si>
  <si>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</si>
  <si>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</si>
  <si>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</si>
  <si>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</si>
  <si>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</si>
  <si>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</si>
  <si>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</si>
  <si>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</si>
  <si>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</si>
  <si>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</si>
  <si>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</si>
  <si>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</si>
  <si>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</si>
  <si>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</si>
  <si>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</si>
  <si>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</si>
  <si>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</si>
  <si>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</si>
  <si>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</si>
  <si>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</si>
  <si>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</si>
  <si>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</si>
  <si>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</si>
  <si>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</si>
  <si>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</si>
  <si>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</si>
  <si>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</si>
  <si>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</si>
  <si>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</si>
  <si>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</si>
  <si>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</si>
  <si>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</si>
  <si>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</si>
  <si>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</si>
  <si>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</si>
  <si>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</si>
  <si>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</si>
  <si>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</si>
  <si>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</si>
  <si>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</si>
  <si>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</si>
  <si>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</si>
  <si>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</si>
  <si>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</si>
  <si>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</si>
  <si>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</si>
  <si>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</si>
  <si>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</si>
  <si>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</si>
  <si>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</si>
  <si>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</si>
  <si>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</si>
  <si>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</si>
  <si>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</si>
  <si>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</si>
  <si>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</si>
  <si>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</si>
  <si>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</si>
  <si>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</si>
  <si>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</si>
  <si>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</si>
  <si>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</si>
  <si>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</si>
  <si>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</si>
  <si>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</si>
  <si>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</si>
  <si>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</si>
  <si>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</si>
  <si>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</si>
  <si>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</si>
  <si>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</si>
  <si>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</si>
  <si>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</si>
  <si>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</si>
  <si>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</si>
  <si>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</si>
  <si>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</si>
  <si>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</si>
  <si>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</si>
  <si>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</si>
  <si>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</si>
  <si>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</si>
  <si>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</si>
  <si>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</si>
  <si>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</si>
  <si>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</si>
  <si>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</si>
  <si>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</si>
  <si>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</si>
  <si>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</si>
  <si>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</si>
  <si>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</si>
  <si>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</si>
  <si>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</si>
  <si>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</si>
  <si>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</si>
  <si>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</si>
  <si>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</si>
  <si>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</si>
  <si>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</si>
  <si>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</si>
  <si>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</si>
  <si>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</si>
  <si>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</si>
  <si>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</si>
  <si>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</si>
  <si>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</si>
  <si>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</si>
  <si>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</si>
  <si>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</si>
  <si>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</si>
  <si>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</si>
  <si>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</si>
  <si>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</si>
  <si>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</si>
  <si>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</si>
  <si>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</si>
  <si>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</si>
  <si>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</si>
  <si>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</si>
  <si>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</si>
  <si>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</si>
  <si>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</si>
  <si>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</si>
  <si>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</si>
  <si>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</si>
  <si>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</si>
  <si>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</si>
  <si>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</si>
  <si>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</si>
  <si>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</si>
  <si>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</si>
  <si>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</si>
  <si>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</si>
  <si>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</si>
  <si>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</si>
  <si>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</si>
  <si>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</si>
  <si>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</si>
  <si>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</si>
  <si>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</si>
  <si>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</si>
  <si>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</si>
  <si>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</si>
  <si>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</si>
  <si>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</si>
  <si>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</si>
  <si>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</si>
  <si>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</si>
  <si>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</si>
  <si>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</si>
  <si>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</si>
  <si>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</si>
  <si>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</si>
  <si>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</si>
  <si>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</si>
  <si>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</si>
  <si>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</si>
  <si>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</si>
  <si>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</si>
  <si>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</si>
  <si>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</si>
  <si>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</si>
  <si>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</si>
  <si>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</si>
  <si>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</si>
  <si>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</si>
  <si>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</si>
  <si>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</si>
  <si>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</si>
  <si>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</si>
  <si>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</si>
  <si>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</si>
  <si>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</si>
  <si>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</si>
  <si>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</si>
  <si>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</si>
  <si>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</si>
  <si>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</si>
  <si>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</si>
  <si>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</si>
  <si>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</si>
  <si>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</si>
  <si>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</si>
  <si>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</si>
  <si>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</si>
  <si>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</si>
  <si>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</si>
  <si>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</si>
  <si>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</si>
  <si>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</si>
  <si>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</si>
  <si>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</si>
  <si>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givemycert</t>
  </si>
  <si>
    <t>monashhealthlib</t>
  </si>
  <si>
    <t>cybersec_feeds</t>
  </si>
  <si>
    <t>wattsdominic</t>
  </si>
  <si>
    <t>maignanamurthy</t>
  </si>
  <si>
    <t>technojeder</t>
  </si>
  <si>
    <t>bharatmehrotra9</t>
  </si>
  <si>
    <t>pvynckier</t>
  </si>
  <si>
    <t>shamephorash</t>
  </si>
  <si>
    <t>ilovebooks786</t>
  </si>
  <si>
    <t>rldi_lamy</t>
  </si>
  <si>
    <t>salsamander</t>
  </si>
  <si>
    <t>silentseawolf</t>
  </si>
  <si>
    <t>greentechdon</t>
  </si>
  <si>
    <t>afrodevs</t>
  </si>
  <si>
    <t>s_akrati</t>
  </si>
  <si>
    <t>benemmerich</t>
  </si>
  <si>
    <t>webkarobar</t>
  </si>
  <si>
    <t>sanchezivan787</t>
  </si>
  <si>
    <t>qualystat</t>
  </si>
  <si>
    <t>borishuaman</t>
  </si>
  <si>
    <t>subhankarp</t>
  </si>
  <si>
    <t>_paulo_lopez_</t>
  </si>
  <si>
    <t>enricofrasca3</t>
  </si>
  <si>
    <t>xzpwedvhhh37i3c</t>
  </si>
  <si>
    <t>mangothecat</t>
  </si>
  <si>
    <t>distancelrnbot</t>
  </si>
  <si>
    <t>ricardo_ik_ahau</t>
  </si>
  <si>
    <t>biconnections</t>
  </si>
  <si>
    <t>bugbounty18</t>
  </si>
  <si>
    <t>securebot1000</t>
  </si>
  <si>
    <t>yixuantu1</t>
  </si>
  <si>
    <t>passarelliallan</t>
  </si>
  <si>
    <t>dggonzalez2015</t>
  </si>
  <si>
    <t>rickymacharm</t>
  </si>
  <si>
    <t>sumtic_edtech</t>
  </si>
  <si>
    <t>robotconsumer</t>
  </si>
  <si>
    <t>hackernoon</t>
  </si>
  <si>
    <t>bellsailing</t>
  </si>
  <si>
    <t>vizmonkey</t>
  </si>
  <si>
    <t>beakpeaklogic</t>
  </si>
  <si>
    <t>nexcomposite</t>
  </si>
  <si>
    <t>jgrobicki</t>
  </si>
  <si>
    <t>dasca_insights</t>
  </si>
  <si>
    <t>ineditmagazine</t>
  </si>
  <si>
    <t>colorsofashadow</t>
  </si>
  <si>
    <t>education_24x7</t>
  </si>
  <si>
    <t>codebug88</t>
  </si>
  <si>
    <t>tanwarkml</t>
  </si>
  <si>
    <t>hiveforensics</t>
  </si>
  <si>
    <t>tsgabriel__</t>
  </si>
  <si>
    <t>cybersecurityn8</t>
  </si>
  <si>
    <t>bitinfocode</t>
  </si>
  <si>
    <t>sectest9</t>
  </si>
  <si>
    <t>iphonegalaxymd</t>
  </si>
  <si>
    <t>jsfairy</t>
  </si>
  <si>
    <t>jovianml</t>
  </si>
  <si>
    <t>dsnetorg</t>
  </si>
  <si>
    <t>gabrielanthonyp</t>
  </si>
  <si>
    <t>nikolas49942251</t>
  </si>
  <si>
    <t>rmel4060</t>
  </si>
  <si>
    <t>tiiso_j</t>
  </si>
  <si>
    <t>dscfutabot</t>
  </si>
  <si>
    <t>pybron137</t>
  </si>
  <si>
    <t>akhigolu23</t>
  </si>
  <si>
    <t>sooritrade20</t>
  </si>
  <si>
    <t>grjenkin</t>
  </si>
  <si>
    <t>codequsdotcom</t>
  </si>
  <si>
    <t>hustle2015</t>
  </si>
  <si>
    <t>americaasians</t>
  </si>
  <si>
    <t>retweetburner</t>
  </si>
  <si>
    <t>algorithmsb</t>
  </si>
  <si>
    <t>innovateod</t>
  </si>
  <si>
    <t>advanceml</t>
  </si>
  <si>
    <t>wwrandazzo</t>
  </si>
  <si>
    <t>rodo_nasif</t>
  </si>
  <si>
    <t>rush_data</t>
  </si>
  <si>
    <t>bizcom</t>
  </si>
  <si>
    <t>hackingdom_io</t>
  </si>
  <si>
    <t>patosins</t>
  </si>
  <si>
    <t>aisear_ch</t>
  </si>
  <si>
    <t>sureshrukman</t>
  </si>
  <si>
    <t>medicaliphone</t>
  </si>
  <si>
    <t>corizance</t>
  </si>
  <si>
    <t>cardsdoc2012</t>
  </si>
  <si>
    <t>1nterestingtech</t>
  </si>
  <si>
    <t>dybalafan10</t>
  </si>
  <si>
    <t>rajrahula_</t>
  </si>
  <si>
    <t>andrea_ilsergio</t>
  </si>
  <si>
    <t>k_cybersecwrld</t>
  </si>
  <si>
    <t>_choccie</t>
  </si>
  <si>
    <t>bigdatabra</t>
  </si>
  <si>
    <t>wawan19831</t>
  </si>
  <si>
    <t>deletedthisbihh</t>
  </si>
  <si>
    <t>lildukieme</t>
  </si>
  <si>
    <t>kiilla3sup</t>
  </si>
  <si>
    <t>zokio8</t>
  </si>
  <si>
    <t>js_bot_code</t>
  </si>
  <si>
    <t>shybot7</t>
  </si>
  <si>
    <t>cyril_chiffot</t>
  </si>
  <si>
    <t>techsolzenastra</t>
  </si>
  <si>
    <t>melissablive</t>
  </si>
  <si>
    <t>neuralnetwork_</t>
  </si>
  <si>
    <t>thomashilbig2</t>
  </si>
  <si>
    <t>o_g_log</t>
  </si>
  <si>
    <t>ga7actic</t>
  </si>
  <si>
    <t>pawansomanchi</t>
  </si>
  <si>
    <t>techfuturenew</t>
  </si>
  <si>
    <t>metintokerer</t>
  </si>
  <si>
    <t>jrbowling</t>
  </si>
  <si>
    <t>paigedi85253011</t>
  </si>
  <si>
    <t>thecuriousluke</t>
  </si>
  <si>
    <t>sheilagivens4</t>
  </si>
  <si>
    <t>meyoumusicboy</t>
  </si>
  <si>
    <t>linuxdreams</t>
  </si>
  <si>
    <t>smuvdj</t>
  </si>
  <si>
    <t>iotvishal</t>
  </si>
  <si>
    <t>digitogether</t>
  </si>
  <si>
    <t>taymobtopdog</t>
  </si>
  <si>
    <t>chanduanus</t>
  </si>
  <si>
    <t>serverlessfan</t>
  </si>
  <si>
    <t>cloudcoopitaly</t>
  </si>
  <si>
    <t>iamawebdesiger</t>
  </si>
  <si>
    <t>iamchuckrussell</t>
  </si>
  <si>
    <t>hchoros</t>
  </si>
  <si>
    <t>itknowingness</t>
  </si>
  <si>
    <t>maviebleue2</t>
  </si>
  <si>
    <t>blkhwk0ps</t>
  </si>
  <si>
    <t>_reactdev</t>
  </si>
  <si>
    <t>raymondmorrow</t>
  </si>
  <si>
    <t>2bftawfik</t>
  </si>
  <si>
    <t>brainroaring</t>
  </si>
  <si>
    <t>cichuck</t>
  </si>
  <si>
    <t>machine_ml</t>
  </si>
  <si>
    <t>sriniwolfie</t>
  </si>
  <si>
    <t>codebloodedbot</t>
  </si>
  <si>
    <t>powerbi_pros</t>
  </si>
  <si>
    <t>techbiesblog</t>
  </si>
  <si>
    <t>freakinroll</t>
  </si>
  <si>
    <t>angelstrad95</t>
  </si>
  <si>
    <t>gryhkn</t>
  </si>
  <si>
    <t>gdprai</t>
  </si>
  <si>
    <t>robotproud</t>
  </si>
  <si>
    <t>100xcode</t>
  </si>
  <si>
    <t>sufleio</t>
  </si>
  <si>
    <t>duruldoktoroglu</t>
  </si>
  <si>
    <t>networkindie</t>
  </si>
  <si>
    <t>entirelyedu1</t>
  </si>
  <si>
    <t>aaroncuddeback</t>
  </si>
  <si>
    <t>yahaya_hk</t>
  </si>
  <si>
    <t>singa_gerry</t>
  </si>
  <si>
    <t>nish_mikan</t>
  </si>
  <si>
    <t>lisphilar</t>
  </si>
  <si>
    <t>amayo_ii</t>
  </si>
  <si>
    <t>yonilimo</t>
  </si>
  <si>
    <t>jolaburnett</t>
  </si>
  <si>
    <t>debraruh</t>
  </si>
  <si>
    <t>drjdrooghaag</t>
  </si>
  <si>
    <t>kkruse</t>
  </si>
  <si>
    <t>fabriziobustama</t>
  </si>
  <si>
    <t>misstalent86</t>
  </si>
  <si>
    <t>hubofml</t>
  </si>
  <si>
    <t>aakashns</t>
  </si>
  <si>
    <t>nlognbot</t>
  </si>
  <si>
    <t>bigdataconf</t>
  </si>
  <si>
    <t>chidambara09</t>
  </si>
  <si>
    <t>andrewmorrisuk</t>
  </si>
  <si>
    <t>ituneed</t>
  </si>
  <si>
    <t>llnuxbot</t>
  </si>
  <si>
    <t>corona_dragon</t>
  </si>
  <si>
    <t>thedeveloperbot</t>
  </si>
  <si>
    <t>femtech_</t>
  </si>
  <si>
    <t>jsnewsbot</t>
  </si>
  <si>
    <t>nobrowser</t>
  </si>
  <si>
    <t>womencodersbot</t>
  </si>
  <si>
    <t>learn__together</t>
  </si>
  <si>
    <t>amitkrout1</t>
  </si>
  <si>
    <t>codernotesbot</t>
  </si>
  <si>
    <t>appverticals</t>
  </si>
  <si>
    <t>gp_pulipaka</t>
  </si>
  <si>
    <t>nodequotesbot</t>
  </si>
  <si>
    <t>classicnoir93</t>
  </si>
  <si>
    <t>xaelbot</t>
  </si>
  <si>
    <t>davidtorresc8</t>
  </si>
  <si>
    <t>ivanvaz32762138</t>
  </si>
  <si>
    <t>kohli10_56</t>
  </si>
  <si>
    <t>akson_ai</t>
  </si>
  <si>
    <t>codegnuts</t>
  </si>
  <si>
    <t>lofwyrm</t>
  </si>
  <si>
    <t>sanjo_jose</t>
  </si>
  <si>
    <t>marcusborba</t>
  </si>
  <si>
    <t>taieb_bot</t>
  </si>
  <si>
    <t>gavlaaaaaaaa</t>
  </si>
  <si>
    <t>worldofscitech</t>
  </si>
  <si>
    <t>parmarshantun</t>
  </si>
  <si>
    <t>blackhackcode</t>
  </si>
  <si>
    <t>switchhitx</t>
  </si>
  <si>
    <t>codedailybot</t>
  </si>
  <si>
    <t>grandparobot</t>
  </si>
  <si>
    <t>fullnam35087976</t>
  </si>
  <si>
    <t>sharmichat82</t>
  </si>
  <si>
    <t>ushills_couk</t>
  </si>
  <si>
    <t>cdwgwagov</t>
  </si>
  <si>
    <t>nikhilmaheswar3</t>
  </si>
  <si>
    <t>gbubemi__</t>
  </si>
  <si>
    <t>mvollmer1</t>
  </si>
  <si>
    <t>hana_elsayyed</t>
  </si>
  <si>
    <t>peoplematters2</t>
  </si>
  <si>
    <t>cnbc</t>
  </si>
  <si>
    <t>moshhamedani</t>
  </si>
  <si>
    <t>wef</t>
  </si>
  <si>
    <t>theinsaneapp</t>
  </si>
  <si>
    <t>mailonline</t>
  </si>
  <si>
    <t>coodignd</t>
  </si>
  <si>
    <t>Retweet</t>
  </si>
  <si>
    <t>MentionsInRetweet</t>
  </si>
  <si>
    <t>Mentions</t>
  </si>
  <si>
    <t>Replies to</t>
  </si>
  <si>
    <t>Thank you Code Warriors for the amazing and informative two-day workshop on Python For Machine Learning ☺️_xD83E__xDD17_☺️
More the number of warriors, the faster we beat Corona.
#codewarriors #NLP #MachineLearning #ComputerVision #codewarriorslife #python #givemycertificate</t>
  </si>
  <si>
    <t>A free web service for fast COVID-19 classification of chest X-Ray images. #DataScience #BigData #Analytics #Python #RStats #TensorFlow #Java #JavaScript #ReactJS #GoLang #Serverless #IoT #Linux #MachineLearning #DeepLearning #AI
https://t.co/y7MMSYrTsT https://t.co/TCmM2ksblK</t>
  </si>
  <si>
    <t>The Workplace of the Future: Solving How We Get Back to Work #Kubernetes #IoT #Python #100DaysOfCode #edtech #DataScience #CyberSecurity #BigData #COVID19 #MachineLearning #COVID_19 #javascript #blockchain #cdwsocial https://t.co/flguG5Lbve</t>
  </si>
  <si>
    <t>Latest 7-day average for COVID-19 in England - 1719 #COVID19 #python #pandas https://t.co/YHmdlOXyyM</t>
  </si>
  <si>
    <t>U.S. Volunteer Jennifer Holler, 43 Gets First Shot of Covid-19 Vaccine. #BigData #Analytics #DataScience #AI #MachineLearning #IoT #IIoT #Python #RStats #JavaScript #ReactJS #GoLang #CloudComputing #Serverless #Linux #Programming #Coding #100DaysofCode
https://t.co/5ae7DmgRsq https://t.co/EsL2q7kXbB</t>
  </si>
  <si>
    <t>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</si>
  <si>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Hey any #datascience #python #DeepLearning that can work with audio data in a neural net available to help w/ a COVID-related issue? Please respond here. RT's appreciated.</t>
  </si>
  <si>
    <t>Due to COVID-19, Coursera has made some of their Programming Courses FREE and you can earn a ... https://t.co/2Vjd54YyhX #programming #softwareengineering #bigdata #datascience #analytics #ai #python #javascript</t>
  </si>
  <si>
    <t>https://t.co/cl5lrS7Pox #startup #ArtificialIntelligence #Python #COVID19 #DataScience #data #MachineLearning #dataScientist</t>
  </si>
  <si>
    <t>bizimle PHP öğrenin.
#java #python #javascript #programming #coding #programmer #developer #html #php #code #indonesia #css #coder #software #elearning #education #onlinelearning #learning #covid #edtech #online #students #teaching #distancelearning #school #edchat #stayhome https://t.co/qw3393MXA5</t>
  </si>
  <si>
    <t>Analyze Covid-19 data using Pandas by following along with our tutorial on Data Analysis with Python. #datascience #machinelearning #python
https://t.co/IixMomC7EU</t>
  </si>
  <si>
    <t>Awesome billboard in #SiliconValley about #COVID__19!!
That’s why we launched our #Startup in #SanFrancisco &amp;amp; #SV. 
What is https://t.co/ymLNRnouaV? 
Now Open-Sourced &amp;amp; Free!
#NoBrowser #privacy #Anonymous  #engineer #girlswhocode #python #hacker #Javascript #cyber #Developer https://t.co/ZMQbGPkh7j</t>
  </si>
  <si>
    <t>Covid-19 places greater emphasis on need for Cyber talent #tech #ethicalhacking #python https://t.co/C1DljCqfVQ via @cnbc</t>
  </si>
  <si>
    <t>Top 5 Cyber Threats during COVID-19
https://t.co/cMxGJgLwFi 
.
#cyber #privacy #hacking #hacker #pentest #tech #datascience #code #coding #python #php #linux #java #webdev #programming #programmer #webdeveloper #digital #cloud #technology #security #covid #coronavirus https://t.co/WsvD807I8s</t>
  </si>
  <si>
    <t>Not on our website, yet-
#AIEthics is an imperative to use #AI for #SafetyFirst #family care #eldercare #childcare #chronicillness 
#BigData #Python #RStats #Java #JavaScript #ReactJS #Linux #100DaysOfCode #iamintel #robots #robotics #COVID__19 #pandemic $GOSY #VoiceFirst https://t.co/TBrOEASPKw</t>
  </si>
  <si>
    <t>Miedo a lo tecnológico. El Covid-19 ha acelerado la digitalización de los más pequeños no obstante todavía docentes y familias se resisten la revolución tecnológica.
https://t.co/Exfp1uHg8p  #Python #Java  #Programacion, #coding, #Preescolar, #Primaria, #robotica, #edtech https://t.co/ZnRYnSvxIB</t>
  </si>
  <si>
    <t>#responsibleAI is an imperative to use #AI for #SafetyFirst #family care #eldercare #childcare #chronicillness 
#BigData #Python #RStats #Java #JavaScript #ReactJS #Linux #100DaysOfCode #iamintel #robots #robotics #COVID__19 #pandemic $GOSY #VoiceFirst #ArtificialIntelligence https://t.co/cX9yqsACem</t>
  </si>
  <si>
    <t>"COVID Happened And I Decided to Stop Gaming And Start Coding" https://t.co/t3It87fbBo #python #gaming</t>
  </si>
  <si>
    <t>Latest 7-day average for COVID-19 in England - 1719 #COVID19 #python #pandas https://t.co/lm9rCfFobx</t>
  </si>
  <si>
    <t>Bias in #machinelearning examples: Policing, banking, COVID-19 https://t.co/nIOP3jkrQP #DataScience #Deeplearning #ArtificialIntelligence #Bigdata #NLP #noSQL #IoT #Cassandra #Kafka #Hadoop #spark #TensorFlow #serverless #Kubernetes #GlobalAI #R #Python #DataMining #DataBase</t>
  </si>
  <si>
    <t>Want to earn more and have a career that stays in demand in the face of the global pandemic?  Become a #datascientist!
Here’s why: https://t.co/ecJsjUFRUX
#DataEngineering #DataScienceAnalytics #DataScienceProfessionals #R #SAS #Python #DataEngineers #DataProcessing https://t.co/zv3WJ0HS8G</t>
  </si>
  <si>
    <t>If universities want to save _xD83D__xDCB0_ amid the COVID crisis they should start by dropping all the useless MATLAB, STATA, and SPSS licenses &amp;amp; switch to the better designed, more powerful, and FREE/OPEN SOURCE languages like #Python, #R and #Julia No justification to continue wasting $!</t>
  </si>
  <si>
    <t>#informationtechnology #technology #it #cybersecurity #tech #computerscience #business #innovation #programming #software #programmer #coding #engineering #computer #informationsecurity #java #security #hacking #newtechnology #covid #technologynews #information #python #developer https://t.co/Y2vo1kBvYl</t>
  </si>
  <si>
    <t>Simple UI
#programming #programmingmemes #programminghumor #reddit
#c #java #javascript #php #python #helloworld #stackoverflow #code #coding #development #developer #html #css #programmerlife #frontend #backend #programmer #billboard #teamviewer #bug #corona #coronamemes https://t.co/mVjkRa4ajH</t>
  </si>
  <si>
    <t>Help.send()
#programming #programmingmemes #programminghumor #reddit
#c #java #javascript #php #python #helloworld #stackoverflow #code #coding #development #developer #html #css #programmerlife #frontend #backend #programmer #billboard #teamviewer #bug #corona #coronamemes https://t.co/NBAib75UWJ</t>
  </si>
  <si>
    <t>Watch synthesized videos of tennis players, analyze Covid-19 data using Python, and build an emergency vehicle detection system - all part of our Data Science Daily newsletter. #DataScience #MachineLearning #Python #DeepLearning 
https://t.co/9Hob8Xtphx</t>
  </si>
  <si>
    <t>@moshhamedani Thank you for the course Mosh. I work in the hospitality industry and due to COVID-19 I thought it would be smart to explore other industries. Coding is fun, but very difficult for newbies..Feels jumping in deep water..._xD83D__xDE43_#python</t>
  </si>
  <si>
    <t>The pandemic forced us to re-examine our roles as employers and employees, our goals, our values, and how we merge work and home life.
#corona #covid #coronavirus #stayhome #quarantine #Python #100DaysOfCode #MachineLearning #100DaysOfMLCode #AI #javascript #womenwhocode https://t.co/VHr8Pq4s8x</t>
  </si>
  <si>
    <t>Hypothesis Testing Statistics Problems &amp;amp; Examples(covid19)
#Python #Python3 #pythonprogramming #DataScience #ML #AI #COVID19 #COVID__19 
https://t.co/owJWmTTeEO</t>
  </si>
  <si>
    <t>Multi-Step Multivariate Time Series for Covid-19 https://t.co/NXSxRuJI2p #BigData #Analytics #DataScience #AI #MachineLearning #IoT #IIoT #PyTorch #Python #RStats #TensorFlow #CloudComputing #Serverless #DataScientist #ArtificialIntelligence #DataScientists #Data #TensorFlow</t>
  </si>
  <si>
    <t>Corona Virus Live Updates in India using Python
☞ https://t.co/mL43V5CUO4
#Python #Morioh https://t.co/oSkb1tFyAP</t>
  </si>
  <si>
    <t>#AIEthics is an imperative to use #AI for #SafetyFirst #family care #eldercare #childcare #chronicillness 
#BigData #Python #RStats #Java #JavaScript #ReactJS #Linux #100DaysOfCode #iamintel #robots #robotics #COVID__19 #pandemic $GOSY #VoiceFirst #ArtificialIntelligence #ML https://t.co/KtAOlisirW</t>
  </si>
  <si>
    <t>Never a better time to advance your skillset! #businessadvice #designthinking #ThinkLogicallyActAccordingly #BusinessIntelligence #Covid_19 #Python 
Best Resources for Mastering Python https://t.co/B6ZkhXW4TX https://t.co/CxVbJBWGpd</t>
  </si>
  <si>
    <t>Updated 8-Sep-2020: Daily new Covid-19 cases per 100K of population by state. Now with 5-day moving average to smooth the heat map. #COVID19 #python #DataVisualization #CrushCovid19 Code at https://t.co/Mt4WmZAcab https://t.co/DKd3CtbUlw</t>
  </si>
  <si>
    <t>The Covid 19 isolation came with a lot of problems but at the same time it came with oportunitties. I had the chance to get deep on my favorite DEV language. After a long while and many hours of development, it has been done: My first software system with #Python #Tkinter #Django https://t.co/HLpB6Mv18q</t>
  </si>
  <si>
    <t>Combatting COVID-19 misinformation with #machinelearning https://t.co/rTN7Pr31uW #DataScience #Deeplearning #ArtificialIntelligence #NLP #NoSQL #IoT #Bigdata #Cassandra #Kafka #hadoop #spark #TensorFlow #Serverless #Kubernetes #R #Python #DataMining #Database #GlobalAI</t>
  </si>
  <si>
    <t>This is an updated version of my first Python Dash project for covid-19 analysis.
I've added more plotting options and made UI somewhat better. Still lots of works to do and changes to make.
Have a look :  https://t.co/EHAz4PgwX8
_xD83D__xDC68_‍_xD83D__xDCBB__xD83D__xDCCA__xD83D__xDCC9_☺️
#100DaysOfCode #python #javascript #dev https://t.co/fPvmR1aRs6</t>
  </si>
  <si>
    <t>Throwback article on #coronavirus to early days of March 2020
https://t.co/mHavI9BWtk
#Corona #coronavirusuk   #COVID  #pythonprogramming #python #visualart</t>
  </si>
  <si>
    <t>#Covid19 #AI Update: #NIH Developing Imaging Tools https://t.co/HEatKqjjfG
#bigdata 
#USA #Defstar5 #FemTech #womenWhoCode #UK #AI #IOT #Tech #DATA #dataScientist #dataScience #Linux #FRENCHtech #100daysofCode #RStats #Website #Javascript #France #Python #digitalTransformation</t>
  </si>
  <si>
    <t>Big Data’s Role in the Post-COVID Era https://t.co/WWwLf1QgBe #DataScience #MachineLearning #Deeplearning #NLP #NoSQL #IoT #Bigdata #Cassandra #Kafka #Hadoop #spark #Tensorflow #Serverless #Kubernetes #GlobalAI #R #python #DataMining #DataBase</t>
  </si>
  <si>
    <t>Başlangıç için hiç fena sayılmaz _xD83D__xDE15_
#Python #Corona https://t.co/Iv7tFTCkf4</t>
  </si>
  <si>
    <t>We must prevent a post-#COVID 'carmageddon'. Here's #HOW
 https://t.co/aZgmSFFxlb
via @wef
#bigdata 
#AI #IOT #Tech #DATA #dataScientist #dataScience #Linux #FRENCHtech #100daysofCode #RStats #Javascript #France #USA #Defstar5 #FemTech #Python #MachineLearning #womenWhoCode #UK</t>
  </si>
  <si>
    <t>Big Data’s Role in the Post-COVID Era https://t.co/slFl8ccriz #DataScience #MachineLearning #Deeplearning #NLP #NoSQL #IoT #Bigdata #Cassandra #Kafka #Hadoop #spark #Tensorflow #Serverless #Kubernetes #GlobalAI #R #python #DataMining #Database</t>
  </si>
  <si>
    <t>RT @corona_dragon: RT @marcusborba: A Tour of End-to-End Machine Learning Platforms. #DataScience #BigData #Analytics #AI #Python #RStats #JavaScript #ReactJS #Serverless #DataScientist #IoT #Linux #Programming #100DaysofCode #DataMining #DeepLearning #M… https://t.co/V4vOXmLUSh</t>
  </si>
  <si>
    <t>COVID-19 made your data set worthless. Now what? https://t.co/iw3BUJvktK #Covid19 #DataScience #MachineLearning #Deeplearning #ArtificialIntelligence #BigData #Cassandra #kafka #Hadoop #spark #NLP #NoSQL #IoT #TensorFlow #Serverless #Kubernetes #GlobalAI #R #Python #DataMining</t>
  </si>
  <si>
    <t>Exploring Covid 19 Data in Python
☞ https://t.co/kdEDKfyw2Y
#Python #COVID19 #Morioh https://t.co/oOCuI4mGXx</t>
  </si>
  <si>
    <t>#TechStuff: Staff repurposing as a response to Covid-19 - IT-Online
#pyton #python #pythonic #ml #machinelearning
Read More Here:
https://t.co/lNk7xuw115</t>
  </si>
  <si>
    <t>_xD83D__xDE31_ Harvard University is offering Free #AI, #ML, and #DataScience Courses
Link: https://t.co/tKKmHJWvPb
#MachineLearning #BigData  #IoT #Python #RStats #JavaScript #ReactJS #CloudComputing #Serverless #Linux  #100DaysofCode #Corona https://t.co/XnepLrPhzo via @TheInsaneApp</t>
  </si>
  <si>
    <t>#Learn how to use #BigData analysis to solve real world problems.
Enroll for a #webinar on COVID-19 Lockdown Analysis with Big Data on 13 Sep 11:30 AM GMT
1️⃣Register @ https://t.co/rW55tH0Viq
2️⃣Book your slot@ https://t.co/p7cbT1PKEN
#education #Coding #100DaysOfCode #Python https://t.co/GGnHpjHrVm</t>
  </si>
  <si>
    <t>#Trending: Staff repurposing as a response to Covid-19 - IT-Online
#pyton #python #pythonic #ml #machinelearning
Read More Here:
https://t.co/vXpdiWBf7o</t>
  </si>
  <si>
    <t>"Test your code " is the adult version of "revise your answersheet before submitting" . 
#COVID__19 #COVID__19 #Code #100DaysOfCode #javascript #Python #MachineLearning #tech #SSR</t>
  </si>
  <si>
    <t>Not on our website, yet-
#AIEthics is an imperative to use #AI for #SafetyFirst #family care #eldercare #childcare #chronicillness 
#BigData #Python #RStats #Java #JavaScript #ReactJS #Linux #100DaysOfCode #iamintel #robots #robotics #COVID__19 #pandemic $GOSY #voicefirst https://t.co/ybJah138C2 https://t.co/Wm7uR57PCL</t>
  </si>
  <si>
    <t>I completed Detecting COVID-19 with Chest X-Ray using PyTorch! Check out my certificate 
https://t.co/rtoYESfevP #Coursera #Python #DeepLearning
#PyTorch https://t.co/lAC8atuXPp</t>
  </si>
  <si>
    <t>day 15
Still working with pandas dataframes with @IvanVaz32762138, we're still finishing a project about covid-19. We're getting there, but there's still work to be done. 
#100Daysofcode #python #DataScience #data #DataAnalytics https://t.co/WpKmZh08cx</t>
  </si>
  <si>
    <t>Join us at the Online PyCon Conference on Sept 26th, Saturday!
Due to the COVID-19 pandemic, PyCon Turkey 2020 will be held online and free. Celebrating the online event with our earlier blog post on our excitement for PyCon! https://t.co/IZjIILjK2n
#pycontr2020 #pycon #python</t>
  </si>
  <si>
    <t>Youn only need a browser and internet to get COVID data  but, like every programmer, I would rather spend hours automating a task that would take me a few minutes to do manually
With this I present covtool: it fetches data from the comfort of a terminal
#Python #programming https://t.co/fTIICwkDUR</t>
  </si>
  <si>
    <t>9/6までの新型コロナの日本、ドイツ、フランス、オランダ、ロシアの死亡数、感染ー回復数、のグラフを動画にしてみました。縦軸を対数に。しつこく更新中。pythonでpngを生成し、ffmpegで動画化 #感染数 #新型コロナウィルス #新型コロナ #COVID_19 #COVID #python https://t.co/Ef3zVPKyJt</t>
  </si>
  <si>
    <t>9/7までの新型コロナの日本、ドイツ、フランス、オランダ、ロシアの死亡数、感染ー回復数、のグラフを動画にしてみました。縦軸を対数に。しつこく更新中。pythonでpngを生成し、ffmpegで動画化 #感染数 #新型コロナウィルス #新型コロナ #COVID_19 #COVID #python https://t.co/M0lLPYtFxX</t>
  </si>
  <si>
    <t>9/8までの新型コロナの日本、ドイツ、フランス、オランダ、ロシアの死亡数、感染ー回復数、のグラフを動画にしてみました。縦軸を対数に。しつこく更新中。pythonでpngを生成し、ffmpegで動画化 #感染数 #新型コロナウィルス #新型コロナ #COVID_19 #COVID #python https://t.co/uwJq5YZ8w9</t>
  </si>
  <si>
    <t>9/10までの新型コロナの日本、ドイツ、フランス、オランダ、ロシアの死亡数、感染ー回復数、のグラフを動画にしてみました。縦軸を対数に。しつこく更新中。pythonでpngを生成し、ffmpegで動画化 #感染数 #新型コロナウィルス #新型コロナ #COVID_19 #COVID #python https://t.co/EmS5YQJDfK</t>
  </si>
  <si>
    <t>9/11までの新型コロナの日本、ドイツ、フランス、オランダ、ロシアの死亡数、感染ー回復数、のグラフを動画にしてみました。縦軸を対数に。しつこく更新中。pythonでpngを生成し、ffmpegで動画化 #感染数 #新型コロナウィルス #新型コロナ #COVID_19 #COVID #python https://t.co/efL3dKvkqZ</t>
  </si>
  <si>
    <t>9/12までの新型コロナの日本、ドイツ、フランス、オランダ、ロシアの死亡数、感染ー回復数、のグラフを動画にしてみました。縦軸を対数に。しつこく更新中。pythonでpngを生成し、ffmpegで動画化 #感染数 #新型コロナウィルス #新型コロナ #COVID_19 #COVID #python https://t.co/ZJo9E2JWB6</t>
  </si>
  <si>
    <t>9/13までの新型コロナの日本、ドイツ、フランス、オランダ、ロシアの死亡数、感染ー回復数、のグラフを動画にしてみました。縦軸を対数に。しつこく更新中。pythonでpngを生成し、ffmpegで動画化 #感染数 #新型コロナウィルス #新型コロナ #COVID_19 #COVID #python https://t.co/iVKziHz69l</t>
  </si>
  <si>
    <t>Released CovsirPhy version 2.8.2 to perform parameter estimation in 0th phase.
Python package for COVID-19 analysis with phase-dependent SIR-derived ODE models.
Thank you!
#COVID19 #Python #OpenSource #CovsirPhy 
https://t.co/utlJkZNI9C</t>
  </si>
  <si>
    <t>Python自作パッケージCovsirPhyについて記事を書きました！COVID-19関連のデータをダウンロードする方法についてです。ご参照ください。
https://t.co/RhsYA1qSXg
#Python #OpenSource #CovsirPhy #Qiita
#今日の積み上げ
#駆け出しエンジニアとつながりたい</t>
  </si>
  <si>
    <t>COVID-19 is still ongoing.
Most people in the world are now affected.
As data scientists and engineers, we have many tasks, including evaluation of measures and finding solutions to end the outbreak right away.
#CovsirPhy #Python #OpenSource #DataScience</t>
  </si>
  <si>
    <t>#US daily #COVID19 cases drop below 40k for the 1st #time since #June https://t.co/471wQEjCfJ @MailOnline
#bigdata 
#AI #IOT #Tech #healthCare
#USA #FemTech #womenWhoCode #UK #Python #dataScientist #dataScience #Linux #FRENCHtech #100daysofCode #RStats #DATA  #Javascript #France</t>
  </si>
  <si>
    <t>A Tour of End-to-End Machine Learning Platforms. #DataScience #BigData #Analytics #AI #Python #RStats #JavaScript #ReactJS #Serverless #DataScientist #IoT #Linux #Programming #100DaysofCode #DataMining #DeepLearning #MachineLearning #ArtificialIntelligence
https://t.co/lCXLqPGThf https://t.co/Vy36bPzGz9</t>
  </si>
  <si>
    <t>Visualization Of COVID-19 New Cases Over Time In Python
#javascript   #100DaysOfCode #WomenWhoCode #CodeNewbie #webdevelopment  #Nodejs #DataScience #Python
@CoodignD
@blackhackcode
https://t.co/yhkR0w5zVi https://t.co/NXjWmIX9yY</t>
  </si>
  <si>
    <t>Covid 19 stats using Django
Link - https://t.co/q5zbZNtxaA
#100DaysOfCode #CodeNewbie #Python #pythonprogramming #WebDeveloper</t>
  </si>
  <si>
    <t>Not only during corona
#programming #python #java #javascript #coder #programmermeme #codinglife https://t.co/T6c0vp1FqO</t>
  </si>
  <si>
    <t>RT @GavLaaaaaaaa: Due to COVID-19, Coursera has made some of their Programming Courses FREE and you can earn a ... https://t.co/tG6JHd3zyy #programming #softwareengineering #bigdata #datascience #analytics #ai #python #javascript #WeLoveData</t>
  </si>
  <si>
    <t>Latest 7-day average for COVID-19 in England - 1870 #COVID19 #python #pandas https://t.co/PtfWK0nv4d</t>
  </si>
  <si>
    <t>Latest 7-day average for COVID-19 in England - 2019 #COVID19 #python #pandas https://t.co/wT48N6jKjh</t>
  </si>
  <si>
    <t>Latest 7-day average for COVID-19 in England - 2172 #COVID19 #python #pandas https://t.co/TEZm8PHJvR</t>
  </si>
  <si>
    <t>Latest 7-day average for COVID-19 in England - 2383 #COVID19 #python #pandas https://t.co/aIzlG8nknK</t>
  </si>
  <si>
    <t>Latest 7-day average for COVID-19 in England - 2601 #COVID19 #python #pandas https://t.co/VcHXa1E8qD</t>
  </si>
  <si>
    <t>Latest 7-day average for COVID-19 in England - 2639 #COVID19 #python #pandas https://t.co/jYcQqm5ZYD</t>
  </si>
  <si>
    <t>Latest 7-day average for COVID-19 in England - 2600 #COVID19 #python #pandas https://t.co/kv0YaJ7XGo</t>
  </si>
  <si>
    <t>Latest 7-day average for COVID-19 in England - 2600 #COVID19 #python #pandas https://t.co/xVlFxENK2o</t>
  </si>
  <si>
    <t>Latest 7-day average for COVID-19 in England - 2600 #COVID19 #python #pandas https://t.co/5qUYOySsO4</t>
  </si>
  <si>
    <t>Latest 7-day average for COVID-19 in England - 2680 #COVID19 #python #pandas https://t.co/6E8RsfcNB8</t>
  </si>
  <si>
    <t>Turbulence, tech and the worker #Kubernetes #IoT #Python #100DaysOfCode #edtech #COVID19 #DataScience #COVID_19 #CyberSecurity #BigData #Tech #pandemic #cdwsocial https://t.co/SGc0zqoSyF</t>
  </si>
  <si>
    <t>What are the Highest paying data science jobs?? MUST READ IT!!
LINK FOR READING - https://t.co/mDLxD3D6sm
#Covid_19 #SonamKapoor #iPhone #iPhone12 #DataScience #coding #Python #Jobs #blog #Traffic https://t.co/z2FDq3t4OD</t>
  </si>
  <si>
    <t>https://www.edureka.co/?utm_source=ZillionLife&amp;utm_medium=748127&amp;utm_campaign=Zillion_Ed https://resources.edureka.co/big-data-edureka-workshop-covid19-analysis/?utm_source=meetup&amp;utm_medium=crosspost&amp;utm_campaign=bigdata-workshop-090920</t>
  </si>
  <si>
    <t>https://online-learning.harvard.edu/catalog https://twitter.com/TheInsaneApp/status/1256968972030877702/photo/1</t>
  </si>
  <si>
    <t>arxiv.org</t>
  </si>
  <si>
    <t>voicestorm.com</t>
  </si>
  <si>
    <t>latimes.com</t>
  </si>
  <si>
    <t>peoplematters.in</t>
  </si>
  <si>
    <t>medium.com</t>
  </si>
  <si>
    <t>thestar.com</t>
  </si>
  <si>
    <t>youtube.com</t>
  </si>
  <si>
    <t>nobrowser.com</t>
  </si>
  <si>
    <t>cnbc.com</t>
  </si>
  <si>
    <t>ituneed.com</t>
  </si>
  <si>
    <t>ineditweb.es</t>
  </si>
  <si>
    <t>hackernoon.com</t>
  </si>
  <si>
    <t>globalbigdataconference.com</t>
  </si>
  <si>
    <t>forbes.com</t>
  </si>
  <si>
    <t>jovian.ml</t>
  </si>
  <si>
    <t>techairesearch.com</t>
  </si>
  <si>
    <t>morioh.com</t>
  </si>
  <si>
    <t>towardsdatascience.com</t>
  </si>
  <si>
    <t>herokuapp.com</t>
  </si>
  <si>
    <t>aitrends.com</t>
  </si>
  <si>
    <t>weforum.org</t>
  </si>
  <si>
    <t>co.za</t>
  </si>
  <si>
    <t>harvard.edu</t>
  </si>
  <si>
    <t>edureka.co edureka.co</t>
  </si>
  <si>
    <t>twitter.com</t>
  </si>
  <si>
    <t>coursera.org</t>
  </si>
  <si>
    <t>sufle.io</t>
  </si>
  <si>
    <t>github.com</t>
  </si>
  <si>
    <t>qiita.com</t>
  </si>
  <si>
    <t>co.uk</t>
  </si>
  <si>
    <t>databaseline.tech</t>
  </si>
  <si>
    <t>coodingdessign.com</t>
  </si>
  <si>
    <t>harvard.edu twitter.com</t>
  </si>
  <si>
    <t>blogspot.com</t>
  </si>
  <si>
    <t>codewarriors nlp machinelearning computervision codewarriorslife python givemycertificate</t>
  </si>
  <si>
    <t>datascience bigdata analytics python rstats tensorflow java javascript reactjs golang serverless iot linux machinelearning deeplearning ai</t>
  </si>
  <si>
    <t>kubernetes iot python 100daysofcode edtech datascience cybersecurity bigdata covid19 machinelearning covid_19 javascript blockchain cdwsocial</t>
  </si>
  <si>
    <t>covid19 python pandas</t>
  </si>
  <si>
    <t>bigdata analytics datascience ai machinelearning iot iiot python rstats javascript reactjs golang cloudcomputing serverless linux programming coding 100daysofcode</t>
  </si>
  <si>
    <t>ai covid_19</t>
  </si>
  <si>
    <t>datascience python deeplearning</t>
  </si>
  <si>
    <t>startup artificialintelligence python covid19 datascience data machinelearning datascientist</t>
  </si>
  <si>
    <t>java python javascript programming coding programmer developer html php code indonesia css coder software elearning education onlinelearning learning covid edtech online students teaching distancelearning school edchat stayhome</t>
  </si>
  <si>
    <t>datascience machinelearning python</t>
  </si>
  <si>
    <t>siliconvalley covid__19 startup sanfrancisco sv nobrowser privacy anonymous engineer girlswhocode python hacker javascript cyber developer</t>
  </si>
  <si>
    <t>tech ethicalhacking python</t>
  </si>
  <si>
    <t>cyber privacy hacking hacker pentest tech datascience</t>
  </si>
  <si>
    <t>aiethics ai safetyfirst family eldercare childcare chronicillness bigdata python rstats java javascript reactjs linux 100daysofcode iamintel robots robotics covid__19 pandemic voicefirst</t>
  </si>
  <si>
    <t>python java programacion coding preescolar primaria robotica edtech</t>
  </si>
  <si>
    <t>responsibleai ai safetyfirst family eldercare childcare chronicillness bigdata python rstats java javascript reactjs linux 100daysofcode iamintel robots robotics covid__19 pandemic voicefirst artificialintelligence</t>
  </si>
  <si>
    <t>python gaming</t>
  </si>
  <si>
    <t>machinelearning datascience deeplearning</t>
  </si>
  <si>
    <t>datascientist dataengineering datascienceanalytics datascienceprofessionals r sas python dataengineers dataprocessing</t>
  </si>
  <si>
    <t>python r julia</t>
  </si>
  <si>
    <t>informationtechnology technology it cybersecurity tech computerscience business innovation programming software programmer coding engineering computer informationsecurity java security hacking newtechnology covid technologynews information python developer</t>
  </si>
  <si>
    <t>programming programmingmemes programminghumor reddit c java javascript php python helloworld stackoverflow code coding development developer html css programmerlife frontend backend programmer billboard teamviewer bug corona coronamemes</t>
  </si>
  <si>
    <t>datascience machinelearning python deeplearning</t>
  </si>
  <si>
    <t>python</t>
  </si>
  <si>
    <t>corona covid coronavirus stayhome quarantine python 100daysofcode machinelearning 100daysofmlcode ai javascript womenwhocode</t>
  </si>
  <si>
    <t>python python3 pythonprogramming datascience ml ai covid19 covid__19</t>
  </si>
  <si>
    <t>bigdata analytics datascience ai</t>
  </si>
  <si>
    <t>python morioh</t>
  </si>
  <si>
    <t>aiethics ai safetyfirst family eldercare childcare chronicillness bigdata python rstats java javascript reactjs linux 100daysofcode iamintel robots robotics covid__19 pandemic voicefirst artificialintelligence ml</t>
  </si>
  <si>
    <t>businessadvice designthinking thinklogicallyactaccordingly businessintelligence covid_19 python</t>
  </si>
  <si>
    <t>covid19 python datavisualization crushcovid19</t>
  </si>
  <si>
    <t>python tkinter django</t>
  </si>
  <si>
    <t>100daysofcode python javascript dev</t>
  </si>
  <si>
    <t>coronavirus corona coronavirusuk covid pythonprogramming python visualart</t>
  </si>
  <si>
    <t>covid19 ai nih bigdata usa defstar5 femtech</t>
  </si>
  <si>
    <t>datascience machinelearning deeplearning nlp nosql iot</t>
  </si>
  <si>
    <t>python corona</t>
  </si>
  <si>
    <t>covid how bigdata ai iot tech</t>
  </si>
  <si>
    <t>datascience machinelearning deeplearning nlp nosql iot bigdata cassandra kafka hadoop spark tensorflow serverless kubernetes globalai r python datamining database</t>
  </si>
  <si>
    <t>datascience bigdata analytics ai python rstats javascript reactjs serverless datascientist iot linux programming 100daysofcode datamining deeplearning m</t>
  </si>
  <si>
    <t>covid19 datascience machinelearning</t>
  </si>
  <si>
    <t>python covid19 morioh</t>
  </si>
  <si>
    <t>techstuff pyton python pythonic ml machinelearning</t>
  </si>
  <si>
    <t>ai ml datascience</t>
  </si>
  <si>
    <t>learn bigdata webinar education coding 100daysofcode python</t>
  </si>
  <si>
    <t>trending pyton python pythonic ml machinelearning</t>
  </si>
  <si>
    <t>covid__19 covid__19 code 100daysofcode javascript python machinelearning tech ssr</t>
  </si>
  <si>
    <t>coursera python deeplearning pytorch</t>
  </si>
  <si>
    <t>coursera</t>
  </si>
  <si>
    <t>100daysofcode python datascience data dataanalytics</t>
  </si>
  <si>
    <t>pycontr2020 pycon python</t>
  </si>
  <si>
    <t>python programming</t>
  </si>
  <si>
    <t>感染数 新型コロナウィルス 新型コロナ covid_19 covid python</t>
  </si>
  <si>
    <t>covid19 python opensource covsirphy</t>
  </si>
  <si>
    <t>python opensource covsirphy qiita 今日の積み上げ 駆け出しエンジニアとつながりたい</t>
  </si>
  <si>
    <t>covsirphy python opensource datascience</t>
  </si>
  <si>
    <t>ai covid_19 machinelearning 4ir nlp python futureofwork artificialintelligence</t>
  </si>
  <si>
    <t>us covid19 time june bigdata ai</t>
  </si>
  <si>
    <t>machinelearning datascience deeplearning artificialintelligence bigdata nlp nosql iot cassandra kafka hadoop spark tensorflow serverless kubernetes globalai r python datamining database</t>
  </si>
  <si>
    <t>machinelearning datascience deeplearning artificialintelligence nlp nosql iot bigdata cassandra kafka hadoop spark tensorflow serverless kubernetes r python datamining database globalai</t>
  </si>
  <si>
    <t>covid19 datascience machinelearning deeplearning artificialintelligence bigdata cassandra kafka hadoop spark nlp nosql iot tensorflow serverless kubernetes globalai r python datamining</t>
  </si>
  <si>
    <t>cyber privacy hacking hacker pentest tech datascience code coding python php linux java webdev programming programmer webdeveloper digital cloud technology security covid coronavirus</t>
  </si>
  <si>
    <t>datascience bigdata analytics ai python rstats javascript reactjs serverless datascientist iot linux programming 100daysofcode datamining deeplearning machinelearning artificialintelligence</t>
  </si>
  <si>
    <t>javascript 100daysofcode womenwhocode codenewbie webdevelopment nodejs datascience python</t>
  </si>
  <si>
    <t>100daysofcode codenewbie python pythonprogramming webdeveloper</t>
  </si>
  <si>
    <t>100daysofcode codenewbie python pythonprogramming</t>
  </si>
  <si>
    <t>programming python java javascript coder programmermeme codinglife</t>
  </si>
  <si>
    <t>programming softwareengineering bigdata datascience analytics ai python javascript welovedata</t>
  </si>
  <si>
    <t>programming softwareengineering bigdata datascience analytics ai python javascript</t>
  </si>
  <si>
    <t>us covid19 time june bigdata ai iot tech healthcare usa femtech womenwhocode uk python datascientist datascience linux frenchtech 100daysofcode rstats data javascript france</t>
  </si>
  <si>
    <t>covid how bigdata ai iot tech data datascientist datascience linux frenchtech 100daysofcode rstats javascript france usa defstar5 femtech python machinelearning womenwhocode uk</t>
  </si>
  <si>
    <t>covid19 ai nih bigdata usa defstar5 femtech womenwhocode uk ai iot tech data datascientist datascience linux frenchtech 100daysofcode rstats website javascript france python digitaltransformation</t>
  </si>
  <si>
    <t>ai ml datascience machinelearning bigdata iot python rstats javascript reactjs cloudcomputing serverless linux 100daysofcode corona</t>
  </si>
  <si>
    <t>bigdata analytics datascience ai machinelearning iot iiot pytorch python rstats tensorflow cloudcomputing serverless datascientist artificialintelligence datascientists data tensorflow</t>
  </si>
  <si>
    <t>kubernetes iot python 100daysofcode edtech covid19 datascience covid_19 cybersecurity bigdata tech pandemic cdwsocial</t>
  </si>
  <si>
    <t>covid_19 sonamkapoor iphone iphone12 datascience coding python jobs blog traffic</t>
  </si>
  <si>
    <t>23:40:28</t>
  </si>
  <si>
    <t>04:16:38</t>
  </si>
  <si>
    <t>04:39:22</t>
  </si>
  <si>
    <t>15:34:03</t>
  </si>
  <si>
    <t>16:47:00</t>
  </si>
  <si>
    <t>17:13:09</t>
  </si>
  <si>
    <t>17:13:42</t>
  </si>
  <si>
    <t>17:13:52</t>
  </si>
  <si>
    <t>17:17:21</t>
  </si>
  <si>
    <t>17:59:44</t>
  </si>
  <si>
    <t>18:25:15</t>
  </si>
  <si>
    <t>21:51:52</t>
  </si>
  <si>
    <t>21:55:31</t>
  </si>
  <si>
    <t>22:58:18</t>
  </si>
  <si>
    <t>23:04:36</t>
  </si>
  <si>
    <t>23:33:20</t>
  </si>
  <si>
    <t>23:52:48</t>
  </si>
  <si>
    <t>00:00:45</t>
  </si>
  <si>
    <t>00:01:07</t>
  </si>
  <si>
    <t>00:14:00</t>
  </si>
  <si>
    <t>00:31:10</t>
  </si>
  <si>
    <t>03:54:42</t>
  </si>
  <si>
    <t>05:44:48</t>
  </si>
  <si>
    <t>05:51:20</t>
  </si>
  <si>
    <t>07:37:57</t>
  </si>
  <si>
    <t>07:55:53</t>
  </si>
  <si>
    <t>08:53:37</t>
  </si>
  <si>
    <t>09:10:08</t>
  </si>
  <si>
    <t>10:56:25</t>
  </si>
  <si>
    <t>11:39:07</t>
  </si>
  <si>
    <t>12:17:10</t>
  </si>
  <si>
    <t>12:18:12</t>
  </si>
  <si>
    <t>12:27:13</t>
  </si>
  <si>
    <t>12:28:25</t>
  </si>
  <si>
    <t>12:47:57</t>
  </si>
  <si>
    <t>13:04:30</t>
  </si>
  <si>
    <t>14:00:09</t>
  </si>
  <si>
    <t>14:08:01</t>
  </si>
  <si>
    <t>14:16:39</t>
  </si>
  <si>
    <t>21:06:37</t>
  </si>
  <si>
    <t>22:31:01</t>
  </si>
  <si>
    <t>16:03:15</t>
  </si>
  <si>
    <t>03:03:46</t>
  </si>
  <si>
    <t>13:46:48</t>
  </si>
  <si>
    <t>14:16:41</t>
  </si>
  <si>
    <t>14:37:18</t>
  </si>
  <si>
    <t>14:57:22</t>
  </si>
  <si>
    <t>14:58:41</t>
  </si>
  <si>
    <t>10:22:46</t>
  </si>
  <si>
    <t>17:09:27</t>
  </si>
  <si>
    <t>19:31:27</t>
  </si>
  <si>
    <t>22:04:02</t>
  </si>
  <si>
    <t>22:08:54</t>
  </si>
  <si>
    <t>01:34:26</t>
  </si>
  <si>
    <t>01:48:57</t>
  </si>
  <si>
    <t>04:41:09</t>
  </si>
  <si>
    <t>04:34:20</t>
  </si>
  <si>
    <t>04:41:12</t>
  </si>
  <si>
    <t>23:52:02</t>
  </si>
  <si>
    <t>04:59:02</t>
  </si>
  <si>
    <t>05:18:20</t>
  </si>
  <si>
    <t>05:48:24</t>
  </si>
  <si>
    <t>05:48:57</t>
  </si>
  <si>
    <t>06:08:58</t>
  </si>
  <si>
    <t>09:25:48</t>
  </si>
  <si>
    <t>11:13:49</t>
  </si>
  <si>
    <t>11:16:48</t>
  </si>
  <si>
    <t>11:17:55</t>
  </si>
  <si>
    <t>11:22:46</t>
  </si>
  <si>
    <t>11:15:00</t>
  </si>
  <si>
    <t>12:08:00</t>
  </si>
  <si>
    <t>12:36:01</t>
  </si>
  <si>
    <t>12:44:37</t>
  </si>
  <si>
    <t>15:03:09</t>
  </si>
  <si>
    <t>15:28:33</t>
  </si>
  <si>
    <t>15:31:14</t>
  </si>
  <si>
    <t>15:31:26</t>
  </si>
  <si>
    <t>13:59:16</t>
  </si>
  <si>
    <t>05:53:48</t>
  </si>
  <si>
    <t>09:06:29</t>
  </si>
  <si>
    <t>15:33:14</t>
  </si>
  <si>
    <t>16:26:01</t>
  </si>
  <si>
    <t>19:51:28</t>
  </si>
  <si>
    <t>16:39:19</t>
  </si>
  <si>
    <t>19:04:53</t>
  </si>
  <si>
    <t>19:06:33</t>
  </si>
  <si>
    <t>19:27:42</t>
  </si>
  <si>
    <t>19:27:40</t>
  </si>
  <si>
    <t>20:29:07</t>
  </si>
  <si>
    <t>20:30:06</t>
  </si>
  <si>
    <t>20:44:28</t>
  </si>
  <si>
    <t>20:51:27</t>
  </si>
  <si>
    <t>21:15:12</t>
  </si>
  <si>
    <t>22:03:09</t>
  </si>
  <si>
    <t>22:35:20</t>
  </si>
  <si>
    <t>23:44:47</t>
  </si>
  <si>
    <t>01:09:04</t>
  </si>
  <si>
    <t>02:25:15</t>
  </si>
  <si>
    <t>06:19:14</t>
  </si>
  <si>
    <t>09:17:12</t>
  </si>
  <si>
    <t>11:44:06</t>
  </si>
  <si>
    <t>11:48:09</t>
  </si>
  <si>
    <t>15:57:08</t>
  </si>
  <si>
    <t>17:18:08</t>
  </si>
  <si>
    <t>18:33:41</t>
  </si>
  <si>
    <t>18:33:43</t>
  </si>
  <si>
    <t>18:34:12</t>
  </si>
  <si>
    <t>09:00:15</t>
  </si>
  <si>
    <t>11:47:34</t>
  </si>
  <si>
    <t>17:57:39</t>
  </si>
  <si>
    <t>18:39:10</t>
  </si>
  <si>
    <t>09:03:04</t>
  </si>
  <si>
    <t>09:18:27</t>
  </si>
  <si>
    <t>18:18:45</t>
  </si>
  <si>
    <t>16:18:32</t>
  </si>
  <si>
    <t>17:09:05</t>
  </si>
  <si>
    <t>17:15:16</t>
  </si>
  <si>
    <t>17:35:05</t>
  </si>
  <si>
    <t>22:53:04</t>
  </si>
  <si>
    <t>18:24:05</t>
  </si>
  <si>
    <t>03:21:18</t>
  </si>
  <si>
    <t>19:40:10</t>
  </si>
  <si>
    <t>19:43:09</t>
  </si>
  <si>
    <t>01:07:08</t>
  </si>
  <si>
    <t>21:07:10</t>
  </si>
  <si>
    <t>21:51:13</t>
  </si>
  <si>
    <t>23:42:41</t>
  </si>
  <si>
    <t>00:29:53</t>
  </si>
  <si>
    <t>02:23:48</t>
  </si>
  <si>
    <t>05:06:57</t>
  </si>
  <si>
    <t>06:09:04</t>
  </si>
  <si>
    <t>09:00:04</t>
  </si>
  <si>
    <t>01:09:09</t>
  </si>
  <si>
    <t>08:48:04</t>
  </si>
  <si>
    <t>08:49:04</t>
  </si>
  <si>
    <t>08:51:23</t>
  </si>
  <si>
    <t>12:25:39</t>
  </si>
  <si>
    <t>08:58:27</t>
  </si>
  <si>
    <t>08:59:48</t>
  </si>
  <si>
    <t>09:43:08</t>
  </si>
  <si>
    <t>09:02:05</t>
  </si>
  <si>
    <t>11:07:04</t>
  </si>
  <si>
    <t>11:09:30</t>
  </si>
  <si>
    <t>16:23:40</t>
  </si>
  <si>
    <t>16:23:45</t>
  </si>
  <si>
    <t>09:00:06</t>
  </si>
  <si>
    <t>18:15:06</t>
  </si>
  <si>
    <t>15:50:07</t>
  </si>
  <si>
    <t>07:25:34</t>
  </si>
  <si>
    <t>16:30:23</t>
  </si>
  <si>
    <t>16:32:40</t>
  </si>
  <si>
    <t>23:06:11</t>
  </si>
  <si>
    <t>01:33:57</t>
  </si>
  <si>
    <t>02:43:37</t>
  </si>
  <si>
    <t>02:43:43</t>
  </si>
  <si>
    <t>02:55:25</t>
  </si>
  <si>
    <t>08:06:55</t>
  </si>
  <si>
    <t>20:29:41</t>
  </si>
  <si>
    <t>04:15:18</t>
  </si>
  <si>
    <t>04:15:26</t>
  </si>
  <si>
    <t>04:26:26</t>
  </si>
  <si>
    <t>07:30:05</t>
  </si>
  <si>
    <t>11:14:39</t>
  </si>
  <si>
    <t>11:13:52</t>
  </si>
  <si>
    <t>11:16:47</t>
  </si>
  <si>
    <t>12:11:04</t>
  </si>
  <si>
    <t>12:28:11</t>
  </si>
  <si>
    <t>15:31:43</t>
  </si>
  <si>
    <t>17:55:20</t>
  </si>
  <si>
    <t>18:33:21</t>
  </si>
  <si>
    <t>09:03:08</t>
  </si>
  <si>
    <t>08:49:29</t>
  </si>
  <si>
    <t>04:14:44</t>
  </si>
  <si>
    <t>07:50:38</t>
  </si>
  <si>
    <t>12:11:41</t>
  </si>
  <si>
    <t>21:15:06</t>
  </si>
  <si>
    <t>12:15:38</t>
  </si>
  <si>
    <t>16:25:35</t>
  </si>
  <si>
    <t>16:25:52</t>
  </si>
  <si>
    <t>17:33:08</t>
  </si>
  <si>
    <t>00:35:13</t>
  </si>
  <si>
    <t>00:53:34</t>
  </si>
  <si>
    <t>03:38:55</t>
  </si>
  <si>
    <t>07:26:06</t>
  </si>
  <si>
    <t>09:00:55</t>
  </si>
  <si>
    <t>22:36:20</t>
  </si>
  <si>
    <t>09:43:00</t>
  </si>
  <si>
    <t>08:06:47</t>
  </si>
  <si>
    <t>08:07:14</t>
  </si>
  <si>
    <t>22:36:16</t>
  </si>
  <si>
    <t>12:20:46</t>
  </si>
  <si>
    <t>18:36:29</t>
  </si>
  <si>
    <t>08:51:00</t>
  </si>
  <si>
    <t>09:50:55</t>
  </si>
  <si>
    <t>09:53:28</t>
  </si>
  <si>
    <t>11:41:23</t>
  </si>
  <si>
    <t>22:50:32</t>
  </si>
  <si>
    <t>00:59:59</t>
  </si>
  <si>
    <t>20:27:15</t>
  </si>
  <si>
    <t>21:33:12</t>
  </si>
  <si>
    <t>11:01:20</t>
  </si>
  <si>
    <t>22:47:46</t>
  </si>
  <si>
    <t>12:29:42</t>
  </si>
  <si>
    <t>12:14:43</t>
  </si>
  <si>
    <t>15:30:41</t>
  </si>
  <si>
    <t>15:19:35</t>
  </si>
  <si>
    <t>09:42:34</t>
  </si>
  <si>
    <t>15:43:02</t>
  </si>
  <si>
    <t>17:13:35</t>
  </si>
  <si>
    <t>19:55:03</t>
  </si>
  <si>
    <t>19:55:14</t>
  </si>
  <si>
    <t>21:29:30</t>
  </si>
  <si>
    <t>17:12:23</t>
  </si>
  <si>
    <t>03:25:07</t>
  </si>
  <si>
    <t>08:07:08</t>
  </si>
  <si>
    <t>17:17:27</t>
  </si>
  <si>
    <t>14:57:34</t>
  </si>
  <si>
    <t>07:30:55</t>
  </si>
  <si>
    <t>19:21:59</t>
  </si>
  <si>
    <t>12:48:03</t>
  </si>
  <si>
    <t>05:49:03</t>
  </si>
  <si>
    <t>19:27:41</t>
  </si>
  <si>
    <t>00:03:40</t>
  </si>
  <si>
    <t>15:00:01</t>
  </si>
  <si>
    <t>16:47:06</t>
  </si>
  <si>
    <t>01:43:00</t>
  </si>
  <si>
    <t>12:27:19</t>
  </si>
  <si>
    <t>13:57:21</t>
  </si>
  <si>
    <t>09:06:35</t>
  </si>
  <si>
    <t>11:13:01</t>
  </si>
  <si>
    <t>15:28:39</t>
  </si>
  <si>
    <t>20:29:13</t>
  </si>
  <si>
    <t>17:18:13</t>
  </si>
  <si>
    <t>17:55:09</t>
  </si>
  <si>
    <t>15:57:32</t>
  </si>
  <si>
    <t>17:33:14</t>
  </si>
  <si>
    <t>17:19:23</t>
  </si>
  <si>
    <t>12:27:21</t>
  </si>
  <si>
    <t>14:00:11</t>
  </si>
  <si>
    <t>14:46:45</t>
  </si>
  <si>
    <t>15:29:07</t>
  </si>
  <si>
    <t>03:22:44</t>
  </si>
  <si>
    <t>17:58:22</t>
  </si>
  <si>
    <t>18:34:44</t>
  </si>
  <si>
    <t>08:48:05</t>
  </si>
  <si>
    <t>04:15:30</t>
  </si>
  <si>
    <t>08:15:45</t>
  </si>
  <si>
    <t>03:43:10</t>
  </si>
  <si>
    <t>17:19:27</t>
  </si>
  <si>
    <t>17:30:33</t>
  </si>
  <si>
    <t>18:15:01</t>
  </si>
  <si>
    <t>15:50:02</t>
  </si>
  <si>
    <t>16:30:18</t>
  </si>
  <si>
    <t>16:39:24</t>
  </si>
  <si>
    <t>15:50:22</t>
  </si>
  <si>
    <t>17:20:00</t>
  </si>
  <si>
    <t>12:16:27</t>
  </si>
  <si>
    <t>12:17:17</t>
  </si>
  <si>
    <t>04:17:04</t>
  </si>
  <si>
    <t>15:00:36</t>
  </si>
  <si>
    <t>16:47:15</t>
  </si>
  <si>
    <t>12:28:05</t>
  </si>
  <si>
    <t>13:57:15</t>
  </si>
  <si>
    <t>11:13:04</t>
  </si>
  <si>
    <t>14:47:04</t>
  </si>
  <si>
    <t>15:29:04</t>
  </si>
  <si>
    <t>03:22:27</t>
  </si>
  <si>
    <t>17:58:15</t>
  </si>
  <si>
    <t>18:34:26</t>
  </si>
  <si>
    <t>02:45:36</t>
  </si>
  <si>
    <t>17:34:04</t>
  </si>
  <si>
    <t>17:20:14</t>
  </si>
  <si>
    <t>07:23:28</t>
  </si>
  <si>
    <t>07:25:29</t>
  </si>
  <si>
    <t>11:17:06</t>
  </si>
  <si>
    <t>22:30:07</t>
  </si>
  <si>
    <t>07:48:58</t>
  </si>
  <si>
    <t>13:14:17</t>
  </si>
  <si>
    <t>10:55:50</t>
  </si>
  <si>
    <t>01:34:32</t>
  </si>
  <si>
    <t>11:15:55</t>
  </si>
  <si>
    <t>13:56:26</t>
  </si>
  <si>
    <t>14:46:10</t>
  </si>
  <si>
    <t>13:14:18</t>
  </si>
  <si>
    <t>10:55:44</t>
  </si>
  <si>
    <t>08:48:07</t>
  </si>
  <si>
    <t>06:45:00</t>
  </si>
  <si>
    <t>06:46:52</t>
  </si>
  <si>
    <t>11:15:50</t>
  </si>
  <si>
    <t>11:16:22</t>
  </si>
  <si>
    <t>07:32:41</t>
  </si>
  <si>
    <t>07:50:12</t>
  </si>
  <si>
    <t>03:39:29</t>
  </si>
  <si>
    <t>13:16:51</t>
  </si>
  <si>
    <t>17:44:19</t>
  </si>
  <si>
    <t>16:47:11</t>
  </si>
  <si>
    <t>04:16:43</t>
  </si>
  <si>
    <t>22:30:12</t>
  </si>
  <si>
    <t>12:27:18</t>
  </si>
  <si>
    <t>13:59:54</t>
  </si>
  <si>
    <t>06:27:33</t>
  </si>
  <si>
    <t>03:21:24</t>
  </si>
  <si>
    <t>15:25:48</t>
  </si>
  <si>
    <t>15:57:13</t>
  </si>
  <si>
    <t>03:54:54</t>
  </si>
  <si>
    <t>04:01:36</t>
  </si>
  <si>
    <t>02:45:29</t>
  </si>
  <si>
    <t>17:19:33</t>
  </si>
  <si>
    <t>13:18:37</t>
  </si>
  <si>
    <t>07:48:52</t>
  </si>
  <si>
    <t>07:49:00</t>
  </si>
  <si>
    <t>03:38:49</t>
  </si>
  <si>
    <t>03:43:00</t>
  </si>
  <si>
    <t>03:43:03</t>
  </si>
  <si>
    <t>12:27:32</t>
  </si>
  <si>
    <t>14:00:23</t>
  </si>
  <si>
    <t>11:14:07</t>
  </si>
  <si>
    <t>14:46:36</t>
  </si>
  <si>
    <t>15:28:58</t>
  </si>
  <si>
    <t>03:22:40</t>
  </si>
  <si>
    <t>15:25:50</t>
  </si>
  <si>
    <t>18:34:40</t>
  </si>
  <si>
    <t>02:45:43</t>
  </si>
  <si>
    <t>17:19:44</t>
  </si>
  <si>
    <t>13:18:43</t>
  </si>
  <si>
    <t>14:25:02</t>
  </si>
  <si>
    <t>06:14:10</t>
  </si>
  <si>
    <t>06:14:16</t>
  </si>
  <si>
    <t>16:35:15</t>
  </si>
  <si>
    <t>17:22:17</t>
  </si>
  <si>
    <t>17:22:22</t>
  </si>
  <si>
    <t>07:30:00</t>
  </si>
  <si>
    <t>08:15:41</t>
  </si>
  <si>
    <t>12:11:09</t>
  </si>
  <si>
    <t>00:14:05</t>
  </si>
  <si>
    <t>12:27:26</t>
  </si>
  <si>
    <t>12:27:27</t>
  </si>
  <si>
    <t>17:57:25</t>
  </si>
  <si>
    <t>11:07:09</t>
  </si>
  <si>
    <t>14:25:07</t>
  </si>
  <si>
    <t>13:27:28</t>
  </si>
  <si>
    <t>01:14:35</t>
  </si>
  <si>
    <t>04:16:46</t>
  </si>
  <si>
    <t>22:30:02</t>
  </si>
  <si>
    <t>22:58:39</t>
  </si>
  <si>
    <t>14:46:05</t>
  </si>
  <si>
    <t>14:48:22</t>
  </si>
  <si>
    <t>14:46:39</t>
  </si>
  <si>
    <t>08:48:01</t>
  </si>
  <si>
    <t>08:48:18</t>
  </si>
  <si>
    <t>08:58:46</t>
  </si>
  <si>
    <t>13:59:49</t>
  </si>
  <si>
    <t>18:33:16</t>
  </si>
  <si>
    <t>18:21:50</t>
  </si>
  <si>
    <t>17:19:17</t>
  </si>
  <si>
    <t>02:45:39</t>
  </si>
  <si>
    <t>17:19:47</t>
  </si>
  <si>
    <t>13:14:12</t>
  </si>
  <si>
    <t>13:18:26</t>
  </si>
  <si>
    <t>13:18:30</t>
  </si>
  <si>
    <t>13:57:23</t>
  </si>
  <si>
    <t>15:28:41</t>
  </si>
  <si>
    <t>03:21:23</t>
  </si>
  <si>
    <t>17:58:18</t>
  </si>
  <si>
    <t>14:25:10</t>
  </si>
  <si>
    <t>13:39:46</t>
  </si>
  <si>
    <t>04:02:32</t>
  </si>
  <si>
    <t>14:25:17</t>
  </si>
  <si>
    <t>04:40:27</t>
  </si>
  <si>
    <t>11:48:40</t>
  </si>
  <si>
    <t>08:54:44</t>
  </si>
  <si>
    <t>13:03:44</t>
  </si>
  <si>
    <t>13:56:20</t>
  </si>
  <si>
    <t>11:12:55</t>
  </si>
  <si>
    <t>15:00:20</t>
  </si>
  <si>
    <t>09:00:01</t>
  </si>
  <si>
    <t>09:00:16</t>
  </si>
  <si>
    <t>15:15:09</t>
  </si>
  <si>
    <t>16:00:13</t>
  </si>
  <si>
    <t>17:15:11</t>
  </si>
  <si>
    <t>15:00:06</t>
  </si>
  <si>
    <t>15:15:06</t>
  </si>
  <si>
    <t>15:45:06</t>
  </si>
  <si>
    <t>15:15:05</t>
  </si>
  <si>
    <t>17:00:06</t>
  </si>
  <si>
    <t>23:30:05</t>
  </si>
  <si>
    <t>07:15:05</t>
  </si>
  <si>
    <t>15:00:05</t>
  </si>
  <si>
    <t>17:00:31</t>
  </si>
  <si>
    <t>15:00:21</t>
  </si>
  <si>
    <t>22:22:48</t>
  </si>
  <si>
    <t>16:02:40</t>
  </si>
  <si>
    <t>16:04:59</t>
  </si>
  <si>
    <t>09:02:58</t>
  </si>
  <si>
    <t>1302753566185017346</t>
  </si>
  <si>
    <t>1302823065374449664</t>
  </si>
  <si>
    <t>1302828784077467648</t>
  </si>
  <si>
    <t>1302993540105089025</t>
  </si>
  <si>
    <t>1303011900028940291</t>
  </si>
  <si>
    <t>1303018482016157697</t>
  </si>
  <si>
    <t>1303018621271044096</t>
  </si>
  <si>
    <t>1303018661582704641</t>
  </si>
  <si>
    <t>1303019537911119872</t>
  </si>
  <si>
    <t>1303030206240665601</t>
  </si>
  <si>
    <t>1303036625895686149</t>
  </si>
  <si>
    <t>1303088624054030336</t>
  </si>
  <si>
    <t>1303089542786809856</t>
  </si>
  <si>
    <t>1303105339135528962</t>
  </si>
  <si>
    <t>1303106926700572674</t>
  </si>
  <si>
    <t>1303114157336608769</t>
  </si>
  <si>
    <t>1303119055688216578</t>
  </si>
  <si>
    <t>1303121058560643074</t>
  </si>
  <si>
    <t>1303121151271546881</t>
  </si>
  <si>
    <t>1303124390482194438</t>
  </si>
  <si>
    <t>1303128713090019329</t>
  </si>
  <si>
    <t>1303179934605615105</t>
  </si>
  <si>
    <t>1303207641724809216</t>
  </si>
  <si>
    <t>1303209284474482688</t>
  </si>
  <si>
    <t>1303236116712103936</t>
  </si>
  <si>
    <t>1303240628730462208</t>
  </si>
  <si>
    <t>1303255158713876481</t>
  </si>
  <si>
    <t>1303259315495731200</t>
  </si>
  <si>
    <t>1303286062123495425</t>
  </si>
  <si>
    <t>1303296806751797248</t>
  </si>
  <si>
    <t>1303306384419807233</t>
  </si>
  <si>
    <t>1303306642650521601</t>
  </si>
  <si>
    <t>1303308912821559302</t>
  </si>
  <si>
    <t>1303309211791654912</t>
  </si>
  <si>
    <t>1303314127583162369</t>
  </si>
  <si>
    <t>1303318292350881793</t>
  </si>
  <si>
    <t>1303332299073822722</t>
  </si>
  <si>
    <t>1303334279859011585</t>
  </si>
  <si>
    <t>1303336451841683456</t>
  </si>
  <si>
    <t>1303077236313120773</t>
  </si>
  <si>
    <t>1303098476004167680</t>
  </si>
  <si>
    <t>1303000892178718722</t>
  </si>
  <si>
    <t>1303167114266603521</t>
  </si>
  <si>
    <t>1303328938735722496</t>
  </si>
  <si>
    <t>1303336459617726465</t>
  </si>
  <si>
    <t>1303341648844394498</t>
  </si>
  <si>
    <t>1303346699260383237</t>
  </si>
  <si>
    <t>1303347030270439424</t>
  </si>
  <si>
    <t>1303277593932820481</t>
  </si>
  <si>
    <t>1303379935982170113</t>
  </si>
  <si>
    <t>1303415674577055750</t>
  </si>
  <si>
    <t>1303454071718772736</t>
  </si>
  <si>
    <t>1303455297609043969</t>
  </si>
  <si>
    <t>1303507022508429314</t>
  </si>
  <si>
    <t>1303510673977114624</t>
  </si>
  <si>
    <t>1303554009362501637</t>
  </si>
  <si>
    <t>1303552292486955008</t>
  </si>
  <si>
    <t>1303554022281011201</t>
  </si>
  <si>
    <t>1302756474716852225</t>
  </si>
  <si>
    <t>1303558510257598465</t>
  </si>
  <si>
    <t>1303563369488814081</t>
  </si>
  <si>
    <t>1303570935535022080</t>
  </si>
  <si>
    <t>1303571074463006721</t>
  </si>
  <si>
    <t>1303576109297086467</t>
  </si>
  <si>
    <t>1303625645033951232</t>
  </si>
  <si>
    <t>1303652827198353409</t>
  </si>
  <si>
    <t>1303653577097871360</t>
  </si>
  <si>
    <t>1303653859089408001</t>
  </si>
  <si>
    <t>1303655078168059908</t>
  </si>
  <si>
    <t>1303653124301680640</t>
  </si>
  <si>
    <t>1303666461626396673</t>
  </si>
  <si>
    <t>1303673513170161667</t>
  </si>
  <si>
    <t>1303675680236937216</t>
  </si>
  <si>
    <t>1303710539638599686</t>
  </si>
  <si>
    <t>1303716932332515330</t>
  </si>
  <si>
    <t>1303717607296692224</t>
  </si>
  <si>
    <t>1303717659918229504</t>
  </si>
  <si>
    <t>1303332075781513217</t>
  </si>
  <si>
    <t>1303572294128865280</t>
  </si>
  <si>
    <t>1303620784276017152</t>
  </si>
  <si>
    <t>1303718111372288000</t>
  </si>
  <si>
    <t>1303731397484519424</t>
  </si>
  <si>
    <t>1303420711118213120</t>
  </si>
  <si>
    <t>1303734741099839488</t>
  </si>
  <si>
    <t>1303771374658506752</t>
  </si>
  <si>
    <t>1303771793115709443</t>
  </si>
  <si>
    <t>1303414731269644290</t>
  </si>
  <si>
    <t>1303777109110919172</t>
  </si>
  <si>
    <t>1303792573241348101</t>
  </si>
  <si>
    <t>1303792822055731201</t>
  </si>
  <si>
    <t>1303796437482954754</t>
  </si>
  <si>
    <t>1303798193671614468</t>
  </si>
  <si>
    <t>1303804171477450752</t>
  </si>
  <si>
    <t>1303816236627787779</t>
  </si>
  <si>
    <t>1303824336059600898</t>
  </si>
  <si>
    <t>1303841816693944320</t>
  </si>
  <si>
    <t>1303863026408460294</t>
  </si>
  <si>
    <t>1303882197502291969</t>
  </si>
  <si>
    <t>1303941083013894144</t>
  </si>
  <si>
    <t>1303985867552423936</t>
  </si>
  <si>
    <t>1304022838542823424</t>
  </si>
  <si>
    <t>1304023856324247553</t>
  </si>
  <si>
    <t>1304086515862077441</t>
  </si>
  <si>
    <t>1304106897633693696</t>
  </si>
  <si>
    <t>1304125911013437441</t>
  </si>
  <si>
    <t>1304125919628529666</t>
  </si>
  <si>
    <t>1304126040520962050</t>
  </si>
  <si>
    <t>1304343988636319744</t>
  </si>
  <si>
    <t>1304023708437303296</t>
  </si>
  <si>
    <t>1304116845537099778</t>
  </si>
  <si>
    <t>1304127290243252225</t>
  </si>
  <si>
    <t>1304344700351057920</t>
  </si>
  <si>
    <t>1303623796713234432</t>
  </si>
  <si>
    <t>1303759766670409728</t>
  </si>
  <si>
    <t>1304454288467472387</t>
  </si>
  <si>
    <t>1304467008038285313</t>
  </si>
  <si>
    <t>1304468565526011904</t>
  </si>
  <si>
    <t>1304473554101186560</t>
  </si>
  <si>
    <t>1303828798941601793</t>
  </si>
  <si>
    <t>1304485884910358530</t>
  </si>
  <si>
    <t>1303896304569942016</t>
  </si>
  <si>
    <t>1304505029437554690</t>
  </si>
  <si>
    <t>1304505780109037572</t>
  </si>
  <si>
    <t>1303862537352511488</t>
  </si>
  <si>
    <t>1304526926309191680</t>
  </si>
  <si>
    <t>1304538010650898445</t>
  </si>
  <si>
    <t>1304566063582138372</t>
  </si>
  <si>
    <t>1304577941813243904</t>
  </si>
  <si>
    <t>1303519446166798339</t>
  </si>
  <si>
    <t>1304647665213493248</t>
  </si>
  <si>
    <t>1303576135440179201</t>
  </si>
  <si>
    <t>1303619167493459969</t>
  </si>
  <si>
    <t>1303863044674646021</t>
  </si>
  <si>
    <t>1304703310990127104</t>
  </si>
  <si>
    <t>1304703565584306177</t>
  </si>
  <si>
    <t>1304704146424107009</t>
  </si>
  <si>
    <t>1303308518238433280</t>
  </si>
  <si>
    <t>1304705926553833472</t>
  </si>
  <si>
    <t>1304706265218719744</t>
  </si>
  <si>
    <t>1303992394182832129</t>
  </si>
  <si>
    <t>1304706839326547970</t>
  </si>
  <si>
    <t>1304738291103805442</t>
  </si>
  <si>
    <t>1304738906093608960</t>
  </si>
  <si>
    <t>1304455579377647616</t>
  </si>
  <si>
    <t>1304455601754382336</t>
  </si>
  <si>
    <t>1303619178864275456</t>
  </si>
  <si>
    <t>1303758846939234305</t>
  </si>
  <si>
    <t>1304447137309167617</t>
  </si>
  <si>
    <t>1304682549885706241</t>
  </si>
  <si>
    <t>1304819657233358849</t>
  </si>
  <si>
    <t>1304820232863862785</t>
  </si>
  <si>
    <t>1304919262843281409</t>
  </si>
  <si>
    <t>1304956449890672641</t>
  </si>
  <si>
    <t>1304973983872319489</t>
  </si>
  <si>
    <t>1304974006471348229</t>
  </si>
  <si>
    <t>1304976951246028801</t>
  </si>
  <si>
    <t>1303243404445446149</t>
  </si>
  <si>
    <t>1303792717915451394</t>
  </si>
  <si>
    <t>1304997058055745542</t>
  </si>
  <si>
    <t>1304997091652108289</t>
  </si>
  <si>
    <t>1304999858995171332</t>
  </si>
  <si>
    <t>1305046075313737728</t>
  </si>
  <si>
    <t>1305102590728982528</t>
  </si>
  <si>
    <t>1305102391793065984</t>
  </si>
  <si>
    <t>1305103124076658688</t>
  </si>
  <si>
    <t>1305116787617472517</t>
  </si>
  <si>
    <t>1303309155642597377</t>
  </si>
  <si>
    <t>1303717728549769216</t>
  </si>
  <si>
    <t>1303717728604303360</t>
  </si>
  <si>
    <t>1304116261270556674</t>
  </si>
  <si>
    <t>1304125825789370369</t>
  </si>
  <si>
    <t>1304344714049708033</t>
  </si>
  <si>
    <t>1304703667984048135</t>
  </si>
  <si>
    <t>1304703667996635136</t>
  </si>
  <si>
    <t>1304996911779328006</t>
  </si>
  <si>
    <t>1305051244621434880</t>
  </si>
  <si>
    <t>1305116940067917825</t>
  </si>
  <si>
    <t>1304528922512678912</t>
  </si>
  <si>
    <t>1305117936579944454</t>
  </si>
  <si>
    <t>1305180836912754688</t>
  </si>
  <si>
    <t>1305180910090727425</t>
  </si>
  <si>
    <t>1305197837446250496</t>
  </si>
  <si>
    <t>1305304056961871873</t>
  </si>
  <si>
    <t>1305308678027907074</t>
  </si>
  <si>
    <t>1305350286647726085</t>
  </si>
  <si>
    <t>1305350286672908290</t>
  </si>
  <si>
    <t>1305407459461345281</t>
  </si>
  <si>
    <t>1305431320689078272</t>
  </si>
  <si>
    <t>1303099811588190215</t>
  </si>
  <si>
    <t>1305441911302479872</t>
  </si>
  <si>
    <t>1303243371545202689</t>
  </si>
  <si>
    <t>1303243485064110080</t>
  </si>
  <si>
    <t>1303099797734334465</t>
  </si>
  <si>
    <t>1303307287763841024</t>
  </si>
  <si>
    <t>1304126615623028738</t>
  </si>
  <si>
    <t>1304704049170837504</t>
  </si>
  <si>
    <t>1305443902871293957</t>
  </si>
  <si>
    <t>1305444545451241472</t>
  </si>
  <si>
    <t>1305471704249049088</t>
  </si>
  <si>
    <t>1303103387538354177</t>
  </si>
  <si>
    <t>1303498350679879680</t>
  </si>
  <si>
    <t>1303792104884203522</t>
  </si>
  <si>
    <t>1304533474632556545</t>
  </si>
  <si>
    <t>1304736849261334528</t>
  </si>
  <si>
    <t>1305277016397156352</t>
  </si>
  <si>
    <t>1305483863007797248</t>
  </si>
  <si>
    <t>1303305766057594882</t>
  </si>
  <si>
    <t>1304442248097005570</t>
  </si>
  <si>
    <t>1305526614529249282</t>
  </si>
  <si>
    <t>1305441803408216064</t>
  </si>
  <si>
    <t>1305532517957730305</t>
  </si>
  <si>
    <t>1303018588907991043</t>
  </si>
  <si>
    <t>1303059226315624448</t>
  </si>
  <si>
    <t>1303059269848268802</t>
  </si>
  <si>
    <t>1303082993141952514</t>
  </si>
  <si>
    <t>1303018290026106884</t>
  </si>
  <si>
    <t>1303172486956290054</t>
  </si>
  <si>
    <t>1303243459172601857</t>
  </si>
  <si>
    <t>1303019562942763008</t>
  </si>
  <si>
    <t>1303346747805138946</t>
  </si>
  <si>
    <t>1303234343591194629</t>
  </si>
  <si>
    <t>1303413291109224460</t>
  </si>
  <si>
    <t>1303314152669220864</t>
  </si>
  <si>
    <t>1303571098580246531</t>
  </si>
  <si>
    <t>1303777111442948096</t>
  </si>
  <si>
    <t>1302759402567589889</t>
  </si>
  <si>
    <t>1302984975793491970</t>
  </si>
  <si>
    <t>1303011925001932802</t>
  </si>
  <si>
    <t>1303146789353263104</t>
  </si>
  <si>
    <t>1303308937924673536</t>
  </si>
  <si>
    <t>1303331595173146624</t>
  </si>
  <si>
    <t>1303620809169215488</t>
  </si>
  <si>
    <t>1303652627243315201</t>
  </si>
  <si>
    <t>1303716957284376576</t>
  </si>
  <si>
    <t>1303792598214217728</t>
  </si>
  <si>
    <t>1304106921578946562</t>
  </si>
  <si>
    <t>1304116215099650050</t>
  </si>
  <si>
    <t>1304449003170529280</t>
  </si>
  <si>
    <t>1304974008367099905</t>
  </si>
  <si>
    <t>1305197862435905536</t>
  </si>
  <si>
    <t>1305556765673762821</t>
  </si>
  <si>
    <t>1303308946334154759</t>
  </si>
  <si>
    <t>1303332306271305731</t>
  </si>
  <si>
    <t>1303706413408104449</t>
  </si>
  <si>
    <t>1303717075098234880</t>
  </si>
  <si>
    <t>1303896663002615808</t>
  </si>
  <si>
    <t>1304117024684208129</t>
  </si>
  <si>
    <t>1304126175665676290</t>
  </si>
  <si>
    <t>1304703317155745794</t>
  </si>
  <si>
    <t>1304997105753350144</t>
  </si>
  <si>
    <t>1305057566872006656</t>
  </si>
  <si>
    <t>1305351356941770752</t>
  </si>
  <si>
    <t>1305556783260409858</t>
  </si>
  <si>
    <t>1298674207786782720</t>
  </si>
  <si>
    <t>1303758824591904770</t>
  </si>
  <si>
    <t>1304447115301728256</t>
  </si>
  <si>
    <t>1304819635167125513</t>
  </si>
  <si>
    <t>1304459538477662208</t>
  </si>
  <si>
    <t>1304447198655115268</t>
  </si>
  <si>
    <t>1305556920229658631</t>
  </si>
  <si>
    <t>1303306201929834496</t>
  </si>
  <si>
    <t>1303306410885750784</t>
  </si>
  <si>
    <t>1302823173633667073</t>
  </si>
  <si>
    <t>1302985125295132673</t>
  </si>
  <si>
    <t>1303011964910620672</t>
  </si>
  <si>
    <t>1303309129016987650</t>
  </si>
  <si>
    <t>1303331570418212868</t>
  </si>
  <si>
    <t>1303652641105260544</t>
  </si>
  <si>
    <t>1303706493955403776</t>
  </si>
  <si>
    <t>1303717063618306049</t>
  </si>
  <si>
    <t>1303896590684360707</t>
  </si>
  <si>
    <t>1304116994300456961</t>
  </si>
  <si>
    <t>1304126102118432768</t>
  </si>
  <si>
    <t>1304703313145864192</t>
  </si>
  <si>
    <t>1304974484185559040</t>
  </si>
  <si>
    <t>1305198073899937792</t>
  </si>
  <si>
    <t>1305556979742470145</t>
  </si>
  <si>
    <t>1304682020178722817</t>
  </si>
  <si>
    <t>1304682528046043137</t>
  </si>
  <si>
    <t>1304682549873184768</t>
  </si>
  <si>
    <t>1303653653916639232</t>
  </si>
  <si>
    <t>1303098249008549888</t>
  </si>
  <si>
    <t>1304125829031616512</t>
  </si>
  <si>
    <t>1305050825346224130</t>
  </si>
  <si>
    <t>1305857473212014597</t>
  </si>
  <si>
    <t>1303285912776867841</t>
  </si>
  <si>
    <t>1303507044671070208</t>
  </si>
  <si>
    <t>1303653355923951617</t>
  </si>
  <si>
    <t>1305857473350455296</t>
  </si>
  <si>
    <t>1303331363626647553</t>
  </si>
  <si>
    <t>1303706267282792450</t>
  </si>
  <si>
    <t>1305857473635643393</t>
  </si>
  <si>
    <t>1303285889959776256</t>
  </si>
  <si>
    <t>1303285912651157504</t>
  </si>
  <si>
    <t>1303653355907092481</t>
  </si>
  <si>
    <t>1305857473635659779</t>
  </si>
  <si>
    <t>1303331365425872896</t>
  </si>
  <si>
    <t>1303653356724916225</t>
  </si>
  <si>
    <t>1303706267601399809</t>
  </si>
  <si>
    <t>1304703323900059648</t>
  </si>
  <si>
    <t>1305050826109366277</t>
  </si>
  <si>
    <t>1305857474084442112</t>
  </si>
  <si>
    <t>1303585176941862912</t>
  </si>
  <si>
    <t>1303585648801005569</t>
  </si>
  <si>
    <t>1303653333551517697</t>
  </si>
  <si>
    <t>1303653470201737217</t>
  </si>
  <si>
    <t>1305046730908467201</t>
  </si>
  <si>
    <t>1305051137037410310</t>
  </si>
  <si>
    <t>1305350430294122497</t>
  </si>
  <si>
    <t>1305858116895100929</t>
  </si>
  <si>
    <t>1301576771566006273</t>
  </si>
  <si>
    <t>1303011946992513024</t>
  </si>
  <si>
    <t>1302823087138897920</t>
  </si>
  <si>
    <t>1303098270994972673</t>
  </si>
  <si>
    <t>1303308934523097090</t>
  </si>
  <si>
    <t>1303332235580305408</t>
  </si>
  <si>
    <t>1303580785115570176</t>
  </si>
  <si>
    <t>1303896326258778112</t>
  </si>
  <si>
    <t>1304078630407073801</t>
  </si>
  <si>
    <t>1304086537655775240</t>
  </si>
  <si>
    <t>1304267147502329857</t>
  </si>
  <si>
    <t>1304268834560409601</t>
  </si>
  <si>
    <t>1304974451881029634</t>
  </si>
  <si>
    <t>1305556805221625861</t>
  </si>
  <si>
    <t>1305858563777069061</t>
  </si>
  <si>
    <t>1305050803657351170</t>
  </si>
  <si>
    <t>1305050834405863424</t>
  </si>
  <si>
    <t>1305350264296296448</t>
  </si>
  <si>
    <t>1305351316693229568</t>
  </si>
  <si>
    <t>1305351328806375424</t>
  </si>
  <si>
    <t>1303308990382854145</t>
  </si>
  <si>
    <t>1303332357324316672</t>
  </si>
  <si>
    <t>1303652902758690816</t>
  </si>
  <si>
    <t>1303706378276667392</t>
  </si>
  <si>
    <t>1303717040193179650</t>
  </si>
  <si>
    <t>1303896646762278913</t>
  </si>
  <si>
    <t>1304078638493696002</t>
  </si>
  <si>
    <t>1304126158850715648</t>
  </si>
  <si>
    <t>1304703313888321536</t>
  </si>
  <si>
    <t>1304974510261702657</t>
  </si>
  <si>
    <t>1305556854219714561</t>
  </si>
  <si>
    <t>1305858586468327426</t>
  </si>
  <si>
    <t>1305875275536674819</t>
  </si>
  <si>
    <t>1303577419710951424</t>
  </si>
  <si>
    <t>1303577442305675265</t>
  </si>
  <si>
    <t>1304096105530044417</t>
  </si>
  <si>
    <t>1304107942342393857</t>
  </si>
  <si>
    <t>1304107964396007424</t>
  </si>
  <si>
    <t>1305046053347930112</t>
  </si>
  <si>
    <t>1305057552254693379</t>
  </si>
  <si>
    <t>1305116809356599296</t>
  </si>
  <si>
    <t>1303124412196155393</t>
  </si>
  <si>
    <t>1303308968253689857</t>
  </si>
  <si>
    <t>1303308968266268673</t>
  </si>
  <si>
    <t>1303308968291454977</t>
  </si>
  <si>
    <t>1303896326321721344</t>
  </si>
  <si>
    <t>1304078630339960834</t>
  </si>
  <si>
    <t>1304116783402557442</t>
  </si>
  <si>
    <t>1304738313039880193</t>
  </si>
  <si>
    <t>1305875298601201670</t>
  </si>
  <si>
    <t>1302236910560120833</t>
  </si>
  <si>
    <t>1304589188856242180</t>
  </si>
  <si>
    <t>1302823097461084163</t>
  </si>
  <si>
    <t>1303098227001044995</t>
  </si>
  <si>
    <t>1303105430210646016</t>
  </si>
  <si>
    <t>1303706244872503296</t>
  </si>
  <si>
    <t>1303706820347797506</t>
  </si>
  <si>
    <t>1303706389110566912</t>
  </si>
  <si>
    <t>1304703301011693574</t>
  </si>
  <si>
    <t>1304703369731215363</t>
  </si>
  <si>
    <t>1304706007004741632</t>
  </si>
  <si>
    <t>1303332213585371137</t>
  </si>
  <si>
    <t>1304125807032324096</t>
  </si>
  <si>
    <t>1257012505546829825</t>
  </si>
  <si>
    <t>1305556738242904065</t>
  </si>
  <si>
    <t>1304974494692528130</t>
  </si>
  <si>
    <t>1305556865833750528</t>
  </si>
  <si>
    <t>1305857450466258947</t>
  </si>
  <si>
    <t>1305858516058607620</t>
  </si>
  <si>
    <t>1305858531711750144</t>
  </si>
  <si>
    <t>1303331603926724608</t>
  </si>
  <si>
    <t>1303716968244154370</t>
  </si>
  <si>
    <t>1303896322358075393</t>
  </si>
  <si>
    <t>1304117007391100929</t>
  </si>
  <si>
    <t>1305875307988221952</t>
  </si>
  <si>
    <t>1299340903195107329</t>
  </si>
  <si>
    <t>1304269069156315142</t>
  </si>
  <si>
    <t>1304269069215039488</t>
  </si>
  <si>
    <t>1305875339890118662</t>
  </si>
  <si>
    <t>1305875339890118663</t>
  </si>
  <si>
    <t>1305875339940433925</t>
  </si>
  <si>
    <t>1302829058858852353</t>
  </si>
  <si>
    <t>1301124883393454081</t>
  </si>
  <si>
    <t>1302530664613523457</t>
  </si>
  <si>
    <t>1294258403624312833</t>
  </si>
  <si>
    <t>1303331340524322817</t>
  </si>
  <si>
    <t>1303652603084058625</t>
  </si>
  <si>
    <t>1302985056693092354</t>
  </si>
  <si>
    <t>1303619156508459009</t>
  </si>
  <si>
    <t>1303619217137098752</t>
  </si>
  <si>
    <t>1302988787337789441</t>
  </si>
  <si>
    <t>1303000126735241216</t>
  </si>
  <si>
    <t>1303381379036721153</t>
  </si>
  <si>
    <t>1303709774807216135</t>
  </si>
  <si>
    <t>1304075936489451526</t>
  </si>
  <si>
    <t>1304445873192140802</t>
  </si>
  <si>
    <t>1304800707422367746</t>
  </si>
  <si>
    <t>1305163098500849667</t>
  </si>
  <si>
    <t>1305551913073733639</t>
  </si>
  <si>
    <t>1305650056142389249</t>
  </si>
  <si>
    <t>1305767074778755072</t>
  </si>
  <si>
    <t>1305884097424875521</t>
  </si>
  <si>
    <t>1303709834143870976</t>
  </si>
  <si>
    <t>1305552016303747073</t>
  </si>
  <si>
    <t>1305884165749923840</t>
  </si>
  <si>
    <t>1302734020808040448</t>
  </si>
  <si>
    <t>1305899845324922882</t>
  </si>
  <si>
    <t>1305900431483326464</t>
  </si>
  <si>
    <t>1292748263297359873</t>
  </si>
  <si>
    <t>1305461838411227138</t>
  </si>
  <si>
    <t/>
  </si>
  <si>
    <t>312996970</t>
  </si>
  <si>
    <t>1283339258</t>
  </si>
  <si>
    <t>en</t>
  </si>
  <si>
    <t>und</t>
  </si>
  <si>
    <t>tr</t>
  </si>
  <si>
    <t>es</t>
  </si>
  <si>
    <t>pt</t>
  </si>
  <si>
    <t>ro</t>
  </si>
  <si>
    <t>ja</t>
  </si>
  <si>
    <t>1294087895364636672</t>
  </si>
  <si>
    <t>Twitter for Android</t>
  </si>
  <si>
    <t>Twitter Web App</t>
  </si>
  <si>
    <t>Cyber Security Feed</t>
  </si>
  <si>
    <t>Twitter for iPhone</t>
  </si>
  <si>
    <t>TechnoJeder</t>
  </si>
  <si>
    <t>Information Critical</t>
  </si>
  <si>
    <t>python_retweet</t>
  </si>
  <si>
    <t xml:space="preserve">Meu primeiro bot </t>
  </si>
  <si>
    <t>Distance Learning Bot</t>
  </si>
  <si>
    <t>ContentStudio.io</t>
  </si>
  <si>
    <t>SecureBot1000</t>
  </si>
  <si>
    <t>YI XUAN</t>
  </si>
  <si>
    <t>planetadiego</t>
  </si>
  <si>
    <t>Robot Consumer</t>
  </si>
  <si>
    <t>Hacker Noon</t>
  </si>
  <si>
    <t>Sailing Bell</t>
  </si>
  <si>
    <t>TweetDeck</t>
  </si>
  <si>
    <t>HiveForensics</t>
  </si>
  <si>
    <t>forRetweeting</t>
  </si>
  <si>
    <t xml:space="preserve">auto is the only way it can be </t>
  </si>
  <si>
    <t>Buffer</t>
  </si>
  <si>
    <t>JSAlways</t>
  </si>
  <si>
    <t>Tiiso_Bot</t>
  </si>
  <si>
    <t>TwinyBots</t>
  </si>
  <si>
    <t>IFTTT</t>
  </si>
  <si>
    <t>AdvanceML</t>
  </si>
  <si>
    <t>DataScienceRush</t>
  </si>
  <si>
    <t>Twitter for iPad</t>
  </si>
  <si>
    <t>Cooljohnson_</t>
  </si>
  <si>
    <t>Kiilla3sUp</t>
  </si>
  <si>
    <t>RUBY-test-code</t>
  </si>
  <si>
    <t>AI News BOT</t>
  </si>
  <si>
    <t>TheBigDataBot</t>
  </si>
  <si>
    <t>RTML</t>
  </si>
  <si>
    <t>meyoumusicboy rt fav</t>
  </si>
  <si>
    <t>dd-bot</t>
  </si>
  <si>
    <t>TAYMOBTOPDOG</t>
  </si>
  <si>
    <t>Serverless Tweet/Retweet Bot</t>
  </si>
  <si>
    <t>CloudCoop</t>
  </si>
  <si>
    <t>SA-V2-Sandbox</t>
  </si>
  <si>
    <t>ttools it knowingness</t>
  </si>
  <si>
    <t>Pachamama_X</t>
  </si>
  <si>
    <t>React Dev autobot</t>
  </si>
  <si>
    <t>Javascript bot test</t>
  </si>
  <si>
    <t>App roaring brain</t>
  </si>
  <si>
    <t>SocialyAnxious</t>
  </si>
  <si>
    <t>ML_BD_bot</t>
  </si>
  <si>
    <t>Microsoft Power Platform</t>
  </si>
  <si>
    <t>AI Data Governance Framework</t>
  </si>
  <si>
    <t>ProudRoboTweeter</t>
  </si>
  <si>
    <t>@100DaysOfCode_</t>
  </si>
  <si>
    <t>IndieGameNetworkBot</t>
  </si>
  <si>
    <t>aaroncuddeback.com</t>
  </si>
  <si>
    <t>nlognrobot</t>
  </si>
  <si>
    <t>Autism_twitter</t>
  </si>
  <si>
    <t>LinuxBot2.0</t>
  </si>
  <si>
    <t>TheDeveloperBot</t>
  </si>
  <si>
    <t>friendly fem tech bot</t>
  </si>
  <si>
    <t>JSNewsBot</t>
  </si>
  <si>
    <t>Women Coders Bot</t>
  </si>
  <si>
    <t>30days30sites</t>
  </si>
  <si>
    <t>Twitter for addempsea</t>
  </si>
  <si>
    <t>xael bot</t>
  </si>
  <si>
    <t>GnutsBot</t>
  </si>
  <si>
    <t>Js_100_Day_Code</t>
  </si>
  <si>
    <t>Lewis Gavin</t>
  </si>
  <si>
    <t>akasatanahama_bot</t>
  </si>
  <si>
    <t>Dynamic Signal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</si>
  <si>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</si>
  <si>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</si>
  <si>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</si>
  <si>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</si>
  <si>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</si>
  <si>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</si>
  <si>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</si>
  <si>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</si>
  <si>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</si>
  <si>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</si>
  <si>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</si>
  <si>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</si>
  <si>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</si>
  <si>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</si>
  <si>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</si>
  <si>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</si>
  <si>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</si>
  <si>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</si>
  <si>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</si>
  <si>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</si>
  <si>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</si>
  <si>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</si>
  <si>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Give My Certificate</t>
  </si>
  <si>
    <t>Monash Health Library</t>
  </si>
  <si>
    <t>Marcus Borba</t>
  </si>
  <si>
    <t>WA State &amp; Local</t>
  </si>
  <si>
    <t>Dominic Watts #RejoinEUFB #RemainResistRejoin#FBPE</t>
  </si>
  <si>
    <t>ushills</t>
  </si>
  <si>
    <t>Maignanamoorthy</t>
  </si>
  <si>
    <t>Dr. Ganapathi Pulipaka</t>
  </si>
  <si>
    <t>TechnoJeder A.I.</t>
  </si>
  <si>
    <t>Dr. ir Johannes Drooghaag (JD)</t>
  </si>
  <si>
    <t>Maria Russ #FutureOfWork is Now _xD83D__xDC65__xD83C__xDF0F_✨</t>
  </si>
  <si>
    <t>Dr. Marcell Vollmer #StayHome #StaySafe</t>
  </si>
  <si>
    <t>Kathleen Kruse (KK)</t>
  </si>
  <si>
    <t>Jola Burnett ✨</t>
  </si>
  <si>
    <t>Debra Ruh</t>
  </si>
  <si>
    <t>Hana</t>
  </si>
  <si>
    <t>People Matters</t>
  </si>
  <si>
    <t>Fabrizio Bustamante</t>
  </si>
  <si>
    <t>Bharat Mehrotra</t>
  </si>
  <si>
    <t>Philippe Vynckier - CISSP</t>
  </si>
  <si>
    <t>Hamephorash Schem</t>
  </si>
  <si>
    <t>Prof. Manish Thakur</t>
  </si>
  <si>
    <t>Dr. de l'immatériel</t>
  </si>
  <si>
    <t>Dan</t>
  </si>
  <si>
    <t>Amit Kohli</t>
  </si>
  <si>
    <t>_xD83C__xDDFA__xD83C__xDDF8_thesilentseawolf</t>
  </si>
  <si>
    <t>Don Robinson</t>
  </si>
  <si>
    <t>Dr. Akrati Saxena</t>
  </si>
  <si>
    <t>Ben Emmerich</t>
  </si>
  <si>
    <t>WebKarobar Inc.</t>
  </si>
  <si>
    <t>Ivan Sanchez _xD83C__xDDF5__xD83C__xDDF7__xD83D__xDD0B__xD83D__xDD0C__xD83C__xDFCE_</t>
  </si>
  <si>
    <t>uh-oh</t>
  </si>
  <si>
    <t>Bor</t>
  </si>
  <si>
    <t>Subhankar</t>
  </si>
  <si>
    <t>Paulo Lopez</t>
  </si>
  <si>
    <t>Enricofrasca3@gmail.</t>
  </si>
  <si>
    <t>べてぃ</t>
  </si>
  <si>
    <t>Mango Solutions</t>
  </si>
  <si>
    <t>#DistanceLearning Bot</t>
  </si>
  <si>
    <t>Entirelyedu</t>
  </si>
  <si>
    <t>Ricardo Vázquez</t>
  </si>
  <si>
    <t>Aakash N S</t>
  </si>
  <si>
    <t>BIconnections</t>
  </si>
  <si>
    <t>NoBrowser</t>
  </si>
  <si>
    <t>#BugBountyNews</t>
  </si>
  <si>
    <t>CNBC</t>
  </si>
  <si>
    <t>☁️ ITUNeed _xD83D__xDEE1_</t>
  </si>
  <si>
    <t>YI XUAN TU</t>
  </si>
  <si>
    <t>allan d passarelli</t>
  </si>
  <si>
    <t>Martin Spencer: _xD83D__xDC68_‍_xD83D__xDD2C_((_xD83D__xDCBB_, _xD83E__xDD16_, _xD83D__xDCBC_), _xD83C__xDF0A_)=_xD83E__xDD89_</t>
  </si>
  <si>
    <t>DiegoGermánGonzález</t>
  </si>
  <si>
    <t>Ricky S Macharm</t>
  </si>
  <si>
    <t>sumtic</t>
  </si>
  <si>
    <t>INÈDIT MAGAZINE</t>
  </si>
  <si>
    <t>RobotConsumer</t>
  </si>
  <si>
    <t>Ma Bell Isn't Home</t>
  </si>
  <si>
    <t>Beak Peak Logic Bot</t>
  </si>
  <si>
    <t>Big Data Conference</t>
  </si>
  <si>
    <t>NEXComposite Index 100+</t>
  </si>
  <si>
    <t>Janusz Grobicki</t>
  </si>
  <si>
    <t>Data Science Council of America</t>
  </si>
  <si>
    <t>Aïda Alderson _xD83E__xDD16_</t>
  </si>
  <si>
    <t>Education World</t>
  </si>
  <si>
    <t>Code Bug #88</t>
  </si>
  <si>
    <t>b2bt</t>
  </si>
  <si>
    <t>Hive Forensics AI</t>
  </si>
  <si>
    <t>Gabriel, o Solene</t>
  </si>
  <si>
    <t>Cyber Security News</t>
  </si>
  <si>
    <t>BITINFOCODE</t>
  </si>
  <si>
    <t>Security Testing</t>
  </si>
  <si>
    <t>_xD83D__xDCB5_ iPhoneGalaxyMD</t>
  </si>
  <si>
    <t>JS Fairy_xD83D__xDC7C_</t>
  </si>
  <si>
    <t>Jovian.ml</t>
  </si>
  <si>
    <t>Data Science Network</t>
  </si>
  <si>
    <t>GabrielAnthony P.</t>
  </si>
  <si>
    <t>Nikolas</t>
  </si>
  <si>
    <t>Moshfegh Hamedani</t>
  </si>
  <si>
    <t>What's in a name?</t>
  </si>
  <si>
    <t>♠ Tiišo ®</t>
  </si>
  <si>
    <t>AppVerticals</t>
  </si>
  <si>
    <t>Dscfutabot</t>
  </si>
  <si>
    <t>PyBron</t>
  </si>
  <si>
    <t>Akhilesh Ranjan Singh</t>
  </si>
  <si>
    <t>Sooritrade20</t>
  </si>
  <si>
    <t>Garry Jenkin</t>
  </si>
  <si>
    <t>Sharmistha Chatterje</t>
  </si>
  <si>
    <t>codequs</t>
  </si>
  <si>
    <t>Hustle2015</t>
  </si>
  <si>
    <t>Mauy Thai Dodge</t>
  </si>
  <si>
    <t>Retweetburner</t>
  </si>
  <si>
    <t>Algorithms | Coding | Tech Bot</t>
  </si>
  <si>
    <t>Innovate On Demand</t>
  </si>
  <si>
    <t>AMachineLearning</t>
  </si>
  <si>
    <t>Jason Bowling</t>
  </si>
  <si>
    <t>Walter Randazzo</t>
  </si>
  <si>
    <t>Rodrigo Nasif Salum</t>
  </si>
  <si>
    <t>Arnaud Velten</t>
  </si>
  <si>
    <t>Hackingdom</t>
  </si>
  <si>
    <t>Patrick Osinski</t>
  </si>
  <si>
    <t>AiSear.ch : AI+Directory</t>
  </si>
  <si>
    <t>Suresh Rukmangathan</t>
  </si>
  <si>
    <t>Medical iPhone Apps</t>
  </si>
  <si>
    <t>CORIZANCE</t>
  </si>
  <si>
    <t>Jason Schultz</t>
  </si>
  <si>
    <t>Well, that’s interesting tech</t>
  </si>
  <si>
    <t>Dybala</t>
  </si>
  <si>
    <t>Akash Mishra _xD83D__xDC68__xD83C__xDFFB_‍_xD83D__xDCBB_</t>
  </si>
  <si>
    <t>Rahula Raj</t>
  </si>
  <si>
    <t>Andrea Sergiacomi</t>
  </si>
  <si>
    <t>Mma Stense _xD83D__xDC06_</t>
  </si>
  <si>
    <t>ChillMonger</t>
  </si>
  <si>
    <t>Big Data Analytics Data Science AI</t>
  </si>
  <si>
    <t>WAWAN1983</t>
  </si>
  <si>
    <t>nobooody</t>
  </si>
  <si>
    <t>Chidambara .ML.</t>
  </si>
  <si>
    <t>Young Choppa Gunna</t>
  </si>
  <si>
    <t>Rosta'Foreign Kiilla</t>
  </si>
  <si>
    <t>Zokio</t>
  </si>
  <si>
    <t>JAVASCRIPT - BOT</t>
  </si>
  <si>
    <t>Shy BOT</t>
  </si>
  <si>
    <t>Cyril Chiffot</t>
  </si>
  <si>
    <t>Zenastra TechSol</t>
  </si>
  <si>
    <t>Melissa B.</t>
  </si>
  <si>
    <t>Neural Network News</t>
  </si>
  <si>
    <t>Thomas Hilbig 2.0</t>
  </si>
  <si>
    <t>#ghost</t>
  </si>
  <si>
    <t>Ga7acticIAm _xD83D__xDC68__xD83C__xDFFE_‍_xD83D__xDE80__xD83D__xDC41_️_xD83D__xDEF8_❸❸_xD83D__xDD3A__xD83D__xDD77_️</t>
  </si>
  <si>
    <t>Pawan</t>
  </si>
  <si>
    <t>Technology News</t>
  </si>
  <si>
    <t>metin tokerer</t>
  </si>
  <si>
    <t>Paige Dickinson</t>
  </si>
  <si>
    <t>Curious Luke</t>
  </si>
  <si>
    <t>World Economic Forum</t>
  </si>
  <si>
    <t>Sheila Givens</t>
  </si>
  <si>
    <t>MeYouMusic</t>
  </si>
  <si>
    <t>LinuxDreams</t>
  </si>
  <si>
    <t>Ugly Stepchild</t>
  </si>
  <si>
    <t>IoT (Internet of Things)</t>
  </si>
  <si>
    <t>Digital Together</t>
  </si>
  <si>
    <t>TAY MOB</t>
  </si>
  <si>
    <t>Chandu</t>
  </si>
  <si>
    <t>Serverless Fan</t>
  </si>
  <si>
    <t>Corona Dragon</t>
  </si>
  <si>
    <t>Machine Learning</t>
  </si>
  <si>
    <t>CloudCoop ☁️</t>
  </si>
  <si>
    <t>I'm a Web Designer</t>
  </si>
  <si>
    <t>Chuck Russell</t>
  </si>
  <si>
    <t>e-SECURITY DRONE</t>
  </si>
  <si>
    <t>Insane</t>
  </si>
  <si>
    <t>#Science #Tech &amp; #Space</t>
  </si>
  <si>
    <t>IT Knowingness</t>
  </si>
  <si>
    <t>Coding for a better world. ¿Need help?</t>
  </si>
  <si>
    <t>React Developer</t>
  </si>
  <si>
    <t>Raymond Morrow</t>
  </si>
  <si>
    <t>BFTawfik Bot 2</t>
  </si>
  <si>
    <t>Sanjo Jose</t>
  </si>
  <si>
    <t>Roaring Brain</t>
  </si>
  <si>
    <t>Srini R</t>
  </si>
  <si>
    <t>CødeBlooded Bot_xD83E__xDD16__xD83E__xDD16_</t>
  </si>
  <si>
    <t>Yash</t>
  </si>
  <si>
    <t>PowerBiPros</t>
  </si>
  <si>
    <t>Techbies (Tech Blog)</t>
  </si>
  <si>
    <t>rollins</t>
  </si>
  <si>
    <t>Angels Trading</t>
  </si>
  <si>
    <t>giray hakan</t>
  </si>
  <si>
    <t>Data Governance Framework</t>
  </si>
  <si>
    <t>Very Proud Robot</t>
  </si>
  <si>
    <t>Ivan Vzz</t>
  </si>
  <si>
    <t>davidtc</t>
  </si>
  <si>
    <t>_xD83E__xDD16_ #100DaysOfCode</t>
  </si>
  <si>
    <t>Sufle</t>
  </si>
  <si>
    <t>Durul Doktoroglu</t>
  </si>
  <si>
    <t>Indie Game Network</t>
  </si>
  <si>
    <t>Amayo II</t>
  </si>
  <si>
    <t>Aaron ''Midlife Coder'' Cuddeback</t>
  </si>
  <si>
    <t>Kenny</t>
  </si>
  <si>
    <t>Gerry Singa</t>
  </si>
  <si>
    <t>みかんせいじん2016</t>
  </si>
  <si>
    <t>Lisphilar</t>
  </si>
  <si>
    <t>A thousand eyes, and one</t>
  </si>
  <si>
    <t>HubofMachineLearning</t>
  </si>
  <si>
    <t>#100DaysOfCode</t>
  </si>
  <si>
    <t>Daily Mail Online</t>
  </si>
  <si>
    <t>Andrew Morris</t>
  </si>
  <si>
    <t>LinuxBot</t>
  </si>
  <si>
    <t>The Developer Bot</t>
  </si>
  <si>
    <t>BlackHackCode</t>
  </si>
  <si>
    <t>ℂ_xD835__xDD60__xD835__xDD60__xD835__xDD55__xD835__xDD5A__xD835__xDD5F__xD835__xDD58_ _xD835__xDD3B__xD835__xDD56__xD835__xDD64__xD835__xDD64__xD835__xDD5A__xD835__xDD58__xD835__xDD5F_</t>
  </si>
  <si>
    <t>Shantun Parmar</t>
  </si>
  <si>
    <t>FemTech__xD83D__xDDA5__xD83D__xDC69__xD83C__xDFFD_‍_xD83D__xDCBB_</t>
  </si>
  <si>
    <t>JS News</t>
  </si>
  <si>
    <t>Let's learn together _xD83E__xDD16_</t>
  </si>
  <si>
    <t>AMIT K ROUT</t>
  </si>
  <si>
    <t>CodersNotes</t>
  </si>
  <si>
    <t>quotesBot</t>
  </si>
  <si>
    <t>aksonai</t>
  </si>
  <si>
    <t>kohli</t>
  </si>
  <si>
    <t>Gnuts about Code</t>
  </si>
  <si>
    <t>Vincenzo Mangiagli</t>
  </si>
  <si>
    <t>JSBot</t>
  </si>
  <si>
    <t>#100daysOfCode</t>
  </si>
  <si>
    <t>akasatanahama.com</t>
  </si>
  <si>
    <t>Nikhil Maheswari</t>
  </si>
  <si>
    <t>Gbubemi</t>
  </si>
  <si>
    <t>1253242375859732481</t>
  </si>
  <si>
    <t>1244437301800787969</t>
  </si>
  <si>
    <t>18068926</t>
  </si>
  <si>
    <t>1131854274223366144</t>
  </si>
  <si>
    <t>828774937640841216</t>
  </si>
  <si>
    <t>865423453</t>
  </si>
  <si>
    <t>218805329</t>
  </si>
  <si>
    <t>766796667957891076</t>
  </si>
  <si>
    <t>4263007693</t>
  </si>
  <si>
    <t>950455321046208512</t>
  </si>
  <si>
    <t>3429955204</t>
  </si>
  <si>
    <t>935612564523900928</t>
  </si>
  <si>
    <t>99674560</t>
  </si>
  <si>
    <t>21110060</t>
  </si>
  <si>
    <t>4174252223</t>
  </si>
  <si>
    <t>17905508</t>
  </si>
  <si>
    <t>432365580</t>
  </si>
  <si>
    <t>292385312</t>
  </si>
  <si>
    <t>326229600</t>
  </si>
  <si>
    <t>1226332774614720512</t>
  </si>
  <si>
    <t>3334677605</t>
  </si>
  <si>
    <t>1198533017360371713</t>
  </si>
  <si>
    <t>605434880</t>
  </si>
  <si>
    <t>297316043</t>
  </si>
  <si>
    <t>19307466</t>
  </si>
  <si>
    <t>500246879</t>
  </si>
  <si>
    <t>143562564</t>
  </si>
  <si>
    <t>16967457</t>
  </si>
  <si>
    <t>80817617</t>
  </si>
  <si>
    <t>1261499606162198528</t>
  </si>
  <si>
    <t>369315889</t>
  </si>
  <si>
    <t>1072885009818763264</t>
  </si>
  <si>
    <t>1104261788328177665</t>
  </si>
  <si>
    <t>887076413001662465</t>
  </si>
  <si>
    <t>4863506745</t>
  </si>
  <si>
    <t>1173360153447534594</t>
  </si>
  <si>
    <t>56440601</t>
  </si>
  <si>
    <t>822280007502295041</t>
  </si>
  <si>
    <t>932157833969307648</t>
  </si>
  <si>
    <t>845185042766712832</t>
  </si>
  <si>
    <t>20520190</t>
  </si>
  <si>
    <t>1245966809599107073</t>
  </si>
  <si>
    <t>1177563680357015552</t>
  </si>
  <si>
    <t>992943418052460544</t>
  </si>
  <si>
    <t>1050416787420983296</t>
  </si>
  <si>
    <t>511740616</t>
  </si>
  <si>
    <t>767932261651976192</t>
  </si>
  <si>
    <t>1014189106828660738</t>
  </si>
  <si>
    <t>20402945</t>
  </si>
  <si>
    <t>922106150430085120</t>
  </si>
  <si>
    <t>1018702208001404929</t>
  </si>
  <si>
    <t>1052598585240498177</t>
  </si>
  <si>
    <t>533347011</t>
  </si>
  <si>
    <t>1685825136</t>
  </si>
  <si>
    <t>92026573</t>
  </si>
  <si>
    <t>198844610</t>
  </si>
  <si>
    <t>1245997937278189571</t>
  </si>
  <si>
    <t>2915855302</t>
  </si>
  <si>
    <t>729869871484260353</t>
  </si>
  <si>
    <t>716348353915686912</t>
  </si>
  <si>
    <t>1125159106262618112</t>
  </si>
  <si>
    <t>1282244088620650496</t>
  </si>
  <si>
    <t>969542076</t>
  </si>
  <si>
    <t>1140834680</t>
  </si>
  <si>
    <t>2269520654</t>
  </si>
  <si>
    <t>824909099007488000</t>
  </si>
  <si>
    <t>237840578</t>
  </si>
  <si>
    <t>1295715136141963267</t>
  </si>
  <si>
    <t>171377151</t>
  </si>
  <si>
    <t>58159850</t>
  </si>
  <si>
    <t>1221347478383054848</t>
  </si>
  <si>
    <t>1056558890203185152</t>
  </si>
  <si>
    <t>1142424032794406912</t>
  </si>
  <si>
    <t>1281846636260409345</t>
  </si>
  <si>
    <t>710123736175783938</t>
  </si>
  <si>
    <t>69872718</t>
  </si>
  <si>
    <t>983535377674891266</t>
  </si>
  <si>
    <t>1078318314768674821</t>
  </si>
  <si>
    <t>1122555098566025216</t>
  </si>
  <si>
    <t>548503531</t>
  </si>
  <si>
    <t>1209196479774183425</t>
  </si>
  <si>
    <t>1022237629268414466</t>
  </si>
  <si>
    <t>1101567602</t>
  </si>
  <si>
    <t>763352504331632640</t>
  </si>
  <si>
    <t>1296409256229470209</t>
  </si>
  <si>
    <t>1284775867244179459</t>
  </si>
  <si>
    <t>2419216435</t>
  </si>
  <si>
    <t>1281705171513479168</t>
  </si>
  <si>
    <t>8062702</t>
  </si>
  <si>
    <t>3310798650</t>
  </si>
  <si>
    <t>3307345782</t>
  </si>
  <si>
    <t>47476168</t>
  </si>
  <si>
    <t>1248571917096943616</t>
  </si>
  <si>
    <t>1299154763334918144</t>
  </si>
  <si>
    <t>1287936894441930752</t>
  </si>
  <si>
    <t>3312785371</t>
  </si>
  <si>
    <t>1280935835789975553</t>
  </si>
  <si>
    <t>23156488</t>
  </si>
  <si>
    <t>1651276428</t>
  </si>
  <si>
    <t>16300005</t>
  </si>
  <si>
    <t>1290234301490106368</t>
  </si>
  <si>
    <t>14639551</t>
  </si>
  <si>
    <t>1168192787990425600</t>
  </si>
  <si>
    <t>136039679</t>
  </si>
  <si>
    <t>1270615348115582976</t>
  </si>
  <si>
    <t>1303713480</t>
  </si>
  <si>
    <t>46988713</t>
  </si>
  <si>
    <t>1197104147696439298</t>
  </si>
  <si>
    <t>1286343396102152192</t>
  </si>
  <si>
    <t>1154381411614416906</t>
  </si>
  <si>
    <t>1243743922066722816</t>
  </si>
  <si>
    <t>1070045767</t>
  </si>
  <si>
    <t>153445819</t>
  </si>
  <si>
    <t>3323137787</t>
  </si>
  <si>
    <t>891555237848375297</t>
  </si>
  <si>
    <t>177556998</t>
  </si>
  <si>
    <t>1711571520</t>
  </si>
  <si>
    <t>1238169157524508673</t>
  </si>
  <si>
    <t>2984831896</t>
  </si>
  <si>
    <t>737142202481016832</t>
  </si>
  <si>
    <t>4507606697</t>
  </si>
  <si>
    <t>3804685035</t>
  </si>
  <si>
    <t>1296406924628353024</t>
  </si>
  <si>
    <t>1134857802105655296</t>
  </si>
  <si>
    <t>1134668128489656320</t>
  </si>
  <si>
    <t>1171725274909675521</t>
  </si>
  <si>
    <t>1071478698556018688</t>
  </si>
  <si>
    <t>17602262</t>
  </si>
  <si>
    <t>1200705083157168128</t>
  </si>
  <si>
    <t>930871517860319232</t>
  </si>
  <si>
    <t>71902263</t>
  </si>
  <si>
    <t>966889263655673858</t>
  </si>
  <si>
    <t>776724971502444544</t>
  </si>
  <si>
    <t>940186685492596738</t>
  </si>
  <si>
    <t>2419611113</t>
  </si>
  <si>
    <t>1276444303854895104</t>
  </si>
  <si>
    <t>1064108650271309826</t>
  </si>
  <si>
    <t>5120691</t>
  </si>
  <si>
    <t>797475985927053312</t>
  </si>
  <si>
    <t>2365838995</t>
  </si>
  <si>
    <t>1152052858721918977</t>
  </si>
  <si>
    <t>794247187546963968</t>
  </si>
  <si>
    <t>1267810977715642369</t>
  </si>
  <si>
    <t>996318990715838465</t>
  </si>
  <si>
    <t>394087277</t>
  </si>
  <si>
    <t>2420155968</t>
  </si>
  <si>
    <t>971620109197312000</t>
  </si>
  <si>
    <t>1243125558864535553</t>
  </si>
  <si>
    <t>1004225337163747328</t>
  </si>
  <si>
    <t>955039188264603648</t>
  </si>
  <si>
    <t>4553786653</t>
  </si>
  <si>
    <t>201980592</t>
  </si>
  <si>
    <t>1175068565986299905</t>
  </si>
  <si>
    <t>1064407014472744960</t>
  </si>
  <si>
    <t>215478538</t>
  </si>
  <si>
    <t>213339721</t>
  </si>
  <si>
    <t>1247884994128670724</t>
  </si>
  <si>
    <t>940832638490894336</t>
  </si>
  <si>
    <t>812555214024740865</t>
  </si>
  <si>
    <t>36639524</t>
  </si>
  <si>
    <t>1092753985679835136</t>
  </si>
  <si>
    <t>168113422</t>
  </si>
  <si>
    <t>987780156843585536</t>
  </si>
  <si>
    <t>22631958</t>
  </si>
  <si>
    <t>1216975709429649408</t>
  </si>
  <si>
    <t>1287306574998904832</t>
  </si>
  <si>
    <t>1023130434593546240</t>
  </si>
  <si>
    <t>1226929198931025921</t>
  </si>
  <si>
    <t>1085788881759260673</t>
  </si>
  <si>
    <t>597895013</t>
  </si>
  <si>
    <t>1305130086186782721</t>
  </si>
  <si>
    <t>1876450758</t>
  </si>
  <si>
    <t>1150696280110313472</t>
  </si>
  <si>
    <t>1251909062222020609</t>
  </si>
  <si>
    <t>1253496760154173442</t>
  </si>
  <si>
    <t>1299780634928386048</t>
  </si>
  <si>
    <t>1000814755664150528</t>
  </si>
  <si>
    <t>966375899439431680</t>
  </si>
  <si>
    <t>124793917</t>
  </si>
  <si>
    <t>1174224194785202176</t>
  </si>
  <si>
    <t>3230304612</t>
  </si>
  <si>
    <t>310897418</t>
  </si>
  <si>
    <t>251030517</t>
  </si>
  <si>
    <t>1195078399158554624</t>
  </si>
  <si>
    <t>229728352</t>
  </si>
  <si>
    <t>351715053</t>
  </si>
  <si>
    <t>3040871649</t>
  </si>
  <si>
    <t>1260062769543434240</t>
  </si>
  <si>
    <t>15438913</t>
  </si>
  <si>
    <t>2358562603</t>
  </si>
  <si>
    <t>1190726565073522694</t>
  </si>
  <si>
    <t>1250164632968298497</t>
  </si>
  <si>
    <t>1231205656927096837</t>
  </si>
  <si>
    <t>1216297035453714432</t>
  </si>
  <si>
    <t>1231202225806028800</t>
  </si>
  <si>
    <t>1143528514550927361</t>
  </si>
  <si>
    <t>1018459979047624710</t>
  </si>
  <si>
    <t>1084175030953611264</t>
  </si>
  <si>
    <t>1224163949957939201</t>
  </si>
  <si>
    <t>1075766639247966209</t>
  </si>
  <si>
    <t>842956176958476289</t>
  </si>
  <si>
    <t>1196874000837816320</t>
  </si>
  <si>
    <t>176470004</t>
  </si>
  <si>
    <t>1127829883013361665</t>
  </si>
  <si>
    <t>1089594740557832192</t>
  </si>
  <si>
    <t>1266133633389060097</t>
  </si>
  <si>
    <t>2850385271</t>
  </si>
  <si>
    <t>885513434569355265</t>
  </si>
  <si>
    <t>1204128767251230720</t>
  </si>
  <si>
    <t>985425300292022273</t>
  </si>
  <si>
    <t>1271856167975899136</t>
  </si>
  <si>
    <t>1093473240041820160</t>
  </si>
  <si>
    <t>Advanced platform for digital certificate.</t>
  </si>
  <si>
    <t>The Monash Health Library provides access to authoritative information resources and expert advice on systematic searching and EBP for Monash Health staff.</t>
  </si>
  <si>
    <t>Global Thought Leader &amp; Influencer: #AI #MachineLearning #DataScience #BI #BigData #Analytics #IoT #ArtificialIntelligence #DigitalTransformation | #BBBT Member</t>
  </si>
  <si>
    <t>Cyber Security News in 1 place!  Retweets original Cyber Sec tweets. _xD83E__xDD16_ made by @AbdirahiimYa</t>
  </si>
  <si>
    <t>Working closely with WA State &amp; Local Gov't stakeholders, focusing on new technology solutions and initiatives, driving positive changes in their environment.</t>
  </si>
  <si>
    <t>“Unthinking respect for authority is the greatest enemy of truth.”</t>
  </si>
  <si>
    <t>In search of an environment to live</t>
  </si>
  <si>
    <t>Chief AI HPC Scientist | Global Premier Speaker | PostDoc CS, PhD | Bestselling Author | 18.4M Views Per Month | Top Data Science, IIoT Influencer @Onalytica</t>
  </si>
  <si>
    <t>Hi! I am TechnorBot and i will help you out in exploring the world of #AI!_xD83D__xDE0E_</t>
  </si>
  <si>
    <t>Proud Dad ° CEO of Spearhead Management @Spearheadman https://t.co/fOG1vbLkK1 ° Content creator at #GotAMinute @minute_got ° @JD_Publishing #TWOgether _xD83C__xDDF3__xD83C__xDDF1__xD83C__xDDEA__xD83C__xDDFA_</t>
  </si>
  <si>
    <t>#People #Talent #Business #HR #Digitalworkplace #Workfromhome #Worktrends #TalentCulture #DevOps  #Remotework #SDGs #Volunteer_xD83D__xDC9C_life's a_xD83C__xDFD6__xD83C__xDF08__xD83C__xDFA2_ #wanderlust #F1_xD83C__xDFC1_</t>
  </si>
  <si>
    <t>Partner @BCG. Passionate about life &amp; coffee. PhD &amp; MBA in Economics. Social Media enthusiast and curious to continuously learn &amp; grow</t>
  </si>
  <si>
    <t>Let's change the world a connection at a time! Love #learning #innovation #social #business #contentstrategy #community #CX #UX #futureofwork #WorkTrends + more</t>
  </si>
  <si>
    <t>Vice President @GfK #Marketing #Futurist #TechForGood #Columnist @MediaPost @CustomerThink Speaker @M2M @_MediaFusion @MediaPost @GlobalShea @AMA_Marketing</t>
  </si>
  <si>
    <t>#CEO @RuhGlobal #DisabilityInclusion #AgingInPlace #Accessibility #ImpactInvesting #SocialActivist #AI4Good #Tech4Good #SDGs #A11Y #Author #Host @AXSChat &amp; HPAW</t>
  </si>
  <si>
    <t>#futureofwork evangelist #Innovation #RemoteWork #gigeconomy #FlexibleWorkforce #EmployeeExperience #Robots #AI....Success is going to bed with soul at peace</t>
  </si>
  <si>
    <t>Asia’s largest and leading community platform of 300K talent professionals, leading the conversations on People &amp; Work.</t>
  </si>
  <si>
    <t>Vision of the Future! Entrepreneur.
#Futureofwork #Blockchain #Al #Crypto #Marketing #Industry40 #Bigdata #Fintech #Cloud #Innovation #ML #AR #iot #5G</t>
  </si>
  <si>
    <t>Success</t>
  </si>
  <si>
    <t>(DIA) Interested in the field of information technology, I analyze, I maintain and I protect the business environment against cyber threats and hackers?</t>
  </si>
  <si>
    <t>#Proprietor English Academy #Blockchain #AI #IoT #Fintech #BigData #AR #VR #ML #finserv #iiot #cryptocurrencies #finance  #spotifypodcast - The Alchemist Reads</t>
  </si>
  <si>
    <t>Lionel Costes, 
Rédacteur en chef
Directeur de collection
Lamy Droit de l’Immatériel</t>
  </si>
  <si>
    <t>Data Scientist; sometimes cyclist. Pronouns: He/Him/His</t>
  </si>
  <si>
    <t>Freelance data consultant and trainer. Trying to volunteer 50% of my workweek. ex-@acdivoca. ex-@FAO, @RPI alum. #diversity #rstats #dataforgood</t>
  </si>
  <si>
    <t>#nowtrending #ai  #ar  #automation   #biotech   #covidー19   #fastapproaching   #freespirit76  #harvestmoon100120  #iot  #kag2020   #rei  #steelersnfl2020</t>
  </si>
  <si>
    <t>Branding goods and services for a #knowledge economy.
#tech #innovation #fitness #data</t>
  </si>
  <si>
    <t>Sign up for my weekly #bigdata and #datascience Newsletter: https://t.co/xq3F9UGNKy
Blog: https://t.co/qLAJAtot4b</t>
  </si>
  <si>
    <t>A support community rooting for Devs of Color &amp; African Heritage. Use the hashtags #afrodevs #amplifyblackvoices #afrotechtwitter for a retweet</t>
  </si>
  <si>
    <t>Researcher Scientist, 
#Data_Scientist, #network_scientist, #social_worker, #writer, #WomenWhoCode
founder @RightApprise
DataScience Influencer</t>
  </si>
  <si>
    <t>Electronics Firmware C/C++, C#, Asm, FreeRTOS, PCB Design, 3D Printing, Microntrollers, Diamonds, Casino</t>
  </si>
  <si>
    <t>A budget-friendly and reliable web hosting solution for you.</t>
  </si>
  <si>
    <t>Cloud Operations Engineer and Tesla/Owner Enthusiast. You can use my Tesla referral link https://t.co/axtmYKLWVk</t>
  </si>
  <si>
    <t>Statistician with PhD in Industrial Eng.</t>
  </si>
  <si>
    <t>Amigo de la vida.</t>
  </si>
  <si>
    <t>News Junkie @sap, #erp, #digitalMarketing , #sapindustries, #industrycloud, #datavisualization ,#AR, #AI and daily musings. Views are mine alone.</t>
  </si>
  <si>
    <t>Machine Learning | Deep Learning
I’m Passionate about ML.  Interested in creating  apps and projects using ML for the betterment of our World. _xD83C__xDF0E__xD83C__xDFE1_❤️_xD83D__xDE42_</t>
  </si>
  <si>
    <t>Storia</t>
  </si>
  <si>
    <t>女子美術大学芸術学部工芸科テキスタイル卒業。なんでその辺の人で淋しい人、よかったら？</t>
  </si>
  <si>
    <t>Leading Data Science Analytics company. R Language experts. World class R Training. Organisers of @earlconf #LondonR #rstats #datascience #R</t>
  </si>
  <si>
    <t>Follow this account to get Tweets with hashtag #distancelearning in your timeline.  Share, learn, &amp; support students together.  Managed by @MrsJennCarr.</t>
  </si>
  <si>
    <t>Gain practical skills for the job, as it focuses on the knowledge and skills needed to perform real-world job responsibilities.
Realize maximum benefit</t>
  </si>
  <si>
    <t>Entender la realidad social para tranformarla</t>
  </si>
  <si>
    <t>@JovianML ( https://t.co/9Ol0gthiSG )</t>
  </si>
  <si>
    <t>Networking | connecting | people | technology | #process | #Business #Intelligence | #Information #Management | #data | learning discussions | #Community</t>
  </si>
  <si>
    <t>SF StartUp. Privacy advocates. Easy-to-use Anonymity App, evade censorship &amp; big brother monitoring. No installs, VPN, or logs.  No Bullshit! ~Beta is now Free!</t>
  </si>
  <si>
    <t>#bugbounty #ethicalhacker</t>
  </si>
  <si>
    <t>First in business worldwide.</t>
  </si>
  <si>
    <t>ITUNeed LLC is a leading Cyber Security &amp; Cloud Solutions firm providing consultancy, training, and technical support to our various clients.</t>
  </si>
  <si>
    <t>Webmarketing / E business _xD83D__xDC68_‍_xD83D__xDCBB_
_xD83D__xDCF1_#digitalmarketing #socialmedia #SEO #googleAnalytics
_xD83D__xDCCD_ INSEEC MSc&amp;Mba Paris</t>
  </si>
  <si>
    <t>Married 44yrs.Grandfather. Old , still work_xD83E__xDD14_ I follow back and re tweet! #TrumpRussia #Resist 98% Stronger Together! #VoteBlue2020 We are the human race!</t>
  </si>
  <si>
    <t>#AIEthics especially re: Personal #AI Mobile #Robots for #SafetyFirst #Family home appliance, but _xD83C__xDF0A_, too _xD83D__xDE14_ | 3X _xD83D__xDCBC_ |  "Iron John" _xD83D__xDC68_‍_xD83C__xDF93_ | '70 Vietnam Vet _xD83D__xDE81_</t>
  </si>
  <si>
    <t>Solución de problemas de gente real usando Linux &amp; Software libre</t>
  </si>
  <si>
    <t>Aspiring Polyglot &amp; Quant | Data Scientist: Python, PyTorch, NLP, Fastai, Masakhane | certified Professional Energy Manager | Consultant | Husband&amp;Father</t>
  </si>
  <si>
    <t>Observatorio #STEAM
Applying #digital #technology to deliver a new form of #learning architectures.</t>
  </si>
  <si>
    <t>La educación es la única arma de construcción masiva. INnovación, EDucación y Tecnología, INÈDIT #educacion #profesores, #roboticaeducativa</t>
  </si>
  <si>
    <t>Your one-stop destination for consumer robotics related news and product reviews. Currently in beta.</t>
  </si>
  <si>
    <t>#blacklivesmatter 
how hackers start their afternoons. where 10k+ technologists publish stories &amp; expertise for 4M+ monthly readers. https://t.co/My4i82geCM</t>
  </si>
  <si>
    <t>I retweet #voicefirst and Conversational AI news! [Synthetic] shoutouts to @VoiceTechCarl, @MemeRunner, @WomenInVoice and more! Account by @DainFitzgerald.</t>
  </si>
  <si>
    <t>Following #python
Hie human!! I'm bot!!
To bring like-minded people together
Do follow
Created by @theshreyathing</t>
  </si>
  <si>
    <t>Announcing Global #ArtificialIntelligence Virtual Conference at Sep 16-18 2020, Hurry!! Register now &amp; SAVE 50% use promo code TWITTER</t>
  </si>
  <si>
    <t>International Market Infrastructure &amp; Capital Financial Markets  #mining  Banking  #Industrial  #Insurtech   Data ETF+ REIT #shares #bonds. Follow us for more</t>
  </si>
  <si>
    <t>PhD in Economics, Speaker, University Lecturer, Innovator, Journalist, Expert @CentrumASmitha #socializedbank #Fintech #socialmedia #AI #DigitalTransformation</t>
  </si>
  <si>
    <t>World’s Foremost Standards &amp; Credentialing Body for the #DataScience Profession. #BigData #Analytics #MachineLearning</t>
  </si>
  <si>
    <t>Me apellido Golightly pero nunca me han llevado a desayunar con diamantes.</t>
  </si>
  <si>
    <t>All education content. Education changes the life.</t>
  </si>
  <si>
    <t>PhD student in Psychology at UW-Madison. Applied #DataScience &amp; #MachineLearning focus. @PyData Madison organizer. No sé pa' dónde voy, pero sé de dónde vengo.</t>
  </si>
  <si>
    <t>Trying to find my place in this data driven world | Data + Judgement = Informed decisions | Mostly retweets</t>
  </si>
  <si>
    <t>We are changing the game for cybersecurity by analyzing massive quantities of risky data in order to speed up response times and augment security operations</t>
  </si>
  <si>
    <t>Ensine tudo a todos</t>
  </si>
  <si>
    <t>The place for InfoSec, CyberSecurity, DevSecOps, DataSecurity and many more!!! Stay tuned.</t>
  </si>
  <si>
    <t>News Hub! Get the latest Security News &amp; Updates!</t>
  </si>
  <si>
    <t>Dream it, Believed it_xD83D__xDD0C_! If you're active❤️ &amp; _xD83D__xDD01_ then turn on my notifications _xD83C__xDD97_ DM if you need help promoting anything _xD83D__xDDE3_</t>
  </si>
  <si>
    <t>JS fairy delivers you the best of web development news on the internet</t>
  </si>
  <si>
    <t>Powerful collaboration tools for Jupyter notebooks _xD83D__xDCD2_  
#MachineLearning #DeepLearning #PyTorch #Tensorflow #Jupyter #JovianML</t>
  </si>
  <si>
    <t>One of the largest data science communities.
11k+ members, 150+ countries.
Join our slack channel: https://t.co/EmDU5V866h
Powered by @JovianML</t>
  </si>
  <si>
    <t>matematica alla Sapienza</t>
  </si>
  <si>
    <t>I train professional software engineers that companies love to hire #javascript #react #reactnative #node #angular #python #csharp</t>
  </si>
  <si>
    <t>Bios are overrated.</t>
  </si>
  <si>
    <t>Programmer _xD83D__xDCBB_
Pythonista _xD83D__xDC0D_
Tech community member _xD83D__xDC68__xD83C__xDFFE_‍_xD83D__xDCBB_
IBM ZAmbassador ®️</t>
  </si>
  <si>
    <t>World’s Leading Web Application, E-Commerce, And Web Development Company Focused On Transforming Brands into Multi-Million Dollar Ventures</t>
  </si>
  <si>
    <t>A bot | designed for DSC futa community Nigeria| meet my makers @BoluDurodola @Leksite_2 @mo_sopefoluwa|you can follow me for updates on DS and  ML</t>
  </si>
  <si>
    <t>PyBron is the leading Business, IT, Consulting Software Company in India. We offer Services Like Software Development, Machine Learning, AI, Data Science.</t>
  </si>
  <si>
    <t>Writing poems &amp; stories</t>
  </si>
  <si>
    <t>The future is in data analytics and humor. #analytics #AI #dataviz #bigdata #humor https://t.co/PlvdMyKz0l https://t.co/Lrqtche6ed https://t.co/KaKqlKqY7W</t>
  </si>
  <si>
    <t>Founder https://t.co/cNbQQ7mLRq |Speaker|Author(Conf, Journal,Patents)| Certified Prof Cloud Architect| GDE ML| 14+ yrs exp | 5+ yrs Founder's team Princeton Startup</t>
  </si>
  <si>
    <t>Learn to #code for free and get a #developer job</t>
  </si>
  <si>
    <t>God, Family, and hustlin Any stock I mention is of my own opinion. I do not take responsibility for your buys and sells. You do..</t>
  </si>
  <si>
    <t>_xD83D__xDED1_ Communism! 
_xD83D__xDED1_ Socialism!
Anti-Abortion Pro-Life Pro-2nd Amendment 
Jesus Christ _xD83D__xDC51_
#RSP 
#MuayThai</t>
  </si>
  <si>
    <t>I am a Bot, I serve to motivate newbie and women for #coding  My master @aadicodes is building me! (Under Development)
Show your love by Following me_xD83E__xDD70_</t>
  </si>
  <si>
    <t>Nearshoring_xD83C__xDF0E_ We have everything to transform your vision into execution: Web Apps, Technical Support, Graphic Design &amp; more _xD83D__xDC69__xD83C__xDFFC_‍_xD83D__xDCBB_</t>
  </si>
  <si>
    <t>made by @Enthusiastic97
For spreading some informational tweets, 
support me for spreading more Infomartional tweets_xD83D__xDD75_‍♀️..
follow me at github as harshita897</t>
  </si>
  <si>
    <t>Network guy, tinkerer, writer, photographer
https://t.co/WM4FJfCM6K</t>
  </si>
  <si>
    <t>Especialista IT. Profesor de Informática. Especialista en Educación y TIC. Actualmente participando de múltiples proyectos de ICT4D, VJs y Robotica Educativa.</t>
  </si>
  <si>
    <t>Idealista.</t>
  </si>
  <si>
    <t>Data Science Courses and beyond #datascience #analytics</t>
  </si>
  <si>
    <t>_xD83C__xDDEB__xD83C__xDDF7__xD83C__xDDF0__xD83C__xDDF7__xD83C__xDDEA__xD83C__xDDFA__xD83C__xDDE8__xD83C__xDDED_:_xD83C__xDFF4_‍☠️85 忍び97 _xD83C__xDFAD_10 TedX17 RTs≠E LargeSpectrumAnalyst: #Viz #CybSec #Osint #Ai #TechRecon Chief_Evangelist : @ImpactIA_org Manager : @aisear_ch</t>
  </si>
  <si>
    <t>The Kingdom of Hacking !
#EthicalHacking #CyberSecurity #Programming #RedTeam #CTF #IA #IoT #BigData #SocialEngineering #Profiling #Cryptography #Privacy</t>
  </si>
  <si>
    <t>Patrick osinski : Serial  #entrepreneur, #Startup advisor.  Bringing you the best and most up-to-date #marketing and #innovation news.  https://t.co/9SLeqaSoxZ</t>
  </si>
  <si>
    <t>AI+ Swiss Directory of Artificial Intelligence
IA+ Annuaire Suisse de l’intelligence artificielle 
KI+ Schweizer Verzeichnis künstlicher Intelligenz</t>
  </si>
  <si>
    <t>Founder/CEO, CORIZANCE &amp; School Governor #CEO #CTO #Riskmanagement #Risk #Regtech #Fintech #Edtech #AI #Blockchain #CyberSecurity</t>
  </si>
  <si>
    <t>We develop tools to help physicians with medical documentation: note templates, E/M coding tools, MS-DRGs and medical spelling.</t>
  </si>
  <si>
    <t>Cognitive #Risk Platform offering #cognitiverisk and #connectedrisk services to Banks, Insurance, Governments, etc #Regtech #Fintech #AI #Climate #CyberSecurity</t>
  </si>
  <si>
    <t>Life’s too short for boring #tech. I write articles to demystifying tech one example at a time. Themes cover - #Tech4Good #AI #IOT, #5G, and other #EmergingTech</t>
  </si>
  <si>
    <t>Computer Science student | 
Coder _xD83D__xDCBB__xD83D__xDCCA_ | 
#BleedBlue _xD83C__xDFCF__xD83C__xDDEE__xD83C__xDDF3__xD83C__xDDEE__xD83C__xDDF3_ |
Book worm. _xD83D__xDCD6_|
Potterhead. ✨_xD83C__xDF1F_|
Juventus. ❤️⚽
#100DaysOfCode #DevCommunity</t>
  </si>
  <si>
    <t>Looking at the known universe to search for the unknown. MBA by degree coder by experience</t>
  </si>
  <si>
    <t>#MachineLearning #AI #Data #SocialMedia #Crowd
#Web #app #Dev #mobile #Cloud #IoT #OpenSource
Disruptive #Tech &amp; Role of #PublicAdministration in #digitalgrowth</t>
  </si>
  <si>
    <t>Aspiring to be a cyber security Ninja. 
Ngwana Badimo
Ngaka ya setso|Gogo|
I don't do DM consultations. 
Gogokhanyi@gmail.com</t>
  </si>
  <si>
    <t>my petty is consistent. #PettyLivesHere</t>
  </si>
  <si>
    <t>#AI #BigData #Analytics #MachineLearning #DeepLearning #DataScience #IoT #SmartCities #BI #DataDriven #DigitalTransformation #EmergingTecnologies #Innovation</t>
  </si>
  <si>
    <t>ТРЕЙДЕР в начале пути. Про движ в нэте .</t>
  </si>
  <si>
    <t>Be happy  Be healthy Be smile Be cool Be good human</t>
  </si>
  <si>
    <t>Sold out Shows off the dome, Nobody is loyal as me When it come to Friendship , I Have Uncommon Sense, Sign me To YM  !</t>
  </si>
  <si>
    <t>FREE Drose ..CHASING DREAMS .RostaForeign Gang . cleveland#GANGLand .G.M.G
Booking or Contact =( young.kiilla300@gmail.com ) or 2163147990</t>
  </si>
  <si>
    <t>Creator : @spoitler_code Just a bot that re-tweets anything related to #JAVASCRIPT</t>
  </si>
  <si>
    <t>Gathering #AI &amp; #TensorFlow related tweets. I belong to @rebeccapark</t>
  </si>
  <si>
    <t>C-level advisor, helping businesses succeed in Digital and AI #AI #BigData #DataScience #MachineLearning #Analytics #Change #Consulting</t>
  </si>
  <si>
    <t>ZenAstra Tech Solutions is a niche provider of IT Services and Solutions across the world in CRM  Apps and Consulting, Mobile Apps and AI consulting.</t>
  </si>
  <si>
    <t>The OFFICIAL Melissa B. Twitter. A multi-gifted artist: Songwriter| Producer | Singer | Voting Grammy® member|Contact manager - info@melissb.com</t>
  </si>
  <si>
    <t>Follow us for all the latest on #Digitalization #Industry40 #ArtificialIntelligence #AI #MachineLearning #IoT #BigData #NeuralNetworks</t>
  </si>
  <si>
    <t>Literally an automated version of @tomhilbig. #BigData #MachineLearning.</t>
  </si>
  <si>
    <t>The Stone that the builder Rejects.. Knowledge is Power... Writing my own Hieroglyphs . . . The Rise Of A Legend. #REVIVAL #COYG #GF3 #ACTIVIST #R9</t>
  </si>
  <si>
    <t>Wasspopping!_xD83E__xDD1F__xD83C__xDFFE__xD83E__xDD34__xD83C__xDFFE__xD83D__xDC10__xD83D__xDC7D__xD83C__xDF15_I ∆m a humble young man_xD83D__xDE4F__xD83C__xDFFE_Positive vibes only魔法⁶⁶△_xD83D__xDD6F__xD83E__xDD89_Backup-@ga7actic1 #peace #love #hiphopnews #news ✊_xD83C__xDFFE__xD83C__xDF0D__xD83D__xDD4A_️(21(Starseed_xD83D__xDD2E__xD83C__xDF20_)_xD80C__xDC80_</t>
  </si>
  <si>
    <t>Connecting the dots</t>
  </si>
  <si>
    <t>Follow us for news and trends for #AI, #ArtificialIntelligence, #MachineLearning, #Robotics, #Digitalization, #SmartCity, #Industry40</t>
  </si>
  <si>
    <t>I_xD83D__xDE3B_ may not be athletic but still good with balls. My WhatsApp +1(832)382-6366</t>
  </si>
  <si>
    <t>Luke identifies himself as a: #MachineLearning #Enthusiast _xD83E__xDD16_ ¦ #Biotechnology #Student _xD83E__xDD13_ ¦ former #Chemical #Labtechnician _xD83D__xDC68_‍_xD83D__xDD2C_ ¦  #Human</t>
  </si>
  <si>
    <t>The international organization for public private cooperation. #wef21</t>
  </si>
  <si>
    <t>Mother, Wife , Lover of life
use hashtags #makeyourownlane #defstar5 for free rts and favs - 20 free beats @ link below</t>
  </si>
  <si>
    <t>Hi im dj smuv's lil lackey  I promote you , not him use hastags #defstar5 &amp; #makeyourownlane for free rts/favs -  20 Free Beats @ link below</t>
  </si>
  <si>
    <t>A bot that retweets #linux. Written by @avcourt.</t>
  </si>
  <si>
    <t>Im a pretty Young Bling - use hashtags #makeyourownlane or #defstar5 for free rts/favs = 20 free beats @ link below</t>
  </si>
  <si>
    <t>Follow me for the latest updates in IoT  (Internet of Things)
LinkedIn: https://t.co/ug3p00jLpZ</t>
  </si>
  <si>
    <t>The official account of Digital Together. We advocate for and represent the voice of digitally-active citizens #DigitalHelpsUsLiveBetter is our motto _xD83D__xDCF1__xD83D__xDCBB__xD83C__xDF99_️</t>
  </si>
  <si>
    <t>BORN AND RAISED IN PA FROM DA BLOCK WORKING DA BE DA NEXT BEST RAPPER ALIVE</t>
  </si>
  <si>
    <t>Business Development Manager</t>
  </si>
  <si>
    <t>#Serverless #Computing</t>
  </si>
  <si>
    <t>I will kill 13 million</t>
  </si>
  <si>
    <t>Here, we retweet everything related to #MachineLearning
-
Data Science with Python: https://t.co/0HeXi52hwW
-
IBM Data Science Professional: https://t.co/NGM1EBnTyB</t>
  </si>
  <si>
    <t>Waiting for a Miracle to Come
 #ai #entrepreneurship &amp; #datascience</t>
  </si>
  <si>
    <t>#WebAR #AR #edTech #Robots #Robotics #Drones #FacialRecognition #AI #XR #DataScience #Blockchain #Lidar3D #UAV #UAS #UVS #ArtificialIntelligence #RA #RV #IoT</t>
  </si>
  <si>
    <t>Feed your curiosity with Facts, Stories &amp; More!_xD83D__xDD38_Proudly followed by @MIT_CSAIL_xD83D__xDD38_Follow us @ https://t.co/T7riomHm5A &amp; https://t.co/guCwQo6Pdf</t>
  </si>
  <si>
    <t>Your Source for Amazing News about #Science, #Technology, #Computing, #Robotics, #Space, #AI, and the #Future... from the Best Sources Around the Galaxy!</t>
  </si>
  <si>
    <t>Latest news and trends in IT and Computer Science. Feed managed by @jramcast</t>
  </si>
  <si>
    <t>la vie d’abord. vivre et laisser vivre. des humains.des animaux.des plantes.</t>
  </si>
  <si>
    <t>iPadPro upgraded to iPadOs 14.0. Thanks Apple.</t>
  </si>
  <si>
    <t>React, Redux and React-Native Developer</t>
  </si>
  <si>
    <t>As you see from my name: I'm a "bot" and my creator is @BFTAWFIK. Feel free to contact him for any questions.</t>
  </si>
  <si>
    <t>DataScientist | CryptoEnthusiast | NoleVIP | ZLF | Online Education Courses</t>
  </si>
  <si>
    <t>Unapologetically multidisciplinarian. Musings on tech, business, geopolitics and culture.</t>
  </si>
  <si>
    <t>Founder Collective Intelligence  #TheFutureOfWork #BMGI #TheBigShift #ai #datascience #blockchain #IOT</t>
  </si>
  <si>
    <t>Entrepreneur_xD83E__xDD1F_
Crypto trader _xD83D__xDCB8_
Party person_xD83C__xDF7E_
#ZillonLife|#ZLF|#NoleVIP|#TRX
@nolecoinnole @zillonlife @nolexchange
join us on telegram: https://t.co/kb1NaNCjpP</t>
  </si>
  <si>
    <t>Official bot of @codeblooded__ ➡️➡️https://t.co/DzPOavaGRk .My creator is @vakharia_heet. I tweet motivational tweets and retweet #100DaysOfCode twee</t>
  </si>
  <si>
    <t>Passionately curious , Content curator for quality reads from all over the Internet.</t>
  </si>
  <si>
    <t>It's all about technical stuffs.
#Techbies
#TPU #MachineLearning #TensorFlow #TensorProcessingUnit #AI #ArtificialIntelligence #Cloud</t>
  </si>
  <si>
    <t>wrestling.
football.</t>
  </si>
  <si>
    <t>I analyze big boards, small cap and otc stocks.  Everything I tweet is my opinion only.  Do your own research.  I'm not a licensed broker.  (John 3-16)</t>
  </si>
  <si>
    <t>newton'un 3.kuralı: ileri gitmek için bazı şeyleri geride bırakmalısın.
-modern stoic
- rocket/aviation
- robotics</t>
  </si>
  <si>
    <t>Official news and insights. Top 10 influencer #gdpr, #privacy, #ai, #dataprotection, #ml, #cybersecurity, #ibm,  #dataprivacy, #ccpa, #infosec, #security, #data</t>
  </si>
  <si>
    <t>This robot is very proud of you and your progress. Automaton built in Ruby by @ray_codes_stuff to celebrate &amp; motivate folks doing #100daysofcode</t>
  </si>
  <si>
    <t>B.S. Computer Science and Technology 2019</t>
  </si>
  <si>
    <t>Industrial Engineer | Self-Taught Programmer | Machine Learning | Data Analytics | #Python | #SQL | #Tableau | #DataScience | Mexican | Anime Lover</t>
  </si>
  <si>
    <t>I *only* retweet your #100DaysOfCode tweets. _xD83D__xDCAF_
MIT open source icons for your next app: https://t.co/quTEhK1vY8.
Follow me and @username_ZAYDEK for more web dev! ✨</t>
  </si>
  <si>
    <t>Guiding Your Cloud Journey | Cloud, DevOps, Development and Compliance Services</t>
  </si>
  <si>
    <t>https://t.co/ZXiQB0JPwH &amp; @getformio | Lead Software Engineer</t>
  </si>
  <si>
    <t>I like indie games. Follow me &amp; tweet with #IndieGame #IndieDev #GameDev or #MadeWithUnity &amp; I'll share it. Friendly bot, made &amp; monitored by @PersephoneChair.</t>
  </si>
  <si>
    <t>A jack of many trades. A master of none, proficient in one</t>
  </si>
  <si>
    <t>Midlife Coder
Father, Entrepreneur, CEO, Software Developer,  Fearless.
owner: https://t.co/YVyJ5hCGlt</t>
  </si>
  <si>
    <t>Polymath || Medical Doctor || Book Author || Software Developer || Javascript (React.JS) || Python(Django)</t>
  </si>
  <si>
    <t>Toruk Macto B+, A servant of God and a friend to man</t>
  </si>
  <si>
    <t>esp32からm5stack、c、vと買い漁り、azure kinectまで手を出している</t>
  </si>
  <si>
    <t>Clinical research associate in Japan and open source data scientist with life sciences and Python.
城北学園城北/横浜国立大/同大学院
分子生物学, 神経化学, Bioinformatics/医薬品臨床試験</t>
  </si>
  <si>
    <t>The Reach. Rowan.
Possibly Blackfyre. 
Soundtrack Enthusiast (read Sucker for)</t>
  </si>
  <si>
    <t>Once a month, you'll get a newsletter from me with lots of exciting stuff on data science, engineering, and machine learning. Subscribe here _xD83D__xDC49_ https://t.co/VRnN9grEfw</t>
  </si>
  <si>
    <t>Hi, I'm a bot that retweets #100daysofcode #javascript and #nlogn
You can follow me._xD83D__xDE09_
P.S. I was created by @dermayank DM for removal of offensive content.</t>
  </si>
  <si>
    <t>For the latest updates on breaking news visit our website https://t.co/5os3efxRyQ #seriouslypopular</t>
  </si>
  <si>
    <t>Passionate about how IT solutions can bring positive value to our business and personal lives. Proud #autisticparent</t>
  </si>
  <si>
    <t>Linux Bot | I retweet Linux | Created by @techydox
https://t.co/DrRaUtSPGJ</t>
  </si>
  <si>
    <t>I'm a bot created by @DreamsOfImran with a little bit of NodeJs and lots of ❤️
I like and retweet posts related to #javascript, #vuejs, #reactjs, #Nodejs &amp; etc</t>
  </si>
  <si>
    <t>Trick &amp; Hacks in #javascript , #python , #linux along with other #webdevelopment</t>
  </si>
  <si>
    <t>Blog For Software &amp; Web Developers. Free Tutorials, Tips, Tricks and Learning Resources. #python &amp; #javascript masters @ParmarShantun</t>
  </si>
  <si>
    <t>Entrepreneur | Software Engineer| #FullStack Developer | #Oracle OCJP certified |#Blockchain developer #100DaysOfCode | Blogger :)  @coodignD https://t.co/uEGiF7xUH9</t>
  </si>
  <si>
    <t>I'm a friendly bot retweeting female developers, engineers, scientists and their stories. #girlswhocode #womenintech  #womeninstem
Made by @frankanka</t>
  </si>
  <si>
    <t>All news about #javascript in one place. by @kasvith</t>
  </si>
  <si>
    <t>An open source bot here to support all women who code _xD83D__xDC69__xD83C__xDFFF_‍_xD83D__xDCBB__xD83D__xDC69__xD83C__xDFFD_‍_xD83D__xDCBB__xD83D__xDC69__xD83C__xDFFB_‍_xD83D__xDCBB__xD83D__xDC69__xD83C__xDFFE_‍_xD83D__xDCBB__xD83D__xDC69__xD83C__xDFFC_‍_xD83D__xDCBB_ Created by @SaraTorrey &amp; @danotorrey with ❤️_xD83D__xDC9C__xD83D__xDC9B__xD83D__xDC9A__xD83D__xDC99_ Learn more: https://t.co/pfxJLxNhZ2</t>
  </si>
  <si>
    <t>I am a bot _xD83E__xDD16_ Created by @toshiyamarukubo to retweet specific hashtags, #100DaysOfCode #WomenWhoCode and so on. Let's learn together _xD83D__xDE03_</t>
  </si>
  <si>
    <t>Developer || Techie || Mobile Photography</t>
  </si>
  <si>
    <t>RT bot for #60DaysOfUdacity #30Days30Sites #100DaysOfCode #301DaysOfCode
Written in #nodejs using #twit. By @shahidcodes</t>
  </si>
  <si>
    <t>I am a bot made by @_addempsea  with #nodejs. I post quotes every hour and I retweet #js #javascript and #rustlang post. Kindly follow me</t>
  </si>
  <si>
    <t>Python Developer, learning Angular at the moment, also likes to make tutorials on YouTube and post geeky memes.</t>
  </si>
  <si>
    <t>A bot, I like and retweet on #100DaysOfCode. Block if don't want to be retweeted.</t>
  </si>
  <si>
    <t>best</t>
  </si>
  <si>
    <t>Just a bot helping coders show their progress. Automation built in #NodeJs by @AdamSpiceOnline. #100DaysOfCode</t>
  </si>
  <si>
    <t>Working By @Workday | CoFounder @veritando | fan of #Inter #knicks | interested in #startups #tech #travel #gaming #entrepreneurship #bigdata #HRtech</t>
  </si>
  <si>
    <t>I retweet all about #100DaysOfCode #Javascript and my mother country #Tunisia created by @Filsdelarabe</t>
  </si>
  <si>
    <t>follow me. #100daysOfCode  #coding  #hourofcode or code related
made with ❤️ + node.js by @yunkidev</t>
  </si>
  <si>
    <t>I enjoy programming as a hobby_xD83D__xDE00_This account is a Bot that just do retweets, followback, and like_xD83D__xDE00_It's not a company_xD83D__xDE00_It does't respond to DM or replies_xD83D__xDE00_</t>
  </si>
  <si>
    <t>I AM A STUDENT AND ALSO A BLOGGER.
I LIVE IN GOLAGHAT,ASSAM.
https://t.co/860rGf3ysO IS MY BLOG..</t>
  </si>
  <si>
    <t>Machine Learning Engineer | Software Developer | Trust The Process _xD83D__xDE09_</t>
  </si>
  <si>
    <t>Internet</t>
  </si>
  <si>
    <t>Bellevue, WA</t>
  </si>
  <si>
    <t>Wimbledon London</t>
  </si>
  <si>
    <t>England, United Kingdom</t>
  </si>
  <si>
    <t>Gobichettipalayam</t>
  </si>
  <si>
    <t>Redondo Beach, CA</t>
  </si>
  <si>
    <t>India</t>
  </si>
  <si>
    <t>Germany, Europe</t>
  </si>
  <si>
    <t>Brit in Brisbane</t>
  </si>
  <si>
    <t>Frankfurt, Germany</t>
  </si>
  <si>
    <t>Silicon Valley, CA</t>
  </si>
  <si>
    <t>USA</t>
  </si>
  <si>
    <t>Virginia USA &amp; Global Citizen</t>
  </si>
  <si>
    <t>_xD83C__xDF10_ Global</t>
  </si>
  <si>
    <t>Intia</t>
  </si>
  <si>
    <t>Bengaluru, India</t>
  </si>
  <si>
    <t>Strasbourg</t>
  </si>
  <si>
    <t>South London</t>
  </si>
  <si>
    <t>London, England</t>
  </si>
  <si>
    <t>SEAPORT1A</t>
  </si>
  <si>
    <t>New Jersey</t>
  </si>
  <si>
    <t>Netherlands</t>
  </si>
  <si>
    <t>South Africa</t>
  </si>
  <si>
    <t>Boynton Beach, FL</t>
  </si>
  <si>
    <t>Brazil</t>
  </si>
  <si>
    <t>Gurgaon , India</t>
  </si>
  <si>
    <t xml:space="preserve">SF Bay Area, CA. _xD83C__xDDFA__xD83C__xDDF8__xD83D__xDCAF__xD83D__xDDFD_ </t>
  </si>
  <si>
    <t>Roma, Lazio</t>
  </si>
  <si>
    <t>United Kingdom</t>
  </si>
  <si>
    <t>San Diego</t>
  </si>
  <si>
    <t>Benito Juárez</t>
  </si>
  <si>
    <t>Belgium</t>
  </si>
  <si>
    <t>San Francisco, CA</t>
  </si>
  <si>
    <t>Englewood Cliffs, NJ</t>
  </si>
  <si>
    <t>Washington, DC</t>
  </si>
  <si>
    <t>Paris, France</t>
  </si>
  <si>
    <t>Colorado USA</t>
  </si>
  <si>
    <t>Atlanta, Georgia: Southeast US</t>
  </si>
  <si>
    <t>Buenos Aires, Argentina</t>
  </si>
  <si>
    <t>Abuja, Nigeria</t>
  </si>
  <si>
    <t>Barcelona</t>
  </si>
  <si>
    <t xml:space="preserve">World Wide Web, &amp; Colorado </t>
  </si>
  <si>
    <t>Santa Clara, CA</t>
  </si>
  <si>
    <t>Canada- Pinterest-Linkedln</t>
  </si>
  <si>
    <t>Warszawa, Polska</t>
  </si>
  <si>
    <t>Austin, TX</t>
  </si>
  <si>
    <t xml:space="preserve">E Corp </t>
  </si>
  <si>
    <t>Wisconsin, USA</t>
  </si>
  <si>
    <t>Hyderabad, India</t>
  </si>
  <si>
    <t>Pottstown, PA</t>
  </si>
  <si>
    <t>San Francisco</t>
  </si>
  <si>
    <t>California, USA</t>
  </si>
  <si>
    <t>roma</t>
  </si>
  <si>
    <t>Los Angeles, CA</t>
  </si>
  <si>
    <t>United States</t>
  </si>
  <si>
    <t>localhost:3000</t>
  </si>
  <si>
    <t>Texas, USA</t>
  </si>
  <si>
    <t>Kolkata, India</t>
  </si>
  <si>
    <t>Carrollton, TX</t>
  </si>
  <si>
    <t>Bangalore</t>
  </si>
  <si>
    <t>Orlando FL</t>
  </si>
  <si>
    <t>Dublin, CA</t>
  </si>
  <si>
    <t>General Pueyrredón, Argentina</t>
  </si>
  <si>
    <t>Tigre</t>
  </si>
  <si>
    <t>London, UK</t>
  </si>
  <si>
    <t xml:space="preserve"> #GVA / #Annecy </t>
  </si>
  <si>
    <t>Bordeaux</t>
  </si>
  <si>
    <t>São Paulo, Brésil</t>
  </si>
  <si>
    <t>USA - Midwest</t>
  </si>
  <si>
    <t>London</t>
  </si>
  <si>
    <t>Turin, Piedmont</t>
  </si>
  <si>
    <t>Jamshedpur, India</t>
  </si>
  <si>
    <t>Regione Marche, servizi ICT</t>
  </si>
  <si>
    <t>gauteng</t>
  </si>
  <si>
    <t>РБ</t>
  </si>
  <si>
    <t>Mysore  and  BERLIN</t>
  </si>
  <si>
    <t xml:space="preserve">youtube.com/LilDuKie </t>
  </si>
  <si>
    <t>Cleveland, OH</t>
  </si>
  <si>
    <t>Zürich, Switzerland</t>
  </si>
  <si>
    <t>Chennai</t>
  </si>
  <si>
    <t>_xD83C__xDDF5__xD83C__xDDF7__xD83C__xDDFA__xD83C__xDDF8_</t>
  </si>
  <si>
    <t>5th Dimension</t>
  </si>
  <si>
    <t>Switzerland</t>
  </si>
  <si>
    <t>Geneva, Switzerland</t>
  </si>
  <si>
    <t>Boise, ID</t>
  </si>
  <si>
    <t>Atlanta, GA</t>
  </si>
  <si>
    <t>digitalocean</t>
  </si>
  <si>
    <t>Druid Hills, GA</t>
  </si>
  <si>
    <t>Brussels, Belgium</t>
  </si>
  <si>
    <t>pittsburgh</t>
  </si>
  <si>
    <t>Sri Lanka</t>
  </si>
  <si>
    <t>Rome, Lazio</t>
  </si>
  <si>
    <t>Camp Hill, PA</t>
  </si>
  <si>
    <t>Lima, Peru</t>
  </si>
  <si>
    <t>The 10th Dimension</t>
  </si>
  <si>
    <t>Online</t>
  </si>
  <si>
    <t>Là où les humains sont frères</t>
  </si>
  <si>
    <t>Just were I have to be.</t>
  </si>
  <si>
    <t>Everywhere</t>
  </si>
  <si>
    <t>San Antonio, TX</t>
  </si>
  <si>
    <t>Cairo, Egypt</t>
  </si>
  <si>
    <t>Mumbai, India</t>
  </si>
  <si>
    <t>Harrisburg, PA</t>
  </si>
  <si>
    <t>CodeBlooded</t>
  </si>
  <si>
    <t>Cloud 9 of Tech</t>
  </si>
  <si>
    <t>Juventus Stadium.</t>
  </si>
  <si>
    <t>⚡️</t>
  </si>
  <si>
    <t>Istanbul, Turkey</t>
  </si>
  <si>
    <t xml:space="preserve">127.0. 0.1 </t>
  </si>
  <si>
    <t>Sacramento, CA</t>
  </si>
  <si>
    <t>Eldoret</t>
  </si>
  <si>
    <t xml:space="preserve">Germany </t>
  </si>
  <si>
    <t>Bedford</t>
  </si>
  <si>
    <t>Raspberry Pi</t>
  </si>
  <si>
    <t>New York</t>
  </si>
  <si>
    <t>Banglore</t>
  </si>
  <si>
    <t>Berlin, Deutschland</t>
  </si>
  <si>
    <t>Hamburg, Germany</t>
  </si>
  <si>
    <t>Japan</t>
  </si>
  <si>
    <t>Odisha</t>
  </si>
  <si>
    <t>codeanywhere.com</t>
  </si>
  <si>
    <t>Albania</t>
  </si>
  <si>
    <t>Earth</t>
  </si>
  <si>
    <t>Cologne</t>
  </si>
  <si>
    <t>Raspberry PI</t>
  </si>
  <si>
    <t>#codedaily</t>
  </si>
  <si>
    <t>Chiyoda-ku, Tokyo</t>
  </si>
  <si>
    <t>Lagos, Nigeria</t>
  </si>
  <si>
    <t>Open Twitter Page for This Person</t>
  </si>
  <si>
    <t>givemycert
Thank you Code Warriors for the
amazing and informative two-day
workshop on Python For Machine
Learning ☺️_xD83E__xDD17_☺️ More the number
of warriors, the faster we beat
Corona. #codewarriors #NLP #MachineLearning
#ComputerVision #codewarriorslife
#python #givemycertificate</t>
  </si>
  <si>
    <t>monashhealthlib
A free web service for fast COVID-19
classification of chest X-Ray images.
#DataScience #BigData #Analytics
#Python #RStats #TensorFlow #Java
#JavaScript #ReactJS #GoLang #Serverless
#IoT #Linux #MachineLearning #DeepLearning
#AI https://t.co/y7MMSYrTsT https://t.co/TCmM2ksblK</t>
  </si>
  <si>
    <t>marcusborba
A Tour of End-to-End Machine Learning
Platforms. #DataScience #BigData
#Analytics #AI #Python #RStats
#JavaScript #ReactJS #Serverless
#DataScientist #IoT #Linux #Programming
#100DaysofCode #DataMining #DeepLearning
#MachineLearning #ArtificialIntelligence
https://t.co/lCXLqPGThf https://t.co/Vy36bPzGz9</t>
  </si>
  <si>
    <t>cybersec_feeds
The Workplace of the Future: Solving
How We Get Back to Work #Kubernetes
#IoT #Python #100DaysOfCode #edtech
#DataScience #CyberSecurity #BigData
#COVID19 #MachineLearning #COVID_19
#javascript #blockchain #cdwsocial
https://t.co/flguG5Lbve</t>
  </si>
  <si>
    <t>cdwgwagov
Turbulence, tech and the worker
#Kubernetes #IoT #Python #100DaysOfCode
#edtech #COVID19 #DataScience #COVID_19
#CyberSecurity #BigData #Tech #pandemic
#cdwsocial https://t.co/SGc0zqoSyF</t>
  </si>
  <si>
    <t>wattsdominic
Latest 7-day average for COVID-19
in England - 1719 #COVID19 #python
#pandas https://t.co/YHmdlOXyyM</t>
  </si>
  <si>
    <t>ushills_couk
Latest 7-day average for COVID-19
in England - 2680 #COVID19 #python
#pandas https://t.co/6E8RsfcNB8</t>
  </si>
  <si>
    <t>maignanamurthy
U.S. Volunteer Jennifer Holler,
43 Gets First Shot of Covid-19
Vaccine. #BigData #Analytics #DataScience
#AI #MachineLearning #IoT #IIoT
#Python #RStats #JavaScript #ReactJS
#GoLang #CloudComputing #Serverless
#Linux #Programming #Coding #100DaysofCode
https://t.co/5ae7DmgRsq https://t.co/EsL2q7kXbB</t>
  </si>
  <si>
    <t>gp_pulipaka
U.S. Volunteer Jennifer Holler,
43 Gets First Shot of Covid-19
Vaccine. #BigData #Analytics #DataScience
#AI #MachineLearning #IoT #IIoT
#Python #RStats #JavaScript #ReactJS
#GoLang #CloudComputing #Serverless
#Linux #Programming #Coding #100DaysofCode
https://t.co/5ae7DmgRsq https://t.co/EsL2q7kXbB</t>
  </si>
  <si>
    <t>technojeder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</si>
  <si>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drjdrooghaag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</si>
  <si>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misstalent86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</si>
  <si>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 xml:space="preserve">mvollmer1
</t>
  </si>
  <si>
    <t>kkruse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</si>
  <si>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jolaburnett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</si>
  <si>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debraruh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</si>
  <si>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 xml:space="preserve">hana_elsayyed
</t>
  </si>
  <si>
    <t xml:space="preserve">peoplematters2
</t>
  </si>
  <si>
    <t>fabriziobustama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</si>
  <si>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bharatmehrotra9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</si>
  <si>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pvynckier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</si>
  <si>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shamephorash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</si>
  <si>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ilovebooks786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</si>
  <si>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rldi_lamy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</si>
  <si>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salsamander
Hey any #datascience #python #DeepLearning
that can work with audio data in
a neural net available to help
w/ a COVID-related issue? Please
respond here. RT's appreciated.</t>
  </si>
  <si>
    <t>vizmonkey
Hey any #datascience #python #DeepLearning
that can work with audio data in
a neural net available to help
w/ a COVID-related issue? Please
respond here. RT's appreciated.</t>
  </si>
  <si>
    <t>silentseawolf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</si>
  <si>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greentechdon
Due to COVID-19, Coursera has made
some of their Programming Courses
FREE and you can earn a ... https://t.co/2Vjd54YyhX
#programming #softwareengineering
#bigdata #datascience #analytics
#ai #python #javascript</t>
  </si>
  <si>
    <t>gavlaaaaaaaa
Due to COVID-19, Coursera has made
some of their Programming Courses
FREE and you can earn a ... https://t.co/2Vjd54YyhX
#programming #softwareengineering
#bigdata #datascience #analytics
#ai #python #javascript</t>
  </si>
  <si>
    <t>afrodevs
Due to COVID-19, Coursera has made
some of their Programming Courses
FREE and you can earn a ... https://t.co/2Vjd54YyhX
#programming #softwareengineering
#bigdata #datascience #analytics
#ai #python #javascript</t>
  </si>
  <si>
    <t>s_akrati
Hey any #datascience #python #DeepLearning
that can work with audio data in
a neural net available to help
w/ a COVID-related issue? Please
respond here. RT's appreciated.</t>
  </si>
  <si>
    <t>benemmerich
Due to COVID-19, Coursera has made
some of their Programming Courses
FREE and you can earn a ... https://t.co/2Vjd54YyhX
#programming #softwareengineering
#bigdata #datascience #analytics
#ai #python #javascript</t>
  </si>
  <si>
    <t>webkarobar
https://t.co/cl5lrS7Pox #startup
#ArtificialIntelligence #Python
#COVID19 #DataScience #data #MachineLearning
#dataScientist</t>
  </si>
  <si>
    <t>sanchezivan787
Due to COVID-19, Coursera has made
some of their Programming Courses
FREE and you can earn a ... https://t.co/2Vjd54YyhX
#programming #softwareengineering
#bigdata #datascience #analytics
#ai #python #javascript</t>
  </si>
  <si>
    <t>qualystat
Due to COVID-19, Coursera has made
some of their Programming Courses
FREE and you can earn a ... https://t.co/2Vjd54YyhX
#programming #softwareengineering
#bigdata #datascience #analytics
#ai #python #javascript</t>
  </si>
  <si>
    <t>borishuaman
Due to COVID-19, Coursera has made
some of their Programming Courses
FREE and you can earn a ... https://t.co/2Vjd54YyhX
#programming #softwareengineering
#bigdata #datascience #analytics
#ai #python #javascript</t>
  </si>
  <si>
    <t>subhankarp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</si>
  <si>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_paulo_lopez_
Due to COVID-19, Coursera has made
some of their Programming Courses
FREE and you can earn a ... https://t.co/2Vjd54YyhX
#programming #softwareengineering
#bigdata #datascience #analytics
#ai #python #javascript</t>
  </si>
  <si>
    <t>enricofrasca3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</si>
  <si>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xzpwedvhhh37i3c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</si>
  <si>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mangothecat
Hey any #datascience #python #DeepLearning
that can work with audio data in
a neural net available to help
w/ a COVID-related issue? Please
respond here. RT's appreciated.</t>
  </si>
  <si>
    <t>distancelrnbot
bizimle PHP öğrenin. #java #python
#javascript #programming #coding
#programmer #developer #html #php
#code #indonesia #css #coder #software
#elearning #education #onlinelearning
#learning #covid #edtech #online
#students #teaching #distancelearning
#school #edchat #stayhome https://t.co/qw3393MXA5</t>
  </si>
  <si>
    <t>entirelyedu1
bizimle PHP öğrenin. #java #python
#javascript #programming #coding
#programmer #developer #html #php
#code #indonesia #css #coder #software
#elearning #education #onlinelearning
#learning #covid #edtech #online
#students #teaching #distancelearning
#school #edchat #stayhome https://t.co/qw3393MXA5</t>
  </si>
  <si>
    <t>ricardo_ik_ahau
Analyze Covid-19 data using Pandas
by following along with our tutorial
on Data Analysis with Python. #datascience
#machinelearning #python https://t.co/IixMomC7EU</t>
  </si>
  <si>
    <t>aakashns
Watch synthesized videos of tennis
players, analyze Covid-19 data
using Python, and build an emergency
vehicle detection system - all
part of our Data Science Daily
newsletter. #DataScience #MachineLearning
#Python #DeepLearning https://t.co/9Hob8Xtphx</t>
  </si>
  <si>
    <t>biconnections
Awesome billboard in #SiliconValley
about #COVID__19!! That’s why we
launched our #Startup in #SanFrancisco
&amp;amp; #SV. What is https://t.co/ymLNRnouaV?
Now Open-Sourced &amp;amp; Free! #NoBrowser
#privacy #Anonymous #engineer #girlswhocode
#python #hacker #Javascript #cyber
#Developer https://t.co/ZMQbGPkh7j</t>
  </si>
  <si>
    <t>nobrowser
Awesome billboard in #SiliconValley
about #COVID__19!! That’s why we
launched our #Startup in #SanFrancisco
&amp;amp; #SV. What is https://t.co/ymLNRnouaV?
Now Open-Sourced &amp;amp; Free! #NoBrowser
#privacy #Anonymous #engineer #girlswhocode
#python #hacker #Javascript #cyber
#Developer https://t.co/ZMQbGPkh7j</t>
  </si>
  <si>
    <t>bugbounty18
Covid-19 places greater emphasis
on need for Cyber talent #tech
#ethicalhacking #python https://t.co/C1DljCqfVQ
via @cnbc</t>
  </si>
  <si>
    <t xml:space="preserve">cnbc
</t>
  </si>
  <si>
    <t>securebot1000
Top 5 Cyber Threats during COVID-19
https://t.co/cMxGJgLwFi . #cyber
#privacy #hacking #hacker #pentest
#tech #datascience #code #coding
#python #php #linux #java #webdev
#programming #programmer #webdeveloper
#digital #cloud #technology #security
#covid #coronavirus https://t.co/WsvD807I8s</t>
  </si>
  <si>
    <t>ituneed
Top 5 Cyber Threats during COVID-19
https://t.co/cMxGJgLwFi . #cyber
#privacy #hacking #hacker #pentest
#tech #datascience #code #coding
#python #php #linux #java #webdev
#programming #programmer #webdeveloper
#digital #cloud #technology #security
#covid #coronavirus https://t.co/WsvD807I8s</t>
  </si>
  <si>
    <t>yixuantu1
Top 5 Cyber Threats during COVID-19
https://t.co/cMxGJgLwFi . #cyber
#privacy #hacking #hacker #pentest
#tech #datascience #code #coding
#python #php #linux #java #webdev
#programming #programmer #webdeveloper
#digital #cloud #technology #security
#covid #coronavirus https://t.co/WsvD807I8s</t>
  </si>
  <si>
    <t>passarelliallan
Not on our website, yet- #AIEthics
is an imperative to use #AI for
#SafetyFirst #family care #eldercare
#childcare #chronicillness #BigData
#Python #RStats #Java #JavaScript
#ReactJS #Linux #100DaysOfCode
#iamintel #robots #robotics #COVID__19
#pandemic $GOSY #VoiceFirst https://t.co/TBrOEASPKw</t>
  </si>
  <si>
    <t>grandparobot
#responsibleAI is an imperative
to use #AI for #SafetyFirst #family
care #eldercare #childcare #chronicillness
#BigData #Python #RStats #Java
#JavaScript #ReactJS #Linux #100DaysOfCode
#iamintel #robots #robotics #COVID__19
#pandemic $GOSY #VoiceFirst #ArtificialIntelligence
https://t.co/cX9yqsACem</t>
  </si>
  <si>
    <t>dggonzalez2015
Not on our website, yet- #AIEthics
is an imperative to use #AI for
#SafetyFirst #family care #eldercare
#childcare #chronicillness #BigData
#Python #RStats #Java #JavaScript
#ReactJS #Linux #100DaysOfCode
#iamintel #robots #robotics #COVID__19
#pandemic $GOSY #VoiceFirst https://t.co/TBrOEASPKw</t>
  </si>
  <si>
    <t>rickymacharm
Analyze Covid-19 data using Pandas
by following along with our tutorial
on Data Analysis with Python. #datascience
#machinelearning #python https://t.co/IixMomC7EU</t>
  </si>
  <si>
    <t>sumtic_edtech
Miedo a lo tecnológico. El Covid-19
ha acelerado la digitalización
de los más pequeños no obstante
todavía docentes y familias se
resisten la revolución tecnológica.
https://t.co/Exfp1uHg8p #Python
#Java #Programacion, #coding, #Preescolar,
#Primaria, #robotica, #edtech https://t.co/ZnRYnSvxIB</t>
  </si>
  <si>
    <t>ineditmagazine
Miedo a lo tecnológico. El Covid-19
ha acelerado la digitalización
de los más pequeños no obstante
todavía docentes y familias se
resisten la revolución tecnológica.
https://t.co/Exfp1uHg8p #Python
#Java #Programacion, #coding, #Preescolar,
#Primaria, #robotica, #edtech https://t.co/ZnRYnSvxIB</t>
  </si>
  <si>
    <t>robotconsumer
#responsibleAI is an imperative
to use #AI for #SafetyFirst #family
care #eldercare #childcare #chronicillness
#BigData #Python #RStats #Java
#JavaScript #ReactJS #Linux #100DaysOfCode
#iamintel #robots #robotics #COVID__19
#pandemic $GOSY #VoiceFirst #ArtificialIntelligence
https://t.co/cX9yqsACem</t>
  </si>
  <si>
    <t>hackernoon
"COVID Happened And I Decided to
Stop Gaming And Start Coding" https://t.co/t3It87fbBo
#python #gaming</t>
  </si>
  <si>
    <t>bellsailing
#responsibleAI is an imperative
to use #AI for #SafetyFirst #family
care #eldercare #childcare #chronicillness
#BigData #Python #RStats #Java
#JavaScript #ReactJS #Linux #100DaysOfCode
#iamintel #robots #robotics #COVID__19
#pandemic $GOSY #VoiceFirst #ArtificialIntelligence
https://t.co/cX9yqsACem</t>
  </si>
  <si>
    <t>beakpeaklogic
#responsibleAI is an imperative
to use #AI for #SafetyFirst #family
care #eldercare #childcare #chronicillness
#BigData #Python #RStats #Java
#JavaScript #ReactJS #Linux #100DaysOfCode
#iamintel #robots #robotics #COVID__19
#pandemic $GOSY #VoiceFirst #ArtificialIntelligence
https://t.co/cX9yqsACem</t>
  </si>
  <si>
    <t>bigdataconf
COVID-19 made your data set worthless.
Now what? https://t.co/iw3BUJvktK
#Covid19 #DataScience #MachineLearning
#Deeplearning #ArtificialIntelligence
#BigData #Cassandra #kafka #Hadoop
#spark #NLP #NoSQL #IoT #TensorFlow
#Serverless #Kubernetes #GlobalAI
#R #Python #DataMining</t>
  </si>
  <si>
    <t>nexcomposite
#responsibleAI is an imperative
to use #AI for #SafetyFirst #family
care #eldercare #childcare #chronicillness
#BigData #Python #RStats #Java
#JavaScript #ReactJS #Linux #100DaysOfCode
#iamintel #robots #robotics #COVID__19
#pandemic $GOSY #VoiceFirst #ArtificialIntelligence
https://t.co/cX9yqsACem</t>
  </si>
  <si>
    <t>jgrobicki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</si>
  <si>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dasca_insights
Want to earn more and have a career
that stays in demand in the face
of the global pandemic? Become
a #datascientist! Here’s why: https://t.co/ecJsjUFRUX
#DataEngineering #DataScienceAnalytics
#DataScienceProfessionals #R #SAS
#Python #DataEngineers #DataProcessing
https://t.co/zv3WJ0HS8G</t>
  </si>
  <si>
    <t>colorsofashadow
Miedo a lo tecnológico. El Covid-19
ha acelerado la digitalización
de los más pequeños no obstante
todavía docentes y familias se
resisten la revolución tecnológica.
https://t.co/Exfp1uHg8p #Python
#Java #Programacion, #coding, #Preescolar,
#Primaria, #robotica, #edtech https://t.co/ZnRYnSvxIB</t>
  </si>
  <si>
    <t>education_24x7
Job searches in Artificial Intelligence
rise 106% in one year By @PeopleMatters2
https://t.co/wDlfXJ3Tjq #AI #Covid_19
#MachineLearning #4IR #NLP #Python
#futureofwork #ArtificialIntelligence
Cc @Hana_ElSayyed @debraruh @JolaBurnett
@kkruse @mvollmer1 @MissTalent86
@DrJDrooghaag https://t.co/6zja74fseZ</t>
  </si>
  <si>
    <t>codebug88
If universities want to save _xD83D__xDCB0_
amid the COVID crisis they should
start by dropping all the useless
MATLAB, STATA, and SPSS licenses
&amp;amp; switch to the better designed,
more powerful, and FREE/OPEN SOURCE
languages like #Python, #R and
#Julia No justification to continue
wasting $!</t>
  </si>
  <si>
    <t>tanwarkml
If universities want to save _xD83D__xDCB0_
amid the COVID crisis they should
start by dropping all the useless
MATLAB, STATA, and SPSS licenses
&amp;amp; switch to the better designed,
more powerful, and FREE/OPEN SOURCE
languages like #Python, #R and
#Julia No justification to continue
wasting $!</t>
  </si>
  <si>
    <t>hiveforensics
Awesome billboard in #SiliconValley
about #COVID__19!! That’s why we
launched our #Startup in #SanFrancisco
&amp;amp; #SV. What is https://t.co/ymLNRnouaV?
Now Open-Sourced &amp;amp; Free! #NoBrowser
#privacy #Anonymous #engineer #girlswhocode
#python #hacker #Javascript #cyber
#Developer https://t.co/ZMQbGPkh7j</t>
  </si>
  <si>
    <t>tsgabriel__
Awesome billboard in #SiliconValley
about #COVID__19!! That’s why we
launched our #Startup in #SanFrancisco
&amp;amp; #SV. What is https://t.co/ymLNRnouaV?
Now Open-Sourced &amp;amp; Free! #NoBrowser
#privacy #Anonymous #engineer #girlswhocode
#python #hacker #Javascript #cyber
#Developer https://t.co/ZMQbGPkh7j</t>
  </si>
  <si>
    <t>cybersecurityn8
#informationtechnology #technology
#it #cybersecurity #tech #computerscience
#business #innovation #programming
#software #programmer #coding #engineering
#computer #informationsecurity
#java #security #hacking #newtechnology
#covid #technologynews #information
#python #developer https://t.co/Y2vo1kBvYl</t>
  </si>
  <si>
    <t>bitinfocode
#informationtechnology #technology
#it #cybersecurity #tech #computerscience
#business #innovation #programming
#software #programmer #coding #engineering
#computer #informationsecurity
#java #security #hacking #newtechnology
#covid #technologynews #information
#python #developer https://t.co/Y2vo1kBvYl</t>
  </si>
  <si>
    <t>sectest9
#informationtechnology #technology
#it #cybersecurity #tech #computerscience
#business #innovation #programming
#software #programmer #coding #engineering
#computer #informationsecurity
#java #security #hacking #newtechnology
#covid #technologynews #information
#python #developer https://t.co/Y2vo1kBvYl</t>
  </si>
  <si>
    <t>iphonegalaxymd
Help.send() #programming #programmingmemes
#programminghumor #reddit #c #java
#javascript #php #python #helloworld
#stackoverflow #code #coding #development
#developer #html #css #programmerlife
#frontend #backend #programmer
#billboard #teamviewer #bug #corona
#coronamemes https://t.co/NBAib75UWJ</t>
  </si>
  <si>
    <t>jsfairy
Help.send() #programming #programmingmemes
#programminghumor #reddit #c #java
#javascript #php #python #helloworld
#stackoverflow #code #coding #development
#developer #html #css #programmerlife
#frontend #backend #programmer
#billboard #teamviewer #bug #corona
#coronamemes https://t.co/NBAib75UWJ</t>
  </si>
  <si>
    <t>jovianml
Watch synthesized videos of tennis
players, analyze Covid-19 data
using Python, and build an emergency
vehicle detection system - all
part of our Data Science Daily
newsletter. #DataScience #MachineLearning
#Python #DeepLearning https://t.co/9Hob8Xtphx</t>
  </si>
  <si>
    <t>dsnetorg
Watch synthesized videos of tennis
players, analyze Covid-19 data
using Python, and build an emergency
vehicle detection system - all
part of our Data Science Daily
newsletter. #DataScience #MachineLearning
#Python #DeepLearning https://t.co/9Hob8Xtphx</t>
  </si>
  <si>
    <t>gabrielanthonyp
Watch synthesized videos of tennis
players, analyze Covid-19 data
using Python, and build an emergency
vehicle detection system - all
part of our Data Science Daily
newsletter. #DataScience #MachineLearning
#Python #DeepLearning https://t.co/9Hob8Xtphx</t>
  </si>
  <si>
    <t>nikolas49942251
@moshhamedani Thank you for the
course Mosh. I work in the hospitality
industry and due to COVID-19 I
thought it would be smart to explore
other industries. Coding is fun,
but very difficult for newbies..Feels
jumping in deep water..._xD83D__xDE43_#python</t>
  </si>
  <si>
    <t xml:space="preserve">moshhamedani
</t>
  </si>
  <si>
    <t>rmel4060
#responsibleAI is an imperative
to use #AI for #SafetyFirst #family
care #eldercare #childcare #chronicillness
#BigData #Python #RStats #Java
#JavaScript #ReactJS #Linux #100DaysOfCode
#iamintel #robots #robotics #COVID__19
#pandemic $GOSY #VoiceFirst #ArtificialIntelligence
https://t.co/cX9yqsACem</t>
  </si>
  <si>
    <t>tiiso_j
The pandemic forced us to re-examine
our roles as employers and employees,
our goals, our values, and how
we merge work and home life. #corona
#covid #coronavirus #stayhome #quarantine
#Python #100DaysOfCode #MachineLearning
#100DaysOfMLCode #AI #javascript
#womenwhocode https://t.co/VHr8Pq4s8x</t>
  </si>
  <si>
    <t>appverticals
The pandemic forced us to re-examine
our roles as employers and employees,
our goals, our values, and how
we merge work and home life. #corona
#covid #coronavirus #stayhome #quarantine
#Python #100DaysOfCode #MachineLearning
#100DaysOfMLCode #AI #javascript
#womenwhocode https://t.co/VHr8Pq4s8x</t>
  </si>
  <si>
    <t>dscfutabot
The pandemic forced us to re-examine
our roles as employers and employees,
our goals, our values, and how
we merge work and home life. #corona
#covid #coronavirus #stayhome #quarantine
#Python #100DaysOfCode #MachineLearning
#100DaysOfMLCode #AI #javascript
#womenwhocode https://t.co/VHr8Pq4s8x</t>
  </si>
  <si>
    <t>pybron137
Hypothesis Testing Statistics Problems
&amp;amp; Examples(covid19) #Python
#Python3 #pythonprogramming #DataScience
#ML #AI #COVID19 #COVID__19 https://t.co/owJWmTTeEO</t>
  </si>
  <si>
    <t>akhigolu23
Hypothesis Testing Statistics Problems
&amp;amp; Examples(covid19) #Python
#Python3 #pythonprogramming #DataScience
#ML #AI #COVID19 #COVID__19 https://t.co/owJWmTTeEO</t>
  </si>
  <si>
    <t>sooritrade20
#responsibleAI is an imperative
to use #AI for #SafetyFirst #family
care #eldercare #childcare #chronicillness
#BigData #Python #RStats #Java
#JavaScript #ReactJS #Linux #100DaysOfCode
#iamintel #robots #robotics #COVID__19
#pandemic $GOSY #VoiceFirst #ArtificialIntelligence
https://t.co/cX9yqsACem</t>
  </si>
  <si>
    <t>grjenkin
Multi-Step Multivariate Time Series
for Covid-19 https://t.co/NXSxRuJI2p
#BigData #Analytics #DataScience
#AI #MachineLearning #IoT #IIoT
#PyTorch #Python #RStats #TensorFlow
#CloudComputing #Serverless #DataScientist
#ArtificialIntelligence #DataScientists
#Data #TensorFlow</t>
  </si>
  <si>
    <t>sharmichat82
Multi-Step Multivariate Time Series
for Covid-19 https://t.co/NXSxRuJI2p
#BigData #Analytics #DataScience
#AI #MachineLearning #IoT #IIoT
#PyTorch #Python #RStats #TensorFlow
#CloudComputing #Serverless #DataScientist
#ArtificialIntelligence #DataScientists
#Data #TensorFlow</t>
  </si>
  <si>
    <t>codequsdotcom
Corona Virus Live Updates in India
using Python ☞ https://t.co/mL43V5CUO4
#Python #Morioh https://t.co/oSkb1tFyAP</t>
  </si>
  <si>
    <t>hustle2015
#AIEthics is an imperative to use
#AI for #SafetyFirst #family care
#eldercare #childcare #chronicillness
#BigData #Python #RStats #Java
#JavaScript #ReactJS #Linux #100DaysOfCode
#iamintel #robots #robotics #COVID__19
#pandemic $GOSY #VoiceFirst #ArtificialIntelligence
#ML https://t.co/KtAOlisirW</t>
  </si>
  <si>
    <t>americaasians
#AIEthics is an imperative to use
#AI for #SafetyFirst #family care
#eldercare #childcare #chronicillness
#BigData #Python #RStats #Java
#JavaScript #ReactJS #Linux #100DaysOfCode
#iamintel #robots #robotics #COVID__19
#pandemic $GOSY #VoiceFirst #ArtificialIntelligence
#ML https://t.co/KtAOlisirW</t>
  </si>
  <si>
    <t>retweetburner
#AIEthics is an imperative to use
#AI for #SafetyFirst #family care
#eldercare #childcare #chronicillness
#BigData #Python #RStats #Java
#JavaScript #ReactJS #Linux #100DaysOfCode
#iamintel #robots #robotics #COVID__19
#pandemic $GOSY #VoiceFirst #ArtificialIntelligence
#ML https://t.co/KtAOlisirW</t>
  </si>
  <si>
    <t>algorithmsb
#AIEthics is an imperative to use
#AI for #SafetyFirst #family care
#eldercare #childcare #chronicillness
#BigData #Python #RStats #Java
#JavaScript #ReactJS #Linux #100DaysOfCode
#iamintel #robots #robotics #COVID__19
#pandemic $GOSY #VoiceFirst #ArtificialIntelligence
#ML https://t.co/KtAOlisirW</t>
  </si>
  <si>
    <t>innovateod
Never a better time to advance
your skillset! #businessadvice
#designthinking #ThinkLogicallyActAccordingly
#BusinessIntelligence #Covid_19
#Python Best Resources for Mastering
Python https://t.co/B6ZkhXW4TX
https://t.co/CxVbJBWGpd</t>
  </si>
  <si>
    <t>advanceml
Updated 8-Sep-2020: Daily new Covid-19
cases per 100K of population by
state. Now with 5-day moving average
to smooth the heat map. #COVID19
#python #DataVisualization #CrushCovid19
Code at https://t.co/Mt4WmZAcab
https://t.co/DKd3CtbUlw</t>
  </si>
  <si>
    <t>jrbowling
Updated 8-Sep-2020: Daily new Covid-19
cases per 100K of population by
state. Now with 5-day moving average
to smooth the heat map. #COVID19
#python #DataVisualization #CrushCovid19
Code at https://t.co/Mt4WmZAcab
https://t.co/DKd3CtbUlw</t>
  </si>
  <si>
    <t>wwrandazzo
The Covid 19 isolation came with
a lot of problems but at the same
time it came with oportunitties.
I had the chance to get deep on
my favorite DEV language. After
a long while and many hours of
development, it has been done:
My first software system with #Python
#Tkinter #Django https://t.co/HLpB6Mv18q</t>
  </si>
  <si>
    <t>rodo_nasif
The Covid 19 isolation came with
a lot of problems but at the same
time it came with oportunitties.
I had the chance to get deep on
my favorite DEV language. After
a long while and many hours of
development, it has been done:
My first software system with #Python
#Tkinter #Django https://t.co/HLpB6Mv18q</t>
  </si>
  <si>
    <t>rush_data
Analyze Covid-19 data using Pandas
by following along with our tutorial
on Data Analysis with Python. #datascience
#machinelearning #python https://t.co/IixMomC7EU</t>
  </si>
  <si>
    <t>bizcom
Combatting COVID-19 misinformation
with #machinelearning https://t.co/rTN7Pr31uW
#DataScience #Deeplearning #ArtificialIntelligence
#NLP #NoSQL #IoT #Bigdata #Cassandra
#Kafka #hadoop #spark #TensorFlow
#Serverless #Kubernetes #R #Python
#DataMining #Database #GlobalAI</t>
  </si>
  <si>
    <t>hackingdom_io
Combatting COVID-19 misinformation
with #machinelearning https://t.co/rTN7Pr31uW
#DataScience #Deeplearning #ArtificialIntelligence
#NLP #NoSQL #IoT #Bigdata #Cassandra
#Kafka #hadoop #spark #TensorFlow
#Serverless #Kubernetes #R #Python
#DataMining #Database #GlobalAI</t>
  </si>
  <si>
    <t>patosins
Combatting COVID-19 misinformation
with #machinelearning https://t.co/rTN7Pr31uW
#DataScience #Deeplearning #ArtificialIntelligence
#NLP #NoSQL #IoT #Bigdata #Cassandra
#Kafka #hadoop #spark #TensorFlow
#Serverless #Kubernetes #R #Python
#DataMining #Database #GlobalAI</t>
  </si>
  <si>
    <t>aisear_ch
Combatting COVID-19 misinformation
with #machinelearning https://t.co/rTN7Pr31uW
#DataScience #Deeplearning #ArtificialIntelligence
#NLP #NoSQL #IoT #Bigdata #Cassandra
#Kafka #hadoop #spark #TensorFlow
#Serverless #Kubernetes #R #Python
#DataMining #Database #GlobalAI</t>
  </si>
  <si>
    <t>sureshrukman
Combatting COVID-19 misinformation
with #machinelearning https://t.co/rTN7Pr31uW
#DataScience #Deeplearning #ArtificialIntelligence
#NLP #NoSQL #IoT #Bigdata #Cassandra
#Kafka #hadoop #spark #TensorFlow
#Serverless #Kubernetes #R #Python
#DataMining #Database #GlobalAI</t>
  </si>
  <si>
    <t>medicaliphone
Combatting COVID-19 misinformation
with #machinelearning https://t.co/rTN7Pr31uW
#DataScience #Deeplearning #ArtificialIntelligence
#NLP #NoSQL #IoT #Bigdata #Cassandra
#Kafka #hadoop #spark #TensorFlow
#Serverless #Kubernetes #R #Python
#DataMining #Database #GlobalAI</t>
  </si>
  <si>
    <t>corizance
Combatting COVID-19 misinformation
with #machinelearning https://t.co/rTN7Pr31uW
#DataScience #Deeplearning #ArtificialIntelligence
#NLP #NoSQL #IoT #Bigdata #Cassandra
#Kafka #hadoop #spark #TensorFlow
#Serverless #Kubernetes #R #Python
#DataMining #Database #GlobalAI</t>
  </si>
  <si>
    <t>cardsdoc2012
#AIEthics is an imperative to use
#AI for #SafetyFirst #family care
#eldercare #childcare #chronicillness
#BigData #Python #RStats #Java
#JavaScript #ReactJS #Linux #100DaysOfCode
#iamintel #robots #robotics #COVID__19
#pandemic $GOSY #VoiceFirst #ArtificialIntelligence
#ML https://t.co/KtAOlisirW</t>
  </si>
  <si>
    <t>1nterestingtech
Combatting COVID-19 misinformation
with #machinelearning https://t.co/rTN7Pr31uW
#DataScience #Deeplearning #ArtificialIntelligence
#NLP #NoSQL #IoT #Bigdata #Cassandra
#Kafka #hadoop #spark #TensorFlow
#Serverless #Kubernetes #R #Python
#DataMining #Database #GlobalAI</t>
  </si>
  <si>
    <t>dybalafan10
This is an updated version of my
first Python Dash project for covid-19
analysis. I've added more plotting
options and made UI somewhat better.
Still lots of works to do and changes
to make. Have a look : https://t.co/EHAz4PgwX8
_xD83D__xDC68_‍_xD83D__xDCBB__xD83D__xDCCA__xD83D__xDCC9_☺️ #100DaysOfCode #python
#javascript #dev https://t.co/fPvmR1aRs6</t>
  </si>
  <si>
    <t>switchhitx
This is an updated version of my
first Python Dash project for covid-19
analysis. I've added more plotting
options and made UI somewhat better.
Still lots of works to do and changes
to make. Have a look : https://t.co/EHAz4PgwX8
_xD83D__xDC68_‍_xD83D__xDCBB__xD83D__xDCCA__xD83D__xDCC9_☺️ #100DaysOfCode #python
#javascript #dev https://t.co/fPvmR1aRs6</t>
  </si>
  <si>
    <t>rajrahula_
Throwback article on #coronavirus
to early days of March 2020 https://t.co/mHavI9BWtk
#Corona #coronavirusuk #COVID #pythonprogramming
#python #visualart</t>
  </si>
  <si>
    <t>andrea_ilsergio
Combatting COVID-19 misinformation
with #machinelearning https://t.co/rTN7Pr31uW
#DataScience #Deeplearning #ArtificialIntelligence
#NLP #NoSQL #IoT #Bigdata #Cassandra
#Kafka #hadoop #spark #TensorFlow
#Serverless #Kubernetes #R #Python
#DataMining #Database #GlobalAI</t>
  </si>
  <si>
    <t>k_cybersecwrld
Due to COVID-19, Coursera has made
some of their Programming Courses
FREE and you can earn a ... https://t.co/2Vjd54YyhX
#programming #softwareengineering
#bigdata #datascience #analytics
#ai #python #javascript</t>
  </si>
  <si>
    <t>_choccie
Due to COVID-19, Coursera has made
some of their Programming Courses
FREE and you can earn a ... https://t.co/2Vjd54YyhX
#programming #softwareengineering
#bigdata #datascience #analytics
#ai #python #javascript</t>
  </si>
  <si>
    <t>bigdatabra
Due to COVID-19, Coursera has made
some of their Programming Courses
FREE and you can earn a ... https://t.co/2Vjd54YyhX
#programming #softwareengineering
#bigdata #datascience #analytics
#ai #python #javascript</t>
  </si>
  <si>
    <t>wawan19831
Combatting COVID-19 misinformation
with #machinelearning https://t.co/rTN7Pr31uW
#DataScience #Deeplearning #ArtificialIntelligence
#NLP #NoSQL #IoT #Bigdata #Cassandra
#Kafka #hadoop #spark #TensorFlow
#Serverless #Kubernetes #R #Python
#DataMining #Database #GlobalAI</t>
  </si>
  <si>
    <t>deletedthisbihh
#Covid19 #AI Update: #NIH Developing
Imaging Tools https://t.co/HEatKqjjfG
#bigdata #USA #Defstar5 #FemTech
#womenWhoCode #UK #AI #IOT #Tech
#DATA #dataScientist #dataScience
#Linux #FRENCHtech #100daysofCode
#RStats #Website #Javascript #France
#Python #digitalTransformation</t>
  </si>
  <si>
    <t>chidambara09
#Learn how to use #BigData analysis
to solve real world problems. Enroll
for a #webinar on COVID-19 Lockdown
Analysis with Big Data on 13 Sep
11:30 AM GMT 1️⃣Register @ https://t.co/rW55tH0Viq
2️⃣Book your slot@ https://t.co/p7cbT1PKEN
#education #Coding #100DaysOfCode
#Python https://t.co/GGnHpjHrVm</t>
  </si>
  <si>
    <t>lildukieme
#Covid19 #AI Update: #NIH Developing
Imaging Tools https://t.co/HEatKqjjfG
#bigdata #USA #Defstar5 #FemTech
#womenWhoCode #UK #AI #IOT #Tech
#DATA #dataScientist #dataScience
#Linux #FRENCHtech #100daysofCode
#RStats #Website #Javascript #France
#Python #digitalTransformation</t>
  </si>
  <si>
    <t>kiilla3sup
#Covid19 #AI Update: #NIH Developing
Imaging Tools https://t.co/HEatKqjjfG
#bigdata #USA #Defstar5 #FemTech
#womenWhoCode #UK #AI #IOT #Tech
#DATA #dataScientist #dataScience
#Linux #FRENCHtech #100daysofCode
#RStats #Website #Javascript #France
#Python #digitalTransformation</t>
  </si>
  <si>
    <t>zokio8
This is an updated version of my
first Python Dash project for covid-19
analysis. I've added more plotting
options and made UI somewhat better.
Still lots of works to do and changes
to make. Have a look : https://t.co/EHAz4PgwX8
_xD83D__xDC68_‍_xD83D__xDCBB__xD83D__xDCCA__xD83D__xDCC9_☺️ #100DaysOfCode #python
#javascript #dev https://t.co/fPvmR1aRs6</t>
  </si>
  <si>
    <t>js_bot_code
This is an updated version of my
first Python Dash project for covid-19
analysis. I've added more plotting
options and made UI somewhat better.
Still lots of works to do and changes
to make. Have a look : https://t.co/EHAz4PgwX8
_xD83D__xDC68_‍_xD83D__xDCBB__xD83D__xDCCA__xD83D__xDCC9_☺️ #100DaysOfCode #python
#javascript #dev https://t.co/fPvmR1aRs6</t>
  </si>
  <si>
    <t>shybot7
Big Data’s Role in the Post-COVID
Era https://t.co/WWwLf1QgBe #DataScience
#MachineLearning #Deeplearning
#NLP #NoSQL #IoT #Bigdata #Cassandra
#Kafka #Hadoop #spark #Tensorflow
#Serverless #Kubernetes #GlobalAI
#R #python #DataMining #DataBase</t>
  </si>
  <si>
    <t>cyril_chiffot
Big Data’s Role in the Post-COVID
Era https://t.co/WWwLf1QgBe #DataScience
#MachineLearning #Deeplearning
#NLP #NoSQL #IoT #Bigdata #Cassandra
#Kafka #Hadoop #spark #Tensorflow
#Serverless #Kubernetes #GlobalAI
#R #python #DataMining #DataBase</t>
  </si>
  <si>
    <t>techsolzenastra
Big Data’s Role in the Post-COVID
Era https://t.co/WWwLf1QgBe #DataScience
#MachineLearning #Deeplearning
#NLP #NoSQL #IoT #Bigdata #Cassandra
#Kafka #Hadoop #spark #Tensorflow
#Serverless #Kubernetes #GlobalAI
#R #python #DataMining #DataBase</t>
  </si>
  <si>
    <t>melissablive
Big Data’s Role in the Post-COVID
Era https://t.co/WWwLf1QgBe #DataScience
#MachineLearning #Deeplearning
#NLP #NoSQL #IoT #Bigdata #Cassandra
#Kafka #Hadoop #spark #Tensorflow
#Serverless #Kubernetes #GlobalAI
#R #python #DataMining #DataBase</t>
  </si>
  <si>
    <t>neuralnetwork_
Big Data’s Role in the Post-COVID
Era https://t.co/WWwLf1QgBe #DataScience
#MachineLearning #Deeplearning
#NLP #NoSQL #IoT #Bigdata #Cassandra
#Kafka #Hadoop #spark #Tensorflow
#Serverless #Kubernetes #GlobalAI
#R #python #DataMining #DataBase</t>
  </si>
  <si>
    <t>thomashilbig2
Big Data’s Role in the Post-COVID
Era https://t.co/WWwLf1QgBe #DataScience
#MachineLearning #Deeplearning
#NLP #NoSQL #IoT #Bigdata #Cassandra
#Kafka #Hadoop #spark #Tensorflow
#Serverless #Kubernetes #GlobalAI
#R #python #DataMining #DataBase</t>
  </si>
  <si>
    <t>o_g_log
Big Data’s Role in the Post-COVID
Era https://t.co/WWwLf1QgBe #DataScience
#MachineLearning #Deeplearning
#NLP #NoSQL #IoT #Bigdata #Cassandra
#Kafka #Hadoop #spark #Tensorflow
#Serverless #Kubernetes #GlobalAI
#R #python #DataMining #DataBase</t>
  </si>
  <si>
    <t>ga7actic
Big Data’s Role in the Post-COVID
Era https://t.co/WWwLf1QgBe #DataScience
#MachineLearning #Deeplearning
#NLP #NoSQL #IoT #Bigdata #Cassandra
#Kafka #Hadoop #spark #Tensorflow
#Serverless #Kubernetes #GlobalAI
#R #python #DataMining #DataBase</t>
  </si>
  <si>
    <t>pawansomanchi
Big Data’s Role in the Post-COVID
Era https://t.co/WWwLf1QgBe #DataScience
#MachineLearning #Deeplearning
#NLP #NoSQL #IoT #Bigdata #Cassandra
#Kafka #Hadoop #spark #Tensorflow
#Serverless #Kubernetes #GlobalAI
#R #python #DataMining #DataBase</t>
  </si>
  <si>
    <t>techfuturenew
Big Data’s Role in the Post-COVID
Era https://t.co/WWwLf1QgBe #DataScience
#MachineLearning #Deeplearning
#NLP #NoSQL #IoT #Bigdata #Cassandra
#Kafka #Hadoop #spark #Tensorflow
#Serverless #Kubernetes #GlobalAI
#R #python #DataMining #DataBase</t>
  </si>
  <si>
    <t>metintokerer
Başlangıç için hiç fena sayılmaz
_xD83D__xDE15_ #Python #Corona https://t.co/Iv7tFTCkf4</t>
  </si>
  <si>
    <t>paigedi85253011
Updated 8-Sep-2020: Daily new Covid-19
cases per 100K of population by
state. Now with 5-day moving average
to smooth the heat map. #COVID19
#python #DataVisualization #CrushCovid19
Code at https://t.co/Mt4WmZAcab
https://t.co/DKd3CtbUlw</t>
  </si>
  <si>
    <t>thecuriousluke
We must prevent a post-#COVID 'carmageddon'.
Here's #HOW https://t.co/aZgmSFFxlb
via @wef #bigdata #AI #IOT #Tech
#DATA #dataScientist #dataScience
#Linux #FRENCHtech #100daysofCode
#RStats #Javascript #France #USA
#Defstar5 #FemTech #Python #MachineLearning
#womenWhoCode #UK</t>
  </si>
  <si>
    <t xml:space="preserve">wef
</t>
  </si>
  <si>
    <t>sheilagivens4
We must prevent a post-#COVID 'carmageddon'.
Here's #HOW https://t.co/aZgmSFFxlb
via @wef #bigdata #AI #IOT #Tech
#DATA #dataScientist #dataScience
#Linux #FRENCHtech #100daysofCode
#RStats #Javascript #France #USA
#Defstar5 #FemTech #Python #MachineLearning
#womenWhoCode #UK</t>
  </si>
  <si>
    <t>meyoumusicboy
We must prevent a post-#COVID 'carmageddon'.
Here's #HOW https://t.co/aZgmSFFxlb
via @wef #bigdata #AI #IOT #Tech
#DATA #dataScientist #dataScience
#Linux #FRENCHtech #100daysofCode
#RStats #Javascript #France #USA
#Defstar5 #FemTech #Python #MachineLearning
#womenWhoCode #UK</t>
  </si>
  <si>
    <t>linuxdreams
We must prevent a post-#COVID 'carmageddon'.
Here's #HOW https://t.co/aZgmSFFxlb
via @wef #bigdata #AI #IOT #Tech
#DATA #dataScientist #dataScience
#Linux #FRENCHtech #100daysofCode
#RStats #Javascript #France #USA
#Defstar5 #FemTech #Python #MachineLearning
#womenWhoCode #UK</t>
  </si>
  <si>
    <t>smuvdj
We must prevent a post-#COVID 'carmageddon'.
Here's #HOW https://t.co/aZgmSFFxlb
via @wef #bigdata #AI #IOT #Tech
#DATA #dataScientist #dataScience
#Linux #FRENCHtech #100daysofCode
#RStats #Javascript #France #USA
#Defstar5 #FemTech #Python #MachineLearning
#womenWhoCode #UK</t>
  </si>
  <si>
    <t>iotvishal
We must prevent a post-#COVID 'carmageddon'.
Here's #HOW https://t.co/aZgmSFFxlb
via @wef #bigdata #AI #IOT #Tech
#DATA #dataScientist #dataScience
#Linux #FRENCHtech #100daysofCode
#RStats #Javascript #France #USA
#Defstar5 #FemTech #Python #MachineLearning
#womenWhoCode #UK</t>
  </si>
  <si>
    <t>digitogether
We must prevent a post-#COVID 'carmageddon'.
Here's #HOW https://t.co/aZgmSFFxlb
via @wef #bigdata #AI #IOT #Tech
#DATA #dataScientist #dataScience
#Linux #FRENCHtech #100daysofCode
#RStats #Javascript #France #USA
#Defstar5 #FemTech #Python #MachineLearning
#womenWhoCode #UK</t>
  </si>
  <si>
    <t>taymobtopdog
We must prevent a post-#COVID 'carmageddon'.
Here's #HOW https://t.co/aZgmSFFxlb
via @wef #bigdata #AI #IOT #Tech
#DATA #dataScientist #dataScience
#Linux #FRENCHtech #100daysofCode
#RStats #Javascript #France #USA
#Defstar5 #FemTech #Python #MachineLearning
#womenWhoCode #UK</t>
  </si>
  <si>
    <t>chanduanus
Big Data’s Role in the Post-COVID
Era https://t.co/slFl8ccriz #DataScience
#MachineLearning #Deeplearning
#NLP #NoSQL #IoT #Bigdata #Cassandra
#Kafka #Hadoop #spark #Tensorflow
#Serverless #Kubernetes #GlobalAI
#R #python #DataMining #Database</t>
  </si>
  <si>
    <t>serverlessfan
COVID-19 made your data set worthless.
Now what? https://t.co/iw3BUJvktK
#Covid19 #DataScience #MachineLearning
#Deeplearning #ArtificialIntelligence
#BigData #Cassandra #kafka #Hadoop
#spark #NLP #NoSQL #IoT #TensorFlow
#Serverless #Kubernetes #GlobalAI
#R #Python #DataMining</t>
  </si>
  <si>
    <t>corona_dragon
A Tour of End-to-End Machine Learning
Platforms. #DataScience #BigData
#Analytics #AI #Python #RStats
#JavaScript #ReactJS #Serverless
#DataScientist #IoT #Linux #Programming
#100DaysofCode #DataMining #DeepLearning
#MachineLearning #ArtificialIntelligence
https://t.co/lCXLqPGThf https://t.co/Vy36bPzGz9</t>
  </si>
  <si>
    <t>machine_ml
#Trending: Staff repurposing as
a response to Covid-19 - IT-Online
#pyton #python #pythonic #ml #machinelearning
Read More Here: https://t.co/vXpdiWBf7o</t>
  </si>
  <si>
    <t>cloudcoopitaly
COVID-19 made your data set worthless.
Now what? https://t.co/iw3BUJvktK
#Covid19 #DataScience #MachineLearning
#Deeplearning #ArtificialIntelligence
#BigData #Cassandra #kafka #Hadoop
#spark #NLP #NoSQL #IoT #TensorFlow
#Serverless #Kubernetes #GlobalAI
#R #Python #DataMining</t>
  </si>
  <si>
    <t>iamawebdesiger
Exploring Covid 19 Data in Python
☞ https://t.co/kdEDKfyw2Y #Python
#COVID19 #Morioh https://t.co/oOCuI4mGXx</t>
  </si>
  <si>
    <t>iamchuckrussell
#TechStuff: Staff repurposing as
a response to Covid-19 - IT-Online
#pyton #python #pythonic #ml #machinelearning
Read More Here: https://t.co/lNk7xuw115</t>
  </si>
  <si>
    <t>hchoros
_xD83D__xDE31_ Harvard University is offering
Free #AI, #ML, and #DataScience
Courses Link: https://t.co/tKKmHJWvPb
#MachineLearning #BigData #IoT
#Python #RStats #JavaScript #ReactJS
#CloudComputing #Serverless #Linux
#100DaysofCode #Corona https://t.co/XnepLrPhzo
via @TheInsaneApp</t>
  </si>
  <si>
    <t xml:space="preserve">theinsaneapp
</t>
  </si>
  <si>
    <t>worldofscitech
_xD83D__xDE31_ Harvard University is offering
Free #AI, #ML, and #DataScience
Courses Link: https://t.co/tKKmHJWvPb
#MachineLearning #BigData #IoT
#Python #RStats #JavaScript #ReactJS
#CloudComputing #Serverless #Linux
#100DaysofCode #Corona https://t.co/XnepLrPhzo
via @TheInsaneApp</t>
  </si>
  <si>
    <t>itknowingness
_xD83D__xDE31_ Harvard University is offering
Free #AI, #ML, and #DataScience
Courses Link: https://t.co/tKKmHJWvPb
#MachineLearning #BigData #IoT
#Python #RStats #JavaScript #ReactJS
#CloudComputing #Serverless #Linux
#100DaysofCode #Corona https://t.co/XnepLrPhzo
via @TheInsaneApp</t>
  </si>
  <si>
    <t>maviebleue2
_xD83D__xDE31_ Harvard University is offering
Free #AI, #ML, and #DataScience
Courses Link: https://t.co/tKKmHJWvPb
#MachineLearning #BigData #IoT
#Python #RStats #JavaScript #ReactJS
#CloudComputing #Serverless #Linux
#100DaysofCode #Corona https://t.co/XnepLrPhzo
via @TheInsaneApp</t>
  </si>
  <si>
    <t>blkhwk0ps
_xD83D__xDE31_ Harvard University is offering
Free #AI, #ML, and #DataScience
Courses Link: https://t.co/tKKmHJWvPb
#MachineLearning #BigData #IoT
#Python #RStats #JavaScript #ReactJS
#CloudComputing #Serverless #Linux
#100DaysofCode #Corona https://t.co/XnepLrPhzo
via @TheInsaneApp</t>
  </si>
  <si>
    <t>_reactdev
_xD83D__xDE31_ Harvard University is offering
Free #AI, #ML, and #DataScience
Courses Link: https://t.co/tKKmHJWvPb
#MachineLearning #BigData #IoT
#Python #RStats #JavaScript #ReactJS
#CloudComputing #Serverless #Linux
#100DaysofCode #Corona https://t.co/XnepLrPhzo
via @TheInsaneApp</t>
  </si>
  <si>
    <t>raymondmorrow
_xD83D__xDE31_ Harvard University is offering
Free #AI, #ML, and #DataScience
Courses Link: https://t.co/tKKmHJWvPb
#MachineLearning #BigData #IoT
#Python #RStats #JavaScript #ReactJS
#CloudComputing #Serverless #Linux
#100DaysofCode #Corona https://t.co/XnepLrPhzo
via @TheInsaneApp</t>
  </si>
  <si>
    <t>2bftawfik
#Learn how to use #BigData analysis
to solve real world problems. Enroll
for a #webinar on COVID-19 Lockdown
Analysis with Big Data on 13 Sep
11:30 AM GMT 1️⃣Register @ https://t.co/rW55tH0Viq
2️⃣Book your slot@ https://t.co/p7cbT1PKEN
#education #Coding #100DaysOfCode
#Python https://t.co/GGnHpjHrVm</t>
  </si>
  <si>
    <t>sanjo_jose
#Learn how to use #BigData analysis
to solve real world problems. Enroll
for a #webinar on COVID-19 Lockdown
Analysis with Big Data on 13 Sep
11:30 AM GMT 1️⃣Register @ https://t.co/rW55tH0Viq
2️⃣Book your slot@ https://t.co/p7cbT1PKEN
#education #Coding #100DaysOfCode
#Python https://t.co/GGnHpjHrVm</t>
  </si>
  <si>
    <t>brainroaring
#Trending: Staff repurposing as
a response to Covid-19 - IT-Online
#pyton #python #pythonic #ml #machinelearning
Read More Here: https://t.co/vXpdiWBf7o</t>
  </si>
  <si>
    <t>cichuck
#Trending: Staff repurposing as
a response to Covid-19 - IT-Online
#pyton #python #pythonic #ml #machinelearning
Read More Here: https://t.co/vXpdiWBf7o</t>
  </si>
  <si>
    <t>sriniwolfie
#Learn how to use #BigData analysis
to solve real world problems. Enroll
for a #webinar on COVID-19 Lockdown
Analysis with Big Data on 13 Sep
11:30 AM GMT 1️⃣Register @ https://t.co/rW55tH0Viq
2️⃣Book your slot@ https://t.co/p7cbT1PKEN
#education #Coding #100DaysOfCode
#Python https://t.co/GGnHpjHrVm</t>
  </si>
  <si>
    <t>codebloodedbot
#Learn how to use #BigData analysis
to solve real world problems. Enroll
for a #webinar on COVID-19 Lockdown
Analysis with Big Data on 13 Sep
11:30 AM GMT 1️⃣Register @ https://t.co/rW55tH0Viq
2️⃣Book your slot@ https://t.co/p7cbT1PKEN
#education #Coding #100DaysOfCode
#Python https://t.co/GGnHpjHrVm</t>
  </si>
  <si>
    <t>classicnoir93
"Test your code " is the adult
version of "revise your answersheet
before submitting" . #COVID__19
#COVID__19 #Code #100DaysOfCode
#javascript #Python #MachineLearning
#tech #SSR</t>
  </si>
  <si>
    <t>powerbi_pros
#Learn how to use #BigData analysis
to solve real world problems. Enroll
for a #webinar on COVID-19 Lockdown
Analysis with Big Data on 13 Sep
11:30 AM GMT 1️⃣Register @ https://t.co/rW55tH0Viq
2️⃣Book your slot@ https://t.co/p7cbT1PKEN
#education #Coding #100DaysOfCode
#Python https://t.co/GGnHpjHrVm</t>
  </si>
  <si>
    <t>techbiesblog
This is an updated version of my
first Python Dash project for covid-19
analysis. I've added more plotting
options and made UI somewhat better.
Still lots of works to do and changes
to make. Have a look : https://t.co/EHAz4PgwX8
_xD83D__xDC68_‍_xD83D__xDCBB__xD83D__xDCCA__xD83D__xDCC9_☺️ #100DaysOfCode #python
#javascript #dev https://t.co/fPvmR1aRs6</t>
  </si>
  <si>
    <t>freakinroll
This is an updated version of my
first Python Dash project for covid-19
analysis. I've added more plotting
options and made UI somewhat better.
Still lots of works to do and changes
to make. Have a look : https://t.co/EHAz4PgwX8
_xD83D__xDC68_‍_xD83D__xDCBB__xD83D__xDCCA__xD83D__xDCC9_☺️ #100DaysOfCode #python
#javascript #dev https://t.co/fPvmR1aRs6</t>
  </si>
  <si>
    <t>angelstrad95
Not on our website, yet- #AIEthics
is an imperative to use #AI for
#SafetyFirst #family care #eldercare
#childcare #chronicillness #BigData
#Python #RStats #Java #JavaScript
#ReactJS #Linux #100DaysOfCode
#iamintel #robots #robotics #COVID__19
#pandemic $GOSY #voicefirst https://t.co/ybJah138C2
https://t.co/Wm7uR57PCL</t>
  </si>
  <si>
    <t>gryhkn
I completed Detecting COVID-19
with Chest X-Ray using PyTorch!
Check out my certificate https://t.co/rtoYESfevP
#Coursera #Python #DeepLearning
#PyTorch https://t.co/lAC8atuXPp</t>
  </si>
  <si>
    <t>gdprai
I completed Detecting COVID-19
with Chest X-Ray using PyTorch!
Check out my certificate https://t.co/rtoYESfevP
#Coursera #Python #DeepLearning
#PyTorch https://t.co/lAC8atuXPp</t>
  </si>
  <si>
    <t>robotproud
day 15 Still working with pandas
dataframes with @IvanVaz32762138,
we're still finishing a project
about covid-19. We're getting there,
but there's still work to be done.
#100Daysofcode #python #DataScience
#data #DataAnalytics https://t.co/WpKmZh08cx</t>
  </si>
  <si>
    <t>ivanvaz32762138
day 15 Still working with pandas
dataframes with @IvanVaz32762138,
we're still finishing a project
about covid-19. We're getting there,
but there's still work to be done.
#100Daysofcode #python #DataScience
#data #DataAnalytics https://t.co/WpKmZh08cx</t>
  </si>
  <si>
    <t>davidtorresc8
day 15 Still working with pandas
dataframes with @IvanVaz32762138,
we're still finishing a project
about covid-19. We're getting there,
but there's still work to be done.
#100Daysofcode #python #DataScience
#data #DataAnalytics https://t.co/WpKmZh08cx</t>
  </si>
  <si>
    <t>100xcode
day 15 Still working with pandas
dataframes with @IvanVaz32762138,
we're still finishing a project
about covid-19. We're getting there,
but there's still work to be done.
#100Daysofcode #python #DataScience
#data #DataAnalytics https://t.co/WpKmZh08cx</t>
  </si>
  <si>
    <t>sufleio
Join us at the Online PyCon Conference
on Sept 26th, Saturday! Due to
the COVID-19 pandemic, PyCon Turkey
2020 will be held online and free.
Celebrating the online event with
our earlier blog post on our excitement
for PyCon! https://t.co/IZjIILjK2n
#pycontr2020 #pycon #python</t>
  </si>
  <si>
    <t>duruldoktoroglu
Join us at the Online PyCon Conference
on Sept 26th, Saturday! Due to
the COVID-19 pandemic, PyCon Turkey
2020 will be held online and free.
Celebrating the online event with
our earlier blog post on our excitement
for PyCon! https://t.co/IZjIILjK2n
#pycontr2020 #pycon #python</t>
  </si>
  <si>
    <t>networkindie
Youn only need a browser and internet
to get COVID data but, like every
programmer, I would rather spend
hours automating a task that would
take me a few minutes to do manually
With this I present covtool: it
fetches data from the comfort of
a terminal #Python #programming
https://t.co/fTIICwkDUR</t>
  </si>
  <si>
    <t>amayo_ii
Youn only need a browser and internet
to get COVID data but, like every
programmer, I would rather spend
hours automating a task that would
take me a few minutes to do manually
With this I present covtool: it
fetches data from the comfort of
a terminal #Python #programming
https://t.co/fTIICwkDUR</t>
  </si>
  <si>
    <t>aaroncuddeback
Youn only need a browser and internet
to get COVID data but, like every
programmer, I would rather spend
hours automating a task that would
take me a few minutes to do manually
With this I present covtool: it
fetches data from the comfort of
a terminal #Python #programming
https://t.co/fTIICwkDUR</t>
  </si>
  <si>
    <t>yahaya_hk
Youn only need a browser and internet
to get COVID data but, like every
programmer, I would rather spend
hours automating a task that would
take me a few minutes to do manually
With this I present covtool: it
fetches data from the comfort of
a terminal #Python #programming
https://t.co/fTIICwkDUR</t>
  </si>
  <si>
    <t>singa_gerry
Youn only need a browser and internet
to get COVID data but, like every
programmer, I would rather spend
hours automating a task that would
take me a few minutes to do manually
With this I present covtool: it
fetches data from the comfort of
a terminal #Python #programming
https://t.co/fTIICwkDUR</t>
  </si>
  <si>
    <t>nish_mikan
9/13までの新型コロナの日本、ドイツ、フランス、オランダ、ロシアの死亡数、感染ー回復数、のグラフを動画にしてみました。縦軸を対数に。しつこく更新中。pythonでpngを生成し、ffmpegで動画化
#感染数 #新型コロナウィルス #新型コロナ #COVID_19
#COVID #python https://t.co/iVKziHz69l</t>
  </si>
  <si>
    <t>lisphilar
COVID-19 is still ongoing. Most
people in the world are now affected.
As data scientists and engineers,
we have many tasks, including evaluation
of measures and finding solutions
to end the outbreak right away.
#CovsirPhy #Python #OpenSource
#DataScience</t>
  </si>
  <si>
    <t>yonilimo
Youn only need a browser and internet
to get COVID data but, like every
programmer, I would rather spend
hours automating a task that would
take me a few minutes to do manually
With this I present covtool: it
fetches data from the comfort of
a terminal #Python #programming
https://t.co/fTIICwkDUR</t>
  </si>
  <si>
    <t>hubofml
_xD83D__xDE31_ Harvard University is offering
Free #AI, #ML, and #DataScience
Courses Link: https://t.co/tKKmHJWvPb
#MachineLearning #BigData #IoT
#Python #RStats #JavaScript #ReactJS
#CloudComputing #Serverless #Linux
#100DaysofCode #Corona https://t.co/XnepLrPhzo
via @TheInsaneApp</t>
  </si>
  <si>
    <t>nlognbot
_xD83D__xDE31_ Harvard University is offering
Free #AI, #ML, and #DataScience
Courses Link: https://t.co/tKKmHJWvPb
#MachineLearning #BigData #IoT
#Python #RStats #JavaScript #ReactJS
#CloudComputing #Serverless #Linux
#100DaysofCode #Corona https://t.co/XnepLrPhzo
via @TheInsaneApp</t>
  </si>
  <si>
    <t xml:space="preserve">mailonline
</t>
  </si>
  <si>
    <t>andrewmorrisuk
_xD83D__xDE31_ Harvard University is offering
Free #AI, #ML, and #DataScience
Courses Link: https://t.co/tKKmHJWvPb
#MachineLearning #BigData #IoT
#Python #RStats #JavaScript #ReactJS
#CloudComputing #Serverless #Linux
#100DaysofCode #Corona https://t.co/XnepLrPhzo
via @TheInsaneApp</t>
  </si>
  <si>
    <t>llnuxbot
_xD83D__xDE31_ Harvard University is offering
Free #AI, #ML, and #DataScience
Courses Link: https://t.co/tKKmHJWvPb
#MachineLearning #BigData #IoT
#Python #RStats #JavaScript #ReactJS
#CloudComputing #Serverless #Linux
#100DaysofCode #Corona https://t.co/XnepLrPhzo
via @TheInsaneApp</t>
  </si>
  <si>
    <t>thedeveloperbot
Visualization Of COVID-19 New Cases
Over Time In Python #javascript
#100DaysOfCode #WomenWhoCode #CodeNewbie
#webdevelopment #Nodejs #DataScience
#Python @CoodignD @blackhackcode
https://t.co/yhkR0w5zVi https://t.co/NXjWmIX9yY</t>
  </si>
  <si>
    <t>blackhackcode
Visualization Of COVID-19 New Cases
Over Time In Python #javascript
#100DaysOfCode #WomenWhoCode #CodeNewbie
#webdevelopment #Nodejs #DataScience
#Python @CoodignD @blackhackcode
https://t.co/yhkR0w5zVi https://t.co/NXjWmIX9yY</t>
  </si>
  <si>
    <t xml:space="preserve">coodignd
</t>
  </si>
  <si>
    <t>parmarshantun
Visualization Of COVID-19 New Cases
Over Time In Python #javascript
#100DaysOfCode #WomenWhoCode #CodeNewbie
#webdevelopment #Nodejs #DataScience
#Python @CoodignD @blackhackcode
https://t.co/yhkR0w5zVi https://t.co/NXjWmIX9yY</t>
  </si>
  <si>
    <t>femtech_
Visualization Of COVID-19 New Cases
Over Time In Python #javascript
#100DaysOfCode #WomenWhoCode #CodeNewbie
#webdevelopment #Nodejs #DataScience
#Python @CoodignD @blackhackcode
https://t.co/yhkR0w5zVi https://t.co/NXjWmIX9yY</t>
  </si>
  <si>
    <t>jsnewsbot
Visualization Of COVID-19 New Cases
Over Time In Python #javascript
#100DaysOfCode #WomenWhoCode #CodeNewbie
#webdevelopment #Nodejs #DataScience
#Python @CoodignD @blackhackcode
https://t.co/yhkR0w5zVi https://t.co/NXjWmIX9yY</t>
  </si>
  <si>
    <t>womencodersbot
Visualization Of COVID-19 New Cases
Over Time In Python #javascript
#100DaysOfCode #WomenWhoCode #CodeNewbie
#webdevelopment #Nodejs #DataScience
#Python @CoodignD @blackhackcode
https://t.co/yhkR0w5zVi https://t.co/NXjWmIX9yY</t>
  </si>
  <si>
    <t>learn__together
Visualization Of COVID-19 New Cases
Over Time In Python #javascript
#100DaysOfCode #WomenWhoCode #CodeNewbie
#webdevelopment #Nodejs #DataScience
#Python @CoodignD @blackhackcode
https://t.co/yhkR0w5zVi https://t.co/NXjWmIX9yY</t>
  </si>
  <si>
    <t>amitkrout1
Covid 19 stats using Django Link
- https://t.co/q5zbZNtxaA #100DaysOfCode
#CodeNewbie #Python #pythonprogramming
#WebDeveloper</t>
  </si>
  <si>
    <t>codernotesbot
Visualization Of COVID-19 New Cases
Over Time In Python #javascript
#100DaysOfCode #WomenWhoCode #CodeNewbie
#webdevelopment #Nodejs #DataScience
#Python @CoodignD @blackhackcode
https://t.co/yhkR0w5zVi https://t.co/NXjWmIX9yY</t>
  </si>
  <si>
    <t>nodequotesbot
Visualization Of COVID-19 New Cases
Over Time In Python #javascript
#100DaysOfCode #WomenWhoCode #CodeNewbie
#webdevelopment #Nodejs #DataScience
#Python @CoodignD @blackhackcode
https://t.co/yhkR0w5zVi https://t.co/NXjWmIX9yY</t>
  </si>
  <si>
    <t>akson_ai
Not only during corona #programming
#python #java #javascript #coder
#programmermeme #codinglife https://t.co/T6c0vp1FqO</t>
  </si>
  <si>
    <t>xaelbot
Visualization Of COVID-19 New Cases
Over Time In Python #javascript
#100DaysOfCode #WomenWhoCode #CodeNewbie
#webdevelopment #Nodejs #DataScience
#Python @CoodignD @blackhackcode
https://t.co/yhkR0w5zVi https://t.co/NXjWmIX9yY</t>
  </si>
  <si>
    <t>kohli10_56
This is an updated version of my
first Python Dash project for covid-19
analysis. I've added more plotting
options and made UI somewhat better.
Still lots of works to do and changes
to make. Have a look : https://t.co/EHAz4PgwX8
_xD83D__xDC68_‍_xD83D__xDCBB__xD83D__xDCCA__xD83D__xDCC9_☺️ #100DaysOfCode #python
#javascript #dev https://t.co/fPvmR1aRs6</t>
  </si>
  <si>
    <t>codegnuts
This is an updated version of my
first Python Dash project for covid-19
analysis. I've added more plotting
options and made UI somewhat better.
Still lots of works to do and changes
to make. Have a look : https://t.co/EHAz4PgwX8
_xD83D__xDC68_‍_xD83D__xDCBB__xD83D__xDCCA__xD83D__xDCC9_☺️ #100DaysOfCode #python
#javascript #dev https://t.co/fPvmR1aRs6</t>
  </si>
  <si>
    <t>lofwyrm
RT @GavLaaaaaaaa: Due to COVID-19,
Coursera has made some of their
Programming Courses FREE and you
can earn a ... https://t.co/tG6JHd3zyy
#programming #softwareengineering
#bigdata #datascience #analytics
#ai #python #javascript #WeLoveData</t>
  </si>
  <si>
    <t>taieb_bot
This is an updated version of my
first Python Dash project for covid-19
analysis. I've added more plotting
options and made UI somewhat better.
Still lots of works to do and changes
to make. Have a look : https://t.co/EHAz4PgwX8
_xD83D__xDC68_‍_xD83D__xDCBB__xD83D__xDCCA__xD83D__xDCC9_☺️ #100DaysOfCode #python
#javascript #dev https://t.co/fPvmR1aRs6</t>
  </si>
  <si>
    <t>codedailybot
This is an updated version of my
first Python Dash project for covid-19
analysis. I've added more plotting
options and made UI somewhat better.
Still lots of works to do and changes
to make. Have a look : https://t.co/EHAz4PgwX8
_xD83D__xDC68_‍_xD83D__xDCBB__xD83D__xDCCA__xD83D__xDCC9_☺️ #100DaysOfCode #python
#javascript #dev https://t.co/fPvmR1aRs6</t>
  </si>
  <si>
    <t>fullnam35087976
Latest 7-day average for COVID-19
in England - 2680 #COVID19 #python
#pandas https://t.co/6E8RsfcNB8</t>
  </si>
  <si>
    <t>nikhilmaheswar3
What are the Highest paying data
science jobs?? MUST READ IT!! LINK
FOR READING - https://t.co/mDLxD3D6sm
#Covid_19 #SonamKapoor #iPhone
#iPhone12 #DataScience #coding
#Python #Jobs #blog #Traffic https://t.co/z2FDq3t4OD</t>
  </si>
  <si>
    <t>gbubemi__
Thank you Code Warriors for the
amazing and informative two-day
workshop on Python For Machine
Learning ☺️_xD83E__xDD17_☺️ More the number
of warriors, the faster we beat
Corona. #codewarriors #NLP #MachineLearning
#ComputerVision #codewarriorslife
#python #givemycertificate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</si>
  <si>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</si>
  <si>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t>
  </si>
  <si>
    <t>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</si>
  <si>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t>
  </si>
  <si>
    <t xml:space="preserve">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t>
  </si>
  <si>
    <t>kanssa 
kanssaan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</si>
  <si>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</si>
  <si>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</si>
  <si>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</si>
  <si>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</si>
  <si>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</si>
  <si>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</si>
  <si>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</si>
  <si>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</si>
  <si>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</si>
  <si>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</si>
  <si>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</si>
  <si>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</si>
  <si>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</si>
  <si>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</si>
  <si>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</si>
  <si>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</si>
  <si>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</si>
  <si>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</si>
  <si>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</si>
  <si>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</si>
  <si>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</si>
  <si>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</si>
  <si>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</si>
  <si>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</si>
  <si>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</si>
  <si>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</si>
  <si>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</si>
  <si>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</si>
  <si>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</si>
  <si>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</si>
  <si>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</si>
  <si>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</si>
  <si>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</si>
  <si>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</si>
  <si>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</si>
  <si>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</si>
  <si>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</si>
  <si>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</si>
  <si>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</si>
  <si>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</si>
  <si>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</si>
  <si>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</si>
  <si>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</si>
  <si>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</si>
  <si>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</si>
  <si>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</si>
  <si>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</si>
  <si>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#python</t>
  </si>
  <si>
    <t>#bigdata</t>
  </si>
  <si>
    <t>#javascript</t>
  </si>
  <si>
    <t>#ai</t>
  </si>
  <si>
    <t>to</t>
  </si>
  <si>
    <t>covid</t>
  </si>
  <si>
    <t>#100daysofcode</t>
  </si>
  <si>
    <t>#datascience</t>
  </si>
  <si>
    <t>19</t>
  </si>
  <si>
    <t>#machinelearning</t>
  </si>
  <si>
    <t>#rstats</t>
  </si>
  <si>
    <t>#linux</t>
  </si>
  <si>
    <t>for</t>
  </si>
  <si>
    <t>and</t>
  </si>
  <si>
    <t>a</t>
  </si>
  <si>
    <t>#iot</t>
  </si>
  <si>
    <t>of</t>
  </si>
  <si>
    <t>is</t>
  </si>
  <si>
    <t>in</t>
  </si>
  <si>
    <t>#artificialintelligence</t>
  </si>
  <si>
    <t>#reactjs</t>
  </si>
  <si>
    <t>#java</t>
  </si>
  <si>
    <t>an</t>
  </si>
  <si>
    <t>#covid__19</t>
  </si>
  <si>
    <t>#serverless</t>
  </si>
  <si>
    <t>the</t>
  </si>
  <si>
    <t>with</t>
  </si>
  <si>
    <t>data</t>
  </si>
  <si>
    <t>use</t>
  </si>
  <si>
    <t>#pandemic</t>
  </si>
  <si>
    <t>#deeplearning</t>
  </si>
  <si>
    <t>imperative</t>
  </si>
  <si>
    <t>#safetyfirst</t>
  </si>
  <si>
    <t>#family</t>
  </si>
  <si>
    <t>care</t>
  </si>
  <si>
    <t>#eldercare</t>
  </si>
  <si>
    <t>#childcare</t>
  </si>
  <si>
    <t>#chronicillness</t>
  </si>
  <si>
    <t>#iamintel</t>
  </si>
  <si>
    <t>#robots</t>
  </si>
  <si>
    <t>#robotics</t>
  </si>
  <si>
    <t>gosy</t>
  </si>
  <si>
    <t>#voicefirst</t>
  </si>
  <si>
    <t>our</t>
  </si>
  <si>
    <t>#nlp</t>
  </si>
  <si>
    <t>#tensorflow</t>
  </si>
  <si>
    <t>free</t>
  </si>
  <si>
    <t>#womenwhocode</t>
  </si>
  <si>
    <t>#programming</t>
  </si>
  <si>
    <t>#tech</t>
  </si>
  <si>
    <t>#data</t>
  </si>
  <si>
    <t>#datascientist</t>
  </si>
  <si>
    <t>#covid19</t>
  </si>
  <si>
    <t>#ml</t>
  </si>
  <si>
    <t>#datamining</t>
  </si>
  <si>
    <t>#kubernetes</t>
  </si>
  <si>
    <t>#covid</t>
  </si>
  <si>
    <t>#r</t>
  </si>
  <si>
    <t>#analytics</t>
  </si>
  <si>
    <t>#nosql</t>
  </si>
  <si>
    <t>#cassandra</t>
  </si>
  <si>
    <t>#kafka</t>
  </si>
  <si>
    <t>#hadoop</t>
  </si>
  <si>
    <t>#spark</t>
  </si>
  <si>
    <t>#globalai</t>
  </si>
  <si>
    <t>analysis</t>
  </si>
  <si>
    <t>made</t>
  </si>
  <si>
    <t>courses</t>
  </si>
  <si>
    <t>via</t>
  </si>
  <si>
    <t>#database</t>
  </si>
  <si>
    <t>still</t>
  </si>
  <si>
    <t>#aiethics</t>
  </si>
  <si>
    <t>we</t>
  </si>
  <si>
    <t>post</t>
  </si>
  <si>
    <t>#frenchtech</t>
  </si>
  <si>
    <t>#france</t>
  </si>
  <si>
    <t>#usa</t>
  </si>
  <si>
    <t>#femtech</t>
  </si>
  <si>
    <t>#uk</t>
  </si>
  <si>
    <t>#coding</t>
  </si>
  <si>
    <t>#cloudcomputing</t>
  </si>
  <si>
    <t>#corona</t>
  </si>
  <si>
    <t>#covid_19</t>
  </si>
  <si>
    <t>by</t>
  </si>
  <si>
    <t>s</t>
  </si>
  <si>
    <t>#defstar5</t>
  </si>
  <si>
    <t>day</t>
  </si>
  <si>
    <t>#responsibleai</t>
  </si>
  <si>
    <t>more</t>
  </si>
  <si>
    <t>can</t>
  </si>
  <si>
    <t>big</t>
  </si>
  <si>
    <t>version</t>
  </si>
  <si>
    <t>first</t>
  </si>
  <si>
    <t>project</t>
  </si>
  <si>
    <t>you</t>
  </si>
  <si>
    <t>link</t>
  </si>
  <si>
    <t>this</t>
  </si>
  <si>
    <t>my</t>
  </si>
  <si>
    <t>do</t>
  </si>
  <si>
    <t>due</t>
  </si>
  <si>
    <t>your</t>
  </si>
  <si>
    <t>work</t>
  </si>
  <si>
    <t>has</t>
  </si>
  <si>
    <t>earn</t>
  </si>
  <si>
    <t>time</t>
  </si>
  <si>
    <t>not</t>
  </si>
  <si>
    <t>updated</t>
  </si>
  <si>
    <t>better</t>
  </si>
  <si>
    <t>cases</t>
  </si>
  <si>
    <t>harvard</t>
  </si>
  <si>
    <t>university</t>
  </si>
  <si>
    <t>offering</t>
  </si>
  <si>
    <t>some</t>
  </si>
  <si>
    <t>their</t>
  </si>
  <si>
    <t>programming</t>
  </si>
  <si>
    <t>#softwareengineering</t>
  </si>
  <si>
    <t>have</t>
  </si>
  <si>
    <t>job</t>
  </si>
  <si>
    <t>searches</t>
  </si>
  <si>
    <t>artificial</t>
  </si>
  <si>
    <t>intelligence</t>
  </si>
  <si>
    <t>rise</t>
  </si>
  <si>
    <t>106</t>
  </si>
  <si>
    <t>one</t>
  </si>
  <si>
    <t>year</t>
  </si>
  <si>
    <t>#4ir</t>
  </si>
  <si>
    <t>#futureofwork</t>
  </si>
  <si>
    <t>cc</t>
  </si>
  <si>
    <t>must</t>
  </si>
  <si>
    <t>average</t>
  </si>
  <si>
    <t>how</t>
  </si>
  <si>
    <t>ui</t>
  </si>
  <si>
    <t>combatting</t>
  </si>
  <si>
    <t>misinformation</t>
  </si>
  <si>
    <t>website</t>
  </si>
  <si>
    <t>yet</t>
  </si>
  <si>
    <t>dash</t>
  </si>
  <si>
    <t>i've</t>
  </si>
  <si>
    <t>added</t>
  </si>
  <si>
    <t>plotting</t>
  </si>
  <si>
    <t>options</t>
  </si>
  <si>
    <t>somewhat</t>
  </si>
  <si>
    <t>lots</t>
  </si>
  <si>
    <t>works</t>
  </si>
  <si>
    <t>changes</t>
  </si>
  <si>
    <t>make</t>
  </si>
  <si>
    <t>look</t>
  </si>
  <si>
    <t>#dev</t>
  </si>
  <si>
    <t>prevent</t>
  </si>
  <si>
    <t>'carmageddon'</t>
  </si>
  <si>
    <t>here's</t>
  </si>
  <si>
    <t>#how</t>
  </si>
  <si>
    <t>daily</t>
  </si>
  <si>
    <t>#code</t>
  </si>
  <si>
    <t>using</t>
  </si>
  <si>
    <t>that</t>
  </si>
  <si>
    <t>amp</t>
  </si>
  <si>
    <t>i</t>
  </si>
  <si>
    <t>role</t>
  </si>
  <si>
    <t>era</t>
  </si>
  <si>
    <t>latest</t>
  </si>
  <si>
    <t>7</t>
  </si>
  <si>
    <t>england</t>
  </si>
  <si>
    <t>#pandas</t>
  </si>
  <si>
    <t>#developer</t>
  </si>
  <si>
    <t>it</t>
  </si>
  <si>
    <t>but</t>
  </si>
  <si>
    <t>#programmer</t>
  </si>
  <si>
    <t>#coronavirus</t>
  </si>
  <si>
    <t>new</t>
  </si>
  <si>
    <t>problems</t>
  </si>
  <si>
    <t>we're</t>
  </si>
  <si>
    <t>about</t>
  </si>
  <si>
    <t>now</t>
  </si>
  <si>
    <t>analyze</t>
  </si>
  <si>
    <t>#iiot</t>
  </si>
  <si>
    <t>#codenewbie</t>
  </si>
  <si>
    <t>#education</t>
  </si>
  <si>
    <t>pandas</t>
  </si>
  <si>
    <t>as</t>
  </si>
  <si>
    <t>#privacy</t>
  </si>
  <si>
    <t>#hacker</t>
  </si>
  <si>
    <t>#cyber</t>
  </si>
  <si>
    <t>#php</t>
  </si>
  <si>
    <t>would</t>
  </si>
  <si>
    <t>#edtech</t>
  </si>
  <si>
    <t>sep</t>
  </si>
  <si>
    <t>#stayhome</t>
  </si>
  <si>
    <t>what</t>
  </si>
  <si>
    <t>get</t>
  </si>
  <si>
    <t>visualization</t>
  </si>
  <si>
    <t>over</t>
  </si>
  <si>
    <t>#webdevelopment</t>
  </si>
  <si>
    <t>#nodejs</t>
  </si>
  <si>
    <t>2</t>
  </si>
  <si>
    <t>update</t>
  </si>
  <si>
    <t>#nih</t>
  </si>
  <si>
    <t>developing</t>
  </si>
  <si>
    <t>imaging</t>
  </si>
  <si>
    <t>tools</t>
  </si>
  <si>
    <t>#website</t>
  </si>
  <si>
    <t>#digitaltransformation</t>
  </si>
  <si>
    <t>code</t>
  </si>
  <si>
    <t>pandemic</t>
  </si>
  <si>
    <t>end</t>
  </si>
  <si>
    <t>#pytorch</t>
  </si>
  <si>
    <t>#golang</t>
  </si>
  <si>
    <t>world</t>
  </si>
  <si>
    <t>be</t>
  </si>
  <si>
    <t>us</t>
  </si>
  <si>
    <t>system</t>
  </si>
  <si>
    <t>all</t>
  </si>
  <si>
    <t>online</t>
  </si>
  <si>
    <t>here</t>
  </si>
  <si>
    <t>science</t>
  </si>
  <si>
    <t>rt</t>
  </si>
  <si>
    <t>#learn</t>
  </si>
  <si>
    <t>solve</t>
  </si>
  <si>
    <t>real</t>
  </si>
  <si>
    <t>enroll</t>
  </si>
  <si>
    <t>#webinar</t>
  </si>
  <si>
    <t>lockdown</t>
  </si>
  <si>
    <t>13</t>
  </si>
  <si>
    <t>11</t>
  </si>
  <si>
    <t>30</t>
  </si>
  <si>
    <t>am</t>
  </si>
  <si>
    <t>gmt</t>
  </si>
  <si>
    <t>1</t>
  </si>
  <si>
    <t>register</t>
  </si>
  <si>
    <t>book</t>
  </si>
  <si>
    <t>slot</t>
  </si>
  <si>
    <t>only</t>
  </si>
  <si>
    <t>during</t>
  </si>
  <si>
    <t>done</t>
  </si>
  <si>
    <t>open</t>
  </si>
  <si>
    <t>5</t>
  </si>
  <si>
    <t>#hacking</t>
  </si>
  <si>
    <t>#technology</t>
  </si>
  <si>
    <t>#security</t>
  </si>
  <si>
    <t>multi</t>
  </si>
  <si>
    <t>step</t>
  </si>
  <si>
    <t>multivariate</t>
  </si>
  <si>
    <t>series</t>
  </si>
  <si>
    <t>#datascientists</t>
  </si>
  <si>
    <t>#us</t>
  </si>
  <si>
    <t>drop</t>
  </si>
  <si>
    <t>below</t>
  </si>
  <si>
    <t>40k</t>
  </si>
  <si>
    <t>1st</t>
  </si>
  <si>
    <t>#time</t>
  </si>
  <si>
    <t>since</t>
  </si>
  <si>
    <t>#june</t>
  </si>
  <si>
    <t>#healthcare</t>
  </si>
  <si>
    <t>forced</t>
  </si>
  <si>
    <t>re</t>
  </si>
  <si>
    <t>examine</t>
  </si>
  <si>
    <t>roles</t>
  </si>
  <si>
    <t>employers</t>
  </si>
  <si>
    <t>employees</t>
  </si>
  <si>
    <t>goals</t>
  </si>
  <si>
    <t>values</t>
  </si>
  <si>
    <t>merge</t>
  </si>
  <si>
    <t>home</t>
  </si>
  <si>
    <t>life</t>
  </si>
  <si>
    <t>#quarantine</t>
  </si>
  <si>
    <t>#100daysofmlcode</t>
  </si>
  <si>
    <t>#webdeveloper</t>
  </si>
  <si>
    <t>why</t>
  </si>
  <si>
    <t>#startup</t>
  </si>
  <si>
    <t>watch</t>
  </si>
  <si>
    <t>synthesized</t>
  </si>
  <si>
    <t>videos</t>
  </si>
  <si>
    <t>tennis</t>
  </si>
  <si>
    <t>players</t>
  </si>
  <si>
    <t>build</t>
  </si>
  <si>
    <t>emergency</t>
  </si>
  <si>
    <t>vehicle</t>
  </si>
  <si>
    <t>detection</t>
  </si>
  <si>
    <t>part</t>
  </si>
  <si>
    <t>newsletter</t>
  </si>
  <si>
    <t>like</t>
  </si>
  <si>
    <t>hours</t>
  </si>
  <si>
    <t>la</t>
  </si>
  <si>
    <t>#cybersecurity</t>
  </si>
  <si>
    <t>chest</t>
  </si>
  <si>
    <t>x</t>
  </si>
  <si>
    <t>ray</t>
  </si>
  <si>
    <t>#coder</t>
  </si>
  <si>
    <t>15</t>
  </si>
  <si>
    <t>working</t>
  </si>
  <si>
    <t>dataframes</t>
  </si>
  <si>
    <t>finishing</t>
  </si>
  <si>
    <t>getting</t>
  </si>
  <si>
    <t>there</t>
  </si>
  <si>
    <t>there's</t>
  </si>
  <si>
    <t>#dataanalytics</t>
  </si>
  <si>
    <t>awesome</t>
  </si>
  <si>
    <t>billboard</t>
  </si>
  <si>
    <t>#siliconvalley</t>
  </si>
  <si>
    <t>launched</t>
  </si>
  <si>
    <t>#sanfrancisco</t>
  </si>
  <si>
    <t>#sv</t>
  </si>
  <si>
    <t>sourced</t>
  </si>
  <si>
    <t>#nobrowser</t>
  </si>
  <si>
    <t>#anonymous</t>
  </si>
  <si>
    <t>#engineer</t>
  </si>
  <si>
    <t>#girlswhocode</t>
  </si>
  <si>
    <t>machine</t>
  </si>
  <si>
    <t>learning</t>
  </si>
  <si>
    <t>cyber</t>
  </si>
  <si>
    <t>examples</t>
  </si>
  <si>
    <t>need</t>
  </si>
  <si>
    <t>9</t>
  </si>
  <si>
    <t>ドイツ</t>
  </si>
  <si>
    <t>フランス</t>
  </si>
  <si>
    <t>オランダ</t>
  </si>
  <si>
    <t>ロシアの死亡数</t>
  </si>
  <si>
    <t>感染ー回復数</t>
  </si>
  <si>
    <t>のグラフを動画にしてみました</t>
  </si>
  <si>
    <t>縦軸を対数に</t>
  </si>
  <si>
    <t>しつこく更新中</t>
  </si>
  <si>
    <t>pythonでpngを生成し</t>
  </si>
  <si>
    <t>ffmpegで動画化</t>
  </si>
  <si>
    <t>#感染数</t>
  </si>
  <si>
    <t>#新型コロナウィルス</t>
  </si>
  <si>
    <t>#新型コロナ</t>
  </si>
  <si>
    <t>#html</t>
  </si>
  <si>
    <t>#css</t>
  </si>
  <si>
    <t>#software</t>
  </si>
  <si>
    <t>at</t>
  </si>
  <si>
    <t>help</t>
  </si>
  <si>
    <t>corona</t>
  </si>
  <si>
    <t>test</t>
  </si>
  <si>
    <t>adult</t>
  </si>
  <si>
    <t>revise</t>
  </si>
  <si>
    <t>answersheet</t>
  </si>
  <si>
    <t>before</t>
  </si>
  <si>
    <t>submitting</t>
  </si>
  <si>
    <t>#ssr</t>
  </si>
  <si>
    <t>#pythonprogramming</t>
  </si>
  <si>
    <t>top</t>
  </si>
  <si>
    <t>threats</t>
  </si>
  <si>
    <t>#pentest</t>
  </si>
  <si>
    <t>#webdev</t>
  </si>
  <si>
    <t>#digital</t>
  </si>
  <si>
    <t>#cloud</t>
  </si>
  <si>
    <t>following</t>
  </si>
  <si>
    <t>along</t>
  </si>
  <si>
    <t>tutorial</t>
  </si>
  <si>
    <t>youn</t>
  </si>
  <si>
    <t>browser</t>
  </si>
  <si>
    <t>internet</t>
  </si>
  <si>
    <t>every</t>
  </si>
  <si>
    <t>programmer</t>
  </si>
  <si>
    <t>rather</t>
  </si>
  <si>
    <t>spend</t>
  </si>
  <si>
    <t>automating</t>
  </si>
  <si>
    <t>task</t>
  </si>
  <si>
    <t>take</t>
  </si>
  <si>
    <t>few</t>
  </si>
  <si>
    <t>minutes</t>
  </si>
  <si>
    <t>manually</t>
  </si>
  <si>
    <t>present</t>
  </si>
  <si>
    <t>covtool</t>
  </si>
  <si>
    <t>fetches</t>
  </si>
  <si>
    <t>from</t>
  </si>
  <si>
    <t>comfort</t>
  </si>
  <si>
    <t>terminal</t>
  </si>
  <si>
    <t>pycon</t>
  </si>
  <si>
    <t>2020</t>
  </si>
  <si>
    <t>no</t>
  </si>
  <si>
    <t>read</t>
  </si>
  <si>
    <t>web</t>
  </si>
  <si>
    <t>service</t>
  </si>
  <si>
    <t>fast</t>
  </si>
  <si>
    <t>classification</t>
  </si>
  <si>
    <t>images</t>
  </si>
  <si>
    <t>u</t>
  </si>
  <si>
    <t>volunteer</t>
  </si>
  <si>
    <t>jennifer</t>
  </si>
  <si>
    <t>holler</t>
  </si>
  <si>
    <t>43</t>
  </si>
  <si>
    <t>gets</t>
  </si>
  <si>
    <t>shot</t>
  </si>
  <si>
    <t>vaccine</t>
  </si>
  <si>
    <t>tour</t>
  </si>
  <si>
    <t>platforms</t>
  </si>
  <si>
    <t>hey</t>
  </si>
  <si>
    <t>any</t>
  </si>
  <si>
    <t>audio</t>
  </si>
  <si>
    <t>neural</t>
  </si>
  <si>
    <t>net</t>
  </si>
  <si>
    <t>available</t>
  </si>
  <si>
    <t>w</t>
  </si>
  <si>
    <t>related</t>
  </si>
  <si>
    <t>issue</t>
  </si>
  <si>
    <t>please</t>
  </si>
  <si>
    <t>respond</t>
  </si>
  <si>
    <t>rt's</t>
  </si>
  <si>
    <t>appreciated</t>
  </si>
  <si>
    <t>2600</t>
  </si>
  <si>
    <t>#cdwsocial</t>
  </si>
  <si>
    <t>bias</t>
  </si>
  <si>
    <t>policing</t>
  </si>
  <si>
    <t>banking</t>
  </si>
  <si>
    <t>8</t>
  </si>
  <si>
    <t>thank</t>
  </si>
  <si>
    <t>bizimle</t>
  </si>
  <si>
    <t>php</t>
  </si>
  <si>
    <t>öğrenin</t>
  </si>
  <si>
    <t>#indonesia</t>
  </si>
  <si>
    <t>#elearning</t>
  </si>
  <si>
    <t>#onlinelearning</t>
  </si>
  <si>
    <t>#learning</t>
  </si>
  <si>
    <t>#online</t>
  </si>
  <si>
    <t>#students</t>
  </si>
  <si>
    <t>#teaching</t>
  </si>
  <si>
    <t>#distancelearning</t>
  </si>
  <si>
    <t>#school</t>
  </si>
  <si>
    <t>#edchat</t>
  </si>
  <si>
    <t>staff</t>
  </si>
  <si>
    <t>repurposing</t>
  </si>
  <si>
    <t>response</t>
  </si>
  <si>
    <t>#pyton</t>
  </si>
  <si>
    <t>#pythonic</t>
  </si>
  <si>
    <t>came</t>
  </si>
  <si>
    <t>miedo</t>
  </si>
  <si>
    <t>lo</t>
  </si>
  <si>
    <t>tecnológico</t>
  </si>
  <si>
    <t>el</t>
  </si>
  <si>
    <t>ha</t>
  </si>
  <si>
    <t>acelerado</t>
  </si>
  <si>
    <t>digitalización</t>
  </si>
  <si>
    <t>de</t>
  </si>
  <si>
    <t>los</t>
  </si>
  <si>
    <t>más</t>
  </si>
  <si>
    <t>pequeños</t>
  </si>
  <si>
    <t>obstante</t>
  </si>
  <si>
    <t>todavía</t>
  </si>
  <si>
    <t>docentes</t>
  </si>
  <si>
    <t>y</t>
  </si>
  <si>
    <t>familias</t>
  </si>
  <si>
    <t>resisten</t>
  </si>
  <si>
    <t>revolución</t>
  </si>
  <si>
    <t>tecnológica</t>
  </si>
  <si>
    <t>#programacion</t>
  </si>
  <si>
    <t>#preescolar</t>
  </si>
  <si>
    <t>#primaria</t>
  </si>
  <si>
    <t>#robotica</t>
  </si>
  <si>
    <t>1719</t>
  </si>
  <si>
    <t>warriors</t>
  </si>
  <si>
    <t>workplace</t>
  </si>
  <si>
    <t>future</t>
  </si>
  <si>
    <t>solving</t>
  </si>
  <si>
    <t>back</t>
  </si>
  <si>
    <t>#blockchain</t>
  </si>
  <si>
    <t>#welovedata</t>
  </si>
  <si>
    <t>#programmermeme</t>
  </si>
  <si>
    <t>#codinglife</t>
  </si>
  <si>
    <t>#m</t>
  </si>
  <si>
    <t>many</t>
  </si>
  <si>
    <t>#covsirphy</t>
  </si>
  <si>
    <t>#opensource</t>
  </si>
  <si>
    <t>#trending</t>
  </si>
  <si>
    <t>set</t>
  </si>
  <si>
    <t>worthless</t>
  </si>
  <si>
    <t>per</t>
  </si>
  <si>
    <t>100k</t>
  </si>
  <si>
    <t>population</t>
  </si>
  <si>
    <t>state</t>
  </si>
  <si>
    <t>moving</t>
  </si>
  <si>
    <t>smooth</t>
  </si>
  <si>
    <t>heat</t>
  </si>
  <si>
    <t>map</t>
  </si>
  <si>
    <t>#datavisualization</t>
  </si>
  <si>
    <t>#crushcovid19</t>
  </si>
  <si>
    <t>deep</t>
  </si>
  <si>
    <t>hypothesis</t>
  </si>
  <si>
    <t>testing</t>
  </si>
  <si>
    <t>statistics</t>
  </si>
  <si>
    <t>covid19</t>
  </si>
  <si>
    <t>#python3</t>
  </si>
  <si>
    <t>#programmingmemes</t>
  </si>
  <si>
    <t>#programminghumor</t>
  </si>
  <si>
    <t>#reddit</t>
  </si>
  <si>
    <t>#c</t>
  </si>
  <si>
    <t>#helloworld</t>
  </si>
  <si>
    <t>#stackoverflow</t>
  </si>
  <si>
    <t>#development</t>
  </si>
  <si>
    <t>#programmerlife</t>
  </si>
  <si>
    <t>#frontend</t>
  </si>
  <si>
    <t>#backend</t>
  </si>
  <si>
    <t>#billboard</t>
  </si>
  <si>
    <t>#teamviewer</t>
  </si>
  <si>
    <t>#bug</t>
  </si>
  <si>
    <t>#coronamemes</t>
  </si>
  <si>
    <t>#informationtechnology</t>
  </si>
  <si>
    <t>#it</t>
  </si>
  <si>
    <t>#computerscience</t>
  </si>
  <si>
    <t>#business</t>
  </si>
  <si>
    <t>#innovation</t>
  </si>
  <si>
    <t>#engineering</t>
  </si>
  <si>
    <t>#computer</t>
  </si>
  <si>
    <t>#informationsecurity</t>
  </si>
  <si>
    <t>#newtechnology</t>
  </si>
  <si>
    <t>#technologynews</t>
  </si>
  <si>
    <t>#information</t>
  </si>
  <si>
    <t>want</t>
  </si>
  <si>
    <t>start</t>
  </si>
  <si>
    <t>are</t>
  </si>
  <si>
    <t>2680</t>
  </si>
  <si>
    <t>2019</t>
  </si>
  <si>
    <t>stats</t>
  </si>
  <si>
    <t>django</t>
  </si>
  <si>
    <t>phase</t>
  </si>
  <si>
    <t>join</t>
  </si>
  <si>
    <t>conference</t>
  </si>
  <si>
    <t>sept</t>
  </si>
  <si>
    <t>26th</t>
  </si>
  <si>
    <t>saturday</t>
  </si>
  <si>
    <t>turkey</t>
  </si>
  <si>
    <t>will</t>
  </si>
  <si>
    <t>held</t>
  </si>
  <si>
    <t>celebrating</t>
  </si>
  <si>
    <t>event</t>
  </si>
  <si>
    <t>earlier</t>
  </si>
  <si>
    <t>blog</t>
  </si>
  <si>
    <t>excitement</t>
  </si>
  <si>
    <t>#pycontr2020</t>
  </si>
  <si>
    <t>#pycon</t>
  </si>
  <si>
    <t>completed</t>
  </si>
  <si>
    <t>detecting</t>
  </si>
  <si>
    <t>pytorch</t>
  </si>
  <si>
    <t>check</t>
  </si>
  <si>
    <t>out</t>
  </si>
  <si>
    <t>certificate</t>
  </si>
  <si>
    <t>#coursera</t>
  </si>
  <si>
    <t>#morioh</t>
  </si>
  <si>
    <t>isolation</t>
  </si>
  <si>
    <t>lot</t>
  </si>
  <si>
    <t>same</t>
  </si>
  <si>
    <t>oportunitties</t>
  </si>
  <si>
    <t>had</t>
  </si>
  <si>
    <t>chance</t>
  </si>
  <si>
    <t>favorite</t>
  </si>
  <si>
    <t>dev</t>
  </si>
  <si>
    <t>language</t>
  </si>
  <si>
    <t>after</t>
  </si>
  <si>
    <t>long</t>
  </si>
  <si>
    <t>while</t>
  </si>
  <si>
    <t>development</t>
  </si>
  <si>
    <t>been</t>
  </si>
  <si>
    <t>software</t>
  </si>
  <si>
    <t>#tkinter</t>
  </si>
  <si>
    <t>#django</t>
  </si>
  <si>
    <t>coding</t>
  </si>
  <si>
    <t>send</t>
  </si>
  <si>
    <t>if</t>
  </si>
  <si>
    <t>universities</t>
  </si>
  <si>
    <t>save</t>
  </si>
  <si>
    <t>amid</t>
  </si>
  <si>
    <t>crisis</t>
  </si>
  <si>
    <t>they</t>
  </si>
  <si>
    <t>should</t>
  </si>
  <si>
    <t>dropping</t>
  </si>
  <si>
    <t>useless</t>
  </si>
  <si>
    <t>matlab</t>
  </si>
  <si>
    <t>stata</t>
  </si>
  <si>
    <t>spss</t>
  </si>
  <si>
    <t>licenses</t>
  </si>
  <si>
    <t>switch</t>
  </si>
  <si>
    <t>designed</t>
  </si>
  <si>
    <t>powerful</t>
  </si>
  <si>
    <t>source</t>
  </si>
  <si>
    <t>languages</t>
  </si>
  <si>
    <t>#julia</t>
  </si>
  <si>
    <t>justification</t>
  </si>
  <si>
    <t>continue</t>
  </si>
  <si>
    <t>wasting</t>
  </si>
  <si>
    <t>amazing</t>
  </si>
  <si>
    <t>informative</t>
  </si>
  <si>
    <t>two</t>
  </si>
  <si>
    <t>workshop</t>
  </si>
  <si>
    <t>number</t>
  </si>
  <si>
    <t>faster</t>
  </si>
  <si>
    <t>beat</t>
  </si>
  <si>
    <t>#codewarriors</t>
  </si>
  <si>
    <t>#computervision</t>
  </si>
  <si>
    <t>#codewarriorslife</t>
  </si>
  <si>
    <t>#givemycertificate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</si>
  <si>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</si>
  <si>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</si>
  <si>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</si>
  <si>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</si>
  <si>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</si>
  <si>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</si>
  <si>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</si>
  <si>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</si>
  <si>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</si>
  <si>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</si>
  <si>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</si>
  <si>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</si>
  <si>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</si>
  <si>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</si>
  <si>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</si>
  <si>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</si>
  <si>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</si>
  <si>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</si>
  <si>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</si>
  <si>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</si>
  <si>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</si>
  <si>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</si>
  <si>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</si>
  <si>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</si>
  <si>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</si>
  <si>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</si>
  <si>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</si>
  <si>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</si>
  <si>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</si>
  <si>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</si>
  <si>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t>
  </si>
  <si>
    <t>Highest</t>
  </si>
  <si>
    <t>paying</t>
  </si>
  <si>
    <t>jobs</t>
  </si>
  <si>
    <t>MUST</t>
  </si>
  <si>
    <t>READ</t>
  </si>
  <si>
    <t>IT</t>
  </si>
  <si>
    <t>LINK</t>
  </si>
  <si>
    <t>FOR</t>
  </si>
  <si>
    <t>READING</t>
  </si>
  <si>
    <t>Covid_19</t>
  </si>
  <si>
    <t>SonamKapoor</t>
  </si>
  <si>
    <t>iPhone</t>
  </si>
  <si>
    <t>iPhone12</t>
  </si>
  <si>
    <t>DataScience</t>
  </si>
  <si>
    <t>Python</t>
  </si>
  <si>
    <t>Jobs</t>
  </si>
  <si>
    <t>Traffic</t>
  </si>
  <si>
    <t>Latest</t>
  </si>
  <si>
    <t>COVID</t>
  </si>
  <si>
    <t>England</t>
  </si>
  <si>
    <t>COVID19</t>
  </si>
  <si>
    <t>Multi</t>
  </si>
  <si>
    <t>Step</t>
  </si>
  <si>
    <t>Multivariate</t>
  </si>
  <si>
    <t>Series</t>
  </si>
  <si>
    <t>Covid</t>
  </si>
  <si>
    <t>BigData</t>
  </si>
  <si>
    <t>Analytics</t>
  </si>
  <si>
    <t>AI</t>
  </si>
  <si>
    <t>MachineLearning</t>
  </si>
  <si>
    <t>IoT</t>
  </si>
  <si>
    <t>IIoT</t>
  </si>
  <si>
    <t>PyTorch</t>
  </si>
  <si>
    <t>RStats</t>
  </si>
  <si>
    <t>TensorFlow</t>
  </si>
  <si>
    <t>CloudComputing</t>
  </si>
  <si>
    <t>Serverless</t>
  </si>
  <si>
    <t>DataScientist</t>
  </si>
  <si>
    <t>ArtificialIntelligence</t>
  </si>
  <si>
    <t>DataScientists</t>
  </si>
  <si>
    <t>Data</t>
  </si>
  <si>
    <t>Not</t>
  </si>
  <si>
    <t>on</t>
  </si>
  <si>
    <t>AIEthics</t>
  </si>
  <si>
    <t>SafetyFirst</t>
  </si>
  <si>
    <t>family</t>
  </si>
  <si>
    <t>eldercare</t>
  </si>
  <si>
    <t>childcare</t>
  </si>
  <si>
    <t>chronicillness</t>
  </si>
  <si>
    <t>Java</t>
  </si>
  <si>
    <t>JavaScript</t>
  </si>
  <si>
    <t>ReactJS</t>
  </si>
  <si>
    <t>Linux</t>
  </si>
  <si>
    <t>100DaysOfCode</t>
  </si>
  <si>
    <t>iamintel</t>
  </si>
  <si>
    <t>robots</t>
  </si>
  <si>
    <t>robotics</t>
  </si>
  <si>
    <t>COVID__19</t>
  </si>
  <si>
    <t>GOSY</t>
  </si>
  <si>
    <t>VoiceFirst</t>
  </si>
  <si>
    <t>The</t>
  </si>
  <si>
    <t>Workplace</t>
  </si>
  <si>
    <t>Future</t>
  </si>
  <si>
    <t>Solving</t>
  </si>
  <si>
    <t>How</t>
  </si>
  <si>
    <t>We</t>
  </si>
  <si>
    <t>Get</t>
  </si>
  <si>
    <t>Back</t>
  </si>
  <si>
    <t>Work</t>
  </si>
  <si>
    <t>Kubernetes</t>
  </si>
  <si>
    <t>edtech</t>
  </si>
  <si>
    <t>CyberSecurity</t>
  </si>
  <si>
    <t>COVID_19</t>
  </si>
  <si>
    <t>javascript</t>
  </si>
  <si>
    <t>blockchain</t>
  </si>
  <si>
    <t>cdwsocial</t>
  </si>
  <si>
    <t>This</t>
  </si>
  <si>
    <t>I've</t>
  </si>
  <si>
    <t>UI</t>
  </si>
  <si>
    <t>Still</t>
  </si>
  <si>
    <t>Have</t>
  </si>
  <si>
    <t>ML</t>
  </si>
  <si>
    <t>responsibleAI</t>
  </si>
  <si>
    <t>Visualization</t>
  </si>
  <si>
    <t>Of</t>
  </si>
  <si>
    <t>New</t>
  </si>
  <si>
    <t>Cases</t>
  </si>
  <si>
    <t>Over</t>
  </si>
  <si>
    <t>In</t>
  </si>
  <si>
    <t>WomenWhoCode</t>
  </si>
  <si>
    <t>CodeNewbie</t>
  </si>
  <si>
    <t>webdevelopment</t>
  </si>
  <si>
    <t>Nodejs</t>
  </si>
  <si>
    <t>CoodignD</t>
  </si>
  <si>
    <t>Harvard</t>
  </si>
  <si>
    <t>University</t>
  </si>
  <si>
    <t>Free</t>
  </si>
  <si>
    <t>Courses</t>
  </si>
  <si>
    <t>Link</t>
  </si>
  <si>
    <t>100DaysofCode</t>
  </si>
  <si>
    <t>Corona</t>
  </si>
  <si>
    <t>TheInsaneApp</t>
  </si>
  <si>
    <t>carmageddon'</t>
  </si>
  <si>
    <t>Here's</t>
  </si>
  <si>
    <t>HOW</t>
  </si>
  <si>
    <t>bigdata</t>
  </si>
  <si>
    <t>IOT</t>
  </si>
  <si>
    <t>Tech</t>
  </si>
  <si>
    <t>DATA</t>
  </si>
  <si>
    <t>dataScientist</t>
  </si>
  <si>
    <t>dataScience</t>
  </si>
  <si>
    <t>FRENCHtech</t>
  </si>
  <si>
    <t>100daysofCode</t>
  </si>
  <si>
    <t>Javascript</t>
  </si>
  <si>
    <t>France</t>
  </si>
  <si>
    <t>Defstar5</t>
  </si>
  <si>
    <t>FemTech</t>
  </si>
  <si>
    <t>womenWhoCode</t>
  </si>
  <si>
    <t>UK</t>
  </si>
  <si>
    <t>US</t>
  </si>
  <si>
    <t>June</t>
  </si>
  <si>
    <t>MailOnline</t>
  </si>
  <si>
    <t>healthCare</t>
  </si>
  <si>
    <t>Due</t>
  </si>
  <si>
    <t>Coursera</t>
  </si>
  <si>
    <t>Programming</t>
  </si>
  <si>
    <t>FREE</t>
  </si>
  <si>
    <t>softwareengineering</t>
  </si>
  <si>
    <t>datascience</t>
  </si>
  <si>
    <t>analytics</t>
  </si>
  <si>
    <t>ai</t>
  </si>
  <si>
    <t>A</t>
  </si>
  <si>
    <t>Ray</t>
  </si>
  <si>
    <t>GoLang</t>
  </si>
  <si>
    <t>DeepLearning</t>
  </si>
  <si>
    <t>RT</t>
  </si>
  <si>
    <t>GavLaaaaaaaa</t>
  </si>
  <si>
    <t>WeLoveData</t>
  </si>
  <si>
    <t>Learn</t>
  </si>
  <si>
    <t>Enroll</t>
  </si>
  <si>
    <t>webinar</t>
  </si>
  <si>
    <t>Lockdown</t>
  </si>
  <si>
    <t>Analysis</t>
  </si>
  <si>
    <t>Big</t>
  </si>
  <si>
    <t>Sep</t>
  </si>
  <si>
    <t>AM</t>
  </si>
  <si>
    <t>GMT</t>
  </si>
  <si>
    <t>Register</t>
  </si>
  <si>
    <t>Book</t>
  </si>
  <si>
    <t>education</t>
  </si>
  <si>
    <t>Coding</t>
  </si>
  <si>
    <t>java</t>
  </si>
  <si>
    <t>coder</t>
  </si>
  <si>
    <t>programmermeme</t>
  </si>
  <si>
    <t>codinglife</t>
  </si>
  <si>
    <t>Covid19</t>
  </si>
  <si>
    <t>Update</t>
  </si>
  <si>
    <t>NIH</t>
  </si>
  <si>
    <t>Developing</t>
  </si>
  <si>
    <t>Imaging</t>
  </si>
  <si>
    <t>Tools</t>
  </si>
  <si>
    <t>Website</t>
  </si>
  <si>
    <t>digitalTransformation</t>
  </si>
  <si>
    <t>IvanVaz32762138</t>
  </si>
  <si>
    <t>We're</t>
  </si>
  <si>
    <t>100Daysofcode</t>
  </si>
  <si>
    <t>DataAnalytics</t>
  </si>
  <si>
    <t>Test</t>
  </si>
  <si>
    <t>Code</t>
  </si>
  <si>
    <t>tech</t>
  </si>
  <si>
    <t>SSR</t>
  </si>
  <si>
    <t>U</t>
  </si>
  <si>
    <t>S</t>
  </si>
  <si>
    <t>Volunteer</t>
  </si>
  <si>
    <t>Jennifer</t>
  </si>
  <si>
    <t>Holler</t>
  </si>
  <si>
    <t>Gets</t>
  </si>
  <si>
    <t>First</t>
  </si>
  <si>
    <t>Shot</t>
  </si>
  <si>
    <t>Vaccine</t>
  </si>
  <si>
    <t>coronavirus</t>
  </si>
  <si>
    <t>stayhome</t>
  </si>
  <si>
    <t>quarantine</t>
  </si>
  <si>
    <t>100DaysOfMLCode</t>
  </si>
  <si>
    <t>womenwhocode</t>
  </si>
  <si>
    <t>Django</t>
  </si>
  <si>
    <t>pythonprogramming</t>
  </si>
  <si>
    <t>WebDeveloper</t>
  </si>
  <si>
    <t>Awesome</t>
  </si>
  <si>
    <t>SiliconValley</t>
  </si>
  <si>
    <t>That</t>
  </si>
  <si>
    <t>Startup</t>
  </si>
  <si>
    <t>SanFrancisco</t>
  </si>
  <si>
    <t>SV</t>
  </si>
  <si>
    <t>Now</t>
  </si>
  <si>
    <t>Open</t>
  </si>
  <si>
    <t>Sourced</t>
  </si>
  <si>
    <t>privacy</t>
  </si>
  <si>
    <t>Anonymous</t>
  </si>
  <si>
    <t>engineer</t>
  </si>
  <si>
    <t>girlswhocode</t>
  </si>
  <si>
    <t>hacker</t>
  </si>
  <si>
    <t>Developer</t>
  </si>
  <si>
    <t>Tour</t>
  </si>
  <si>
    <t>End</t>
  </si>
  <si>
    <t>Machine</t>
  </si>
  <si>
    <t>Learning</t>
  </si>
  <si>
    <t>Platforms</t>
  </si>
  <si>
    <t>DataMining</t>
  </si>
  <si>
    <t>M</t>
  </si>
  <si>
    <t>voicefirst</t>
  </si>
  <si>
    <t>Top</t>
  </si>
  <si>
    <t>Cyber</t>
  </si>
  <si>
    <t>Threats</t>
  </si>
  <si>
    <t>hacking</t>
  </si>
  <si>
    <t>pentest</t>
  </si>
  <si>
    <t>linux</t>
  </si>
  <si>
    <t>webdev</t>
  </si>
  <si>
    <t>webdeveloper</t>
  </si>
  <si>
    <t>digital</t>
  </si>
  <si>
    <t>cloud</t>
  </si>
  <si>
    <t>technology</t>
  </si>
  <si>
    <t>security</t>
  </si>
  <si>
    <t>Role</t>
  </si>
  <si>
    <t>Post</t>
  </si>
  <si>
    <t>Era</t>
  </si>
  <si>
    <t>Deeplearning</t>
  </si>
  <si>
    <t>NLP</t>
  </si>
  <si>
    <t>NoSQL</t>
  </si>
  <si>
    <t>Bigdata</t>
  </si>
  <si>
    <t>Cassandra</t>
  </si>
  <si>
    <t>Kafka</t>
  </si>
  <si>
    <t>Hadoop</t>
  </si>
  <si>
    <t>spark</t>
  </si>
  <si>
    <t>Tensorflow</t>
  </si>
  <si>
    <t>GlobalAI</t>
  </si>
  <si>
    <t>R</t>
  </si>
  <si>
    <t>DataBase</t>
  </si>
  <si>
    <t>Combatting</t>
  </si>
  <si>
    <t>machinelearning</t>
  </si>
  <si>
    <t>hadoop</t>
  </si>
  <si>
    <t>Database</t>
  </si>
  <si>
    <t>Bias</t>
  </si>
  <si>
    <t>Policing</t>
  </si>
  <si>
    <t>noSQL</t>
  </si>
  <si>
    <t>serverless</t>
  </si>
  <si>
    <t>Analyze</t>
  </si>
  <si>
    <t>Pandas</t>
  </si>
  <si>
    <t>Watch</t>
  </si>
  <si>
    <t>Science</t>
  </si>
  <si>
    <t>Daily</t>
  </si>
  <si>
    <t>Job</t>
  </si>
  <si>
    <t>Artificial</t>
  </si>
  <si>
    <t>Intelligence</t>
  </si>
  <si>
    <t>By</t>
  </si>
  <si>
    <t>PeopleMatters2</t>
  </si>
  <si>
    <t>4IR</t>
  </si>
  <si>
    <t>futureofwork</t>
  </si>
  <si>
    <t>Cc</t>
  </si>
  <si>
    <t>Hana_ElSayyed</t>
  </si>
  <si>
    <t>JolaBurnett</t>
  </si>
  <si>
    <t>MissTalent86</t>
  </si>
  <si>
    <t>DrJDrooghaag</t>
  </si>
  <si>
    <t>Youn</t>
  </si>
  <si>
    <t>I</t>
  </si>
  <si>
    <t>me</t>
  </si>
  <si>
    <t>With</t>
  </si>
  <si>
    <t>ongoing</t>
  </si>
  <si>
    <t>Most</t>
  </si>
  <si>
    <t>people</t>
  </si>
  <si>
    <t>affected</t>
  </si>
  <si>
    <t>As</t>
  </si>
  <si>
    <t>scientists</t>
  </si>
  <si>
    <t>engineers</t>
  </si>
  <si>
    <t>tasks</t>
  </si>
  <si>
    <t>including</t>
  </si>
  <si>
    <t>evaluation</t>
  </si>
  <si>
    <t>measures</t>
  </si>
  <si>
    <t>finding</t>
  </si>
  <si>
    <t>solutions</t>
  </si>
  <si>
    <t>outbreak</t>
  </si>
  <si>
    <t>right</t>
  </si>
  <si>
    <t>away</t>
  </si>
  <si>
    <t>CovsirPhy</t>
  </si>
  <si>
    <t>OpenSource</t>
  </si>
  <si>
    <t>Python自作パッケージCovsirPhyについて記事を書きました</t>
  </si>
  <si>
    <t>19関連のデータをダウンロードする方法についてです</t>
  </si>
  <si>
    <t>ご参照ください</t>
  </si>
  <si>
    <t>Qiita</t>
  </si>
  <si>
    <t>今日の積み上げ</t>
  </si>
  <si>
    <t>駆け出しエンジニアとつながりたい</t>
  </si>
  <si>
    <t>Released</t>
  </si>
  <si>
    <t>perform</t>
  </si>
  <si>
    <t>parameter</t>
  </si>
  <si>
    <t>estimation</t>
  </si>
  <si>
    <t>0th</t>
  </si>
  <si>
    <t>package</t>
  </si>
  <si>
    <t>dependent</t>
  </si>
  <si>
    <t>SIR</t>
  </si>
  <si>
    <t>derived</t>
  </si>
  <si>
    <t>ODE</t>
  </si>
  <si>
    <t>models</t>
  </si>
  <si>
    <t>Thank</t>
  </si>
  <si>
    <t>13までの新型コロナの日本</t>
  </si>
  <si>
    <t>感染数</t>
  </si>
  <si>
    <t>新型コロナウィルス</t>
  </si>
  <si>
    <t>新型コロナ</t>
  </si>
  <si>
    <t>12までの新型コロナの日本</t>
  </si>
  <si>
    <t>11までの新型コロナの日本</t>
  </si>
  <si>
    <t>10までの新型コロナの日本</t>
  </si>
  <si>
    <t>8までの新型コロナの日本</t>
  </si>
  <si>
    <t>7までの新型コロナの日本</t>
  </si>
  <si>
    <t>6までの新型コロナの日本</t>
  </si>
  <si>
    <t>PHP</t>
  </si>
  <si>
    <t>developer</t>
  </si>
  <si>
    <t>html</t>
  </si>
  <si>
    <t>indonesia</t>
  </si>
  <si>
    <t>css</t>
  </si>
  <si>
    <t>elearning</t>
  </si>
  <si>
    <t>onlinelearning</t>
  </si>
  <si>
    <t>students</t>
  </si>
  <si>
    <t>teaching</t>
  </si>
  <si>
    <t>distancelearning</t>
  </si>
  <si>
    <t>school</t>
  </si>
  <si>
    <t>edchat</t>
  </si>
  <si>
    <t>Join</t>
  </si>
  <si>
    <t>PyCon</t>
  </si>
  <si>
    <t>Conference</t>
  </si>
  <si>
    <t>Sept</t>
  </si>
  <si>
    <t>Saturday</t>
  </si>
  <si>
    <t>Turkey</t>
  </si>
  <si>
    <t>Celebrating</t>
  </si>
  <si>
    <t>pycontr2020</t>
  </si>
  <si>
    <t>Detecting</t>
  </si>
  <si>
    <t>Chest</t>
  </si>
  <si>
    <t>Check</t>
  </si>
  <si>
    <t>Trending</t>
  </si>
  <si>
    <t>Staff</t>
  </si>
  <si>
    <t>pyton</t>
  </si>
  <si>
    <t>pythonic</t>
  </si>
  <si>
    <t>ml</t>
  </si>
  <si>
    <t>Read</t>
  </si>
  <si>
    <t>More</t>
  </si>
  <si>
    <t>Here</t>
  </si>
  <si>
    <t>TechStuff</t>
  </si>
  <si>
    <t>Exploring</t>
  </si>
  <si>
    <t>Morioh</t>
  </si>
  <si>
    <t>kafka</t>
  </si>
  <si>
    <t>Updated</t>
  </si>
  <si>
    <t>100K</t>
  </si>
  <si>
    <t>DataVisualization</t>
  </si>
  <si>
    <t>CrushCovid19</t>
  </si>
  <si>
    <t>Başlangıç</t>
  </si>
  <si>
    <t>için</t>
  </si>
  <si>
    <t>hiç</t>
  </si>
  <si>
    <t>fena</t>
  </si>
  <si>
    <t>sayılmaz</t>
  </si>
  <si>
    <t>Throwback</t>
  </si>
  <si>
    <t>article</t>
  </si>
  <si>
    <t>early</t>
  </si>
  <si>
    <t>days</t>
  </si>
  <si>
    <t>March</t>
  </si>
  <si>
    <t>coronavirusuk</t>
  </si>
  <si>
    <t>visualart</t>
  </si>
  <si>
    <t>DEV</t>
  </si>
  <si>
    <t>After</t>
  </si>
  <si>
    <t>My</t>
  </si>
  <si>
    <t>Tkinter</t>
  </si>
  <si>
    <t>Never</t>
  </si>
  <si>
    <t>advance</t>
  </si>
  <si>
    <t>skillset</t>
  </si>
  <si>
    <t>businessadvice</t>
  </si>
  <si>
    <t>designthinking</t>
  </si>
  <si>
    <t>ThinkLogicallyActAccordingly</t>
  </si>
  <si>
    <t>BusinessIntelligence</t>
  </si>
  <si>
    <t>Best</t>
  </si>
  <si>
    <t>Resources</t>
  </si>
  <si>
    <t>Mastering</t>
  </si>
  <si>
    <t>Virus</t>
  </si>
  <si>
    <t>Live</t>
  </si>
  <si>
    <t>Updates</t>
  </si>
  <si>
    <t>Hypothesis</t>
  </si>
  <si>
    <t>Testing</t>
  </si>
  <si>
    <t>Statistics</t>
  </si>
  <si>
    <t>Problems</t>
  </si>
  <si>
    <t>Examples</t>
  </si>
  <si>
    <t>Python3</t>
  </si>
  <si>
    <t>course</t>
  </si>
  <si>
    <t>Mosh</t>
  </si>
  <si>
    <t>hospitality</t>
  </si>
  <si>
    <t>industry</t>
  </si>
  <si>
    <t>thought</t>
  </si>
  <si>
    <t>smart</t>
  </si>
  <si>
    <t>explore</t>
  </si>
  <si>
    <t>other</t>
  </si>
  <si>
    <t>industries</t>
  </si>
  <si>
    <t>fun</t>
  </si>
  <si>
    <t>very</t>
  </si>
  <si>
    <t>difficult</t>
  </si>
  <si>
    <t>newbies</t>
  </si>
  <si>
    <t>Feels</t>
  </si>
  <si>
    <t>jumping</t>
  </si>
  <si>
    <t>water</t>
  </si>
  <si>
    <t>Help</t>
  </si>
  <si>
    <t>programmingmemes</t>
  </si>
  <si>
    <t>programminghumor</t>
  </si>
  <si>
    <t>reddit</t>
  </si>
  <si>
    <t>c</t>
  </si>
  <si>
    <t>helloworld</t>
  </si>
  <si>
    <t>stackoverflow</t>
  </si>
  <si>
    <t>programmerlife</t>
  </si>
  <si>
    <t>frontend</t>
  </si>
  <si>
    <t>backend</t>
  </si>
  <si>
    <t>teamviewer</t>
  </si>
  <si>
    <t>bug</t>
  </si>
  <si>
    <t>coronamemes</t>
  </si>
  <si>
    <t>Simple</t>
  </si>
  <si>
    <t>informationtechnology</t>
  </si>
  <si>
    <t>cybersecurity</t>
  </si>
  <si>
    <t>computerscience</t>
  </si>
  <si>
    <t>business</t>
  </si>
  <si>
    <t>innovation</t>
  </si>
  <si>
    <t>engineering</t>
  </si>
  <si>
    <t>computer</t>
  </si>
  <si>
    <t>informationsecurity</t>
  </si>
  <si>
    <t>newtechnology</t>
  </si>
  <si>
    <t>technologynews</t>
  </si>
  <si>
    <t>information</t>
  </si>
  <si>
    <t>If</t>
  </si>
  <si>
    <t>MATLAB</t>
  </si>
  <si>
    <t>STATA</t>
  </si>
  <si>
    <t>SPSS</t>
  </si>
  <si>
    <t>OPEN</t>
  </si>
  <si>
    <t>SOURCE</t>
  </si>
  <si>
    <t>Julia</t>
  </si>
  <si>
    <t>Miedo</t>
  </si>
  <si>
    <t>El</t>
  </si>
  <si>
    <t>se</t>
  </si>
  <si>
    <t>Programacion</t>
  </si>
  <si>
    <t>Preescolar</t>
  </si>
  <si>
    <t>Primaria</t>
  </si>
  <si>
    <t>robotica</t>
  </si>
  <si>
    <t>Want</t>
  </si>
  <si>
    <t>career</t>
  </si>
  <si>
    <t>stays</t>
  </si>
  <si>
    <t>demand</t>
  </si>
  <si>
    <t>face</t>
  </si>
  <si>
    <t>global</t>
  </si>
  <si>
    <t>Become</t>
  </si>
  <si>
    <t>datascientist</t>
  </si>
  <si>
    <t>DataEngineering</t>
  </si>
  <si>
    <t>DataScienceAnalytics</t>
  </si>
  <si>
    <t>DataScienceProfessionals</t>
  </si>
  <si>
    <t>SAS</t>
  </si>
  <si>
    <t>DataEngineers</t>
  </si>
  <si>
    <t>DataProcessing</t>
  </si>
  <si>
    <t>Hey</t>
  </si>
  <si>
    <t>Please</t>
  </si>
  <si>
    <t>RT's</t>
  </si>
  <si>
    <t>Happened</t>
  </si>
  <si>
    <t>And</t>
  </si>
  <si>
    <t>Decided</t>
  </si>
  <si>
    <t>Stop</t>
  </si>
  <si>
    <t>Gaming</t>
  </si>
  <si>
    <t>Start</t>
  </si>
  <si>
    <t>gaming</t>
  </si>
  <si>
    <t>places</t>
  </si>
  <si>
    <t>greater</t>
  </si>
  <si>
    <t>emphasis</t>
  </si>
  <si>
    <t>talent</t>
  </si>
  <si>
    <t>ethicalhacking</t>
  </si>
  <si>
    <t>startup</t>
  </si>
  <si>
    <t>Turbulence</t>
  </si>
  <si>
    <t>worker</t>
  </si>
  <si>
    <t>Warriors</t>
  </si>
  <si>
    <t>For</t>
  </si>
  <si>
    <t>codewarriors</t>
  </si>
  <si>
    <t>ComputerVision</t>
  </si>
  <si>
    <t>codewarriorslife</t>
  </si>
  <si>
    <t>givemycertificate</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</si>
  <si>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</si>
  <si>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</si>
  <si>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</si>
  <si>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</si>
  <si>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</si>
  <si>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</si>
  <si>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</si>
  <si>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</si>
  <si>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</si>
  <si>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</si>
  <si>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</si>
  <si>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</si>
  <si>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</si>
  <si>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</si>
  <si>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</si>
  <si>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</si>
  <si>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</si>
  <si>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</si>
  <si>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</si>
  <si>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</si>
  <si>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</si>
  <si>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</si>
  <si>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</si>
  <si>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</si>
  <si>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</si>
  <si>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</si>
  <si>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</si>
  <si>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</si>
  <si>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</si>
  <si>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</si>
  <si>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</si>
  <si>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</si>
  <si>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</si>
  <si>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</si>
  <si>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</si>
  <si>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</si>
  <si>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</si>
  <si>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</si>
  <si>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</si>
  <si>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</si>
  <si>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</si>
  <si>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</si>
  <si>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</si>
  <si>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</si>
  <si>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</si>
  <si>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</si>
  <si>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</si>
  <si>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</si>
  <si>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</si>
  <si>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</si>
  <si>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</si>
  <si>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</si>
  <si>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</si>
  <si>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</si>
  <si>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</si>
  <si>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</si>
  <si>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</si>
  <si>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</si>
  <si>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</si>
  <si>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</si>
  <si>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</si>
  <si>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</si>
  <si>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</si>
  <si>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</si>
  <si>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</si>
  <si>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</si>
  <si>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</si>
  <si>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</si>
  <si>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</si>
  <si>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</si>
  <si>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</si>
  <si>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</si>
  <si>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</si>
  <si>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</si>
  <si>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</si>
  <si>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</si>
  <si>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</si>
  <si>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</si>
  <si>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</si>
  <si>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</si>
  <si>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t>
  </si>
  <si>
    <t>eikä</t>
  </si>
  <si>
    <t>eilen</t>
  </si>
  <si>
    <t>eivät</t>
  </si>
  <si>
    <t>eli</t>
  </si>
  <si>
    <t>ellei</t>
  </si>
  <si>
    <t>elleivät</t>
  </si>
  <si>
    <t>ellemme</t>
  </si>
  <si>
    <t>ellen</t>
  </si>
  <si>
    <t>ellet</t>
  </si>
  <si>
    <t>ellette</t>
  </si>
  <si>
    <t>emme</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</si>
  <si>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</si>
  <si>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</si>
  <si>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</si>
  <si>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</si>
  <si>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</si>
  <si>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</si>
  <si>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</si>
  <si>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</si>
  <si>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</si>
  <si>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</si>
  <si>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</si>
  <si>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</si>
  <si>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</si>
  <si>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</si>
  <si>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</si>
  <si>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</si>
  <si>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</si>
  <si>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</si>
  <si>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</si>
  <si>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</si>
  <si>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</si>
  <si>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</si>
  <si>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</si>
  <si>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</si>
  <si>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</si>
  <si>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erityisesti</t>
  </si>
  <si>
    <t>esi</t>
  </si>
  <si>
    <t>esiin</t>
  </si>
  <si>
    <t>esillä</t>
  </si>
  <si>
    <t>esimerkiksi</t>
  </si>
  <si>
    <t>et</t>
  </si>
  <si>
    <t>eteen</t>
  </si>
  <si>
    <t>etenkin</t>
  </si>
  <si>
    <t>että</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</si>
  <si>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</si>
  <si>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</si>
  <si>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</si>
  <si>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</si>
  <si>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</si>
  <si>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</si>
  <si>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</si>
  <si>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</si>
  <si>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</si>
  <si>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</si>
  <si>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</si>
  <si>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</si>
  <si>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</si>
  <si>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</si>
  <si>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</si>
  <si>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</si>
  <si>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</si>
  <si>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</si>
  <si>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</si>
  <si>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</si>
  <si>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</si>
  <si>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</si>
  <si>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</si>
  <si>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</si>
  <si>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</si>
  <si>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</si>
  <si>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</si>
  <si>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</si>
  <si>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t>
  </si>
  <si>
    <t>hei</t>
  </si>
  <si>
    <t>heidän</t>
  </si>
  <si>
    <t>heihin</t>
  </si>
  <si>
    <t>heille</t>
  </si>
  <si>
    <t>heiltä</t>
  </si>
  <si>
    <t>heissä</t>
  </si>
  <si>
    <t>heistä</t>
  </si>
  <si>
    <t>heitä</t>
  </si>
  <si>
    <t>helposti</t>
  </si>
  <si>
    <t>heti</t>
  </si>
  <si>
    <t>hetkellä</t>
  </si>
  <si>
    <t>hieman</t>
  </si>
  <si>
    <t>huolimatta</t>
  </si>
  <si>
    <t>huomenna</t>
  </si>
  <si>
    <t>hyvä</t>
  </si>
  <si>
    <t>hyvää</t>
  </si>
  <si>
    <t>hyvät</t>
  </si>
  <si>
    <t>hyviä</t>
  </si>
  <si>
    <t>hyvien</t>
  </si>
  <si>
    <t>hyviin</t>
  </si>
  <si>
    <t>hyviksi</t>
  </si>
  <si>
    <t>hyville</t>
  </si>
  <si>
    <t>hyviltä</t>
  </si>
  <si>
    <t>hyvin</t>
  </si>
  <si>
    <t>hyvinä</t>
  </si>
  <si>
    <t>hyvissä</t>
  </si>
  <si>
    <t>hyvistä</t>
  </si>
  <si>
    <t>ihan</t>
  </si>
  <si>
    <t>ilman</t>
  </si>
  <si>
    <t>ilmeisesti</t>
  </si>
  <si>
    <t>itse</t>
  </si>
  <si>
    <t>itseään</t>
  </si>
  <si>
    <t>itsensä</t>
  </si>
  <si>
    <t>jää</t>
  </si>
  <si>
    <t>jälkeen</t>
  </si>
  <si>
    <t>jälleen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</si>
  <si>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</si>
  <si>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</si>
  <si>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</si>
  <si>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</si>
  <si>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</si>
  <si>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</si>
  <si>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</si>
  <si>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</si>
  <si>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</si>
  <si>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</si>
  <si>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</si>
  <si>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</si>
  <si>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</si>
  <si>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</si>
  <si>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</si>
  <si>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</si>
  <si>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</si>
  <si>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</si>
  <si>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</si>
  <si>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</si>
  <si>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</si>
  <si>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</si>
  <si>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</si>
  <si>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</si>
  <si>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</si>
  <si>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</si>
  <si>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</si>
  <si>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</si>
  <si>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</si>
  <si>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</si>
  <si>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</si>
  <si>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</si>
  <si>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</si>
  <si>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</si>
  <si>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</si>
  <si>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</si>
  <si>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</si>
  <si>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</si>
  <si>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</si>
  <si>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</si>
  <si>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</si>
  <si>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</si>
  <si>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</si>
  <si>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</si>
  <si>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</si>
  <si>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</si>
  <si>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</si>
  <si>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</si>
  <si>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</si>
  <si>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</si>
  <si>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</si>
  <si>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</si>
  <si>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</si>
  <si>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</si>
  <si>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</si>
  <si>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</si>
  <si>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</si>
  <si>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</si>
  <si>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</si>
  <si>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</si>
  <si>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</si>
  <si>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</si>
  <si>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</si>
  <si>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</si>
  <si>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</si>
  <si>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</si>
  <si>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</si>
  <si>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</si>
  <si>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</si>
  <si>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</si>
  <si>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</si>
  <si>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</si>
  <si>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</si>
  <si>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</si>
  <si>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</si>
  <si>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</si>
  <si>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</si>
  <si>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</si>
  <si>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</si>
  <si>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</si>
  <si>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</si>
  <si>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</si>
  <si>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</si>
  <si>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</si>
  <si>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</si>
  <si>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</si>
  <si>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</si>
  <si>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</si>
  <si>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</si>
  <si>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</si>
  <si>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</si>
  <si>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</si>
  <si>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</si>
  <si>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</si>
  <si>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</si>
  <si>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</si>
  <si>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</si>
  <si>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</si>
  <si>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</si>
  <si>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</si>
  <si>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</si>
  <si>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</si>
  <si>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</si>
  <si>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</si>
  <si>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</si>
  <si>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</si>
  <si>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</si>
  <si>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</si>
  <si>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</si>
  <si>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</si>
  <si>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</si>
  <si>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</si>
  <si>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</si>
  <si>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</si>
  <si>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</si>
  <si>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</si>
  <si>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</si>
  <si>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</si>
  <si>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</si>
  <si>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</si>
  <si>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</si>
  <si>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</si>
  <si>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</si>
  <si>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</si>
  <si>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</si>
  <si>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</si>
  <si>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</si>
  <si>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</si>
  <si>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</si>
  <si>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t>
  </si>
  <si>
    <t>koskaan</t>
  </si>
  <si>
    <t>kovin</t>
  </si>
  <si>
    <t>kuin</t>
  </si>
  <si>
    <t>kuinka</t>
  </si>
  <si>
    <t>kuitenkaan</t>
  </si>
  <si>
    <t>kuitenkin</t>
  </si>
  <si>
    <t>kuka</t>
  </si>
  <si>
    <t>kukaan</t>
  </si>
  <si>
    <t>kukin</t>
  </si>
  <si>
    <t>kumpainen</t>
  </si>
  <si>
    <t>kumpainenkaan</t>
  </si>
  <si>
    <t>kumpi</t>
  </si>
  <si>
    <t>kumpikaan</t>
  </si>
  <si>
    <t>kumpikin</t>
  </si>
  <si>
    <t>kun</t>
  </si>
  <si>
    <t>kuten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</si>
  <si>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</si>
  <si>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</si>
  <si>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</si>
  <si>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</si>
  <si>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</si>
  <si>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</si>
  <si>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</si>
  <si>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</si>
  <si>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</si>
  <si>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</si>
  <si>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</si>
  <si>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</si>
  <si>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</si>
  <si>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</si>
  <si>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</si>
  <si>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</si>
  <si>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</si>
  <si>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</si>
  <si>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</si>
  <si>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</si>
  <si>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</si>
  <si>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</si>
  <si>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</si>
  <si>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</si>
  <si>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</si>
  <si>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</si>
  <si>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</si>
  <si>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</si>
  <si>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</si>
  <si>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</si>
  <si>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</si>
  <si>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</si>
  <si>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</si>
  <si>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</si>
  <si>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</si>
  <si>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</si>
  <si>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</si>
  <si>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</si>
  <si>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</si>
  <si>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</si>
  <si>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</si>
  <si>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</si>
  <si>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</si>
  <si>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</si>
  <si>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</si>
  <si>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</si>
  <si>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</si>
  <si>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</si>
  <si>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</si>
  <si>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</si>
  <si>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</si>
  <si>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</si>
  <si>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</si>
  <si>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missä</t>
  </si>
  <si>
    <t>mistä</t>
  </si>
  <si>
    <t>mitä</t>
  </si>
  <si>
    <t>mitään</t>
  </si>
  <si>
    <t>miten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</si>
  <si>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</si>
  <si>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</si>
  <si>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</si>
  <si>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</si>
  <si>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</si>
  <si>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</si>
  <si>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</si>
  <si>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</si>
  <si>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</si>
  <si>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</si>
  <si>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</si>
  <si>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</si>
  <si>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</si>
  <si>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</si>
  <si>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</si>
  <si>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</si>
  <si>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</si>
  <si>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</si>
  <si>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</si>
  <si>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</si>
  <si>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</si>
  <si>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</si>
  <si>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</si>
  <si>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</si>
  <si>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</si>
  <si>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</si>
  <si>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</si>
  <si>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</si>
  <si>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</si>
  <si>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</si>
  <si>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</si>
  <si>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</si>
  <si>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myöskään</t>
  </si>
  <si>
    <t>myöskin</t>
  </si>
  <si>
    <t>myötä</t>
  </si>
  <si>
    <t>näiden</t>
  </si>
  <si>
    <t>näin</t>
  </si>
  <si>
    <t>näissä</t>
  </si>
  <si>
    <t>näissähin</t>
  </si>
  <si>
    <t>näissälle</t>
  </si>
  <si>
    <t>näissältä</t>
  </si>
  <si>
    <t>näissästä</t>
  </si>
  <si>
    <t>näitä</t>
  </si>
  <si>
    <t>nämä</t>
  </si>
  <si>
    <t>ne</t>
  </si>
  <si>
    <t>neljä</t>
  </si>
  <si>
    <t>neljää</t>
  </si>
  <si>
    <t>neljän</t>
  </si>
  <si>
    <t>niiden</t>
  </si>
  <si>
    <t>niin</t>
  </si>
  <si>
    <t>niistä</t>
  </si>
  <si>
    <t>niitä</t>
  </si>
  <si>
    <t>noin</t>
  </si>
  <si>
    <t>nopeammin</t>
  </si>
  <si>
    <t>nopeasti</t>
  </si>
  <si>
    <t>nopeiten</t>
  </si>
  <si>
    <t>nro</t>
  </si>
  <si>
    <t>nuo</t>
  </si>
  <si>
    <t>nyt</t>
  </si>
  <si>
    <t>ohi</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</si>
  <si>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</si>
  <si>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</si>
  <si>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</si>
  <si>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</si>
  <si>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</si>
  <si>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</si>
  <si>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</si>
  <si>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</si>
  <si>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</si>
  <si>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</si>
  <si>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</si>
  <si>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</si>
  <si>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</si>
  <si>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</si>
  <si>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</si>
  <si>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</si>
  <si>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</si>
  <si>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</si>
  <si>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</si>
  <si>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</si>
  <si>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</si>
  <si>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</si>
  <si>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</si>
  <si>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</si>
  <si>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</si>
  <si>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</si>
  <si>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</si>
  <si>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</si>
  <si>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</si>
  <si>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</si>
  <si>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</si>
  <si>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</si>
  <si>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</si>
  <si>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</si>
  <si>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</si>
  <si>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</si>
  <si>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</si>
  <si>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</si>
  <si>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</si>
  <si>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</si>
  <si>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</si>
  <si>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</si>
  <si>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onkin</t>
  </si>
  <si>
    <t>onko</t>
  </si>
  <si>
    <t>ovat</t>
  </si>
  <si>
    <t>päälle</t>
  </si>
  <si>
    <t>paikoittain</t>
  </si>
  <si>
    <t>paitsi</t>
  </si>
  <si>
    <t>pakosti</t>
  </si>
  <si>
    <t>paljon</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</si>
  <si>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</si>
  <si>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</si>
  <si>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</si>
  <si>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</si>
  <si>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</si>
  <si>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</si>
  <si>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</si>
  <si>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</si>
  <si>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</si>
  <si>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</si>
  <si>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</si>
  <si>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</si>
  <si>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</si>
  <si>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</si>
  <si>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</si>
  <si>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</si>
  <si>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</si>
  <si>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</si>
  <si>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</si>
  <si>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</si>
  <si>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</si>
  <si>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</si>
  <si>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</si>
  <si>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</si>
  <si>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</si>
  <si>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</si>
  <si>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</si>
  <si>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</si>
  <si>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</si>
  <si>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</si>
  <si>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</si>
  <si>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</si>
  <si>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</si>
  <si>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</si>
  <si>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seitsemän</t>
  </si>
  <si>
    <t>sekä</t>
  </si>
  <si>
    <t>sen</t>
  </si>
  <si>
    <t>seuraavat</t>
  </si>
  <si>
    <t>siellä</t>
  </si>
  <si>
    <t>sieltä</t>
  </si>
  <si>
    <t>siihen</t>
  </si>
  <si>
    <t>siinä</t>
  </si>
  <si>
    <t>siis</t>
  </si>
  <si>
    <t>siitä</t>
  </si>
  <si>
    <t>sijaan</t>
  </si>
  <si>
    <t>siksi</t>
  </si>
  <si>
    <t>sillä</t>
  </si>
  <si>
    <t>silloin</t>
  </si>
  <si>
    <t>silti</t>
  </si>
  <si>
    <t>sinä</t>
  </si>
  <si>
    <t>sinne</t>
  </si>
  <si>
    <t>sinua</t>
  </si>
  <si>
    <t>sinulle</t>
  </si>
  <si>
    <t>sinulta</t>
  </si>
  <si>
    <t>sinun</t>
  </si>
  <si>
    <t>sinussa</t>
  </si>
  <si>
    <t>sinusta</t>
  </si>
  <si>
    <t>sinut</t>
  </si>
  <si>
    <t>sisäkkäin</t>
  </si>
  <si>
    <t>sisällä</t>
  </si>
  <si>
    <t>sitä</t>
  </si>
  <si>
    <t>siten</t>
  </si>
  <si>
    <t>sitten</t>
  </si>
  <si>
    <t>suoraan</t>
  </si>
  <si>
    <t>suuntaan</t>
  </si>
  <si>
    <t>suuren</t>
  </si>
  <si>
    <t>suuret</t>
  </si>
  <si>
    <t>suuri</t>
  </si>
  <si>
    <t>suuria</t>
  </si>
  <si>
    <t>suurin</t>
  </si>
  <si>
    <t>suurten</t>
  </si>
  <si>
    <t>taa</t>
  </si>
  <si>
    <t>täällä</t>
  </si>
  <si>
    <t>täältä</t>
  </si>
  <si>
    <t>taas</t>
  </si>
  <si>
    <t>taemmas</t>
  </si>
  <si>
    <t>tähän</t>
  </si>
  <si>
    <t>tahansa</t>
  </si>
  <si>
    <t>tai</t>
  </si>
  <si>
    <t>takaa</t>
  </si>
  <si>
    <t>takaisin</t>
  </si>
  <si>
    <t>takana</t>
  </si>
  <si>
    <t>takia</t>
  </si>
  <si>
    <t>tällä</t>
  </si>
  <si>
    <t>tällöin</t>
  </si>
  <si>
    <t>tämä</t>
  </si>
  <si>
    <t>tämän</t>
  </si>
  <si>
    <t>tänä</t>
  </si>
  <si>
    <t>tänään</t>
  </si>
  <si>
    <t>tänne</t>
  </si>
  <si>
    <t>tapauksessa</t>
  </si>
  <si>
    <t>tässä</t>
  </si>
  <si>
    <t>tästä</t>
  </si>
  <si>
    <t>tätä</t>
  </si>
  <si>
    <t>täten</t>
  </si>
  <si>
    <t>tavalla</t>
  </si>
  <si>
    <t>tavoitteena</t>
  </si>
  <si>
    <t>täysin</t>
  </si>
  <si>
    <t>täytyvät</t>
  </si>
  <si>
    <t>täytyy</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</si>
  <si>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</si>
  <si>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</si>
  <si>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</si>
  <si>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</si>
  <si>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</si>
  <si>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</si>
  <si>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</si>
  <si>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</si>
  <si>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</si>
  <si>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</si>
  <si>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</si>
  <si>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</si>
  <si>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</si>
  <si>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</si>
  <si>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</si>
  <si>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</si>
  <si>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</si>
  <si>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</si>
  <si>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</si>
  <si>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</si>
  <si>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</si>
  <si>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</si>
  <si>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</si>
  <si>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</si>
  <si>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</si>
  <si>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</si>
  <si>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</si>
  <si>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</si>
  <si>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</si>
  <si>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</si>
  <si>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</si>
  <si>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</si>
  <si>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</si>
  <si>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</si>
  <si>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</si>
  <si>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</si>
  <si>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</si>
  <si>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</si>
  <si>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</si>
  <si>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</si>
  <si>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</si>
  <si>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</si>
  <si>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</si>
  <si>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</si>
  <si>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</si>
  <si>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</si>
  <si>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</si>
  <si>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</si>
  <si>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</si>
  <si>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</si>
  <si>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</si>
  <si>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</si>
  <si>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</si>
  <si>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</si>
  <si>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</si>
  <si>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</si>
  <si>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</si>
  <si>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</si>
  <si>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</si>
  <si>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</si>
  <si>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</si>
  <si>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</si>
  <si>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</si>
  <si>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</si>
  <si>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</si>
  <si>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</si>
  <si>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</si>
  <si>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vaan</t>
  </si>
  <si>
    <t>vähän</t>
  </si>
  <si>
    <t>vähemmän</t>
  </si>
  <si>
    <t>vähintään</t>
  </si>
  <si>
    <t>vähiten</t>
  </si>
  <si>
    <t>vai</t>
  </si>
  <si>
    <t>vaiheessa</t>
  </si>
  <si>
    <t>vaikea</t>
  </si>
  <si>
    <t>vaikean</t>
  </si>
  <si>
    <t>vaikeat</t>
  </si>
  <si>
    <t>vaikeilla</t>
  </si>
  <si>
    <t>vaikeille</t>
  </si>
  <si>
    <t>vaikeilta</t>
  </si>
  <si>
    <t>vaikeissa</t>
  </si>
  <si>
    <t>vaikeista</t>
  </si>
  <si>
    <t>vaikka</t>
  </si>
  <si>
    <t>vain</t>
  </si>
  <si>
    <t>välillä</t>
  </si>
  <si>
    <t>varmasti</t>
  </si>
  <si>
    <t>varsin</t>
  </si>
  <si>
    <t>varsinkin</t>
  </si>
  <si>
    <t>varten</t>
  </si>
  <si>
    <t>vasta</t>
  </si>
  <si>
    <t>vastaan</t>
  </si>
  <si>
    <t>vastakkain</t>
  </si>
  <si>
    <t>verran</t>
  </si>
  <si>
    <t>vielä</t>
  </si>
  <si>
    <t>vierekkäin</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</si>
  <si>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</si>
  <si>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</si>
  <si>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</si>
  <si>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</si>
  <si>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</si>
  <si>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</si>
  <si>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</si>
  <si>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</si>
  <si>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</si>
  <si>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</si>
  <si>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</si>
  <si>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</si>
  <si>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</si>
  <si>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</si>
  <si>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</si>
  <si>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</si>
  <si>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</si>
  <si>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</si>
  <si>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</si>
  <si>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</si>
  <si>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</si>
  <si>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</si>
  <si>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</si>
  <si>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</si>
  <si>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</si>
  <si>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</si>
  <si>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</si>
  <si>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</si>
  <si>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</si>
  <si>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</si>
  <si>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</si>
  <si>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</si>
  <si>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</si>
  <si>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</si>
  <si>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</si>
  <si>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</si>
  <si>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</si>
  <si>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</si>
  <si>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</si>
  <si>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</si>
  <si>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</si>
  <si>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</si>
  <si>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</si>
  <si>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</si>
  <si>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</si>
  <si>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</si>
  <si>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</si>
  <si>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</si>
  <si>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</si>
  <si>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</si>
  <si>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</si>
  <si>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</si>
  <si>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</si>
  <si>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</si>
  <si>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</si>
  <si>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</si>
  <si>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</si>
  <si>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</si>
  <si>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</si>
  <si>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</si>
  <si>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</si>
  <si>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</si>
  <si>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</si>
  <si>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</si>
  <si>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</si>
  <si>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</si>
  <si>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</si>
  <si>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</si>
  <si>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</si>
  <si>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</si>
  <si>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</si>
  <si>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</si>
  <si>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</si>
  <si>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</si>
  <si>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</si>
  <si>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</si>
  <si>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</si>
  <si>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</si>
  <si>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</si>
  <si>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</si>
  <si>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</si>
  <si>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</si>
  <si>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</si>
  <si>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</si>
  <si>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</si>
  <si>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</si>
  <si>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</si>
  <si>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Betweenness Centrality</t>
  </si>
  <si>
    <t>Top URLs in Tweet in Entire Graph</t>
  </si>
  <si>
    <t>https://online-learning.harvard.edu/catalog</t>
  </si>
  <si>
    <t>https://medium.com/@rajmalhotra_2822/earn-coursera-certificates-for-free-on-some-programming-courses-during-the-coronavirus-epidemic-7b3f75bc49b1</t>
  </si>
  <si>
    <t>https://www.peoplematters.in/news/technology/job-searches-in-artificial-intelligence-rise-106-in-one-year-report-26898</t>
  </si>
  <si>
    <t>http://www.globalbigdataconference.com/145756/combatting-covid-19-misinformation-with-machine-learning/industrynews-details.html</t>
  </si>
  <si>
    <t>https://akashmishra75.herokuapp.com/</t>
  </si>
  <si>
    <t>https://www.weforum.org/agenda/2020/09/prevent-post-covid-carmageddon</t>
  </si>
  <si>
    <t>http://www.globalbigdataconference.com/145761/big-datas-role-in-the-post-covid-era/industrynews-details.html</t>
  </si>
  <si>
    <t>https://www.coodingdessign.com/python/datascience/visualization-of-covid-19-new-cases-over-time-in-python/</t>
  </si>
  <si>
    <t>https://www.aitrends.com/ai-research/covid-19-ai-update-nih-developing-imaging-tools/</t>
  </si>
  <si>
    <t>https://www.edureka.co/?utm_source=ZillionLife&amp;utm_medium=748127&amp;utm_campaign=Zillion_Ed</t>
  </si>
  <si>
    <t>Entire Graph Count</t>
  </si>
  <si>
    <t>Top URLs in Tweet in G1</t>
  </si>
  <si>
    <t>https://www.dailymail.co.uk/news/article-8714225/US-daily-COVID-19-cases-drop-40k-time-June.html?ito=amp_twitter_share-top</t>
  </si>
  <si>
    <t>https://resources.edureka.co/big-data-edureka-workshop-covid19-analysis/?utm_source=meetup&amp;utm_medium=crosspost&amp;utm_campaign=bigdata-workshop-090920</t>
  </si>
  <si>
    <t>https://twitter.com/RadioSilentplay/status/1294087895364636672</t>
  </si>
  <si>
    <t>Top URLs in Tweet in G2</t>
  </si>
  <si>
    <t>G1 Count</t>
  </si>
  <si>
    <t>https://www.ituneed.com/post/working-from-home-top-5-cybersecurity-threats-businesses-should-be-aware-of-during-covid-19</t>
  </si>
  <si>
    <t>Top URLs in Tweet in G3</t>
  </si>
  <si>
    <t>G2 Count</t>
  </si>
  <si>
    <t>http://www.globalbigdataconference.com/news/145767/covid-19-made-your-data-set-worthless-now-what.html</t>
  </si>
  <si>
    <t>http://www.globalbigdataconference.com/news/145693/bias-in-machine-learning-examples-policing-banking-covid-19.html</t>
  </si>
  <si>
    <t>Top URLs in Tweet in G4</t>
  </si>
  <si>
    <t>G3 Count</t>
  </si>
  <si>
    <t>Top URLs in Tweet in G5</t>
  </si>
  <si>
    <t>G4 Count</t>
  </si>
  <si>
    <t>https://jovian.ml/forum/t/data-science-daily-newsletter-september-8-2020/11527</t>
  </si>
  <si>
    <t>https://techairesearch.com/comparative-study-of-best-time-series-models-for-urgent-pandemic-management-2/</t>
  </si>
  <si>
    <t>https://www.youtube.com/watch?v=b2mLDkMSyn4&amp;feature=youtu.be&amp;t=510</t>
  </si>
  <si>
    <t>https://www.latimes.com/world-nation/story/2020-03-16/coronavirus-vaccine-test-opens-as-us-volunteer-gets-1st-shot</t>
  </si>
  <si>
    <t>Top URLs in Tweet in G6</t>
  </si>
  <si>
    <t>G5 Count</t>
  </si>
  <si>
    <t>https://www.thestar.com/business/personal_finance/2020/09/07/this-26-year-old-toronto-data-scientist-makes-120000-a-year-but-recently-moved-back-home-due-to-covid-19-uncertainty-can-he-buy-a-home-in-the-gta-within-the-year.html</t>
  </si>
  <si>
    <t>https://hackernoon.com/covid-happened-and-i-decided-to-stop-gaming-and-start-coding-goq3xqz</t>
  </si>
  <si>
    <t>https://www.forbes.com/sites/gilpress/2020/08/27/data-scientists-salaries-and-jobs-immune-to-covid-19-survey-finds/#3f8548ed5183</t>
  </si>
  <si>
    <t>https://morioh.com/p/45b7be54c8ee</t>
  </si>
  <si>
    <t>https://towardsdatascience.com/best-resources-for-mastering-python-2356b8be0ece</t>
  </si>
  <si>
    <t>https://medium.com/analytics-vidhya/visualizing-coronavirus-using-python-b35ca02b4392</t>
  </si>
  <si>
    <t>https://morioh.com/p/74bc220c6e09</t>
  </si>
  <si>
    <t>https://it-online.co.za/2020/09/08/staff-repurposing-as-a-response-to-covid-19/</t>
  </si>
  <si>
    <t>https://github.com/lisphilar/covid19-sir/releases/tag/2.8.2</t>
  </si>
  <si>
    <t>https://qiita.com/Lisphilar/items/34337bd89ad485ec4a4b</t>
  </si>
  <si>
    <t>Top URLs in Tweet in G7</t>
  </si>
  <si>
    <t>G6 Count</t>
  </si>
  <si>
    <t>http://www.ineditweb.es/miedo-a-lo-tecnologico-art837</t>
  </si>
  <si>
    <t>Top URLs in Tweet in G8</t>
  </si>
  <si>
    <t>G7 Count</t>
  </si>
  <si>
    <t>https://cdw.voicestorm.com/Article/Redirect/158f4944-0f02-4fb5-a69a-1b101981cbd5?uc=2409&amp;g=569113d9-95cf-4edd-a7b6-8cb126ac2f30&amp;f=414657</t>
  </si>
  <si>
    <t>https://cdw.voicestorm.com/Article/Redirect/c2178f9f-84ee-4131-bc8d-106c9621721e?uc=2409&amp;g=d6970e04-ae67-42fc-b899-04f46a8bdc46&amp;f=419948</t>
  </si>
  <si>
    <t>https://cdw.voicestorm.com/Article/Redirect/158f4944-0f02-4fb5-a69a-1b101981cbd5?uc=2409&amp;g=630fbc4e-9cb1-4b67-8898-5bb567f6a1e7&amp;f=414657</t>
  </si>
  <si>
    <t>https://cdw.voicestorm.com/Article/Redirect/158f4944-0f02-4fb5-a69a-1b101981cbd5?uc=2409&amp;g=aee4fdc1-6673-411b-8d9e-0d707c12324c&amp;f=414657</t>
  </si>
  <si>
    <t>Top URLs in Tweet in G9</t>
  </si>
  <si>
    <t>G8 Count</t>
  </si>
  <si>
    <t>https://databaseline.tech/a-tour-of-end-to-end-ml-platforms/</t>
  </si>
  <si>
    <t>https://arxiv.org/abs/2009.01657</t>
  </si>
  <si>
    <t>Top URLs in Tweet in G10</t>
  </si>
  <si>
    <t>G9 Count</t>
  </si>
  <si>
    <t>https://nobrowser.com/</t>
  </si>
  <si>
    <t>G10 Count</t>
  </si>
  <si>
    <t>Top URLs in Tweet</t>
  </si>
  <si>
    <t>https://online-learning.harvard.edu/catalog https://www.weforum.org/agenda/2020/09/prevent-post-covid-carmageddon https://www.coodingdessign.com/python/datascience/visualization-of-covid-19-new-cases-over-time-in-python/ https://www.aitrends.com/ai-research/covid-19-ai-update-nih-developing-imaging-tools/ https://medium.com/@rajmalhotra_2822/earn-coursera-certificates-for-free-on-some-programming-courses-during-the-coronavirus-epidemic-7b3f75bc49b1 https://www.dailymail.co.uk/news/article-8714225/US-daily-COVID-19-cases-drop-40k-time-June.html?ito=amp_twitter_share-top https://www.edureka.co/?utm_source=ZillionLife&amp;utm_medium=748127&amp;utm_campaign=Zillion_Ed https://resources.edureka.co/big-data-edureka-workshop-covid19-analysis/?utm_source=meetup&amp;utm_medium=crosspost&amp;utm_campaign=bigdata-workshop-090920 https://akashmishra75.herokuapp.com/ https://twitter.com/RadioSilentplay/status/1294087895364636672</t>
  </si>
  <si>
    <t>https://medium.com/@rajmalhotra_2822/earn-coursera-certificates-for-free-on-some-programming-courses-during-the-coronavirus-epidemic-7b3f75bc49b1 https://www.ituneed.com/post/working-from-home-top-5-cybersecurity-threats-businesses-should-be-aware-of-during-covid-19 https://www.aitrends.com/ai-research/covid-19-ai-update-nih-developing-imaging-tools/ https://www.weforum.org/agenda/2020/09/prevent-post-covid-carmageddon https://online-learning.harvard.edu/catalog http://www.globalbigdataconference.com/145756/combatting-covid-19-misinformation-with-machine-learning/industrynews-details.html</t>
  </si>
  <si>
    <t>http://www.globalbigdataconference.com/145756/combatting-covid-19-misinformation-with-machine-learning/industrynews-details.html http://www.globalbigdataconference.com/145761/big-datas-role-in-the-post-covid-era/industrynews-details.html http://www.globalbigdataconference.com/news/145767/covid-19-made-your-data-set-worthless-now-what.html http://www.globalbigdataconference.com/news/145693/bias-in-machine-learning-examples-policing-banking-covid-19.html https://www.edureka.co/?utm_source=ZillionLife&amp;utm_medium=748127&amp;utm_campaign=Zillion_Ed https://resources.edureka.co/big-data-edureka-workshop-covid19-analysis/?utm_source=meetup&amp;utm_medium=crosspost&amp;utm_campaign=bigdata-workshop-090920</t>
  </si>
  <si>
    <t>https://jovian.ml/forum/t/data-science-daily-newsletter-september-8-2020/11527 https://techairesearch.com/comparative-study-of-best-time-series-models-for-urgent-pandemic-management-2/ https://www.youtube.com/watch?v=b2mLDkMSyn4&amp;feature=youtu.be&amp;t=510 http://www.globalbigdataconference.com/145756/combatting-covid-19-misinformation-with-machine-learning/industrynews-details.html https://www.latimes.com/world-nation/story/2020-03-16/coronavirus-vaccine-test-opens-as-us-volunteer-gets-1st-shot https://online-learning.harvard.edu/catalog https://www.peoplematters.in/news/technology/job-searches-in-artificial-intelligence-rise-106-in-one-year-report-26898 http://www.globalbigdataconference.com/news/145693/bias-in-machine-learning-examples-policing-banking-covid-19.html http://www.globalbigdataconference.com/145761/big-datas-role-in-the-post-covid-era/industrynews-details.html https://twitter.com/RadioSilentplay/status/1294087895364636672</t>
  </si>
  <si>
    <t>https://www.thestar.com/business/personal_finance/2020/09/07/this-26-year-old-toronto-data-scientist-makes-120000-a-year-but-recently-moved-back-home-due-to-covid-19-uncertainty-can-he-buy-a-home-in-the-gta-within-the-year.html https://hackernoon.com/covid-happened-and-i-decided-to-stop-gaming-and-start-coding-goq3xqz https://www.forbes.com/sites/gilpress/2020/08/27/data-scientists-salaries-and-jobs-immune-to-covid-19-survey-finds/#3f8548ed5183 https://morioh.com/p/45b7be54c8ee https://towardsdatascience.com/best-resources-for-mastering-python-2356b8be0ece https://medium.com/analytics-vidhya/visualizing-coronavirus-using-python-b35ca02b4392 https://morioh.com/p/74bc220c6e09 https://it-online.co.za/2020/09/08/staff-repurposing-as-a-response-to-covid-19/ https://github.com/lisphilar/covid19-sir/releases/tag/2.8.2 https://qiita.com/Lisphilar/items/34337bd89ad485ec4a4b</t>
  </si>
  <si>
    <t>http://www.ineditweb.es/miedo-a-lo-tecnologico-art837 https://techairesearch.com/comparative-study-of-best-time-series-models-for-urgent-pandemic-management-2/ http://www.globalbigdataconference.com/news/145693/bias-in-machine-learning-examples-policing-banking-covid-19.html</t>
  </si>
  <si>
    <t>https://akashmishra75.herokuapp.com/ https://cdw.voicestorm.com/Article/Redirect/158f4944-0f02-4fb5-a69a-1b101981cbd5?uc=2409&amp;g=569113d9-95cf-4edd-a7b6-8cb126ac2f30&amp;f=414657 https://cdw.voicestorm.com/Article/Redirect/c2178f9f-84ee-4131-bc8d-106c9621721e?uc=2409&amp;g=d6970e04-ae67-42fc-b899-04f46a8bdc46&amp;f=419948 https://cdw.voicestorm.com/Article/Redirect/158f4944-0f02-4fb5-a69a-1b101981cbd5?uc=2409&amp;g=630fbc4e-9cb1-4b67-8898-5bb567f6a1e7&amp;f=414657 https://medium.com/@rajmalhotra_2822/earn-coursera-certificates-for-free-on-some-programming-courses-during-the-coronavirus-epidemic-7b3f75bc49b1 https://www.aitrends.com/ai-research/covid-19-ai-update-nih-developing-imaging-tools/ https://cdw.voicestorm.com/Article/Redirect/158f4944-0f02-4fb5-a69a-1b101981cbd5?uc=2409&amp;g=aee4fdc1-6673-411b-8d9e-0d707c12324c&amp;f=414657</t>
  </si>
  <si>
    <t>https://it-online.co.za/2020/09/08/staff-repurposing-as-a-response-to-covid-19/ http://www.globalbigdataconference.com/145761/big-datas-role-in-the-post-covid-era/industrynews-details.html https://databaseline.tech/a-tour-of-end-to-end-ml-platforms/ https://arxiv.org/abs/2009.01657 https://techairesearch.com/comparative-study-of-best-time-series-models-for-urgent-pandemic-management-2/ http://www.globalbigdataconference.com/145756/combatting-covid-19-misinformation-with-machine-learning/industrynews-details.html http://www.globalbigdataconference.com/news/145767/covid-19-made-your-data-set-worthless-now-what.html</t>
  </si>
  <si>
    <t>https://towardsdatascience.com/visualization-of-covid-19-new-cases-over-time-in-python-8c6ac4620c88</t>
  </si>
  <si>
    <t>https://www.youtube.com/watch?v=N613b0RaiiA&amp;feature=youtu.be</t>
  </si>
  <si>
    <t>https://www.sufle.io/blog/sufle-sponsors-pycon-2020</t>
  </si>
  <si>
    <t>https://www.coursera.org/share/774b8a0376adbf2630ed059fde6ab0fe</t>
  </si>
  <si>
    <t>https://www.cnbc.com/2020/09/05/cyber-security-workers-in-demand.html</t>
  </si>
  <si>
    <t>Top Domains in Tweet in Entire Graph</t>
  </si>
  <si>
    <t>edureka.co</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</si>
  <si>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</si>
  <si>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</si>
  <si>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</si>
  <si>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</si>
  <si>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</si>
  <si>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</si>
  <si>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</si>
  <si>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</si>
  <si>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</si>
  <si>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</si>
  <si>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</si>
  <si>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harvard.edu weforum.org edureka.co coodingdessign.com herokuapp.com aitrends.com medium.com co.uk twitter.com arxiv.org</t>
  </si>
  <si>
    <t>medium.com ituneed.com aitrends.com weforum.org harvard.edu globalbigdataconference.com</t>
  </si>
  <si>
    <t>globalbigdataconference.com edureka.co</t>
  </si>
  <si>
    <t>jovian.ml globalbigdataconference.com techairesearch.com youtube.com latimes.com harvard.edu peoplematters.in twitter.com weforum.org</t>
  </si>
  <si>
    <t>morioh.com thestar.com hackernoon.com forbes.com towardsdatascience.com medium.com co.za github.com qiita.com blogspot.com</t>
  </si>
  <si>
    <t>ineditweb.es techairesearch.com globalbigdataconference.com</t>
  </si>
  <si>
    <t>herokuapp.com voicestorm.com medium.com aitrends.com</t>
  </si>
  <si>
    <t>globalbigdataconference.com co.za databaseline.tech arxiv.org techairesearch.com</t>
  </si>
  <si>
    <t>Top Hashtags in Tweet in Entire Graph</t>
  </si>
  <si>
    <t>100daysofcode</t>
  </si>
  <si>
    <t>covid__19</t>
  </si>
  <si>
    <t>rstats</t>
  </si>
  <si>
    <t>Top Hashtags in Tweet in G1</t>
  </si>
  <si>
    <t>reactjs</t>
  </si>
  <si>
    <t>Top Hashtags in Tweet in G2</t>
  </si>
  <si>
    <t>Top Hashtags in Tweet in G3</t>
  </si>
  <si>
    <t>deeplearning</t>
  </si>
  <si>
    <t>nlp</t>
  </si>
  <si>
    <t>nosql</t>
  </si>
  <si>
    <t>iot</t>
  </si>
  <si>
    <t>artificialintelligence</t>
  </si>
  <si>
    <t>cassandra</t>
  </si>
  <si>
    <t>Top Hashtags in Tweet in G4</t>
  </si>
  <si>
    <t>covid_19</t>
  </si>
  <si>
    <t>4ir</t>
  </si>
  <si>
    <t>Top Hashtags in Tweet in G5</t>
  </si>
  <si>
    <t>Top Hashtags in Tweet in G6</t>
  </si>
  <si>
    <t>covsirphy</t>
  </si>
  <si>
    <t>opensource</t>
  </si>
  <si>
    <t>Top Hashtags in Tweet in G7</t>
  </si>
  <si>
    <t>programacion</t>
  </si>
  <si>
    <t>preescolar</t>
  </si>
  <si>
    <t>primaria</t>
  </si>
  <si>
    <t>Top Hashtags in Tweet in G8</t>
  </si>
  <si>
    <t>kubernetes</t>
  </si>
  <si>
    <t>Top Hashtags in Tweet in G9</t>
  </si>
  <si>
    <t>Top Hashtags in Tweet in G10</t>
  </si>
  <si>
    <t>siliconvalley</t>
  </si>
  <si>
    <t>sanfrancisco</t>
  </si>
  <si>
    <t>sv</t>
  </si>
  <si>
    <t>anonymous</t>
  </si>
  <si>
    <t>Top Hashtags in Tweet</t>
  </si>
  <si>
    <t>ai python 100daysofcode bigdata javascript covid__19 rstats linux reactjs java</t>
  </si>
  <si>
    <t>programming python datascience covid javascript tech code coding php java</t>
  </si>
  <si>
    <t>datascience machinelearning deeplearning nlp nosql iot bigdata python artificialintelligence cassandra</t>
  </si>
  <si>
    <t>datascience python machinelearning ai bigdata deeplearning rstats javascript reactjs linux</t>
  </si>
  <si>
    <t>python covid_19 covid 感染数 新型コロナウィルス 新型コロナ covid19 datascience covsirphy opensource</t>
  </si>
  <si>
    <t>python covid19 pandas datascience java deeplearning programacion coding preescolar primaria</t>
  </si>
  <si>
    <t>python 100daysofcode javascript dev bigdata covid19 kubernetes iot edtech datascience</t>
  </si>
  <si>
    <t>machinelearning datascience python deeplearning iot bigdata ai analytics javascript serverless</t>
  </si>
  <si>
    <t>siliconvalley covid__19 startup sanfrancisco sv nobrowser privacy anonymous engineer girlswhocode</t>
  </si>
  <si>
    <t>python covid19 datavisualization crushcovid19 responsibleai ai safetyfirst family eldercare childcare</t>
  </si>
  <si>
    <t>python ai python3 pythonprogramming datascience ml covid19 covid__19 corona covid</t>
  </si>
  <si>
    <t>informationtechnology technology it cybersecurity tech computerscience business innovation programming software</t>
  </si>
  <si>
    <t>programming programmingmemes programminghumor reddit c java javascript php python helloworld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</si>
  <si>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</si>
  <si>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</si>
  <si>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</si>
  <si>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</si>
  <si>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</si>
  <si>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</si>
  <si>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</si>
  <si>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</si>
  <si>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</si>
  <si>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</si>
  <si>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</si>
  <si>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</si>
  <si>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#python #javascript #100daysofcode #ai #bigdata #linux #rstats to is #datascience</t>
  </si>
  <si>
    <t>a #python #programming to covid #datascience and #javascript of 19</t>
  </si>
  <si>
    <t>#bigdata #python covid #datascience #machinelearning #deeplearning #cassandra #kafka #hadoop #spark</t>
  </si>
  <si>
    <t>in job searches artificial intelligence rise 106 one year by</t>
  </si>
  <si>
    <t>#python #machinelearning #datascience covid data 19 #bigdata #ai #rstats #iot</t>
  </si>
  <si>
    <t>#python #covid_19 #covid to 9 ドイツ フランス オランダ ロシアの死亡数 感染ー回復数</t>
  </si>
  <si>
    <t>#python covid 19 in for latest 7 day average england</t>
  </si>
  <si>
    <t>to of and #python #100daysofcode #javascript is an for covid</t>
  </si>
  <si>
    <t>#python #machinelearning #datascience #bigdata #serverless #iot #deeplearning covid a #datamining</t>
  </si>
  <si>
    <t>in amp awesome billboard #siliconvalley about #covid__19 that s why</t>
  </si>
  <si>
    <t>to #python updated 8 sep 2020 daily new covid 19</t>
  </si>
  <si>
    <t>#python #ai hypothesis testing statistics problems amp examples covid19 #python3</t>
  </si>
  <si>
    <t>#informationtechnology #technology #it #cybersecurity #tech #computerscience #business #innovation #programming #software</t>
  </si>
  <si>
    <t>the online pycon our join us at conference sept 26th</t>
  </si>
  <si>
    <t>i completed detecting covid 19 with chest x ray using</t>
  </si>
  <si>
    <t>the with came a of it my covid 19 isolation</t>
  </si>
  <si>
    <t>for the i in to</t>
  </si>
  <si>
    <t>#programming #programmingmemes #programminghumor #reddit #c #java #javascript #php #python #helloworld</t>
  </si>
  <si>
    <t>to the and if universities want save amid covid crisis</t>
  </si>
  <si>
    <t>the warriors for thank you code amazing and informative two</t>
  </si>
  <si>
    <t>Top Word Pairs in Tweet in Entire Graph</t>
  </si>
  <si>
    <t>covid,19</t>
  </si>
  <si>
    <t>#python,#rstats</t>
  </si>
  <si>
    <t>#javascript,#reactjs</t>
  </si>
  <si>
    <t>#linux,#100daysofcode</t>
  </si>
  <si>
    <t>is,an</t>
  </si>
  <si>
    <t>#java,#javascript</t>
  </si>
  <si>
    <t>to,use</t>
  </si>
  <si>
    <t>an,imperative</t>
  </si>
  <si>
    <t>imperative,to</t>
  </si>
  <si>
    <t>use,#ai</t>
  </si>
  <si>
    <t>Top Word Pairs in Tweet in G1</t>
  </si>
  <si>
    <t>#ai,for</t>
  </si>
  <si>
    <t>Top Word Pairs in Tweet in G2</t>
  </si>
  <si>
    <t>#python,#javascript</t>
  </si>
  <si>
    <t>due,to</t>
  </si>
  <si>
    <t>to,covid</t>
  </si>
  <si>
    <t>19,coursera</t>
  </si>
  <si>
    <t>coursera,has</t>
  </si>
  <si>
    <t>has,made</t>
  </si>
  <si>
    <t>made,some</t>
  </si>
  <si>
    <t>some,of</t>
  </si>
  <si>
    <t>of,their</t>
  </si>
  <si>
    <t>Top Word Pairs in Tweet in G3</t>
  </si>
  <si>
    <t>#cassandra,#kafka</t>
  </si>
  <si>
    <t>#kafka,#hadoop</t>
  </si>
  <si>
    <t>#hadoop,#spark</t>
  </si>
  <si>
    <t>#nlp,#nosql</t>
  </si>
  <si>
    <t>#nosql,#iot</t>
  </si>
  <si>
    <t>#tensorflow,#serverless</t>
  </si>
  <si>
    <t>#serverless,#kubernetes</t>
  </si>
  <si>
    <t>#r,#python</t>
  </si>
  <si>
    <t>#python,#datamining</t>
  </si>
  <si>
    <t>#bigdata,#cassandra</t>
  </si>
  <si>
    <t>Top Word Pairs in Tweet in G4</t>
  </si>
  <si>
    <t>job,searches</t>
  </si>
  <si>
    <t>searches,in</t>
  </si>
  <si>
    <t>in,artificial</t>
  </si>
  <si>
    <t>artificial,intelligence</t>
  </si>
  <si>
    <t>intelligence,rise</t>
  </si>
  <si>
    <t>rise,106</t>
  </si>
  <si>
    <t>106,in</t>
  </si>
  <si>
    <t>in,one</t>
  </si>
  <si>
    <t>one,year</t>
  </si>
  <si>
    <t>year,by</t>
  </si>
  <si>
    <t>Top Word Pairs in Tweet in G5</t>
  </si>
  <si>
    <t>#datascience,#machinelearning</t>
  </si>
  <si>
    <t>analyze,covid</t>
  </si>
  <si>
    <t>19,data</t>
  </si>
  <si>
    <t>data,using</t>
  </si>
  <si>
    <t>#machinelearning,#python</t>
  </si>
  <si>
    <t>#cloudcomputing,#serverless</t>
  </si>
  <si>
    <t>Top Word Pairs in Tweet in G6</t>
  </si>
  <si>
    <t>ドイツ,フランス</t>
  </si>
  <si>
    <t>フランス,オランダ</t>
  </si>
  <si>
    <t>オランダ,ロシアの死亡数</t>
  </si>
  <si>
    <t>ロシアの死亡数,感染ー回復数</t>
  </si>
  <si>
    <t>感染ー回復数,のグラフを動画にしてみました</t>
  </si>
  <si>
    <t>のグラフを動画にしてみました,縦軸を対数に</t>
  </si>
  <si>
    <t>縦軸を対数に,しつこく更新中</t>
  </si>
  <si>
    <t>しつこく更新中,pythonでpngを生成し</t>
  </si>
  <si>
    <t>pythonでpngを生成し,ffmpegで動画化</t>
  </si>
  <si>
    <t>ffmpegで動画化,#感染数</t>
  </si>
  <si>
    <t>Top Word Pairs in Tweet in G7</t>
  </si>
  <si>
    <t>for,covid</t>
  </si>
  <si>
    <t>latest,7</t>
  </si>
  <si>
    <t>7,day</t>
  </si>
  <si>
    <t>day,average</t>
  </si>
  <si>
    <t>average,for</t>
  </si>
  <si>
    <t>19,in</t>
  </si>
  <si>
    <t>in,england</t>
  </si>
  <si>
    <t>#covid19,#python</t>
  </si>
  <si>
    <t>#python,#pandas</t>
  </si>
  <si>
    <t>Top Word Pairs in Tweet in G8</t>
  </si>
  <si>
    <t>this,is</t>
  </si>
  <si>
    <t>an,updated</t>
  </si>
  <si>
    <t>updated,version</t>
  </si>
  <si>
    <t>version,of</t>
  </si>
  <si>
    <t>of,my</t>
  </si>
  <si>
    <t>my,first</t>
  </si>
  <si>
    <t>first,python</t>
  </si>
  <si>
    <t>Top Word Pairs in Tweet in G9</t>
  </si>
  <si>
    <t>#bigdata,#analytics</t>
  </si>
  <si>
    <t>#datascience,#bigdata</t>
  </si>
  <si>
    <t>#iot,#linux</t>
  </si>
  <si>
    <t>#machinelearning,#deeplearning</t>
  </si>
  <si>
    <t>#serverless,#datascientist</t>
  </si>
  <si>
    <t>Top Word Pairs in Tweet in G10</t>
  </si>
  <si>
    <t>awesome,billboard</t>
  </si>
  <si>
    <t>billboard,in</t>
  </si>
  <si>
    <t>in,#siliconvalley</t>
  </si>
  <si>
    <t>#siliconvalley,about</t>
  </si>
  <si>
    <t>about,#covid__19</t>
  </si>
  <si>
    <t>#covid__19,that</t>
  </si>
  <si>
    <t>that,s</t>
  </si>
  <si>
    <t>s,why</t>
  </si>
  <si>
    <t>why,we</t>
  </si>
  <si>
    <t>we,launched</t>
  </si>
  <si>
    <t>Top Word Pairs in Tweet</t>
  </si>
  <si>
    <t>#python,#rstats  #javascript,#reactjs  #linux,#100daysofcode  to,use  is,an  #java,#javascript  an,imperative  imperative,to  use,#ai  #ai,for</t>
  </si>
  <si>
    <t>covid,19  #python,#javascript  due,to  to,covid  19,coursera  coursera,has  has,made  made,some  some,of  of,their</t>
  </si>
  <si>
    <t>#cassandra,#kafka  #kafka,#hadoop  #hadoop,#spark  #nlp,#nosql  #nosql,#iot  #tensorflow,#serverless  #serverless,#kubernetes  #r,#python  #python,#datamining  #bigdata,#cassandra</t>
  </si>
  <si>
    <t>job,searches  searches,in  in,artificial  artificial,intelligence  intelligence,rise  rise,106  106,in  in,one  one,year  year,by</t>
  </si>
  <si>
    <t>covid,19  #python,#rstats  #datascience,#machinelearning  #javascript,#reactjs  analyze,covid  19,data  data,using  #machinelearning,#python  #cloudcomputing,#serverless  #linux,#100daysofcode</t>
  </si>
  <si>
    <t>ドイツ,フランス  フランス,オランダ  オランダ,ロシアの死亡数  ロシアの死亡数,感染ー回復数  感染ー回復数,のグラフを動画にしてみました  のグラフを動画にしてみました,縦軸を対数に  縦軸を対数に,しつこく更新中  しつこく更新中,pythonでpngを生成し  pythonでpngを生成し,ffmpegで動画化  ffmpegで動画化,#感染数</t>
  </si>
  <si>
    <t>covid,19  for,covid  latest,7  7,day  day,average  average,for  19,in  in,england  #covid19,#python  #python,#pandas</t>
  </si>
  <si>
    <t>is,an  covid,19  #python,#javascript  this,is  an,updated  updated,version  version,of  of,my  my,first  first,python</t>
  </si>
  <si>
    <t>covid,19  #bigdata,#analytics  #python,#rstats  #datascience,#bigdata  #javascript,#reactjs  #iot,#linux  #machinelearning,#deeplearning  #serverless,#datascientist  #nlp,#nosql  #nosql,#iot</t>
  </si>
  <si>
    <t>awesome,billboard  billboard,in  in,#siliconvalley  #siliconvalley,about  about,#covid__19  #covid__19,that  that,s  s,why  why,we  we,launched</t>
  </si>
  <si>
    <t>updated,8  8,sep  sep,2020  2020,daily  daily,new  new,covid  covid,19  19,cases  cases,per  per,100k</t>
  </si>
  <si>
    <t>hypothesis,testing  testing,statistics  statistics,problems  problems,amp  amp,examples  examples,covid19  covid19,#python  #python,#python3  #python3,#pythonprogramming  #pythonprogramming,#datascience</t>
  </si>
  <si>
    <t>#informationtechnology,#technology  #technology,#it  #it,#cybersecurity  #cybersecurity,#tech  #tech,#computerscience  #computerscience,#business  #business,#innovation  #innovation,#programming  #programming,#software  #software,#programmer</t>
  </si>
  <si>
    <t>the,online  join,us  us,at  at,the  online,pycon  pycon,conference  conference,sept  sept,26th  26th,saturday  saturday,due</t>
  </si>
  <si>
    <t>i,completed  completed,detecting  detecting,covid  covid,19  19,with  with,chest  chest,x  x,ray  ray,using  using,pytorch</t>
  </si>
  <si>
    <t>came,with  the,covid  covid,19  19,isolation  isolation,came  with,a  a,lot  lot,of  of,problems  problems,but</t>
  </si>
  <si>
    <t>#programming,#programmingmemes  #programmingmemes,#programminghumor  #programminghumor,#reddit  #reddit,#c  #c,#java  #java,#javascript  #javascript,#php  #php,#python  #python,#helloworld  #helloworld,#stackoverflow</t>
  </si>
  <si>
    <t>if,universities  universities,want  want,to  to,save  save,amid  amid,the  the,covid  covid,crisis  crisis,they  they,should</t>
  </si>
  <si>
    <t>thank,you  you,code  code,warriors  warriors,for  for,the  the,amazing  amazing,and  and,informative  informative,two  two,day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</si>
  <si>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</si>
  <si>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</si>
  <si>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</si>
  <si>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</si>
  <si>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</si>
  <si>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</si>
  <si>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</si>
  <si>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</si>
  <si>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</si>
  <si>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</si>
  <si>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</si>
  <si>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</si>
  <si>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</si>
  <si>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</si>
  <si>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</si>
  <si>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</si>
  <si>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</si>
  <si>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</si>
  <si>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</si>
  <si>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</si>
  <si>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</si>
  <si>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</si>
  <si>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</si>
  <si>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</si>
  <si>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theinsaneapp wef coodignd blackhackcode mailonline ivanvaz32762138 gavlaaaaaaaa corona_dragon marcusborba</t>
  </si>
  <si>
    <t>wef theinsaneapp</t>
  </si>
  <si>
    <t>peoplematters2 hana_elsayyed debraruh jolaburnett kkruse mvollmer1 misstalent86 drjdrooghaag</t>
  </si>
  <si>
    <t>theinsaneapp peoplematters2 hana_elsayyed debraruh jolaburnett kkruse mvollmer1 misstalent86 drjdrooghaag wef</t>
  </si>
  <si>
    <t>corona_dragon marcusborba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</si>
  <si>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</si>
  <si>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</si>
  <si>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</si>
  <si>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</si>
  <si>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</si>
  <si>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</si>
  <si>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</si>
  <si>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</si>
  <si>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</si>
  <si>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</si>
  <si>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</si>
  <si>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</si>
  <si>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femtech_ codernotesbot itknowingness taieb_bot xaelbot 100xcode andrewmorrisuk passarelliallan learn__together</t>
  </si>
  <si>
    <t>aaroncuddeback _choccie greentechdon networkindie blkhwk0ps k_cybersecwrld yixuantu1 bigdatabra gavlaaaaaaaa distancelrnbot</t>
  </si>
  <si>
    <t>o_g_log patosins bizcom thomashilbig2 melissablive 1nterestingtech medicaliphone bigdataconf sureshrukman techsolzenastra</t>
  </si>
  <si>
    <t>ilovebooks786 debraruh xzpwedvhhh37i3c rldi_lamy silentseawolf pvynckier technojeder fabriziobustama drjdrooghaag mvollmer1</t>
  </si>
  <si>
    <t>ricardo_ik_ahau hubofml thecuriousluke gabrielanthonyp grjenkin gp_pulipaka shybot7 algorithmsb maignanamurthy rush_data</t>
  </si>
  <si>
    <t>iamchuckrussell hackernoon codequsdotcom webkarobar iamawebdesiger rajrahula_ dasca_insights nish_mikan innovateod metintokerer</t>
  </si>
  <si>
    <t>fullnam35087976 s_akrati wattsdominic colorsofashadow beakpeaklogic mangothecat vizmonkey ineditmagazine sumtic_edtech ushills_couk</t>
  </si>
  <si>
    <t>cybersec_feeds codedailybot js_bot_code cdwgwagov freakinroll switchhitx kohli10_56 dybalafan10 techbiesblog zokio8</t>
  </si>
  <si>
    <t>serverlessfan machine_ml brainroaring cichuck marcusborba chanduanus corona_dragon monashhealthlib</t>
  </si>
  <si>
    <t>biconnections tsgabriel__ hiveforensics nobrowser</t>
  </si>
  <si>
    <t>advanceml paigedi85253011 jrbowling</t>
  </si>
  <si>
    <t>akhigolu23 dscfutabot pybron137</t>
  </si>
  <si>
    <t>sectest9 cybersecurityn8 bitinfocode</t>
  </si>
  <si>
    <t>duruldoktoroglu sufleio</t>
  </si>
  <si>
    <t>gdprai gryhkn</t>
  </si>
  <si>
    <t>rodo_nasif wwrandazzo</t>
  </si>
  <si>
    <t>moshhamedani nikolas49942251</t>
  </si>
  <si>
    <t>iphonegalaxymd jsfairy</t>
  </si>
  <si>
    <t>codebug88 tanwarkml</t>
  </si>
  <si>
    <t>cnbc bugbounty18</t>
  </si>
  <si>
    <t>gbubemi__ givemycert</t>
  </si>
  <si>
    <t>URLs in Tweet by Count</t>
  </si>
  <si>
    <t>https://databaseline.tech/a-tour-of-end-to-end-ml-platforms/ https://arxiv.org/abs/2009.01657</t>
  </si>
  <si>
    <t>https://cdw.voicestorm.com/Article/Redirect/c2178f9f-84ee-4131-bc8d-106c9621721e?uc=2409&amp;g=d6970e04-ae67-42fc-b899-04f46a8bdc46&amp;f=419948 https://cdw.voicestorm.com/Article/Redirect/158f4944-0f02-4fb5-a69a-1b101981cbd5?uc=2409&amp;g=630fbc4e-9cb1-4b67-8898-5bb567f6a1e7&amp;f=414657</t>
  </si>
  <si>
    <t>https://jovian.ml/forum/t/data-science-daily-newsletter-september-8-2020/11527 https://www.youtube.com/watch?v=b2mLDkMSyn4&amp;feature=youtu.be&amp;t=510</t>
  </si>
  <si>
    <t>http://www.globalbigdataconference.com/news/145693/bias-in-machine-learning-examples-policing-banking-covid-19.html http://www.ineditweb.es/miedo-a-lo-tecnologico-art837</t>
  </si>
  <si>
    <t>http://www.globalbigdataconference.com/news/145767/covid-19-made-your-data-set-worthless-now-what.html http://www.globalbigdataconference.com/145761/big-datas-role-in-the-post-covid-era/industrynews-details.html http://www.globalbigdataconference.com/145756/combatting-covid-19-misinformation-with-machine-learning/industrynews-details.html http://www.globalbigdataconference.com/news/145693/bias-in-machine-learning-examples-policing-banking-covid-19.html</t>
  </si>
  <si>
    <t>https://techairesearch.com/comparative-study-of-best-time-series-models-for-urgent-pandemic-management-2/ https://jovian.ml/forum/t/data-science-daily-newsletter-september-8-2020/11527</t>
  </si>
  <si>
    <t>https://www.youtube.com/watch?v=b2mLDkMSyn4&amp;feature=youtu.be&amp;t=510 https://jovian.ml/forum/t/data-science-daily-newsletter-september-8-2020/11527</t>
  </si>
  <si>
    <t>https://www.dailymail.co.uk/news/article-8714225/US-daily-COVID-19-cases-drop-40k-time-June.html?ito=amp_twitter_share-top https://www.weforum.org/agenda/2020/09/prevent-post-covid-carmageddon https://medium.com/@rajmalhotra_2822/earn-coursera-certificates-for-free-on-some-programming-courses-during-the-coronavirus-epidemic-7b3f75bc49b1 https://www.edureka.co/?utm_source=ZillionLife&amp;utm_medium=748127&amp;utm_campaign=Zillion_Ed https://resources.edureka.co/big-data-edureka-workshop-covid19-analysis/?utm_source=meetup&amp;utm_medium=crosspost&amp;utm_campaign=bigdata-workshop-090920 https://www.aitrends.com/ai-research/covid-19-ai-update-nih-developing-imaging-tools/ http://www.globalbigdataconference.com/145761/big-datas-role-in-the-post-covid-era/industrynews-details.html</t>
  </si>
  <si>
    <t>https://akashmishra75.herokuapp.com/ https://www.aitrends.com/ai-research/covid-19-ai-update-nih-developing-imaging-tools/ https://medium.com/@rajmalhotra_2822/earn-coursera-certificates-for-free-on-some-programming-courses-during-the-coronavirus-epidemic-7b3f75bc49b1</t>
  </si>
  <si>
    <t>http://www.globalbigdataconference.com/145761/big-datas-role-in-the-post-covid-era/industrynews-details.html http://www.globalbigdataconference.com/145756/combatting-covid-19-misinformation-with-machine-learning/industrynews-details.html https://techairesearch.com/comparative-study-of-best-time-series-models-for-urgent-pandemic-management-2/</t>
  </si>
  <si>
    <t>http://www.globalbigdataconference.com/145761/big-datas-role-in-the-post-covid-era/industrynews-details.html http://www.globalbigdataconference.com/145756/combatting-covid-19-misinformation-with-machine-learning/industrynews-details.html</t>
  </si>
  <si>
    <t>https://www.weforum.org/agenda/2020/09/prevent-post-covid-carmageddon http://www.globalbigdataconference.com/145756/combatting-covid-19-misinformation-with-machine-learning/industrynews-details.html https://techairesearch.com/comparative-study-of-best-time-series-models-for-urgent-pandemic-management-2/ https://jovian.ml/forum/t/data-science-daily-newsletter-september-8-2020/11527</t>
  </si>
  <si>
    <t>https://www.weforum.org/agenda/2020/09/prevent-post-covid-carmageddon https://www.ituneed.com/post/working-from-home-top-5-cybersecurity-threats-businesses-should-be-aware-of-during-covid-19</t>
  </si>
  <si>
    <t>https://www.weforum.org/agenda/2020/09/prevent-post-covid-carmageddon http://www.globalbigdataconference.com/145756/combatting-covid-19-misinformation-with-machine-learning/industrynews-details.html</t>
  </si>
  <si>
    <t>http://www.globalbigdataconference.com/145761/big-datas-role-in-the-post-covid-era/industrynews-details.html http://www.globalbigdataconference.com/news/145767/covid-19-made-your-data-set-worthless-now-what.html http://www.globalbigdataconference.com/145756/combatting-covid-19-misinformation-with-machine-learning/industrynews-details.html https://techairesearch.com/comparative-study-of-best-time-series-models-for-urgent-pandemic-management-2/</t>
  </si>
  <si>
    <t>https://online-learning.harvard.edu/catalog http://www.globalbigdataconference.com/145756/combatting-covid-19-misinformation-with-machine-learning/industrynews-details.html</t>
  </si>
  <si>
    <t>https://www.weforum.org/agenda/2020/09/prevent-post-covid-carmageddon https://www.edureka.co/?utm_source=ZillionLife&amp;utm_medium=748127&amp;utm_campaign=Zillion_Ed https://resources.edureka.co/big-data-edureka-workshop-covid19-analysis/?utm_source=meetup&amp;utm_medium=crosspost&amp;utm_campaign=bigdata-workshop-090920 https://online-learning.harvard.edu/catalog https://akashmishra75.herokuapp.com/ https://www.aitrends.com/ai-research/covid-19-ai-update-nih-developing-imaging-tools/</t>
  </si>
  <si>
    <t>https://www.edureka.co/?utm_source=ZillionLife&amp;utm_medium=748127&amp;utm_campaign=Zillion_Ed https://resources.edureka.co/big-data-edureka-workshop-covid19-analysis/?utm_source=meetup&amp;utm_medium=crosspost&amp;utm_campaign=bigdata-workshop-090920 http://www.globalbigdataconference.com/145761/big-datas-role-in-the-post-covid-era/industrynews-details.html</t>
  </si>
  <si>
    <t>https://www.weforum.org/agenda/2020/09/prevent-post-covid-carmageddon https://www.aitrends.com/ai-research/covid-19-ai-update-nih-developing-imaging-tools/ https://www.ituneed.com/post/working-from-home-top-5-cybersecurity-threats-businesses-should-be-aware-of-during-covid-19 https://medium.com/@rajmalhotra_2822/earn-coursera-certificates-for-free-on-some-programming-courses-during-the-coronavirus-epidemic-7b3f75bc49b1</t>
  </si>
  <si>
    <t>https://qiita.com/Lisphilar/items/34337bd89ad485ec4a4b https://github.com/lisphilar/covid19-sir/releases/tag/2.8.2</t>
  </si>
  <si>
    <t>https://online-learning.harvard.edu/catalog http://www.globalbigdataconference.com/145756/combatting-covid-19-misinformation-with-machine-learning/industrynews-details.html http://www.globalbigdataconference.com/news/145693/bias-in-machine-learning-examples-policing-banking-covid-19.html https://www.youtube.com/watch?v=b2mLDkMSyn4&amp;feature=youtu.be&amp;t=510 https://www.peoplematters.in/news/technology/job-searches-in-artificial-intelligence-rise-106-in-one-year-report-26898 https://twitter.com/RadioSilentplay/status/1294087895364636672 http://www.globalbigdataconference.com/145761/big-datas-role-in-the-post-covid-era/industrynews-details.html https://techairesearch.com/comparative-study-of-best-time-series-models-for-urgent-pandemic-management-2/ https://www.latimes.com/world-nation/story/2020-03-16/coronavirus-vaccine-test-opens-as-us-volunteer-gets-1st-shot https://jovian.ml/forum/t/data-science-daily-newsletter-september-8-2020/11527</t>
  </si>
  <si>
    <t>https://online-learning.harvard.edu/catalog https://www.dailymail.co.uk/news/article-8714225/US-daily-COVID-19-cases-drop-40k-time-June.html?ito=amp_twitter_share-top https://www.edureka.co/?utm_source=ZillionLife&amp;utm_medium=748127&amp;utm_campaign=Zillion_Ed https://resources.edureka.co/big-data-edureka-workshop-covid19-analysis/?utm_source=meetup&amp;utm_medium=crosspost&amp;utm_campaign=bigdata-workshop-090920 https://www.weforum.org/agenda/2020/09/prevent-post-covid-carmageddon https://www.aitrends.com/ai-research/covid-19-ai-update-nih-developing-imaging-tools/</t>
  </si>
  <si>
    <t>https://online-learning.harvard.edu/catalog http://www.globalbigdataconference.com/145761/big-datas-role-in-the-post-covid-era/industrynews-details.html</t>
  </si>
  <si>
    <t>https://online-learning.harvard.edu/catalog https://twitter.com/RadioSilentplay/status/1294087895364636672 https://www.weforum.org/agenda/2020/09/prevent-post-covid-carmageddon https://www.aitrends.com/ai-research/covid-19-ai-update-nih-developing-imaging-tools/ https://www.dailymail.co.uk/news/article-8714225/US-daily-COVID-19-cases-drop-40k-time-June.html?ito=amp_twitter_share-top https://www.latimes.com/world-nation/story/2020-03-16/coronavirus-vaccine-test-opens-as-us-volunteer-gets-1st-shot https://arxiv.org/abs/2009.01657 https://www.ituneed.com/post/working-from-home-top-5-cybersecurity-threats-businesses-should-be-aware-of-during-covid-19</t>
  </si>
  <si>
    <t>https://www.coodingdessign.com/python/datascience/visualization-of-covid-19-new-cases-over-time-in-python/ https://www.aitrends.com/ai-research/covid-19-ai-update-nih-developing-imaging-tools/ https://medium.com/@rajmalhotra_2822/earn-coursera-certificates-for-free-on-some-programming-courses-during-the-coronavirus-epidemic-7b3f75bc49b1</t>
  </si>
  <si>
    <t>https://nobrowser.com/ https://www.coodingdessign.com/python/datascience/visualization-of-covid-19-new-cases-over-time-in-python/</t>
  </si>
  <si>
    <t>https://www.coodingdessign.com/python/datascience/visualization-of-covid-19-new-cases-over-time-in-python/ https://www.dailymail.co.uk/news/article-8714225/US-daily-COVID-19-cases-drop-40k-time-June.html?ito=amp_twitter_share-top</t>
  </si>
  <si>
    <t>https://www.coodingdessign.com/python/datascience/visualization-of-covid-19-new-cases-over-time-in-python/ https://nobrowser.com/</t>
  </si>
  <si>
    <t>https://www.coodingdessign.com/python/datascience/visualization-of-covid-19-new-cases-over-time-in-python/ https://www.weforum.org/agenda/2020/09/prevent-post-covid-carmageddon https://www.dailymail.co.uk/news/article-8714225/US-daily-COVID-19-cases-drop-40k-time-June.html?ito=amp_twitter_share-top</t>
  </si>
  <si>
    <t>https://covid19-globalinfo.herokuapp.com/</t>
  </si>
  <si>
    <t>https://www.coodingdessign.com/python/datascience/visualization-of-covid-19-new-cases-over-time-in-python/ https://www.edureka.co/?utm_source=ZillionLife&amp;utm_medium=748127&amp;utm_campaign=Zillion_Ed https://resources.edureka.co/big-data-edureka-workshop-covid19-analysis/?utm_source=meetup&amp;utm_medium=crosspost&amp;utm_campaign=bigdata-workshop-090920 https://covid19-globalinfo.herokuapp.com/</t>
  </si>
  <si>
    <t>https://online-learning.harvard.edu/catalog https://akashmishra75.herokuapp.com/ https://medium.com/@rajmalhotra_2822/earn-coursera-certificates-for-free-on-some-programming-courses-during-the-coronavirus-epidemic-7b3f75bc49b1 https://www.coodingdessign.com/python/datascience/visualization-of-covid-19-new-cases-over-time-in-python/ https://arxiv.org/abs/2009.01657 https://www.latimes.com/world-nation/story/2020-03-16/coronavirus-vaccine-test-opens-as-us-volunteer-gets-1st-shot</t>
  </si>
  <si>
    <t>https://online-learning.harvard.edu/catalog https://www.coodingdessign.com/python/datascience/visualization-of-covid-19-new-cases-over-time-in-python/ https://www.weforum.org/agenda/2020/09/prevent-post-covid-carmageddon https://www.aitrends.com/ai-research/covid-19-ai-update-nih-developing-imaging-tools/ https://akashmishra75.herokuapp.com/ https://www.dailymail.co.uk/news/article-8714225/US-daily-COVID-19-cases-drop-40k-time-June.html?ito=amp_twitter_share-top</t>
  </si>
  <si>
    <t>https://medium.com/@rajmalhotra_2822/earn-coursera-certificates-for-free-on-some-programming-courses-during-the-coronavirus-epidemic-7b3f75bc49b1 https://akashmishra75.herokuapp.com/ https://www.weforum.org/agenda/2020/09/prevent-post-covid-carmageddon https://www.edureka.co/?utm_source=ZillionLife&amp;utm_medium=748127&amp;utm_campaign=Zillion_Ed https://resources.edureka.co/big-data-edureka-workshop-covid19-analysis/?utm_source=meetup&amp;utm_medium=crosspost&amp;utm_campaign=bigdata-workshop-090920</t>
  </si>
  <si>
    <t>https://online-learning.harvard.edu/catalog https://akashmishra75.herokuapp.com/ https://www.coodingdessign.com/python/datascience/visualization-of-covid-19-new-cases-over-time-in-python/ https://www.weforum.org/agenda/2020/09/prevent-post-covid-carmageddon https://www.dailymail.co.uk/news/article-8714225/US-daily-COVID-19-cases-drop-40k-time-June.html?ito=amp_twitter_share-top https://medium.com/@rajmalhotra_2822/earn-coursera-certificates-for-free-on-some-programming-courses-during-the-coronavirus-epidemic-7b3f75bc49b1 https://arxiv.org/abs/2009.01657</t>
  </si>
  <si>
    <t>https://akashmishra75.herokuapp.com/ https://cdw.voicestorm.com/Article/Redirect/158f4944-0f02-4fb5-a69a-1b101981cbd5?uc=2409&amp;g=569113d9-95cf-4edd-a7b6-8cb126ac2f30&amp;f=414657</t>
  </si>
  <si>
    <t>https://technonikhil1.blogspot.com/2020/09/highest-paying-data-science-jobs.html</t>
  </si>
  <si>
    <t>URLs in Tweet by Salience</t>
  </si>
  <si>
    <t>https://twitter.com/TheInsaneApp/status/1256968972030877702/photo/1 https://online-learning.harvard.edu/catalog</t>
  </si>
  <si>
    <t>https://cdw.voicestorm.com/Article/Redirect/158f4944-0f02-4fb5-a69a-1b101981cbd5?uc=2409&amp;g=569113d9-95cf-4edd-a7b6-8cb126ac2f30&amp;f=414657 https://akashmishra75.herokuapp.com/</t>
  </si>
  <si>
    <t>Domains in Tweet by Count</t>
  </si>
  <si>
    <t>databaseline.tech arxiv.org</t>
  </si>
  <si>
    <t>jovian.ml youtube.com</t>
  </si>
  <si>
    <t>globalbigdataconference.com ineditweb.es</t>
  </si>
  <si>
    <t>techairesearch.com jovian.ml</t>
  </si>
  <si>
    <t>youtube.com jovian.ml</t>
  </si>
  <si>
    <t>co.uk edureka.co weforum.org medium.com aitrends.com globalbigdataconference.com</t>
  </si>
  <si>
    <t>herokuapp.com aitrends.com medium.com</t>
  </si>
  <si>
    <t>globalbigdataconference.com techairesearch.com</t>
  </si>
  <si>
    <t>weforum.org globalbigdataconference.com techairesearch.com jovian.ml</t>
  </si>
  <si>
    <t>weforum.org ituneed.com</t>
  </si>
  <si>
    <t>weforum.org globalbigdataconference.com</t>
  </si>
  <si>
    <t>harvard.edu globalbigdataconference.com</t>
  </si>
  <si>
    <t>edureka.co weforum.org harvard.edu herokuapp.com aitrends.com</t>
  </si>
  <si>
    <t>edureka.co globalbigdataconference.com</t>
  </si>
  <si>
    <t>weforum.org aitrends.com ituneed.com medium.com</t>
  </si>
  <si>
    <t>qiita.com github.com</t>
  </si>
  <si>
    <t>globalbigdataconference.com harvard.edu youtube.com peoplematters.in twitter.com techairesearch.com latimes.com jovian.ml</t>
  </si>
  <si>
    <t>harvard.edu edureka.co co.uk weforum.org aitrends.com</t>
  </si>
  <si>
    <t>harvard.edu twitter.com weforum.org aitrends.com co.uk latimes.com arxiv.org ituneed.com</t>
  </si>
  <si>
    <t>coodingdessign.com aitrends.com medium.com</t>
  </si>
  <si>
    <t>nobrowser.com coodingdessign.com</t>
  </si>
  <si>
    <t>coodingdessign.com co.uk</t>
  </si>
  <si>
    <t>coodingdessign.com nobrowser.com</t>
  </si>
  <si>
    <t>coodingdessign.com weforum.org co.uk</t>
  </si>
  <si>
    <t>edureka.co coodingdessign.com herokuapp.com</t>
  </si>
  <si>
    <t>harvard.edu herokuapp.com medium.com coodingdessign.com arxiv.org latimes.com</t>
  </si>
  <si>
    <t>harvard.edu coodingdessign.com weforum.org aitrends.com herokuapp.com co.uk</t>
  </si>
  <si>
    <t>medium.com herokuapp.com edureka.co weforum.org</t>
  </si>
  <si>
    <t>harvard.edu herokuapp.com coodingdessign.com weforum.org co.uk medium.com arxiv.org</t>
  </si>
  <si>
    <t>herokuapp.com voicestorm.com</t>
  </si>
  <si>
    <t>Domains in Tweet by Salience</t>
  </si>
  <si>
    <t>edureka.co co.uk weforum.org medium.com aitrends.com globalbigdataconference.com</t>
  </si>
  <si>
    <t>techairesearch.com globalbigdataconference.com</t>
  </si>
  <si>
    <t>twitter.com harvard.edu</t>
  </si>
  <si>
    <t>edureka.co harvard.edu co.uk weforum.org aitrends.com</t>
  </si>
  <si>
    <t>edureka.co medium.com herokuapp.com weforum.org</t>
  </si>
  <si>
    <t>voicestorm.com herokuapp.com</t>
  </si>
  <si>
    <t>Hashtags in Tweet by Count</t>
  </si>
  <si>
    <t>datascience bigdata analytics python rstats tensorflow java javascript reactjs golang</t>
  </si>
  <si>
    <t>datascience bigdata analytics ai python rstats javascript reactjs serverless iot</t>
  </si>
  <si>
    <t>kubernetes iot python 100daysofcode edtech datascience cybersecurity bigdata covid19 machinelearning</t>
  </si>
  <si>
    <t>kubernetes iot python 100daysofcode edtech covid19 datascience covid_19 cybersecurity bigdata</t>
  </si>
  <si>
    <t>bigdata analytics datascience ai machinelearning iot iiot python rstats javascript</t>
  </si>
  <si>
    <t>java python javascript programming coding programmer developer html php code</t>
  </si>
  <si>
    <t>cyber privacy hacking hacker pentest tech datascience code coding python</t>
  </si>
  <si>
    <t>aiethics ai safetyfirst family eldercare childcare chronicillness bigdata python rstats</t>
  </si>
  <si>
    <t>ai safetyfirst family eldercare childcare chronicillness bigdata python rstats java</t>
  </si>
  <si>
    <t>responsibleai ai safetyfirst family eldercare childcare chronicillness bigdata python rstats</t>
  </si>
  <si>
    <t>python datascience deeplearning java machinelearning responsibleai ai safetyfirst family eldercare</t>
  </si>
  <si>
    <t>datascience machinelearning deeplearning bigdata cassandra kafka hadoop spark nlp nosql</t>
  </si>
  <si>
    <t>corona covid coronavirus stayhome quarantine python 100daysofcode machinelearning 100daysofmlcode ai</t>
  </si>
  <si>
    <t>tensorflow bigdata analytics datascience ai machinelearning iot iiot pytorch python</t>
  </si>
  <si>
    <t>ai bigdata python safetyfirst family eldercare childcare chronicillness rstats java</t>
  </si>
  <si>
    <t>bigdata ai python datascience javascript iot 100daysofcode tech linux rstats</t>
  </si>
  <si>
    <t>100daysofcode python javascript ai bigdata dev covid19 nih usa defstar5</t>
  </si>
  <si>
    <t>datascience machinelearning deeplearning nlp nosql iot bigdata analytics ai</t>
  </si>
  <si>
    <t>datascience machinelearning deeplearning nlp nosql iot responsibleai ai safetyfirst family</t>
  </si>
  <si>
    <t>datascience bigdata ai machinelearning deeplearning covid how iot tech analytics</t>
  </si>
  <si>
    <t>tech covid how bigdata ai iot cyber privacy hacking hacker</t>
  </si>
  <si>
    <t>covid how bigdata ai iot tech machinelearning datascience deeplearning</t>
  </si>
  <si>
    <t>datascience machinelearning deeplearning nlp nosql iot bigdata cassandra kafka hadoop</t>
  </si>
  <si>
    <t>datascience deeplearning machinelearning iot bigdata analytics ai nlp nosql python</t>
  </si>
  <si>
    <t>datascience bigdata analytics ai python rstats javascript reactjs serverless datascientist</t>
  </si>
  <si>
    <t>python machinelearning ai javascript 100daysofcode trending pyton pythonic ml datascience</t>
  </si>
  <si>
    <t>ai ml datascience machinelearning bigdata iot python rstats javascript reactjs</t>
  </si>
  <si>
    <t>datascience ai ml machinelearning deeplearning java python javascript programming coding</t>
  </si>
  <si>
    <t>bigdata ai 100daysofcode python covid__19 javascript ml aiethics safetyfirst family</t>
  </si>
  <si>
    <t>covid__19 code 100daysofcode javascript python machinelearning tech ssr</t>
  </si>
  <si>
    <t>learn bigdata webinar education coding 100daysofcode python datascience machinelearning deeplearning</t>
  </si>
  <si>
    <t>python programming covid bigdata ai tech how iot covid19 nih</t>
  </si>
  <si>
    <t>covsirphy python opensource datascience qiita 今日の積み上げ 駆け出しエンジニアとつながりたい covid19</t>
  </si>
  <si>
    <t>ai datascience python bigdata machinelearning rstats javascript reactjs linux 100daysofcode</t>
  </si>
  <si>
    <t>ai bigdata 100daysofcode python safetyfirst family eldercare childcare chronicillness rstats</t>
  </si>
  <si>
    <t>datascience ai ml machinelearning deeplearning nlp nosql iot</t>
  </si>
  <si>
    <t>ai bigdata python rstats javascript reactjs linux java 100daysofcode safetyfirst</t>
  </si>
  <si>
    <t>javascript 100daysofcode python datascience covid__19 bigdata ai womenwhocode codenewbie webdevelopment</t>
  </si>
  <si>
    <t>javascript python 100daysofcode womenwhocode siliconvalley covid__19 startup sanfrancisco sv nobrowser</t>
  </si>
  <si>
    <t>javascript 100daysofcode python bigdata ai womenwhocode codenewbie webdevelopment nodejs datascience</t>
  </si>
  <si>
    <t>javascript python 100daysofcode womenwhocode codenewbie webdevelopment nodejs datascience corona covid</t>
  </si>
  <si>
    <t>javascript 100daysofcode python ai covid__19 bigdata womenwhocode machinelearning tech covid</t>
  </si>
  <si>
    <t>100daysofcode python javascript womenwhocode codenewbie datascience covid__19 machinelearning webdevelopment nodejs</t>
  </si>
  <si>
    <t>python javascript 100daysofcode ai java bigdata rstats reactjs linux datascience</t>
  </si>
  <si>
    <t>ai 100daysofcode python javascript bigdata covid__19 safetyfirst family eldercare childcare</t>
  </si>
  <si>
    <t>python javascript bigdata 100daysofcode ai java safetyfirst family eldercare childcare</t>
  </si>
  <si>
    <t>ai python javascript bigdata 100daysofcode rstats java reactjs linux safetyfirst</t>
  </si>
  <si>
    <t>python 100daysofcode javascript dev kubernetes iot edtech datascience cybersecurity bigdata</t>
  </si>
  <si>
    <t>python covid19 pandas bigdata ai analytics datascience aiethics safetyfirst family</t>
  </si>
  <si>
    <t>Hashtags in Tweet by Salience</t>
  </si>
  <si>
    <t>datascientist programming 100daysofcode datamining artificialintelligence tensorflow java golang datascience bigdata</t>
  </si>
  <si>
    <t>tech pandemic machinelearning javascript blockchain kubernetes iot python 100daysofcode edtech</t>
  </si>
  <si>
    <t>machinelearning 4ir nlp python futureofwork artificialintelligence ai covid_19</t>
  </si>
  <si>
    <t>deeplearning datascience machinelearning python</t>
  </si>
  <si>
    <t>responsibleai ml artificialintelligence aiethics ai safetyfirst family eldercare childcare chronicillness</t>
  </si>
  <si>
    <t>datascience deeplearning java machinelearning responsibleai ai safetyfirst family eldercare childcare</t>
  </si>
  <si>
    <t>covid19 artificialintelligence database datascience machinelearning deeplearning bigdata cassandra kafka hadoop</t>
  </si>
  <si>
    <t>python3 pythonprogramming datascience ml covid19 covid__19 corona covid coronavirus stayhome</t>
  </si>
  <si>
    <t>safetyfirst family eldercare childcare chronicillness rstats java javascript reactjs linux</t>
  </si>
  <si>
    <t>covid19 datavisualization crushcovid19 responsibleai ai safetyfirst family eldercare childcare chronicillness</t>
  </si>
  <si>
    <t>covid19 usa femtech womenwhocode uk datascientist frenchtech data france tech</t>
  </si>
  <si>
    <t>dev covid19 nih usa defstar5 femtech aiethics safetyfirst family eldercare</t>
  </si>
  <si>
    <t>nlp nosql iot bigdata analytics ai machinelearning deeplearning datascience</t>
  </si>
  <si>
    <t>nlp nosql iot datascience machinelearning deeplearning</t>
  </si>
  <si>
    <t>bigdata ai machinelearning deeplearning covid how iot tech analytics python</t>
  </si>
  <si>
    <t>covid how bigdata ai iot cyber privacy hacking hacker pentest</t>
  </si>
  <si>
    <t>bigdata analytics ai nlp nosql iot python rstats javascript reactjs</t>
  </si>
  <si>
    <t>trending pyton pythonic ml datascience bigdata analytics rstats reactjs serverless</t>
  </si>
  <si>
    <t>machinelearning bigdata iot python rstats javascript reactjs cloudcomputing serverless linux</t>
  </si>
  <si>
    <t>ai ml machinelearning deeplearning java python javascript programming coding programmer</t>
  </si>
  <si>
    <t>covid__19 ml aiethics safetyfirst family eldercare childcare chronicillness rstats java</t>
  </si>
  <si>
    <t>datascience qiita 今日の積み上げ 駆け出しエンジニアとつながりたい covid19 covsirphy python opensource</t>
  </si>
  <si>
    <t>rstats javascript reactjs linux 100daysofcode safetyfirst family eldercare childcare chronicillness</t>
  </si>
  <si>
    <t>ml artificialintelligence safetyfirst family eldercare childcare chronicillness rstats java javascript</t>
  </si>
  <si>
    <t>ai ml machinelearning deeplearning nlp nosql iot datascience</t>
  </si>
  <si>
    <t>datascience aiethics artificialintelligence safetyfirst family eldercare childcare chronicillness iamintel robots</t>
  </si>
  <si>
    <t>covid__19 datascience bigdata ai womenwhocode codenewbie webdevelopment nodejs code machinelearning</t>
  </si>
  <si>
    <t>100daysofcode womenwhocode siliconvalley covid__19 startup sanfrancisco sv nobrowser privacy anonymous</t>
  </si>
  <si>
    <t>womenwhocode codenewbie webdevelopment nodejs datascience us covid19 time june responsibleai</t>
  </si>
  <si>
    <t>codenewbie webdevelopment nodejs datascience corona covid coronavirus stayhome quarantine machinelearning</t>
  </si>
  <si>
    <t>covid__19 womenwhocode machinelearning tech covid bigdata codenewbie webdevelopment nodejs datascience</t>
  </si>
  <si>
    <t>covid__19 womenwhocode codenewbie datascience machinelearning javascript webdevelopment nodejs data dataanalytics</t>
  </si>
  <si>
    <t>safetyfirst family eldercare childcare chronicillness iamintel robots robotics covid__19 pandemic</t>
  </si>
  <si>
    <t>covid__19 safetyfirst family eldercare childcare chronicillness rstats java reactjs linux</t>
  </si>
  <si>
    <t>aiethics safetyfirst family eldercare childcare chronicillness rstats reactjs linux iamintel</t>
  </si>
  <si>
    <t>kubernetes iot edtech datascience cybersecurity bigdata covid19 machinelearning covid_19 blockchain</t>
  </si>
  <si>
    <t>bigdata ai analytics datascience aiethics safetyfirst family eldercare childcare chronicillness</t>
  </si>
  <si>
    <t>Top Words in Tweet by Count</t>
  </si>
  <si>
    <t>a free web service for fast covid 19 classification of</t>
  </si>
  <si>
    <t>a of end #datascience #bigdata #analytics #ai #python #rstats #javascript</t>
  </si>
  <si>
    <t>the workplace of future solving how we get back to</t>
  </si>
  <si>
    <t>the #kubernetes #iot #python #100daysofcode #edtech #covid19 #datascience #covid_19 #cybersecurity</t>
  </si>
  <si>
    <t>latest 7 day average for covid 19 in england 1719</t>
  </si>
  <si>
    <t>latest 7 day average for covid 19 in england #covid19</t>
  </si>
  <si>
    <t>u s volunteer jennifer holler 43 gets first shot of</t>
  </si>
  <si>
    <t>a hey any #datascience #python #deeplearning that can work with</t>
  </si>
  <si>
    <t>due to covid 19 coursera has made some of their</t>
  </si>
  <si>
    <t>#startup #artificialintelligence #python #covid19 #datascience #data #machinelearning #datascientist</t>
  </si>
  <si>
    <t>bizimle php öğrenin #java #python #javascript #programming #coding #programmer #developer</t>
  </si>
  <si>
    <t>data with analyze covid 19 using pandas by following along</t>
  </si>
  <si>
    <t>data of analyze covid 19 using python our #datascience #machinelearning</t>
  </si>
  <si>
    <t>covid 19 places greater emphasis on need for cyber talent</t>
  </si>
  <si>
    <t>top 5 cyber threats during covid 19 #cyber #privacy #hacking</t>
  </si>
  <si>
    <t>not on our website yet #aiethics is an imperative to</t>
  </si>
  <si>
    <t>is an imperative to use #ai for #safetyfirst #family care</t>
  </si>
  <si>
    <t>la miedo a lo tecnológico el covid 19 ha acelerado</t>
  </si>
  <si>
    <t>#responsibleai is an imperative to use #ai for #safetyfirst #family</t>
  </si>
  <si>
    <t>and covid happened i decided to stop gaming start coding</t>
  </si>
  <si>
    <t>#python covid in 19 a #datascience #deeplearning #artificialintelligence #bigdata to</t>
  </si>
  <si>
    <t>covid #datascience #machinelearning #deeplearning #bigdata #cassandra #kafka #hadoop #spark #nlp</t>
  </si>
  <si>
    <t>a in the want to earn more and have career</t>
  </si>
  <si>
    <t>help send #programming #programmingmemes #programminghumor #reddit #c #java #javascript #php</t>
  </si>
  <si>
    <t>of data watch synthesized videos tennis players analyze covid 19</t>
  </si>
  <si>
    <t>for the i in to moshhamedani thank you course mosh</t>
  </si>
  <si>
    <t>our and the pandemic forced us to re examine roles</t>
  </si>
  <si>
    <t>our and #python #ai hypothesis testing statistics problems amp examples</t>
  </si>
  <si>
    <t>hypothesis testing statistics problems amp examples covid19 #python #python3 #pythonprogramming</t>
  </si>
  <si>
    <t>#tensorflow multi step multivariate time series for covid 19 #bigdata</t>
  </si>
  <si>
    <t>corona virus live updates in india using python #python #morioh</t>
  </si>
  <si>
    <t>#aiethics is an imperative to use #ai for #safetyfirst #family</t>
  </si>
  <si>
    <t>#python an #ai for #bigdata #rstats #artificialintelligence is imperative to</t>
  </si>
  <si>
    <t>never a better time to advance your skillset #businessadvice #designthinking</t>
  </si>
  <si>
    <t>updated 8 sep 2020 daily new covid 19 cases per</t>
  </si>
  <si>
    <t>data analyze covid 19 using with our python #datascience #machinelearning</t>
  </si>
  <si>
    <t>combatting covid 19 misinformation with #machinelearning #datascience #deeplearning #artificialintelligence #nlp</t>
  </si>
  <si>
    <t>of and to this is an updated version my first</t>
  </si>
  <si>
    <t>throwback article on #coronavirus to early days of march 2020</t>
  </si>
  <si>
    <t>#ai #covid19 update #nih developing imaging tools #bigdata #usa #defstar5</t>
  </si>
  <si>
    <t>#bigdata #python #ai #datascience #javascript #100daysofcode #iot #linux #rstats #tech</t>
  </si>
  <si>
    <t>to #python #javascript #ai of and #100daysofcode #bigdata is an</t>
  </si>
  <si>
    <t>#tensorflow covid #datascience #machinelearning #iot #bigdata #serverless #python #deeplearning #nlp</t>
  </si>
  <si>
    <t>big data s role in the post covid era #datascience</t>
  </si>
  <si>
    <t>covid #datascience #machinelearning #deeplearning #nlp #nosql #iot #bigdata #cassandra #kafka</t>
  </si>
  <si>
    <t>#bigdata #python big data s role in the post covid</t>
  </si>
  <si>
    <t>başlangıç için hiç fena sayılmaz #python #corona</t>
  </si>
  <si>
    <t>#datascience #python #machinelearning #bigdata #iot covid 19 #tensorflow #ai #data</t>
  </si>
  <si>
    <t>we must prevent a post #covid 'carmageddon' here's #how via</t>
  </si>
  <si>
    <t>#covid #tech #datascience #linux #python we must prevent a post</t>
  </si>
  <si>
    <t>#bigdata #iot #datascience #python #machinelearning we must prevent a post</t>
  </si>
  <si>
    <t>#datascience #bigdata #python #serverless #iot #tensorflow #datamining #deeplearning covid #machinelearning</t>
  </si>
  <si>
    <t>end a tour of to machine learning platforms #datascience #bigdata</t>
  </si>
  <si>
    <t>to #python our and as a #machinelearning end #ai #javascript</t>
  </si>
  <si>
    <t>covid 19 made your data set worthless now what #covid19</t>
  </si>
  <si>
    <t>exploring covid 19 data in python #python #covid19 #morioh</t>
  </si>
  <si>
    <t>#techstuff staff repurposing as a response to covid 19 it</t>
  </si>
  <si>
    <t>harvard university is offering free #ai #ml and #datascience courses</t>
  </si>
  <si>
    <t>#python #datascience #machinelearning #bigdata #iot #javascript #serverless harvard university is</t>
  </si>
  <si>
    <t>to analysis on #learn how use #bigdata solve real world</t>
  </si>
  <si>
    <t>#trending staff repurposing as a response to covid 19 it</t>
  </si>
  <si>
    <t>#100daysofcode #python #javascript #bigdata #ai to #rstats #linux is #covid__19</t>
  </si>
  <si>
    <t>your #covid__19 test code is the adult version of revise</t>
  </si>
  <si>
    <t>to #bigdata analysis on covid big data #python #learn how</t>
  </si>
  <si>
    <t>still with we're day 15 working pandas dataframes ivanvaz32762138 finishing</t>
  </si>
  <si>
    <t>the online pycon on our join us at conference sept</t>
  </si>
  <si>
    <t>a to and covid data i would of #python #programming</t>
  </si>
  <si>
    <t>a to data i would youn only need browser and</t>
  </si>
  <si>
    <t>a #python #programming #ai #datascience #javascript to covid #covid #bigdata</t>
  </si>
  <si>
    <t>9 ドイツ フランス オランダ ロシアの死亡数 感染ー回復数 のグラフを動画にしてみました 縦軸を対数に しつこく更新中 pythonでpngを生成し</t>
  </si>
  <si>
    <t>covid #covsirphy #python #opensource 19 in the and to 2</t>
  </si>
  <si>
    <t>#python #bigdata #machinelearning #ai #datascience #rstats #artificialintelligence #javascript #reactjs #linux</t>
  </si>
  <si>
    <t>#python #100daysofcode #bigdata #ai #linux #rstats #javascript to for is</t>
  </si>
  <si>
    <t>#datascience #machinelearning #bigdata #iot #python #serverless harvard university is offering</t>
  </si>
  <si>
    <t>#ai #python #linux #bigdata #rstats #javascript #100daysofcode #reactjs is for</t>
  </si>
  <si>
    <t>#javascript #python of #100daysofcode #datascience #ai #bigdata covid 19 #womenwhocode</t>
  </si>
  <si>
    <t>visualization of covid 19 new cases over time in python</t>
  </si>
  <si>
    <t>in our #javascript #python amp and we #100daysofcode #womenwhocode awesome</t>
  </si>
  <si>
    <t>#javascript #100daysofcode #python cases #womenwhocode #datascience for #bigdata #ai #linux</t>
  </si>
  <si>
    <t>our in #javascript #python and #100daysofcode #womenwhocode we amp visualization</t>
  </si>
  <si>
    <t>#javascript #100daysofcode #python #womenwhocode #ai #datascience the #covid__19 #machinelearning #tech</t>
  </si>
  <si>
    <t>covid 19 stats using django link #100daysofcode #codenewbie #python #pythonprogramming</t>
  </si>
  <si>
    <t>#100daysofcode #python covid 19 to #javascript still with your our</t>
  </si>
  <si>
    <t>#python #javascript #100daysofcode #ai #bigdata to of is and #rstats</t>
  </si>
  <si>
    <t>not only during corona #programming #python #java #javascript #coder #programmermeme</t>
  </si>
  <si>
    <t>#100daysofcode #python #javascript #ai #bigdata #rstats #linux is to #datascience</t>
  </si>
  <si>
    <t>to #python #javascript #bigdata #100daysofcode #ai for is an of</t>
  </si>
  <si>
    <t>gavlaaaaaaaa due to covid 19 coursera has made some of</t>
  </si>
  <si>
    <t>#python #javascript #100daysofcode #ai #bigdata #rstats #linux is for to</t>
  </si>
  <si>
    <t>of to and #python #100daysofcode #javascript this is an updated</t>
  </si>
  <si>
    <t>for #python covid 19 latest 7 day average in england</t>
  </si>
  <si>
    <t>what are the highest paying data science jobs must read</t>
  </si>
  <si>
    <t>Top Words in Tweet by Salience</t>
  </si>
  <si>
    <t>end tour to machine learning platforms #datascientist #programming #100daysofcode #datamining</t>
  </si>
  <si>
    <t>turbulence tech and worker #tech #pandemic workplace of future solving</t>
  </si>
  <si>
    <t>2600 1719 2680 2639 2601 2383 2172 2019 1870 latest</t>
  </si>
  <si>
    <t>of with watch synthesized videos tennis players and build an</t>
  </si>
  <si>
    <t>#responsibleai not on our website yet #ml #artificialintelligence #aiethics is</t>
  </si>
  <si>
    <t>la a #datascience #deeplearning #artificialintelligence #bigdata to for #java bias</t>
  </si>
  <si>
    <t>data in made your set worthless now what #covid19 big</t>
  </si>
  <si>
    <t>help send simple ui #programming #programmingmemes #programminghumor #reddit #c #java</t>
  </si>
  <si>
    <t>our and hypothesis testing statistics problems amp examples covid19 #python3</t>
  </si>
  <si>
    <t>#tensorflow of data is imperative to use #safetyfirst #family care</t>
  </si>
  <si>
    <t>with of pandas by following along tutorial on analysis watch</t>
  </si>
  <si>
    <t>to analysis on covid #covid19 the post #defstar5 #machinelearning a</t>
  </si>
  <si>
    <t>of and is an for covid 19 made a #datascience</t>
  </si>
  <si>
    <t>big data s role in the post era combatting misinformation</t>
  </si>
  <si>
    <t>big data s role in the post era combatting 19</t>
  </si>
  <si>
    <t>of data #tensorflow #ai #data #datascientist #rstats #deeplearning #artificialintelligence #serverless</t>
  </si>
  <si>
    <t>we must prevent a post 'carmageddon' here's #how via wef</t>
  </si>
  <si>
    <t>end #analytics #ai #rstats #datascientist big s role in the</t>
  </si>
  <si>
    <t>our and end #trending staff repurposing response covid 19 it</t>
  </si>
  <si>
    <t>harvard university is offering free #ai #ml and courses link</t>
  </si>
  <si>
    <t>your of analysis on and to #covid__19 #machinelearning #tech a</t>
  </si>
  <si>
    <t>to analysis on #learn how use solve real world problems</t>
  </si>
  <si>
    <t>data i would youn only need browser internet get but</t>
  </si>
  <si>
    <t>a data i would to #ai and of #iot #data</t>
  </si>
  <si>
    <t>13までの新型コロナの日本 12までの新型コロナの日本 11までの新型コロナの日本 10までの新型コロナの日本 8までの新型コロナの日本 7までの新型コロナの日本 6までの新型コロナの日本 9 ドイツ フランス</t>
  </si>
  <si>
    <t>the and 2 phase is still ongoing most people world</t>
  </si>
  <si>
    <t>data in with #tensorflow an for imperative to use #safetyfirst</t>
  </si>
  <si>
    <t>still with on we're analysis #data #ml #artificialintelligence #iot an</t>
  </si>
  <si>
    <t>#machinelearning #aiethics #artificialintelligence #iot #datascience an imperative to use #safetyfirst</t>
  </si>
  <si>
    <t>your #covid__19 end #ai covid 19 #womenwhocode #tech a to</t>
  </si>
  <si>
    <t>and amp in our #100daysofcode #womenwhocode awesome billboard #siliconvalley about</t>
  </si>
  <si>
    <t>visualization of covid 19 new over time in python #codenewbie</t>
  </si>
  <si>
    <t>and amp our in visualization of covid 19 new cases</t>
  </si>
  <si>
    <t>our and your #covid__19 of cases is we #covid #iot</t>
  </si>
  <si>
    <t>still our and we're #covid__19 analysis on with your to</t>
  </si>
  <si>
    <t>and of to free a #java an #programming courses #machinelearning</t>
  </si>
  <si>
    <t>still of and #covid__19 to with we're your #iot imperative</t>
  </si>
  <si>
    <t>of and analysis on made #aiethics not covid 19 imperative</t>
  </si>
  <si>
    <t>of and to covid 19 a imperative use #safetyfirst #family</t>
  </si>
  <si>
    <t>the and workplace future solving how we get back work</t>
  </si>
  <si>
    <t>#tensorflow #bigdata #ai #rstats 2680 2600 2019 multi step multivariate</t>
  </si>
  <si>
    <t>Top Word Pairs in Tweet by Count</t>
  </si>
  <si>
    <t>a,free  free,web  web,service  service,for  for,fast  fast,covid  covid,19  19,classification  classification,of  of,chest</t>
  </si>
  <si>
    <t>#datascience,#bigdata  #bigdata,#analytics  #python,#rstats  #javascript,#reactjs  #iot,#linux  a,tour  tour,of  of,end  end,to  to,end</t>
  </si>
  <si>
    <t>the,workplace  workplace,of  of,the  the,future  future,solving  solving,how  how,we  we,get  get,back  back,to</t>
  </si>
  <si>
    <t>#kubernetes,#iot  #iot,#python  #python,#100daysofcode  #100daysofcode,#edtech  #cybersecurity,#bigdata  turbulence,tech  tech,and  and,the  the,worker  worker,#kubernetes</t>
  </si>
  <si>
    <t>latest,7  7,day  day,average  average,for  for,covid  covid,19  19,in  in,england  england,1719  1719,#covid19</t>
  </si>
  <si>
    <t>latest,7  7,day  day,average  average,for  for,covid  covid,19  19,in  in,england  #covid19,#python  #python,#pandas</t>
  </si>
  <si>
    <t>u,s  s,volunteer  volunteer,jennifer  jennifer,holler  holler,43  43,gets  gets,first  first,shot  shot,of  of,covid</t>
  </si>
  <si>
    <t>hey,any  any,#datascience  #datascience,#python  #python,#deeplearning  #deeplearning,that  that,can  can,work  work,with  with,audio  audio,data</t>
  </si>
  <si>
    <t>due,to  to,covid  covid,19  19,coursera  coursera,has  has,made  made,some  some,of  of,their  their,programming</t>
  </si>
  <si>
    <t>#startup,#artificialintelligence  #artificialintelligence,#python  #python,#covid19  #covid19,#datascience  #datascience,#data  #data,#machinelearning  #machinelearning,#datascientist</t>
  </si>
  <si>
    <t>bizimle,php  php,öğrenin  öğrenin,#java  #java,#python  #python,#javascript  #javascript,#programming  #programming,#coding  #coding,#programmer  #programmer,#developer  #developer,#html</t>
  </si>
  <si>
    <t>analyze,covid  covid,19  19,data  data,using  using,pandas  pandas,by  by,following  following,along  along,with  with,our</t>
  </si>
  <si>
    <t>analyze,covid  covid,19  19,data  data,using  #datascience,#machinelearning  #machinelearning,#python  watch,synthesized  synthesized,videos  videos,of  of,tennis</t>
  </si>
  <si>
    <t>covid,19  19,places  places,greater  greater,emphasis  emphasis,on  on,need  need,for  for,cyber  cyber,talent  talent,#tech</t>
  </si>
  <si>
    <t>top,5  5,cyber  cyber,threats  threats,during  during,covid  covid,19  19,#cyber  #cyber,#privacy  #privacy,#hacking  #hacking,#hacker</t>
  </si>
  <si>
    <t>not,on  on,our  our,website  website,yet  yet,#aiethics  #aiethics,is  is,an  an,imperative  imperative,to  to,use</t>
  </si>
  <si>
    <t>is,an  an,imperative  imperative,to  to,use  use,#ai  #ai,for  for,#safetyfirst  #safetyfirst,#family  #family,care  care,#eldercare</t>
  </si>
  <si>
    <t>miedo,a  a,lo  lo,tecnológico  tecnológico,el  el,covid  covid,19  19,ha  ha,acelerado  acelerado,la  la,digitalización</t>
  </si>
  <si>
    <t>#responsibleai,is  is,an  an,imperative  imperative,to  to,use  use,#ai  #ai,for  for,#safetyfirst  #safetyfirst,#family  #family,care</t>
  </si>
  <si>
    <t>covid,happened  happened,and  and,i  i,decided  decided,to  to,stop  stop,gaming  gaming,and  and,start  start,coding</t>
  </si>
  <si>
    <t>covid,19  bias,in  in,#machinelearning  #machinelearning,examples  examples,policing  policing,banking  banking,covid  19,#datascience  #datascience,#deeplearning  #deeplearning,#artificialintelligence</t>
  </si>
  <si>
    <t>#cassandra,#kafka  #kafka,#hadoop  #hadoop,#spark  #nlp,#nosql  #nosql,#iot  #tensorflow,#serverless  #serverless,#kubernetes  #r,#python  #python,#datamining  covid,19</t>
  </si>
  <si>
    <t>want,to  to,earn  earn,more  more,and  and,have  have,a  a,career  career,that  that,stays  stays,in</t>
  </si>
  <si>
    <t>help,send  send,#programming  #programming,#programmingmemes  #programmingmemes,#programminghumor  #programminghumor,#reddit  #reddit,#c  #c,#java  #java,#javascript  #javascript,#php  #php,#python</t>
  </si>
  <si>
    <t>watch,synthesized  synthesized,videos  videos,of  of,tennis  tennis,players  players,analyze  analyze,covid  covid,19  19,data  data,using</t>
  </si>
  <si>
    <t>moshhamedani,thank  thank,you  you,for  for,the  the,course  course,mosh  mosh,i  i,work  work,in  in,the</t>
  </si>
  <si>
    <t>the,pandemic  pandemic,forced  forced,us  us,to  to,re  re,examine  examine,our  our,roles  roles,as  as,employers</t>
  </si>
  <si>
    <t>multi,step  step,multivariate  multivariate,time  time,series  series,for  for,covid  covid,19  19,#bigdata  #bigdata,#analytics  #analytics,#datascience</t>
  </si>
  <si>
    <t>corona,virus  virus,live  live,updates  updates,in  in,india  india,using  using,python  python,#python  #python,#morioh</t>
  </si>
  <si>
    <t>#aiethics,is  is,an  an,imperative  imperative,to  to,use  use,#ai  #ai,for  for,#safetyfirst  #safetyfirst,#family  #family,care</t>
  </si>
  <si>
    <t>#python,#rstats  is,an  an,imperative  imperative,to  to,use  use,#ai  #ai,for  for,#safetyfirst  #safetyfirst,#family  #family,care</t>
  </si>
  <si>
    <t>never,a  a,better  better,time  time,to  to,advance  advance,your  your,skillset  skillset,#businessadvice  #businessadvice,#designthinking  #designthinking,#thinklogicallyactaccordingly</t>
  </si>
  <si>
    <t>analyze,covid  covid,19  19,data  data,using  #datascience,#machinelearning  #machinelearning,#python  using,pandas  pandas,by  by,following  following,along</t>
  </si>
  <si>
    <t>combatting,covid  covid,19  19,misinformation  misinformation,with  with,#machinelearning  #machinelearning,#datascience  #datascience,#deeplearning  #deeplearning,#artificialintelligence  #artificialintelligence,#nlp  #nlp,#nosql</t>
  </si>
  <si>
    <t>this,is  is,an  an,updated  updated,version  version,of  of,my  my,first  first,python  python,dash  dash,project</t>
  </si>
  <si>
    <t>throwback,article  article,on  on,#coronavirus  #coronavirus,to  to,early  early,days  days,of  of,march  march,2020  2020,#corona</t>
  </si>
  <si>
    <t>#covid19,#ai  #ai,update  update,#nih  #nih,developing  developing,imaging  imaging,tools  tools,#bigdata  #bigdata,#usa  #usa,#defstar5  #defstar5,#femtech</t>
  </si>
  <si>
    <t>#ai,#iot  #iot,#tech  #womenwhocode,#uk  #datascientist,#datascience  #datascience,#linux  #linux,#frenchtech  #frenchtech,#100daysofcode  #100daysofcode,#rstats  #javascript,#france  #bigdata,#ai</t>
  </si>
  <si>
    <t>#nlp,#nosql  #nosql,#iot  #iot,#bigdata  #bigdata,#cassandra  #cassandra,#kafka  #kafka,#hadoop  #hadoop,#spark  #spark,#tensorflow  #tensorflow,#serverless  #serverless,#kubernetes</t>
  </si>
  <si>
    <t>big,data  data,s  s,role  role,in  in,the  the,post  post,covid  covid,era  era,#datascience  #datascience,#machinelearning</t>
  </si>
  <si>
    <t>başlangıç,için  için,hiç  hiç,fena  fena,sayılmaz  sayılmaz,#python  #python,#corona</t>
  </si>
  <si>
    <t>covid,19  we,must  must,prevent  prevent,a  a,post  post,#covid  #covid,'carmageddon'  'carmageddon',here's  here's,#how  #how,via</t>
  </si>
  <si>
    <t>we,must  must,prevent  prevent,a  a,post  post,#covid  #covid,'carmageddon'  'carmageddon',here's  here's,#how  #how,via  via,wef</t>
  </si>
  <si>
    <t>#bigdata,#cassandra  #cassandra,#kafka  #kafka,#hadoop  #hadoop,#spark  #nlp,#nosql  #nosql,#iot  #tensorflow,#serverless  #serverless,#kubernetes  #r,#python  #python,#datamining</t>
  </si>
  <si>
    <t>a,tour  tour,of  of,end  end,to  to,end  end,machine  machine,learning  learning,platforms  platforms,#datascience  #datascience,#bigdata</t>
  </si>
  <si>
    <t>#trending,staff  staff,repurposing  repurposing,as  as,a  a,response  response,to  to,covid  covid,19  19,it  it,online</t>
  </si>
  <si>
    <t>covid,19  19,made  made,your  your,data  data,set  set,worthless  worthless,now  now,what  what,#covid19  #covid19,#datascience</t>
  </si>
  <si>
    <t>exploring,covid  covid,19  19,data  data,in  in,python  python,#python  #python,#covid19  #covid19,#morioh</t>
  </si>
  <si>
    <t>#techstuff,staff  staff,repurposing  repurposing,as  as,a  a,response  response,to  to,covid  covid,19  19,it  it,online</t>
  </si>
  <si>
    <t>harvard,university  university,is  is,offering  offering,free  free,#ai  #ai,#ml  #ml,and  and,#datascience  #datascience,courses  courses,link</t>
  </si>
  <si>
    <t>#learn,how  how,to  to,use  use,#bigdata  #bigdata,analysis  analysis,to  to,solve  solve,real  real,world  world,problems</t>
  </si>
  <si>
    <t>to,use  #python,#rstats  #javascript,#reactjs  #linux,#100daysofcode  is,an  #aiethics,is  an,imperative  imperative,to  use,#ai  #ai,for</t>
  </si>
  <si>
    <t>test,your  your,code  code,is  is,the  the,adult  adult,version  version,of  of,revise  revise,your  your,answersheet</t>
  </si>
  <si>
    <t>big,data  #learn,how  how,to  to,use  use,#bigdata  #bigdata,analysis  analysis,to  to,solve  solve,real  real,world</t>
  </si>
  <si>
    <t>day,15  15,still  still,working  working,with  with,pandas  pandas,dataframes  dataframes,with  with,ivanvaz32762138  ivanvaz32762138,we're  we're,still</t>
  </si>
  <si>
    <t>the,online  join,us  us,at  at,the  online,pycon  pycon,conference  conference,on  on,sept  sept,26th  26th,saturday</t>
  </si>
  <si>
    <t>youn,only  only,need  need,a  a,browser  browser,and  and,internet  internet,to  to,get  get,covid  covid,data</t>
  </si>
  <si>
    <t>#ai,#iot  #iot,#tech  #tech,#data  #data,#datascientist  #datascientist,#datascience  #datascience,#linux  #linux,#frenchtech  #frenchtech,#100daysofcode  #100daysofcode,#rstats  #javascript,#france</t>
  </si>
  <si>
    <t>#python,#opensource  covid,19  #opensource,#covsirphy  19,is  is,still  still,ongoing  ongoing,most  most,people  people,in  in,the</t>
  </si>
  <si>
    <t>#python,#rstats  #javascript,#reactjs  #linux,#100daysofcode  covid,19  is,an  an,imperative  imperative,to  to,use  use,#ai  #ai,for</t>
  </si>
  <si>
    <t>#python,#rstats  #javascript,#reactjs  #linux,#100daysofcode  to,use  is,an  an,imperative  imperative,to  use,#ai  #ai,for  for,#safetyfirst</t>
  </si>
  <si>
    <t>#python,#rstats  #javascript,#reactjs  #linux,#100daysofcode  #java,#javascript  is,an  an,imperative  imperative,to  to,use  use,#ai  #ai,for</t>
  </si>
  <si>
    <t>covid,19  #analytics,#ai  #ai,#python  visualization,of  of,covid  19,new  new,cases  cases,over  over,time  time,in</t>
  </si>
  <si>
    <t>visualization,of  of,covid  covid,19  19,new  new,cases  cases,over  over,time  time,in  in,python  python,#javascript</t>
  </si>
  <si>
    <t>#python,#machinelearning  #bigdata,#ai  #ai,#iot  #iot,#tech  #datascientist,#datascience  #datascience,#linux  #linux,#frenchtech  #frenchtech,#100daysofcode  #100daysofcode,#rstats  #javascript,#france</t>
  </si>
  <si>
    <t>covid,19  19,stats  stats,using  using,django  django,link  link,#100daysofcode  #100daysofcode,#codenewbie  #codenewbie,#python  #python,#pythonprogramming  #pythonprogramming,#webdeveloper</t>
  </si>
  <si>
    <t>covid,19  #100daysofcode,#python  visualization,of  of,covid  19,new  new,cases  cases,over  over,time  time,in  in,python</t>
  </si>
  <si>
    <t>#python,#rstats  #javascript,#reactjs  covid,19  #java,#javascript  #linux,#100daysofcode  is,an  #python,#javascript  an,imperative  imperative,to  to,use</t>
  </si>
  <si>
    <t>not,only  only,during  during,corona  corona,#programming  #programming,#python  #python,#java  #java,#javascript  #javascript,#coder  #coder,#programmermeme  #programmermeme,#codinglife</t>
  </si>
  <si>
    <t>#python,#rstats  #javascript,#reactjs  #linux,#100daysofcode  is,an  an,imperative  imperative,to  to,use  use,#ai  #ai,for  for,#safetyfirst</t>
  </si>
  <si>
    <t>is,an  to,use  #java,#javascript  covid,19  an,imperative  imperative,to  use,#ai  #ai,for  for,#safetyfirst  #safetyfirst,#family</t>
  </si>
  <si>
    <t>rt,gavlaaaaaaaa  gavlaaaaaaaa,due  due,to  to,covid  covid,19  19,coursera  coursera,has  has,made  made,some  some,of</t>
  </si>
  <si>
    <t>#python,#rstats  #javascript,#reactjs  #linux,#100daysofcode  is,an  #java,#javascript  covid,19  an,imperative  imperative,to  to,use  use,#ai</t>
  </si>
  <si>
    <t>for,covid  covid,19  latest,7  7,day  day,average  average,for  19,in  in,england  #covid19,#python  #python,#pandas</t>
  </si>
  <si>
    <t>what,are  are,the  the,highest  highest,paying  paying,data  data,science  science,jobs  jobs,must  must,read  read,it</t>
  </si>
  <si>
    <t>Top Word Pairs in Tweet by Salience</t>
  </si>
  <si>
    <t>a,tour  tour,of  of,end  end,to  to,end  end,machine  machine,learning  learning,platforms  platforms,#datascience  #analytics,#ai</t>
  </si>
  <si>
    <t>turbulence,tech  tech,and  and,the  the,worker  worker,#kubernetes  #edtech,#covid19  #covid19,#datascience  #datascience,#covid_19  #covid_19,#cybersecurity  #bigdata,#tech</t>
  </si>
  <si>
    <t>england,2600  2600,#covid19  england,1719  1719,#covid19  england,2680  2680,#covid19  england,2639  2639,#covid19  england,2601  2601,#covid19</t>
  </si>
  <si>
    <t>watch,synthesized  synthesized,videos  videos,of  of,tennis  tennis,players  players,analyze  using,python  python,and  and,build  build,an</t>
  </si>
  <si>
    <t>#responsibleai,is  not,on  on,our  our,website  website,yet  yet,#aiethics  #artificialintelligence,#ml  #voicefirst,#artificialintelligence  #aiethics,is  is,an</t>
  </si>
  <si>
    <t>bias,in  in,#machinelearning  #machinelearning,examples  examples,policing  policing,banking  banking,covid  19,#datascience  #datascience,#deeplearning  #deeplearning,#artificialintelligence  #artificialintelligence,#bigdata</t>
  </si>
  <si>
    <t>#datascience,#machinelearning  #machinelearning,#deeplearning  #artificialintelligence,#bigdata  #iot,#bigdata  #datascience,#deeplearning  19,made  made,your  your,data  data,set  set,worthless</t>
  </si>
  <si>
    <t>help,send  send,#programming  simple,ui  ui,#programming  #programming,#programmingmemes  #programmingmemes,#programminghumor  #programminghumor,#reddit  #reddit,#c  #c,#java  #java,#javascript</t>
  </si>
  <si>
    <t>using,pandas  pandas,by  by,following  following,along  along,with  with,our  our,tutorial  tutorial,on  on,data  data,analysis</t>
  </si>
  <si>
    <t>#femtech,#womenwhocode  #tech,#data  #data,#datascientist  #usa,#defstar5  #defstar5,#femtech  #bigdata,#ai  covid,19  #us,daily  daily,#covid19  #covid19,cases</t>
  </si>
  <si>
    <t>#bigdata,#analytics  #python,#rstats  #serverless,#datascientist  #deeplearning,#artificialintelligence  big,data  data,s  s,role  role,in  in,the  the,post</t>
  </si>
  <si>
    <t>#aiethics,is  an,imperative  imperative,to  use,#ai  #ai,for  for,#safetyfirst  #safetyfirst,#family  #family,care  care,#eldercare  #eldercare,#childcare</t>
  </si>
  <si>
    <t>9,13までの新型コロナの日本  13までの新型コロナの日本,ドイツ  9,12までの新型コロナの日本  12までの新型コロナの日本,ドイツ  9,11までの新型コロナの日本  11までの新型コロナの日本,ドイツ  9,10までの新型コロナの日本  10までの新型コロナの日本,ドイツ  9,8までの新型コロナの日本  8までの新型コロナの日本,ドイツ</t>
  </si>
  <si>
    <t>19,is  is,still  still,ongoing  ongoing,most  most,people  people,in  in,the  the,world  world,are  are,now</t>
  </si>
  <si>
    <t>#voicefirst,#artificialintelligence  is,an  an,imperative  imperative,to  use,#ai  #ai,for  for,#safetyfirst  #safetyfirst,#family  #family,care  care,#eldercare</t>
  </si>
  <si>
    <t>#aiethics,is  #voicefirst,#artificialintelligence  is,an  an,imperative  imperative,to  to,use  use,#ai  #ai,for  for,#safetyfirst  #safetyfirst,#family</t>
  </si>
  <si>
    <t>#100daysofcode,#python  visualization,of  of,covid  19,new  new,cases  cases,over  over,time  time,in  in,python  python,#javascript</t>
  </si>
  <si>
    <t>#java,#javascript  #linux,#100daysofcode  is,an  #python,#javascript  an,imperative  imperative,to  to,use  use,#ai  #ai,for  for,#safetyfirst</t>
  </si>
  <si>
    <t>an,imperative  imperative,to  to,use  use,#ai  #ai,for  for,#safetyfirst  #safetyfirst,#family  #family,care  care,#eldercare  #eldercare,#childcare</t>
  </si>
  <si>
    <t>#python,#javascript  #aiethics,is  covid,19  an,imperative  imperative,to  use,#ai  #ai,for  for,#safetyfirst  #safetyfirst,#family  #family,care</t>
  </si>
  <si>
    <t>covid,19  an,imperative  imperative,to  to,use  use,#ai  #ai,for  for,#safetyfirst  #safetyfirst,#family  #family,care  care,#eldercare</t>
  </si>
  <si>
    <t>#python,#rstats  england,2680  2680,#covid19  england,2600  2600,#covid19  england,2019  2019,#covid19  multi,step  step,multivariate  multivariate,time</t>
  </si>
  <si>
    <t>192, 192, 192</t>
  </si>
  <si>
    <t>232, 69, 69</t>
  </si>
  <si>
    <t>Red</t>
  </si>
  <si>
    <t>Green</t>
  </si>
  <si>
    <t>72, 92, 0</t>
  </si>
  <si>
    <t>79, 89, 0</t>
  </si>
  <si>
    <t>92, 82, 0</t>
  </si>
  <si>
    <t>118, 69, 0</t>
  </si>
  <si>
    <t>137, 59, 0</t>
  </si>
  <si>
    <t>196, 30, 0</t>
  </si>
  <si>
    <t>105, 75, 0</t>
  </si>
  <si>
    <t>59, 98, 0</t>
  </si>
  <si>
    <t>163, 46, 0</t>
  </si>
  <si>
    <t>7, 125, 0</t>
  </si>
  <si>
    <t>39, 108, 0</t>
  </si>
  <si>
    <t>13, 121, 0</t>
  </si>
  <si>
    <t>46, 105, 0</t>
  </si>
  <si>
    <t>53, 102, 0</t>
  </si>
  <si>
    <t>20, 118, 0</t>
  </si>
  <si>
    <t>26, 115, 0</t>
  </si>
  <si>
    <t>33, 112, 0</t>
  </si>
  <si>
    <t>G1: ai python 100daysofcode bigdata javascript covid__19 rstats linux reactjs java</t>
  </si>
  <si>
    <t>G2: programming python datascience covid javascript tech code coding php java</t>
  </si>
  <si>
    <t>G3: datascience machinelearning deeplearning nlp nosql iot bigdata python artificialintelligence cassandra</t>
  </si>
  <si>
    <t>G4: ai covid_19 machinelearning 4ir nlp python futureofwork artificialintelligence</t>
  </si>
  <si>
    <t>G5: datascience python machinelearning ai bigdata deeplearning rstats javascript reactjs linux</t>
  </si>
  <si>
    <t>G6: python covid_19 covid 感染数 新型コロナウィルス 新型コロナ covid19 datascience covsirphy opensource</t>
  </si>
  <si>
    <t>G7: python covid19 pandas datascience java deeplearning programacion coding preescolar primaria</t>
  </si>
  <si>
    <t>G8: python 100daysofcode javascript dev bigdata covid19 kubernetes iot edtech datascience</t>
  </si>
  <si>
    <t>G9: machinelearning datascience python deeplearning iot bigdata ai analytics javascript serverless</t>
  </si>
  <si>
    <t>G10: siliconvalley covid__19 startup sanfrancisco sv nobrowser privacy anonymous engineer girlswhocode</t>
  </si>
  <si>
    <t>G11: python covid19 datavisualization crushcovid19 responsibleai ai safetyfirst family eldercare childcare</t>
  </si>
  <si>
    <t>G12: python ai python3 pythonprogramming datascience ml covid19 covid__19 corona covid</t>
  </si>
  <si>
    <t>G13: informationtechnology technology it cybersecurity tech computerscience business innovation programming software</t>
  </si>
  <si>
    <t>G14: pycontr2020 pycon python</t>
  </si>
  <si>
    <t>G15: coursera python deeplearning pytorch</t>
  </si>
  <si>
    <t>G16: python tkinter django</t>
  </si>
  <si>
    <t>G17: python</t>
  </si>
  <si>
    <t>G18: programming programmingmemes programminghumor reddit c java javascript php python helloworld</t>
  </si>
  <si>
    <t>G19: python r julia</t>
  </si>
  <si>
    <t>G20: tech ethicalhacking python</t>
  </si>
  <si>
    <t>G21: codewarriors nlp machinelearning computervision codewarriorslife python givemycertificate</t>
  </si>
  <si>
    <t>Edge Weight▓1▓3▓0▓True▓Silver▓Red▓▓Edge Weight▓1▓3▓0▓1▓10▓True▓Edge Weight▓1▓3▓0▓32▓10▓False▓▓0▓0▓0▓True▓Black▓Black▓▓In-Degree▓1▓15▓0▓10▓1000▓True▓▓0▓0▓0▓0▓0▓False▓▓0▓0▓0▓0▓0▓False▓▓0▓0▓0▓0▓0▓False</t>
  </si>
  <si>
    <t>GraphSource░TwitterSearch▓GraphTerm░(#python OR networkx) (covid OR corona)▓ImportDescription░The graph represents a network of 214 Twitter users whose recent tweets contained "(#python OR networkx) (covid OR corona)", or who were replied to or mentioned in those tweets, taken from a data set limited to a maximum of 18 000 tweets.  The network was obtained from Twitter on Tuesday, 15 September 2020 at 17:00 UTC.
The tweets in the network were tweeted over the 8-day, 16-hour, 12-minute period from Sunday, 06 September 2020 at 23:52 UTC to Tuesday, 15 September 2020 at 16:04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"mentions".▓ImportSuggestedTitle░(#python OR networkx) (covid OR corona) Twitter NodeXL SNA Map and Report for tiistai, 15 syyskuuta 2020 at 16.58 UTC▓ImportSuggestedFileNameNoExtension░2020-09-15 16-58-24 NodeXL Twitter Search (#python OR networkx) (covid OR corona)▓GroupingDescription░The graph's vertices were grouped by cluster using the Clauset-Newman-Moore cluster algorithm.▓LayoutAlgorithm░The graph was laid out using the Fruchterman-Reingold layout algorithm.▓GraphDirectedness░The graph is directed.</t>
  </si>
  <si>
    <t xml:space="preserv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t>
  </si>
  <si>
    <t xml:space="preserve">    &lt;/setting&gt;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&lt;value&gt;False&lt;/value&gt;
      &lt;/setting&gt;
      &lt;setting name="Margin" serializeAs="String"&gt;
        &lt;value&gt;5&lt;/value&gt;
      &lt;/setting&gt;
      &lt;setting name="FruchtermanReingoldIterations" serializeAs="String"&gt;
        &lt;value&gt;50&lt;/value&gt;
      &lt;/setting&gt;
      &lt;setting name="IntergroupEdgeStyle" serializeAs="String"&gt;
        &lt;value&gt;Show&lt;/value&gt;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t>
  </si>
  <si>
    <t>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</si>
  <si>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</si>
  <si>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(#python OR networkx) (covid OR corona)</t>
  </si>
  <si>
    <t>The graph represents a network of 214 Twitter users whose recent tweets contained "(#python OR networkx) (covid OR corona)", or who were replied to or mentioned in those tweets, taken from a data set limited to a maximum of 18 000 tweets.  The network was obtained from Twitter on Tuesday, 15 September 2020 at 17:00 UTC.
The tweets in the network were tweeted over the 8-day, 16-hour, 12-minute period from Sunday, 06 September 2020 at 23:52 UTC to Tuesday, 15 September 2020 at 16:04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</si>
  <si>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</si>
  <si>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</si>
  <si>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https://nodexlgraphgallery.org/Pages/Graph.aspx?graphID=235186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</si>
</sst>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2080327"/>
        <c:axId val="66069760"/>
      </c:barChart>
      <c:catAx>
        <c:axId val="520803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069760"/>
        <c:crosses val="autoZero"/>
        <c:auto val="1"/>
        <c:lblOffset val="100"/>
        <c:noMultiLvlLbl val="0"/>
      </c:catAx>
      <c:valAx>
        <c:axId val="66069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032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756929"/>
        <c:axId val="50050314"/>
      </c:barChart>
      <c:catAx>
        <c:axId val="577569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050314"/>
        <c:crosses val="autoZero"/>
        <c:auto val="1"/>
        <c:lblOffset val="100"/>
        <c:noMultiLvlLbl val="0"/>
      </c:catAx>
      <c:valAx>
        <c:axId val="5005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692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799643"/>
        <c:axId val="27543604"/>
      </c:barChart>
      <c:catAx>
        <c:axId val="477996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543604"/>
        <c:crosses val="autoZero"/>
        <c:auto val="1"/>
        <c:lblOffset val="100"/>
        <c:noMultiLvlLbl val="0"/>
      </c:catAx>
      <c:valAx>
        <c:axId val="27543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9964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565845"/>
        <c:axId val="16439422"/>
      </c:barChart>
      <c:catAx>
        <c:axId val="465658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39422"/>
        <c:crosses val="autoZero"/>
        <c:auto val="1"/>
        <c:lblOffset val="100"/>
        <c:noMultiLvlLbl val="0"/>
      </c:catAx>
      <c:valAx>
        <c:axId val="1643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6584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3737071"/>
        <c:axId val="56524776"/>
      </c:barChart>
      <c:catAx>
        <c:axId val="137370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524776"/>
        <c:crosses val="autoZero"/>
        <c:auto val="1"/>
        <c:lblOffset val="100"/>
        <c:noMultiLvlLbl val="0"/>
      </c:catAx>
      <c:valAx>
        <c:axId val="56524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3707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960937"/>
        <c:axId val="15104114"/>
      </c:barChart>
      <c:catAx>
        <c:axId val="389609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04114"/>
        <c:crosses val="autoZero"/>
        <c:auto val="1"/>
        <c:lblOffset val="100"/>
        <c:noMultiLvlLbl val="0"/>
      </c:catAx>
      <c:valAx>
        <c:axId val="15104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6093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19299"/>
        <c:axId val="15473692"/>
      </c:barChart>
      <c:catAx>
        <c:axId val="17192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473692"/>
        <c:crosses val="autoZero"/>
        <c:auto val="1"/>
        <c:lblOffset val="100"/>
        <c:noMultiLvlLbl val="0"/>
      </c:catAx>
      <c:valAx>
        <c:axId val="15473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929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45501"/>
        <c:axId val="45409510"/>
      </c:barChart>
      <c:catAx>
        <c:axId val="50455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409510"/>
        <c:crosses val="autoZero"/>
        <c:auto val="1"/>
        <c:lblOffset val="100"/>
        <c:noMultiLvlLbl val="0"/>
      </c:catAx>
      <c:valAx>
        <c:axId val="45409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55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032407"/>
        <c:axId val="54291664"/>
      </c:barChart>
      <c:catAx>
        <c:axId val="6032407"/>
        <c:scaling>
          <c:orientation val="minMax"/>
        </c:scaling>
        <c:axPos val="b"/>
        <c:delete val="1"/>
        <c:majorTickMark val="out"/>
        <c:minorTickMark val="none"/>
        <c:tickLblPos val="none"/>
        <c:crossAx val="54291664"/>
        <c:crosses val="autoZero"/>
        <c:auto val="1"/>
        <c:lblOffset val="100"/>
        <c:noMultiLvlLbl val="0"/>
      </c:catAx>
      <c:valAx>
        <c:axId val="54291664"/>
        <c:scaling>
          <c:orientation val="minMax"/>
        </c:scaling>
        <c:axPos val="l"/>
        <c:delete val="1"/>
        <c:majorTickMark val="out"/>
        <c:minorTickMark val="none"/>
        <c:tickLblPos val="none"/>
        <c:crossAx val="60324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61" totalsRowShown="0" headerRowDxfId="443" dataDxfId="407">
  <autoFilter ref="A2:BN661"/>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43" totalsRowShown="0" headerRowDxfId="295" dataDxfId="294">
  <autoFilter ref="A1:G184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59" totalsRowShown="0" headerRowDxfId="286" dataDxfId="285">
  <autoFilter ref="A1:L255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601" totalsRowShown="0" headerRowDxfId="244" dataDxfId="243">
  <autoFilter ref="A1:C11601"/>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5" totalsRowShown="0" headerRowDxfId="235" dataDxfId="234">
  <autoFilter ref="A2:C45"/>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6" totalsRowShown="0" headerRowDxfId="442" dataDxfId="393">
  <autoFilter ref="A2:BT216"/>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67" totalsRowShown="0" headerRowDxfId="86" dataDxfId="85">
  <autoFilter ref="A66:V67"/>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0:V80" totalsRowShown="0" headerRowDxfId="83" dataDxfId="82">
  <autoFilter ref="A70:V80"/>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3:V93" totalsRowShown="0" headerRowDxfId="36" dataDxfId="35">
  <autoFilter ref="A83:V93"/>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41">
  <autoFilter ref="A2:AO23"/>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5" totalsRowShown="0" headerRowDxfId="438" dataDxfId="437">
  <autoFilter ref="A1:C215"/>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online-learning.harvard.edu/catalog" TargetMode="External" /><Relationship Id="rId2" Type="http://schemas.openxmlformats.org/officeDocument/2006/relationships/hyperlink" Target="https://medium.com/@rajmalhotra_2822/earn-coursera-certificates-for-free-on-some-programming-courses-during-the-coronavirus-epidemic-7b3f75bc49b1" TargetMode="External" /><Relationship Id="rId3" Type="http://schemas.openxmlformats.org/officeDocument/2006/relationships/hyperlink" Target="https://www.peoplematters.in/news/technology/job-searches-in-artificial-intelligence-rise-106-in-one-year-report-26898" TargetMode="External" /><Relationship Id="rId4" Type="http://schemas.openxmlformats.org/officeDocument/2006/relationships/hyperlink" Target="http://www.globalbigdataconference.com/145756/combatting-covid-19-misinformation-with-machine-learning/industrynews-details.html" TargetMode="External" /><Relationship Id="rId5" Type="http://schemas.openxmlformats.org/officeDocument/2006/relationships/hyperlink" Target="https://akashmishra75.herokuapp.com/" TargetMode="External" /><Relationship Id="rId6" Type="http://schemas.openxmlformats.org/officeDocument/2006/relationships/hyperlink" Target="https://www.weforum.org/agenda/2020/09/prevent-post-covid-carmageddon" TargetMode="External" /><Relationship Id="rId7" Type="http://schemas.openxmlformats.org/officeDocument/2006/relationships/hyperlink" Target="http://www.globalbigdataconference.com/145761/big-datas-role-in-the-post-covid-era/industrynews-details.html" TargetMode="External" /><Relationship Id="rId8" Type="http://schemas.openxmlformats.org/officeDocument/2006/relationships/hyperlink" Target="https://www.coodingdessign.com/python/datascience/visualization-of-covid-19-new-cases-over-time-in-python/" TargetMode="External" /><Relationship Id="rId9" Type="http://schemas.openxmlformats.org/officeDocument/2006/relationships/hyperlink" Target="https://www.aitrends.com/ai-research/covid-19-ai-update-nih-developing-imaging-tools/" TargetMode="External" /><Relationship Id="rId10" Type="http://schemas.openxmlformats.org/officeDocument/2006/relationships/hyperlink" Target="https://www.edureka.co/?utm_source=ZillionLife&amp;utm_medium=748127&amp;utm_campaign=Zillion_Ed" TargetMode="External" /><Relationship Id="rId11" Type="http://schemas.openxmlformats.org/officeDocument/2006/relationships/hyperlink" Target="https://online-learning.harvard.edu/catalog" TargetMode="External" /><Relationship Id="rId12" Type="http://schemas.openxmlformats.org/officeDocument/2006/relationships/hyperlink" Target="https://www.weforum.org/agenda/2020/09/prevent-post-covid-carmageddon" TargetMode="External" /><Relationship Id="rId13" Type="http://schemas.openxmlformats.org/officeDocument/2006/relationships/hyperlink" Target="https://www.coodingdessign.com/python/datascience/visualization-of-covid-19-new-cases-over-time-in-python/" TargetMode="External" /><Relationship Id="rId14" Type="http://schemas.openxmlformats.org/officeDocument/2006/relationships/hyperlink" Target="https://www.aitrends.com/ai-research/covid-19-ai-update-nih-developing-imaging-tools/" TargetMode="External" /><Relationship Id="rId15" Type="http://schemas.openxmlformats.org/officeDocument/2006/relationships/hyperlink" Target="https://medium.com/@rajmalhotra_2822/earn-coursera-certificates-for-free-on-some-programming-courses-during-the-coronavirus-epidemic-7b3f75bc49b1" TargetMode="External" /><Relationship Id="rId16" Type="http://schemas.openxmlformats.org/officeDocument/2006/relationships/hyperlink" Target="https://www.dailymail.co.uk/news/article-8714225/US-daily-COVID-19-cases-drop-40k-time-June.html?ito=amp_twitter_share-top" TargetMode="External" /><Relationship Id="rId17" Type="http://schemas.openxmlformats.org/officeDocument/2006/relationships/hyperlink" Target="https://www.edureka.co/?utm_source=ZillionLife&amp;utm_medium=748127&amp;utm_campaign=Zillion_Ed" TargetMode="External" /><Relationship Id="rId18" Type="http://schemas.openxmlformats.org/officeDocument/2006/relationships/hyperlink" Target="https://resources.edureka.co/big-data-edureka-workshop-covid19-analysis/?utm_source=meetup&amp;utm_medium=crosspost&amp;utm_campaign=bigdata-workshop-090920" TargetMode="External" /><Relationship Id="rId19" Type="http://schemas.openxmlformats.org/officeDocument/2006/relationships/hyperlink" Target="https://akashmishra75.herokuapp.com/" TargetMode="External" /><Relationship Id="rId20" Type="http://schemas.openxmlformats.org/officeDocument/2006/relationships/hyperlink" Target="https://twitter.com/RadioSilentplay/status/1294087895364636672" TargetMode="External" /><Relationship Id="rId21" Type="http://schemas.openxmlformats.org/officeDocument/2006/relationships/hyperlink" Target="https://medium.com/@rajmalhotra_2822/earn-coursera-certificates-for-free-on-some-programming-courses-during-the-coronavirus-epidemic-7b3f75bc49b1" TargetMode="External" /><Relationship Id="rId22" Type="http://schemas.openxmlformats.org/officeDocument/2006/relationships/hyperlink" Target="https://www.ituneed.com/post/working-from-home-top-5-cybersecurity-threats-businesses-should-be-aware-of-during-covid-19" TargetMode="External" /><Relationship Id="rId23" Type="http://schemas.openxmlformats.org/officeDocument/2006/relationships/hyperlink" Target="https://www.aitrends.com/ai-research/covid-19-ai-update-nih-developing-imaging-tools/" TargetMode="External" /><Relationship Id="rId24" Type="http://schemas.openxmlformats.org/officeDocument/2006/relationships/hyperlink" Target="https://www.weforum.org/agenda/2020/09/prevent-post-covid-carmageddon" TargetMode="External" /><Relationship Id="rId25" Type="http://schemas.openxmlformats.org/officeDocument/2006/relationships/hyperlink" Target="https://online-learning.harvard.edu/catalog" TargetMode="External" /><Relationship Id="rId26" Type="http://schemas.openxmlformats.org/officeDocument/2006/relationships/hyperlink" Target="http://www.globalbigdataconference.com/145756/combatting-covid-19-misinformation-with-machine-learning/industrynews-details.html" TargetMode="External" /><Relationship Id="rId27" Type="http://schemas.openxmlformats.org/officeDocument/2006/relationships/hyperlink" Target="http://www.globalbigdataconference.com/145756/combatting-covid-19-misinformation-with-machine-learning/industrynews-details.html" TargetMode="External" /><Relationship Id="rId28" Type="http://schemas.openxmlformats.org/officeDocument/2006/relationships/hyperlink" Target="http://www.globalbigdataconference.com/145761/big-datas-role-in-the-post-covid-era/industrynews-details.html" TargetMode="External" /><Relationship Id="rId29" Type="http://schemas.openxmlformats.org/officeDocument/2006/relationships/hyperlink" Target="http://www.globalbigdataconference.com/news/145767/covid-19-made-your-data-set-worthless-now-what.html" TargetMode="External" /><Relationship Id="rId30" Type="http://schemas.openxmlformats.org/officeDocument/2006/relationships/hyperlink" Target="http://www.globalbigdataconference.com/news/145693/bias-in-machine-learning-examples-policing-banking-covid-19.html" TargetMode="External" /><Relationship Id="rId31" Type="http://schemas.openxmlformats.org/officeDocument/2006/relationships/hyperlink" Target="https://www.edureka.co/?utm_source=ZillionLife&amp;utm_medium=748127&amp;utm_campaign=Zillion_Ed" TargetMode="External" /><Relationship Id="rId32" Type="http://schemas.openxmlformats.org/officeDocument/2006/relationships/hyperlink" Target="https://resources.edureka.co/big-data-edureka-workshop-covid19-analysis/?utm_source=meetup&amp;utm_medium=crosspost&amp;utm_campaign=bigdata-workshop-090920" TargetMode="External" /><Relationship Id="rId33" Type="http://schemas.openxmlformats.org/officeDocument/2006/relationships/hyperlink" Target="https://www.peoplematters.in/news/technology/job-searches-in-artificial-intelligence-rise-106-in-one-year-report-26898" TargetMode="External" /><Relationship Id="rId34" Type="http://schemas.openxmlformats.org/officeDocument/2006/relationships/hyperlink" Target="https://jovian.ml/forum/t/data-science-daily-newsletter-september-8-2020/11527" TargetMode="External" /><Relationship Id="rId35" Type="http://schemas.openxmlformats.org/officeDocument/2006/relationships/hyperlink" Target="https://techairesearch.com/comparative-study-of-best-time-series-models-for-urgent-pandemic-management-2/" TargetMode="External" /><Relationship Id="rId36" Type="http://schemas.openxmlformats.org/officeDocument/2006/relationships/hyperlink" Target="https://www.youtube.com/watch?v=b2mLDkMSyn4&amp;feature=youtu.be&amp;t=510" TargetMode="External" /><Relationship Id="rId37" Type="http://schemas.openxmlformats.org/officeDocument/2006/relationships/hyperlink" Target="http://www.globalbigdataconference.com/145756/combatting-covid-19-misinformation-with-machine-learning/industrynews-details.html" TargetMode="External" /><Relationship Id="rId38" Type="http://schemas.openxmlformats.org/officeDocument/2006/relationships/hyperlink" Target="https://www.latimes.com/world-nation/story/2020-03-16/coronavirus-vaccine-test-opens-as-us-volunteer-gets-1st-shot" TargetMode="External" /><Relationship Id="rId39" Type="http://schemas.openxmlformats.org/officeDocument/2006/relationships/hyperlink" Target="https://online-learning.harvard.edu/catalog" TargetMode="External" /><Relationship Id="rId40" Type="http://schemas.openxmlformats.org/officeDocument/2006/relationships/hyperlink" Target="https://www.peoplematters.in/news/technology/job-searches-in-artificial-intelligence-rise-106-in-one-year-report-26898" TargetMode="External" /><Relationship Id="rId41" Type="http://schemas.openxmlformats.org/officeDocument/2006/relationships/hyperlink" Target="http://www.globalbigdataconference.com/news/145693/bias-in-machine-learning-examples-policing-banking-covid-19.html" TargetMode="External" /><Relationship Id="rId42" Type="http://schemas.openxmlformats.org/officeDocument/2006/relationships/hyperlink" Target="http://www.globalbigdataconference.com/145761/big-datas-role-in-the-post-covid-era/industrynews-details.html" TargetMode="External" /><Relationship Id="rId43" Type="http://schemas.openxmlformats.org/officeDocument/2006/relationships/hyperlink" Target="https://twitter.com/RadioSilentplay/status/1294087895364636672" TargetMode="External" /><Relationship Id="rId44" Type="http://schemas.openxmlformats.org/officeDocument/2006/relationships/hyperlink" Target="https://www.thestar.com/business/personal_finance/2020/09/07/this-26-year-old-toronto-data-scientist-makes-120000-a-year-but-recently-moved-back-home-due-to-covid-19-uncertainty-can-he-buy-a-home-in-the-gta-within-the-year.html" TargetMode="External" /><Relationship Id="rId45" Type="http://schemas.openxmlformats.org/officeDocument/2006/relationships/hyperlink" Target="https://hackernoon.com/covid-happened-and-i-decided-to-stop-gaming-and-start-coding-goq3xqz" TargetMode="External" /><Relationship Id="rId46" Type="http://schemas.openxmlformats.org/officeDocument/2006/relationships/hyperlink" Target="https://www.forbes.com/sites/gilpress/2020/08/27/data-scientists-salaries-and-jobs-immune-to-covid-19-survey-finds/#3f8548ed5183" TargetMode="External" /><Relationship Id="rId47" Type="http://schemas.openxmlformats.org/officeDocument/2006/relationships/hyperlink" Target="https://morioh.com/p/45b7be54c8ee" TargetMode="External" /><Relationship Id="rId48" Type="http://schemas.openxmlformats.org/officeDocument/2006/relationships/hyperlink" Target="https://towardsdatascience.com/best-resources-for-mastering-python-2356b8be0ece" TargetMode="External" /><Relationship Id="rId49" Type="http://schemas.openxmlformats.org/officeDocument/2006/relationships/hyperlink" Target="https://medium.com/analytics-vidhya/visualizing-coronavirus-using-python-b35ca02b4392" TargetMode="External" /><Relationship Id="rId50" Type="http://schemas.openxmlformats.org/officeDocument/2006/relationships/hyperlink" Target="https://morioh.com/p/74bc220c6e09" TargetMode="External" /><Relationship Id="rId51" Type="http://schemas.openxmlformats.org/officeDocument/2006/relationships/hyperlink" Target="https://it-online.co.za/2020/09/08/staff-repurposing-as-a-response-to-covid-19/" TargetMode="External" /><Relationship Id="rId52" Type="http://schemas.openxmlformats.org/officeDocument/2006/relationships/hyperlink" Target="https://github.com/lisphilar/covid19-sir/releases/tag/2.8.2" TargetMode="External" /><Relationship Id="rId53" Type="http://schemas.openxmlformats.org/officeDocument/2006/relationships/hyperlink" Target="https://qiita.com/Lisphilar/items/34337bd89ad485ec4a4b" TargetMode="External" /><Relationship Id="rId54" Type="http://schemas.openxmlformats.org/officeDocument/2006/relationships/hyperlink" Target="http://www.ineditweb.es/miedo-a-lo-tecnologico-art837" TargetMode="External" /><Relationship Id="rId55" Type="http://schemas.openxmlformats.org/officeDocument/2006/relationships/hyperlink" Target="https://techairesearch.com/comparative-study-of-best-time-series-models-for-urgent-pandemic-management-2/" TargetMode="External" /><Relationship Id="rId56" Type="http://schemas.openxmlformats.org/officeDocument/2006/relationships/hyperlink" Target="http://www.globalbigdataconference.com/news/145693/bias-in-machine-learning-examples-policing-banking-covid-19.html" TargetMode="External" /><Relationship Id="rId57" Type="http://schemas.openxmlformats.org/officeDocument/2006/relationships/hyperlink" Target="https://akashmishra75.herokuapp.com/" TargetMode="External" /><Relationship Id="rId58" Type="http://schemas.openxmlformats.org/officeDocument/2006/relationships/hyperlink" Target="https://cdw.voicestorm.com/Article/Redirect/158f4944-0f02-4fb5-a69a-1b101981cbd5?uc=2409&amp;g=569113d9-95cf-4edd-a7b6-8cb126ac2f30&amp;f=414657" TargetMode="External" /><Relationship Id="rId59" Type="http://schemas.openxmlformats.org/officeDocument/2006/relationships/hyperlink" Target="https://cdw.voicestorm.com/Article/Redirect/c2178f9f-84ee-4131-bc8d-106c9621721e?uc=2409&amp;g=d6970e04-ae67-42fc-b899-04f46a8bdc46&amp;f=419948" TargetMode="External" /><Relationship Id="rId60" Type="http://schemas.openxmlformats.org/officeDocument/2006/relationships/hyperlink" Target="https://cdw.voicestorm.com/Article/Redirect/158f4944-0f02-4fb5-a69a-1b101981cbd5?uc=2409&amp;g=630fbc4e-9cb1-4b67-8898-5bb567f6a1e7&amp;f=414657" TargetMode="External" /><Relationship Id="rId61" Type="http://schemas.openxmlformats.org/officeDocument/2006/relationships/hyperlink" Target="https://medium.com/@rajmalhotra_2822/earn-coursera-certificates-for-free-on-some-programming-courses-during-the-coronavirus-epidemic-7b3f75bc49b1" TargetMode="External" /><Relationship Id="rId62" Type="http://schemas.openxmlformats.org/officeDocument/2006/relationships/hyperlink" Target="https://www.aitrends.com/ai-research/covid-19-ai-update-nih-developing-imaging-tools/" TargetMode="External" /><Relationship Id="rId63" Type="http://schemas.openxmlformats.org/officeDocument/2006/relationships/hyperlink" Target="https://cdw.voicestorm.com/Article/Redirect/158f4944-0f02-4fb5-a69a-1b101981cbd5?uc=2409&amp;g=aee4fdc1-6673-411b-8d9e-0d707c12324c&amp;f=414657" TargetMode="External" /><Relationship Id="rId64" Type="http://schemas.openxmlformats.org/officeDocument/2006/relationships/hyperlink" Target="https://it-online.co.za/2020/09/08/staff-repurposing-as-a-response-to-covid-19/" TargetMode="External" /><Relationship Id="rId65" Type="http://schemas.openxmlformats.org/officeDocument/2006/relationships/hyperlink" Target="http://www.globalbigdataconference.com/145761/big-datas-role-in-the-post-covid-era/industrynews-details.html" TargetMode="External" /><Relationship Id="rId66" Type="http://schemas.openxmlformats.org/officeDocument/2006/relationships/hyperlink" Target="https://databaseline.tech/a-tour-of-end-to-end-ml-platforms/" TargetMode="External" /><Relationship Id="rId67" Type="http://schemas.openxmlformats.org/officeDocument/2006/relationships/hyperlink" Target="https://arxiv.org/abs/2009.01657" TargetMode="External" /><Relationship Id="rId68" Type="http://schemas.openxmlformats.org/officeDocument/2006/relationships/hyperlink" Target="https://techairesearch.com/comparative-study-of-best-time-series-models-for-urgent-pandemic-management-2/" TargetMode="External" /><Relationship Id="rId69" Type="http://schemas.openxmlformats.org/officeDocument/2006/relationships/hyperlink" Target="http://www.globalbigdataconference.com/145756/combatting-covid-19-misinformation-with-machine-learning/industrynews-details.html" TargetMode="External" /><Relationship Id="rId70" Type="http://schemas.openxmlformats.org/officeDocument/2006/relationships/hyperlink" Target="http://www.globalbigdataconference.com/news/145767/covid-19-made-your-data-set-worthless-now-what.html" TargetMode="External" /><Relationship Id="rId71" Type="http://schemas.openxmlformats.org/officeDocument/2006/relationships/hyperlink" Target="https://nobrowser.com/" TargetMode="External" /><Relationship Id="rId72" Type="http://schemas.openxmlformats.org/officeDocument/2006/relationships/table" Target="../tables/table18.xml" /><Relationship Id="rId73" Type="http://schemas.openxmlformats.org/officeDocument/2006/relationships/table" Target="../tables/table19.xml" /><Relationship Id="rId74" Type="http://schemas.openxmlformats.org/officeDocument/2006/relationships/table" Target="../tables/table20.xml" /><Relationship Id="rId75" Type="http://schemas.openxmlformats.org/officeDocument/2006/relationships/table" Target="../tables/table21.xml" /><Relationship Id="rId76" Type="http://schemas.openxmlformats.org/officeDocument/2006/relationships/table" Target="../tables/table22.xml" /><Relationship Id="rId77" Type="http://schemas.openxmlformats.org/officeDocument/2006/relationships/table" Target="../tables/table23.xml" /><Relationship Id="rId78" Type="http://schemas.openxmlformats.org/officeDocument/2006/relationships/table" Target="../tables/table24.xml" /><Relationship Id="rId7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2517</v>
      </c>
      <c r="BD2" s="13" t="s">
        <v>2552</v>
      </c>
      <c r="BE2" s="13" t="s">
        <v>2553</v>
      </c>
      <c r="BF2" s="54" t="s">
        <v>3172</v>
      </c>
      <c r="BG2" s="54" t="s">
        <v>3173</v>
      </c>
      <c r="BH2" s="54" t="s">
        <v>3174</v>
      </c>
      <c r="BI2" s="54" t="s">
        <v>3175</v>
      </c>
      <c r="BJ2" s="54" t="s">
        <v>3176</v>
      </c>
      <c r="BK2" s="54" t="s">
        <v>3177</v>
      </c>
      <c r="BL2" s="54" t="s">
        <v>3178</v>
      </c>
      <c r="BM2" s="54" t="s">
        <v>3179</v>
      </c>
      <c r="BN2" s="54" t="s">
        <v>3180</v>
      </c>
    </row>
    <row r="3" spans="1:66" ht="15" customHeight="1">
      <c r="A3" s="68" t="s">
        <v>429</v>
      </c>
      <c r="B3" s="68" t="s">
        <v>429</v>
      </c>
      <c r="C3" s="69" t="s">
        <v>5208</v>
      </c>
      <c r="D3" s="70">
        <v>1</v>
      </c>
      <c r="E3" s="71" t="s">
        <v>132</v>
      </c>
      <c r="F3" s="72">
        <v>32</v>
      </c>
      <c r="G3" s="69" t="s">
        <v>51</v>
      </c>
      <c r="H3" s="73"/>
      <c r="I3" s="74"/>
      <c r="J3" s="74"/>
      <c r="K3" s="35" t="s">
        <v>65</v>
      </c>
      <c r="L3" s="75">
        <v>3</v>
      </c>
      <c r="M3" s="75"/>
      <c r="N3" s="76"/>
      <c r="O3" s="83" t="s">
        <v>187</v>
      </c>
      <c r="P3" s="85">
        <v>44053.37706018519</v>
      </c>
      <c r="Q3" s="83" t="s">
        <v>443</v>
      </c>
      <c r="R3" s="83"/>
      <c r="S3" s="83"/>
      <c r="T3" s="83" t="s">
        <v>563</v>
      </c>
      <c r="U3" s="83"/>
      <c r="V3" s="88" t="str">
        <f>HYPERLINK("http://pbs.twimg.com/profile_images/1280029413954981889/Fov5OSkh_normal.jpg")</f>
        <v>http://pbs.twimg.com/profile_images/1280029413954981889/Fov5OSkh_normal.jpg</v>
      </c>
      <c r="W3" s="85">
        <v>44053.37706018519</v>
      </c>
      <c r="X3" s="89">
        <v>44053</v>
      </c>
      <c r="Y3" s="91" t="s">
        <v>1032</v>
      </c>
      <c r="Z3" s="88" t="str">
        <f>HYPERLINK("https://twitter.com/gbubemi__/status/1292748263297359873")</f>
        <v>https://twitter.com/gbubemi__/status/1292748263297359873</v>
      </c>
      <c r="AA3" s="83"/>
      <c r="AB3" s="83"/>
      <c r="AC3" s="91" t="s">
        <v>1451</v>
      </c>
      <c r="AD3" s="83"/>
      <c r="AE3" s="83" t="b">
        <v>0</v>
      </c>
      <c r="AF3" s="83">
        <v>10</v>
      </c>
      <c r="AG3" s="91" t="s">
        <v>1453</v>
      </c>
      <c r="AH3" s="83" t="b">
        <v>0</v>
      </c>
      <c r="AI3" s="83" t="s">
        <v>1456</v>
      </c>
      <c r="AJ3" s="83"/>
      <c r="AK3" s="91" t="s">
        <v>1453</v>
      </c>
      <c r="AL3" s="83" t="b">
        <v>0</v>
      </c>
      <c r="AM3" s="83">
        <v>4</v>
      </c>
      <c r="AN3" s="91" t="s">
        <v>1453</v>
      </c>
      <c r="AO3" s="83" t="s">
        <v>1491</v>
      </c>
      <c r="AP3" s="83" t="b">
        <v>0</v>
      </c>
      <c r="AQ3" s="91" t="s">
        <v>1451</v>
      </c>
      <c r="AR3" s="83" t="s">
        <v>439</v>
      </c>
      <c r="AS3" s="83">
        <v>0</v>
      </c>
      <c r="AT3" s="83">
        <v>0</v>
      </c>
      <c r="AU3" s="83"/>
      <c r="AV3" s="83"/>
      <c r="AW3" s="83"/>
      <c r="AX3" s="83"/>
      <c r="AY3" s="83"/>
      <c r="AZ3" s="83"/>
      <c r="BA3" s="83"/>
      <c r="BB3" s="83"/>
      <c r="BC3">
        <v>1</v>
      </c>
      <c r="BD3" s="83" t="str">
        <f>REPLACE(INDEX(GroupVertices[Group],MATCH(Edges[[#This Row],[Vertex 1]],GroupVertices[Vertex],0)),1,1,"")</f>
        <v>21</v>
      </c>
      <c r="BE3" s="83" t="str">
        <f>REPLACE(INDEX(GroupVertices[Group],MATCH(Edges[[#This Row],[Vertex 2]],GroupVertices[Vertex],0)),1,1,"")</f>
        <v>21</v>
      </c>
      <c r="BF3" s="49">
        <v>0</v>
      </c>
      <c r="BG3" s="50">
        <v>0</v>
      </c>
      <c r="BH3" s="49">
        <v>0</v>
      </c>
      <c r="BI3" s="50">
        <v>0</v>
      </c>
      <c r="BJ3" s="49">
        <v>0</v>
      </c>
      <c r="BK3" s="50">
        <v>0</v>
      </c>
      <c r="BL3" s="49">
        <v>34</v>
      </c>
      <c r="BM3" s="50">
        <v>100</v>
      </c>
      <c r="BN3" s="49">
        <v>34</v>
      </c>
    </row>
    <row r="4" spans="1:66" ht="15" customHeight="1">
      <c r="A4" s="68" t="s">
        <v>225</v>
      </c>
      <c r="B4" s="68" t="s">
        <v>429</v>
      </c>
      <c r="C4" s="69" t="s">
        <v>5208</v>
      </c>
      <c r="D4" s="70">
        <v>1</v>
      </c>
      <c r="E4" s="71" t="s">
        <v>132</v>
      </c>
      <c r="F4" s="72">
        <v>32</v>
      </c>
      <c r="G4" s="69" t="s">
        <v>51</v>
      </c>
      <c r="H4" s="73"/>
      <c r="I4" s="74"/>
      <c r="J4" s="74"/>
      <c r="K4" s="35" t="s">
        <v>65</v>
      </c>
      <c r="L4" s="82">
        <v>4</v>
      </c>
      <c r="M4" s="82"/>
      <c r="N4" s="76"/>
      <c r="O4" s="84" t="s">
        <v>439</v>
      </c>
      <c r="P4" s="86">
        <v>44080.98643518519</v>
      </c>
      <c r="Q4" s="84" t="s">
        <v>443</v>
      </c>
      <c r="R4" s="84"/>
      <c r="S4" s="84"/>
      <c r="T4" s="84" t="s">
        <v>563</v>
      </c>
      <c r="U4" s="84"/>
      <c r="V4" s="87" t="str">
        <f>HYPERLINK("http://pbs.twimg.com/profile_images/1253243604388233217/HKSf6vFa_normal.jpg")</f>
        <v>http://pbs.twimg.com/profile_images/1253243604388233217/HKSf6vFa_normal.jpg</v>
      </c>
      <c r="W4" s="86">
        <v>44080.98643518519</v>
      </c>
      <c r="X4" s="90">
        <v>44080</v>
      </c>
      <c r="Y4" s="92" t="s">
        <v>639</v>
      </c>
      <c r="Z4" s="87" t="str">
        <f>HYPERLINK("https://twitter.com/givemycert/status/1302753566185017346")</f>
        <v>https://twitter.com/givemycert/status/1302753566185017346</v>
      </c>
      <c r="AA4" s="84"/>
      <c r="AB4" s="84"/>
      <c r="AC4" s="92" t="s">
        <v>1033</v>
      </c>
      <c r="AD4" s="84"/>
      <c r="AE4" s="84" t="b">
        <v>0</v>
      </c>
      <c r="AF4" s="84">
        <v>0</v>
      </c>
      <c r="AG4" s="92" t="s">
        <v>1453</v>
      </c>
      <c r="AH4" s="84" t="b">
        <v>0</v>
      </c>
      <c r="AI4" s="84" t="s">
        <v>1456</v>
      </c>
      <c r="AJ4" s="84"/>
      <c r="AK4" s="92" t="s">
        <v>1453</v>
      </c>
      <c r="AL4" s="84" t="b">
        <v>0</v>
      </c>
      <c r="AM4" s="84">
        <v>4</v>
      </c>
      <c r="AN4" s="92" t="s">
        <v>1451</v>
      </c>
      <c r="AO4" s="84" t="s">
        <v>1464</v>
      </c>
      <c r="AP4" s="84" t="b">
        <v>0</v>
      </c>
      <c r="AQ4" s="92" t="s">
        <v>1451</v>
      </c>
      <c r="AR4" s="84" t="s">
        <v>187</v>
      </c>
      <c r="AS4" s="84">
        <v>0</v>
      </c>
      <c r="AT4" s="84">
        <v>0</v>
      </c>
      <c r="AU4" s="84"/>
      <c r="AV4" s="84"/>
      <c r="AW4" s="84"/>
      <c r="AX4" s="84"/>
      <c r="AY4" s="84"/>
      <c r="AZ4" s="84"/>
      <c r="BA4" s="84"/>
      <c r="BB4" s="84"/>
      <c r="BC4">
        <v>1</v>
      </c>
      <c r="BD4" s="83" t="str">
        <f>REPLACE(INDEX(GroupVertices[Group],MATCH(Edges[[#This Row],[Vertex 1]],GroupVertices[Vertex],0)),1,1,"")</f>
        <v>21</v>
      </c>
      <c r="BE4" s="83" t="str">
        <f>REPLACE(INDEX(GroupVertices[Group],MATCH(Edges[[#This Row],[Vertex 2]],GroupVertices[Vertex],0)),1,1,"")</f>
        <v>21</v>
      </c>
      <c r="BF4" s="49">
        <v>0</v>
      </c>
      <c r="BG4" s="50">
        <v>0</v>
      </c>
      <c r="BH4" s="49">
        <v>0</v>
      </c>
      <c r="BI4" s="50">
        <v>0</v>
      </c>
      <c r="BJ4" s="49">
        <v>0</v>
      </c>
      <c r="BK4" s="50">
        <v>0</v>
      </c>
      <c r="BL4" s="49">
        <v>34</v>
      </c>
      <c r="BM4" s="50">
        <v>100</v>
      </c>
      <c r="BN4" s="49">
        <v>34</v>
      </c>
    </row>
    <row r="5" spans="1:66" ht="15">
      <c r="A5" s="68" t="s">
        <v>226</v>
      </c>
      <c r="B5" s="68" t="s">
        <v>415</v>
      </c>
      <c r="C5" s="69" t="s">
        <v>5208</v>
      </c>
      <c r="D5" s="70">
        <v>1</v>
      </c>
      <c r="E5" s="71" t="s">
        <v>132</v>
      </c>
      <c r="F5" s="72">
        <v>32</v>
      </c>
      <c r="G5" s="69" t="s">
        <v>51</v>
      </c>
      <c r="H5" s="73"/>
      <c r="I5" s="74"/>
      <c r="J5" s="74"/>
      <c r="K5" s="35" t="s">
        <v>65</v>
      </c>
      <c r="L5" s="82">
        <v>5</v>
      </c>
      <c r="M5" s="82"/>
      <c r="N5" s="76"/>
      <c r="O5" s="84" t="s">
        <v>439</v>
      </c>
      <c r="P5" s="86">
        <v>44081.17821759259</v>
      </c>
      <c r="Q5" s="84" t="s">
        <v>444</v>
      </c>
      <c r="R5" s="87" t="str">
        <f>HYPERLINK("https://arxiv.org/abs/2009.01657")</f>
        <v>https://arxiv.org/abs/2009.01657</v>
      </c>
      <c r="S5" s="84" t="s">
        <v>529</v>
      </c>
      <c r="T5" s="84" t="s">
        <v>564</v>
      </c>
      <c r="U5" s="87" t="str">
        <f>HYPERLINK("https://pbs.twimg.com/media/EhJrGbiU0AA-1dk.jpg")</f>
        <v>https://pbs.twimg.com/media/EhJrGbiU0AA-1dk.jpg</v>
      </c>
      <c r="V5" s="87" t="str">
        <f>HYPERLINK("https://pbs.twimg.com/media/EhJrGbiU0AA-1dk.jpg")</f>
        <v>https://pbs.twimg.com/media/EhJrGbiU0AA-1dk.jpg</v>
      </c>
      <c r="W5" s="86">
        <v>44081.17821759259</v>
      </c>
      <c r="X5" s="90">
        <v>44081</v>
      </c>
      <c r="Y5" s="92" t="s">
        <v>640</v>
      </c>
      <c r="Z5" s="87" t="str">
        <f>HYPERLINK("https://twitter.com/monashhealthlib/status/1302823065374449664")</f>
        <v>https://twitter.com/monashhealthlib/status/1302823065374449664</v>
      </c>
      <c r="AA5" s="84"/>
      <c r="AB5" s="84"/>
      <c r="AC5" s="92" t="s">
        <v>1034</v>
      </c>
      <c r="AD5" s="84"/>
      <c r="AE5" s="84" t="b">
        <v>0</v>
      </c>
      <c r="AF5" s="84">
        <v>0</v>
      </c>
      <c r="AG5" s="92" t="s">
        <v>1453</v>
      </c>
      <c r="AH5" s="84" t="b">
        <v>0</v>
      </c>
      <c r="AI5" s="84" t="s">
        <v>1456</v>
      </c>
      <c r="AJ5" s="84"/>
      <c r="AK5" s="92" t="s">
        <v>1453</v>
      </c>
      <c r="AL5" s="84" t="b">
        <v>0</v>
      </c>
      <c r="AM5" s="84">
        <v>66</v>
      </c>
      <c r="AN5" s="92" t="s">
        <v>1393</v>
      </c>
      <c r="AO5" s="84" t="s">
        <v>1465</v>
      </c>
      <c r="AP5" s="84" t="b">
        <v>0</v>
      </c>
      <c r="AQ5" s="92" t="s">
        <v>1393</v>
      </c>
      <c r="AR5" s="84" t="s">
        <v>187</v>
      </c>
      <c r="AS5" s="84">
        <v>0</v>
      </c>
      <c r="AT5" s="84">
        <v>0</v>
      </c>
      <c r="AU5" s="84"/>
      <c r="AV5" s="84"/>
      <c r="AW5" s="84"/>
      <c r="AX5" s="84"/>
      <c r="AY5" s="84"/>
      <c r="AZ5" s="84"/>
      <c r="BA5" s="84"/>
      <c r="BB5" s="84"/>
      <c r="BC5">
        <v>1</v>
      </c>
      <c r="BD5" s="83" t="str">
        <f>REPLACE(INDEX(GroupVertices[Group],MATCH(Edges[[#This Row],[Vertex 1]],GroupVertices[Vertex],0)),1,1,"")</f>
        <v>9</v>
      </c>
      <c r="BE5" s="83" t="str">
        <f>REPLACE(INDEX(GroupVertices[Group],MATCH(Edges[[#This Row],[Vertex 2]],GroupVertices[Vertex],0)),1,1,"")</f>
        <v>9</v>
      </c>
      <c r="BF5" s="49">
        <v>0</v>
      </c>
      <c r="BG5" s="50">
        <v>0</v>
      </c>
      <c r="BH5" s="49">
        <v>0</v>
      </c>
      <c r="BI5" s="50">
        <v>0</v>
      </c>
      <c r="BJ5" s="49">
        <v>0</v>
      </c>
      <c r="BK5" s="50">
        <v>0</v>
      </c>
      <c r="BL5" s="49">
        <v>30</v>
      </c>
      <c r="BM5" s="50">
        <v>100</v>
      </c>
      <c r="BN5" s="49">
        <v>30</v>
      </c>
    </row>
    <row r="6" spans="1:66" ht="15">
      <c r="A6" s="68" t="s">
        <v>227</v>
      </c>
      <c r="B6" s="68" t="s">
        <v>427</v>
      </c>
      <c r="C6" s="69" t="s">
        <v>5208</v>
      </c>
      <c r="D6" s="70">
        <v>1</v>
      </c>
      <c r="E6" s="71" t="s">
        <v>132</v>
      </c>
      <c r="F6" s="72">
        <v>32</v>
      </c>
      <c r="G6" s="69" t="s">
        <v>51</v>
      </c>
      <c r="H6" s="73"/>
      <c r="I6" s="74"/>
      <c r="J6" s="74"/>
      <c r="K6" s="35" t="s">
        <v>65</v>
      </c>
      <c r="L6" s="82">
        <v>6</v>
      </c>
      <c r="M6" s="82"/>
      <c r="N6" s="76"/>
      <c r="O6" s="84" t="s">
        <v>439</v>
      </c>
      <c r="P6" s="86">
        <v>44081.19400462963</v>
      </c>
      <c r="Q6" s="84" t="s">
        <v>445</v>
      </c>
      <c r="R6" s="87" t="str">
        <f>HYPERLINK("https://cdw.voicestorm.com/Article/Redirect/158f4944-0f02-4fb5-a69a-1b101981cbd5?uc=2409&amp;g=aee4fdc1-6673-411b-8d9e-0d707c12324c&amp;f=414657")</f>
        <v>https://cdw.voicestorm.com/Article/Redirect/158f4944-0f02-4fb5-a69a-1b101981cbd5?uc=2409&amp;g=aee4fdc1-6673-411b-8d9e-0d707c12324c&amp;f=414657</v>
      </c>
      <c r="S6" s="84" t="s">
        <v>530</v>
      </c>
      <c r="T6" s="84" t="s">
        <v>565</v>
      </c>
      <c r="U6" s="84"/>
      <c r="V6" s="87" t="str">
        <f>HYPERLINK("http://pbs.twimg.com/profile_images/1131855016766124032/vhasETOF_normal.jpg")</f>
        <v>http://pbs.twimg.com/profile_images/1131855016766124032/vhasETOF_normal.jpg</v>
      </c>
      <c r="W6" s="86">
        <v>44081.19400462963</v>
      </c>
      <c r="X6" s="90">
        <v>44081</v>
      </c>
      <c r="Y6" s="92" t="s">
        <v>641</v>
      </c>
      <c r="Z6" s="87" t="str">
        <f>HYPERLINK("https://twitter.com/cybersec_feeds/status/1302828784077467648")</f>
        <v>https://twitter.com/cybersec_feeds/status/1302828784077467648</v>
      </c>
      <c r="AA6" s="84"/>
      <c r="AB6" s="84"/>
      <c r="AC6" s="92" t="s">
        <v>1035</v>
      </c>
      <c r="AD6" s="84"/>
      <c r="AE6" s="84" t="b">
        <v>0</v>
      </c>
      <c r="AF6" s="84">
        <v>0</v>
      </c>
      <c r="AG6" s="92" t="s">
        <v>1453</v>
      </c>
      <c r="AH6" s="84" t="b">
        <v>0</v>
      </c>
      <c r="AI6" s="84" t="s">
        <v>1456</v>
      </c>
      <c r="AJ6" s="84"/>
      <c r="AK6" s="92" t="s">
        <v>1453</v>
      </c>
      <c r="AL6" s="84" t="b">
        <v>0</v>
      </c>
      <c r="AM6" s="84">
        <v>23</v>
      </c>
      <c r="AN6" s="92" t="s">
        <v>1448</v>
      </c>
      <c r="AO6" s="84" t="s">
        <v>1466</v>
      </c>
      <c r="AP6" s="84" t="b">
        <v>0</v>
      </c>
      <c r="AQ6" s="92" t="s">
        <v>1448</v>
      </c>
      <c r="AR6" s="84" t="s">
        <v>187</v>
      </c>
      <c r="AS6" s="84">
        <v>0</v>
      </c>
      <c r="AT6" s="84">
        <v>0</v>
      </c>
      <c r="AU6" s="84"/>
      <c r="AV6" s="84"/>
      <c r="AW6" s="84"/>
      <c r="AX6" s="84"/>
      <c r="AY6" s="84"/>
      <c r="AZ6" s="84"/>
      <c r="BA6" s="84"/>
      <c r="BB6" s="84"/>
      <c r="BC6">
        <v>1</v>
      </c>
      <c r="BD6" s="83" t="str">
        <f>REPLACE(INDEX(GroupVertices[Group],MATCH(Edges[[#This Row],[Vertex 1]],GroupVertices[Vertex],0)),1,1,"")</f>
        <v>8</v>
      </c>
      <c r="BE6" s="83" t="str">
        <f>REPLACE(INDEX(GroupVertices[Group],MATCH(Edges[[#This Row],[Vertex 2]],GroupVertices[Vertex],0)),1,1,"")</f>
        <v>8</v>
      </c>
      <c r="BF6" s="49">
        <v>0</v>
      </c>
      <c r="BG6" s="50">
        <v>0</v>
      </c>
      <c r="BH6" s="49">
        <v>0</v>
      </c>
      <c r="BI6" s="50">
        <v>0</v>
      </c>
      <c r="BJ6" s="49">
        <v>0</v>
      </c>
      <c r="BK6" s="50">
        <v>0</v>
      </c>
      <c r="BL6" s="49">
        <v>26</v>
      </c>
      <c r="BM6" s="50">
        <v>100</v>
      </c>
      <c r="BN6" s="49">
        <v>26</v>
      </c>
    </row>
    <row r="7" spans="1:66" ht="15">
      <c r="A7" s="68" t="s">
        <v>228</v>
      </c>
      <c r="B7" s="68" t="s">
        <v>426</v>
      </c>
      <c r="C7" s="69" t="s">
        <v>5208</v>
      </c>
      <c r="D7" s="70">
        <v>1</v>
      </c>
      <c r="E7" s="71" t="s">
        <v>132</v>
      </c>
      <c r="F7" s="72">
        <v>32</v>
      </c>
      <c r="G7" s="69" t="s">
        <v>51</v>
      </c>
      <c r="H7" s="73"/>
      <c r="I7" s="74"/>
      <c r="J7" s="74"/>
      <c r="K7" s="35" t="s">
        <v>65</v>
      </c>
      <c r="L7" s="82">
        <v>7</v>
      </c>
      <c r="M7" s="82"/>
      <c r="N7" s="76"/>
      <c r="O7" s="84" t="s">
        <v>439</v>
      </c>
      <c r="P7" s="86">
        <v>44081.64864583333</v>
      </c>
      <c r="Q7" s="84" t="s">
        <v>446</v>
      </c>
      <c r="R7" s="84"/>
      <c r="S7" s="84"/>
      <c r="T7" s="84" t="s">
        <v>566</v>
      </c>
      <c r="U7" s="87" t="str">
        <f>HYPERLINK("https://pbs.twimg.com/media/EhUlZY6WoAEc1jo.png")</f>
        <v>https://pbs.twimg.com/media/EhUlZY6WoAEc1jo.png</v>
      </c>
      <c r="V7" s="87" t="str">
        <f>HYPERLINK("https://pbs.twimg.com/media/EhUlZY6WoAEc1jo.png")</f>
        <v>https://pbs.twimg.com/media/EhUlZY6WoAEc1jo.png</v>
      </c>
      <c r="W7" s="86">
        <v>44081.64864583333</v>
      </c>
      <c r="X7" s="90">
        <v>44081</v>
      </c>
      <c r="Y7" s="92" t="s">
        <v>642</v>
      </c>
      <c r="Z7" s="87" t="str">
        <f>HYPERLINK("https://twitter.com/wattsdominic/status/1302993540105089025")</f>
        <v>https://twitter.com/wattsdominic/status/1302993540105089025</v>
      </c>
      <c r="AA7" s="84"/>
      <c r="AB7" s="84"/>
      <c r="AC7" s="92" t="s">
        <v>1036</v>
      </c>
      <c r="AD7" s="84"/>
      <c r="AE7" s="84" t="b">
        <v>0</v>
      </c>
      <c r="AF7" s="84">
        <v>0</v>
      </c>
      <c r="AG7" s="92" t="s">
        <v>1453</v>
      </c>
      <c r="AH7" s="84" t="b">
        <v>0</v>
      </c>
      <c r="AI7" s="84" t="s">
        <v>1456</v>
      </c>
      <c r="AJ7" s="84"/>
      <c r="AK7" s="92" t="s">
        <v>1453</v>
      </c>
      <c r="AL7" s="84" t="b">
        <v>0</v>
      </c>
      <c r="AM7" s="84">
        <v>3</v>
      </c>
      <c r="AN7" s="92" t="s">
        <v>1433</v>
      </c>
      <c r="AO7" s="84" t="s">
        <v>1467</v>
      </c>
      <c r="AP7" s="84" t="b">
        <v>0</v>
      </c>
      <c r="AQ7" s="92" t="s">
        <v>1433</v>
      </c>
      <c r="AR7" s="84" t="s">
        <v>187</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49">
        <v>0</v>
      </c>
      <c r="BG7" s="50">
        <v>0</v>
      </c>
      <c r="BH7" s="49">
        <v>0</v>
      </c>
      <c r="BI7" s="50">
        <v>0</v>
      </c>
      <c r="BJ7" s="49">
        <v>0</v>
      </c>
      <c r="BK7" s="50">
        <v>0</v>
      </c>
      <c r="BL7" s="49">
        <v>13</v>
      </c>
      <c r="BM7" s="50">
        <v>100</v>
      </c>
      <c r="BN7" s="49">
        <v>13</v>
      </c>
    </row>
    <row r="8" spans="1:66" ht="15">
      <c r="A8" s="68" t="s">
        <v>229</v>
      </c>
      <c r="B8" s="68" t="s">
        <v>404</v>
      </c>
      <c r="C8" s="69" t="s">
        <v>5208</v>
      </c>
      <c r="D8" s="70">
        <v>1</v>
      </c>
      <c r="E8" s="71" t="s">
        <v>132</v>
      </c>
      <c r="F8" s="72">
        <v>32</v>
      </c>
      <c r="G8" s="69" t="s">
        <v>51</v>
      </c>
      <c r="H8" s="73"/>
      <c r="I8" s="74"/>
      <c r="J8" s="74"/>
      <c r="K8" s="35" t="s">
        <v>65</v>
      </c>
      <c r="L8" s="82">
        <v>8</v>
      </c>
      <c r="M8" s="82"/>
      <c r="N8" s="76"/>
      <c r="O8" s="84" t="s">
        <v>439</v>
      </c>
      <c r="P8" s="86">
        <v>44081.69930555556</v>
      </c>
      <c r="Q8" s="84" t="s">
        <v>447</v>
      </c>
      <c r="R8" s="87" t="str">
        <f>HYPERLINK("https://www.latimes.com/world-nation/story/2020-03-16/coronavirus-vaccine-test-opens-as-us-volunteer-gets-1st-shot")</f>
        <v>https://www.latimes.com/world-nation/story/2020-03-16/coronavirus-vaccine-test-opens-as-us-volunteer-gets-1st-shot</v>
      </c>
      <c r="S8" s="84" t="s">
        <v>531</v>
      </c>
      <c r="T8" s="84" t="s">
        <v>567</v>
      </c>
      <c r="U8" s="87" t="str">
        <f>HYPERLINK("https://pbs.twimg.com/media/EhAhLRtWoAEsEe_.jpg")</f>
        <v>https://pbs.twimg.com/media/EhAhLRtWoAEsEe_.jpg</v>
      </c>
      <c r="V8" s="87" t="str">
        <f>HYPERLINK("https://pbs.twimg.com/media/EhAhLRtWoAEsEe_.jpg")</f>
        <v>https://pbs.twimg.com/media/EhAhLRtWoAEsEe_.jpg</v>
      </c>
      <c r="W8" s="86">
        <v>44081.69930555556</v>
      </c>
      <c r="X8" s="90">
        <v>44081</v>
      </c>
      <c r="Y8" s="92" t="s">
        <v>643</v>
      </c>
      <c r="Z8" s="87" t="str">
        <f>HYPERLINK("https://twitter.com/maignanamurthy/status/1303011900028940291")</f>
        <v>https://twitter.com/maignanamurthy/status/1303011900028940291</v>
      </c>
      <c r="AA8" s="84"/>
      <c r="AB8" s="84"/>
      <c r="AC8" s="92" t="s">
        <v>1037</v>
      </c>
      <c r="AD8" s="84"/>
      <c r="AE8" s="84" t="b">
        <v>0</v>
      </c>
      <c r="AF8" s="84">
        <v>0</v>
      </c>
      <c r="AG8" s="92" t="s">
        <v>1453</v>
      </c>
      <c r="AH8" s="84" t="b">
        <v>0</v>
      </c>
      <c r="AI8" s="84" t="s">
        <v>1456</v>
      </c>
      <c r="AJ8" s="84"/>
      <c r="AK8" s="92" t="s">
        <v>1453</v>
      </c>
      <c r="AL8" s="84" t="b">
        <v>0</v>
      </c>
      <c r="AM8" s="84">
        <v>80</v>
      </c>
      <c r="AN8" s="92" t="s">
        <v>1343</v>
      </c>
      <c r="AO8" s="84" t="s">
        <v>1465</v>
      </c>
      <c r="AP8" s="84" t="b">
        <v>0</v>
      </c>
      <c r="AQ8" s="92" t="s">
        <v>1343</v>
      </c>
      <c r="AR8" s="84" t="s">
        <v>187</v>
      </c>
      <c r="AS8" s="84">
        <v>0</v>
      </c>
      <c r="AT8" s="84">
        <v>0</v>
      </c>
      <c r="AU8" s="84"/>
      <c r="AV8" s="84"/>
      <c r="AW8" s="84"/>
      <c r="AX8" s="84"/>
      <c r="AY8" s="84"/>
      <c r="AZ8" s="84"/>
      <c r="BA8" s="84"/>
      <c r="BB8" s="84"/>
      <c r="BC8">
        <v>1</v>
      </c>
      <c r="BD8" s="83" t="str">
        <f>REPLACE(INDEX(GroupVertices[Group],MATCH(Edges[[#This Row],[Vertex 1]],GroupVertices[Vertex],0)),1,1,"")</f>
        <v>5</v>
      </c>
      <c r="BE8" s="83" t="str">
        <f>REPLACE(INDEX(GroupVertices[Group],MATCH(Edges[[#This Row],[Vertex 2]],GroupVertices[Vertex],0)),1,1,"")</f>
        <v>5</v>
      </c>
      <c r="BF8" s="49">
        <v>0</v>
      </c>
      <c r="BG8" s="50">
        <v>0</v>
      </c>
      <c r="BH8" s="49">
        <v>0</v>
      </c>
      <c r="BI8" s="50">
        <v>0</v>
      </c>
      <c r="BJ8" s="49">
        <v>0</v>
      </c>
      <c r="BK8" s="50">
        <v>0</v>
      </c>
      <c r="BL8" s="49">
        <v>31</v>
      </c>
      <c r="BM8" s="50">
        <v>100</v>
      </c>
      <c r="BN8" s="49">
        <v>31</v>
      </c>
    </row>
    <row r="9" spans="1:66" ht="15">
      <c r="A9" s="68" t="s">
        <v>230</v>
      </c>
      <c r="B9" s="68" t="s">
        <v>382</v>
      </c>
      <c r="C9" s="69" t="s">
        <v>5208</v>
      </c>
      <c r="D9" s="70">
        <v>1</v>
      </c>
      <c r="E9" s="71" t="s">
        <v>132</v>
      </c>
      <c r="F9" s="72">
        <v>32</v>
      </c>
      <c r="G9" s="69" t="s">
        <v>51</v>
      </c>
      <c r="H9" s="73"/>
      <c r="I9" s="74"/>
      <c r="J9" s="74"/>
      <c r="K9" s="35" t="s">
        <v>65</v>
      </c>
      <c r="L9" s="82">
        <v>9</v>
      </c>
      <c r="M9" s="82"/>
      <c r="N9" s="76"/>
      <c r="O9" s="84" t="s">
        <v>440</v>
      </c>
      <c r="P9" s="86">
        <v>44081.717465277776</v>
      </c>
      <c r="Q9" s="84" t="s">
        <v>448</v>
      </c>
      <c r="R9" s="87" t="str">
        <f>HYPERLINK("https://www.peoplematters.in/news/technology/job-searches-in-artificial-intelligence-rise-106-in-one-year-report-26898")</f>
        <v>https://www.peoplematters.in/news/technology/job-searches-in-artificial-intelligence-rise-106-in-one-year-report-26898</v>
      </c>
      <c r="S9" s="84" t="s">
        <v>532</v>
      </c>
      <c r="T9" s="84" t="s">
        <v>568</v>
      </c>
      <c r="U9" s="87" t="str">
        <f>HYPERLINK("https://pbs.twimg.com/media/EhVAOmdWoAAOQiY.jpg")</f>
        <v>https://pbs.twimg.com/media/EhVAOmdWoAAOQiY.jpg</v>
      </c>
      <c r="V9" s="87" t="str">
        <f>HYPERLINK("https://pbs.twimg.com/media/EhVAOmdWoAAOQiY.jpg")</f>
        <v>https://pbs.twimg.com/media/EhVAOmdWoAAOQiY.jpg</v>
      </c>
      <c r="W9" s="86">
        <v>44081.717465277776</v>
      </c>
      <c r="X9" s="90">
        <v>44081</v>
      </c>
      <c r="Y9" s="92" t="s">
        <v>644</v>
      </c>
      <c r="Z9" s="87" t="str">
        <f>HYPERLINK("https://twitter.com/technojeder/status/1303018482016157697")</f>
        <v>https://twitter.com/technojeder/status/1303018482016157697</v>
      </c>
      <c r="AA9" s="84"/>
      <c r="AB9" s="84"/>
      <c r="AC9" s="92" t="s">
        <v>1038</v>
      </c>
      <c r="AD9" s="84"/>
      <c r="AE9" s="84" t="b">
        <v>0</v>
      </c>
      <c r="AF9" s="84">
        <v>0</v>
      </c>
      <c r="AG9" s="92" t="s">
        <v>1453</v>
      </c>
      <c r="AH9" s="84" t="b">
        <v>0</v>
      </c>
      <c r="AI9" s="84" t="s">
        <v>1456</v>
      </c>
      <c r="AJ9" s="84"/>
      <c r="AK9" s="92" t="s">
        <v>1453</v>
      </c>
      <c r="AL9" s="84" t="b">
        <v>0</v>
      </c>
      <c r="AM9" s="84">
        <v>25</v>
      </c>
      <c r="AN9" s="92" t="s">
        <v>1248</v>
      </c>
      <c r="AO9" s="84" t="s">
        <v>1468</v>
      </c>
      <c r="AP9" s="84" t="b">
        <v>0</v>
      </c>
      <c r="AQ9" s="92" t="s">
        <v>1248</v>
      </c>
      <c r="AR9" s="84" t="s">
        <v>187</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49"/>
      <c r="BG9" s="50"/>
      <c r="BH9" s="49"/>
      <c r="BI9" s="50"/>
      <c r="BJ9" s="49"/>
      <c r="BK9" s="50"/>
      <c r="BL9" s="49"/>
      <c r="BM9" s="50"/>
      <c r="BN9" s="49"/>
    </row>
    <row r="10" spans="1:66" ht="15">
      <c r="A10" s="68" t="s">
        <v>230</v>
      </c>
      <c r="B10" s="68" t="s">
        <v>385</v>
      </c>
      <c r="C10" s="69" t="s">
        <v>5208</v>
      </c>
      <c r="D10" s="70">
        <v>1</v>
      </c>
      <c r="E10" s="71" t="s">
        <v>132</v>
      </c>
      <c r="F10" s="72">
        <v>32</v>
      </c>
      <c r="G10" s="69" t="s">
        <v>51</v>
      </c>
      <c r="H10" s="73"/>
      <c r="I10" s="74"/>
      <c r="J10" s="74"/>
      <c r="K10" s="35" t="s">
        <v>65</v>
      </c>
      <c r="L10" s="82">
        <v>10</v>
      </c>
      <c r="M10" s="82"/>
      <c r="N10" s="76"/>
      <c r="O10" s="84" t="s">
        <v>440</v>
      </c>
      <c r="P10" s="86">
        <v>44081.717465277776</v>
      </c>
      <c r="Q10" s="84" t="s">
        <v>448</v>
      </c>
      <c r="R10" s="87" t="str">
        <f>HYPERLINK("https://www.peoplematters.in/news/technology/job-searches-in-artificial-intelligence-rise-106-in-one-year-report-26898")</f>
        <v>https://www.peoplematters.in/news/technology/job-searches-in-artificial-intelligence-rise-106-in-one-year-report-26898</v>
      </c>
      <c r="S10" s="84" t="s">
        <v>532</v>
      </c>
      <c r="T10" s="84" t="s">
        <v>568</v>
      </c>
      <c r="U10" s="87" t="str">
        <f>HYPERLINK("https://pbs.twimg.com/media/EhVAOmdWoAAOQiY.jpg")</f>
        <v>https://pbs.twimg.com/media/EhVAOmdWoAAOQiY.jpg</v>
      </c>
      <c r="V10" s="87" t="str">
        <f>HYPERLINK("https://pbs.twimg.com/media/EhVAOmdWoAAOQiY.jpg")</f>
        <v>https://pbs.twimg.com/media/EhVAOmdWoAAOQiY.jpg</v>
      </c>
      <c r="W10" s="86">
        <v>44081.717465277776</v>
      </c>
      <c r="X10" s="90">
        <v>44081</v>
      </c>
      <c r="Y10" s="92" t="s">
        <v>644</v>
      </c>
      <c r="Z10" s="87" t="str">
        <f>HYPERLINK("https://twitter.com/technojeder/status/1303018482016157697")</f>
        <v>https://twitter.com/technojeder/status/1303018482016157697</v>
      </c>
      <c r="AA10" s="84"/>
      <c r="AB10" s="84"/>
      <c r="AC10" s="92" t="s">
        <v>1038</v>
      </c>
      <c r="AD10" s="84"/>
      <c r="AE10" s="84" t="b">
        <v>0</v>
      </c>
      <c r="AF10" s="84">
        <v>0</v>
      </c>
      <c r="AG10" s="92" t="s">
        <v>1453</v>
      </c>
      <c r="AH10" s="84" t="b">
        <v>0</v>
      </c>
      <c r="AI10" s="84" t="s">
        <v>1456</v>
      </c>
      <c r="AJ10" s="84"/>
      <c r="AK10" s="92" t="s">
        <v>1453</v>
      </c>
      <c r="AL10" s="84" t="b">
        <v>0</v>
      </c>
      <c r="AM10" s="84">
        <v>25</v>
      </c>
      <c r="AN10" s="92" t="s">
        <v>1248</v>
      </c>
      <c r="AO10" s="84" t="s">
        <v>1468</v>
      </c>
      <c r="AP10" s="84" t="b">
        <v>0</v>
      </c>
      <c r="AQ10" s="92" t="s">
        <v>1248</v>
      </c>
      <c r="AR10" s="84" t="s">
        <v>187</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49"/>
      <c r="BG10" s="50"/>
      <c r="BH10" s="49"/>
      <c r="BI10" s="50"/>
      <c r="BJ10" s="49"/>
      <c r="BK10" s="50"/>
      <c r="BL10" s="49"/>
      <c r="BM10" s="50"/>
      <c r="BN10" s="49"/>
    </row>
    <row r="11" spans="1:66" ht="15">
      <c r="A11" s="68" t="s">
        <v>230</v>
      </c>
      <c r="B11" s="68" t="s">
        <v>430</v>
      </c>
      <c r="C11" s="69" t="s">
        <v>5208</v>
      </c>
      <c r="D11" s="70">
        <v>1</v>
      </c>
      <c r="E11" s="71" t="s">
        <v>132</v>
      </c>
      <c r="F11" s="72">
        <v>32</v>
      </c>
      <c r="G11" s="69" t="s">
        <v>51</v>
      </c>
      <c r="H11" s="73"/>
      <c r="I11" s="74"/>
      <c r="J11" s="74"/>
      <c r="K11" s="35" t="s">
        <v>65</v>
      </c>
      <c r="L11" s="82">
        <v>11</v>
      </c>
      <c r="M11" s="82"/>
      <c r="N11" s="76"/>
      <c r="O11" s="84" t="s">
        <v>440</v>
      </c>
      <c r="P11" s="86">
        <v>44081.717465277776</v>
      </c>
      <c r="Q11" s="84" t="s">
        <v>448</v>
      </c>
      <c r="R11" s="87" t="str">
        <f>HYPERLINK("https://www.peoplematters.in/news/technology/job-searches-in-artificial-intelligence-rise-106-in-one-year-report-26898")</f>
        <v>https://www.peoplematters.in/news/technology/job-searches-in-artificial-intelligence-rise-106-in-one-year-report-26898</v>
      </c>
      <c r="S11" s="84" t="s">
        <v>532</v>
      </c>
      <c r="T11" s="84" t="s">
        <v>568</v>
      </c>
      <c r="U11" s="87" t="str">
        <f>HYPERLINK("https://pbs.twimg.com/media/EhVAOmdWoAAOQiY.jpg")</f>
        <v>https://pbs.twimg.com/media/EhVAOmdWoAAOQiY.jpg</v>
      </c>
      <c r="V11" s="87" t="str">
        <f>HYPERLINK("https://pbs.twimg.com/media/EhVAOmdWoAAOQiY.jpg")</f>
        <v>https://pbs.twimg.com/media/EhVAOmdWoAAOQiY.jpg</v>
      </c>
      <c r="W11" s="86">
        <v>44081.717465277776</v>
      </c>
      <c r="X11" s="90">
        <v>44081</v>
      </c>
      <c r="Y11" s="92" t="s">
        <v>644</v>
      </c>
      <c r="Z11" s="87" t="str">
        <f>HYPERLINK("https://twitter.com/technojeder/status/1303018482016157697")</f>
        <v>https://twitter.com/technojeder/status/1303018482016157697</v>
      </c>
      <c r="AA11" s="84"/>
      <c r="AB11" s="84"/>
      <c r="AC11" s="92" t="s">
        <v>1038</v>
      </c>
      <c r="AD11" s="84"/>
      <c r="AE11" s="84" t="b">
        <v>0</v>
      </c>
      <c r="AF11" s="84">
        <v>0</v>
      </c>
      <c r="AG11" s="92" t="s">
        <v>1453</v>
      </c>
      <c r="AH11" s="84" t="b">
        <v>0</v>
      </c>
      <c r="AI11" s="84" t="s">
        <v>1456</v>
      </c>
      <c r="AJ11" s="84"/>
      <c r="AK11" s="92" t="s">
        <v>1453</v>
      </c>
      <c r="AL11" s="84" t="b">
        <v>0</v>
      </c>
      <c r="AM11" s="84">
        <v>25</v>
      </c>
      <c r="AN11" s="92" t="s">
        <v>1248</v>
      </c>
      <c r="AO11" s="84" t="s">
        <v>1468</v>
      </c>
      <c r="AP11" s="84" t="b">
        <v>0</v>
      </c>
      <c r="AQ11" s="92" t="s">
        <v>1248</v>
      </c>
      <c r="AR11" s="84" t="s">
        <v>187</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49"/>
      <c r="BG11" s="50"/>
      <c r="BH11" s="49"/>
      <c r="BI11" s="50"/>
      <c r="BJ11" s="49"/>
      <c r="BK11" s="50"/>
      <c r="BL11" s="49"/>
      <c r="BM11" s="50"/>
      <c r="BN11" s="49"/>
    </row>
    <row r="12" spans="1:66" ht="15">
      <c r="A12" s="68" t="s">
        <v>230</v>
      </c>
      <c r="B12" s="68" t="s">
        <v>383</v>
      </c>
      <c r="C12" s="69" t="s">
        <v>5208</v>
      </c>
      <c r="D12" s="70">
        <v>1</v>
      </c>
      <c r="E12" s="71" t="s">
        <v>132</v>
      </c>
      <c r="F12" s="72">
        <v>32</v>
      </c>
      <c r="G12" s="69" t="s">
        <v>51</v>
      </c>
      <c r="H12" s="73"/>
      <c r="I12" s="74"/>
      <c r="J12" s="74"/>
      <c r="K12" s="35" t="s">
        <v>65</v>
      </c>
      <c r="L12" s="82">
        <v>12</v>
      </c>
      <c r="M12" s="82"/>
      <c r="N12" s="76"/>
      <c r="O12" s="84" t="s">
        <v>440</v>
      </c>
      <c r="P12" s="86">
        <v>44081.717465277776</v>
      </c>
      <c r="Q12" s="84" t="s">
        <v>448</v>
      </c>
      <c r="R12" s="87" t="str">
        <f>HYPERLINK("https://www.peoplematters.in/news/technology/job-searches-in-artificial-intelligence-rise-106-in-one-year-report-26898")</f>
        <v>https://www.peoplematters.in/news/technology/job-searches-in-artificial-intelligence-rise-106-in-one-year-report-26898</v>
      </c>
      <c r="S12" s="84" t="s">
        <v>532</v>
      </c>
      <c r="T12" s="84" t="s">
        <v>568</v>
      </c>
      <c r="U12" s="87" t="str">
        <f>HYPERLINK("https://pbs.twimg.com/media/EhVAOmdWoAAOQiY.jpg")</f>
        <v>https://pbs.twimg.com/media/EhVAOmdWoAAOQiY.jpg</v>
      </c>
      <c r="V12" s="87" t="str">
        <f>HYPERLINK("https://pbs.twimg.com/media/EhVAOmdWoAAOQiY.jpg")</f>
        <v>https://pbs.twimg.com/media/EhVAOmdWoAAOQiY.jpg</v>
      </c>
      <c r="W12" s="86">
        <v>44081.717465277776</v>
      </c>
      <c r="X12" s="90">
        <v>44081</v>
      </c>
      <c r="Y12" s="92" t="s">
        <v>644</v>
      </c>
      <c r="Z12" s="87" t="str">
        <f>HYPERLINK("https://twitter.com/technojeder/status/1303018482016157697")</f>
        <v>https://twitter.com/technojeder/status/1303018482016157697</v>
      </c>
      <c r="AA12" s="84"/>
      <c r="AB12" s="84"/>
      <c r="AC12" s="92" t="s">
        <v>1038</v>
      </c>
      <c r="AD12" s="84"/>
      <c r="AE12" s="84" t="b">
        <v>0</v>
      </c>
      <c r="AF12" s="84">
        <v>0</v>
      </c>
      <c r="AG12" s="92" t="s">
        <v>1453</v>
      </c>
      <c r="AH12" s="84" t="b">
        <v>0</v>
      </c>
      <c r="AI12" s="84" t="s">
        <v>1456</v>
      </c>
      <c r="AJ12" s="84"/>
      <c r="AK12" s="92" t="s">
        <v>1453</v>
      </c>
      <c r="AL12" s="84" t="b">
        <v>0</v>
      </c>
      <c r="AM12" s="84">
        <v>25</v>
      </c>
      <c r="AN12" s="92" t="s">
        <v>1248</v>
      </c>
      <c r="AO12" s="84" t="s">
        <v>1468</v>
      </c>
      <c r="AP12" s="84" t="b">
        <v>0</v>
      </c>
      <c r="AQ12" s="92" t="s">
        <v>1248</v>
      </c>
      <c r="AR12" s="84" t="s">
        <v>187</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49"/>
      <c r="BG12" s="50"/>
      <c r="BH12" s="49"/>
      <c r="BI12" s="50"/>
      <c r="BJ12" s="49"/>
      <c r="BK12" s="50"/>
      <c r="BL12" s="49"/>
      <c r="BM12" s="50"/>
      <c r="BN12" s="49"/>
    </row>
    <row r="13" spans="1:66" ht="15">
      <c r="A13" s="68" t="s">
        <v>230</v>
      </c>
      <c r="B13" s="68" t="s">
        <v>380</v>
      </c>
      <c r="C13" s="69" t="s">
        <v>5208</v>
      </c>
      <c r="D13" s="70">
        <v>1</v>
      </c>
      <c r="E13" s="71" t="s">
        <v>132</v>
      </c>
      <c r="F13" s="72">
        <v>32</v>
      </c>
      <c r="G13" s="69" t="s">
        <v>51</v>
      </c>
      <c r="H13" s="73"/>
      <c r="I13" s="74"/>
      <c r="J13" s="74"/>
      <c r="K13" s="35" t="s">
        <v>65</v>
      </c>
      <c r="L13" s="82">
        <v>13</v>
      </c>
      <c r="M13" s="82"/>
      <c r="N13" s="76"/>
      <c r="O13" s="84" t="s">
        <v>440</v>
      </c>
      <c r="P13" s="86">
        <v>44081.717465277776</v>
      </c>
      <c r="Q13" s="84" t="s">
        <v>448</v>
      </c>
      <c r="R13" s="87" t="str">
        <f>HYPERLINK("https://www.peoplematters.in/news/technology/job-searches-in-artificial-intelligence-rise-106-in-one-year-report-26898")</f>
        <v>https://www.peoplematters.in/news/technology/job-searches-in-artificial-intelligence-rise-106-in-one-year-report-26898</v>
      </c>
      <c r="S13" s="84" t="s">
        <v>532</v>
      </c>
      <c r="T13" s="84" t="s">
        <v>568</v>
      </c>
      <c r="U13" s="87" t="str">
        <f>HYPERLINK("https://pbs.twimg.com/media/EhVAOmdWoAAOQiY.jpg")</f>
        <v>https://pbs.twimg.com/media/EhVAOmdWoAAOQiY.jpg</v>
      </c>
      <c r="V13" s="87" t="str">
        <f>HYPERLINK("https://pbs.twimg.com/media/EhVAOmdWoAAOQiY.jpg")</f>
        <v>https://pbs.twimg.com/media/EhVAOmdWoAAOQiY.jpg</v>
      </c>
      <c r="W13" s="86">
        <v>44081.717465277776</v>
      </c>
      <c r="X13" s="90">
        <v>44081</v>
      </c>
      <c r="Y13" s="92" t="s">
        <v>644</v>
      </c>
      <c r="Z13" s="87" t="str">
        <f>HYPERLINK("https://twitter.com/technojeder/status/1303018482016157697")</f>
        <v>https://twitter.com/technojeder/status/1303018482016157697</v>
      </c>
      <c r="AA13" s="84"/>
      <c r="AB13" s="84"/>
      <c r="AC13" s="92" t="s">
        <v>1038</v>
      </c>
      <c r="AD13" s="84"/>
      <c r="AE13" s="84" t="b">
        <v>0</v>
      </c>
      <c r="AF13" s="84">
        <v>0</v>
      </c>
      <c r="AG13" s="92" t="s">
        <v>1453</v>
      </c>
      <c r="AH13" s="84" t="b">
        <v>0</v>
      </c>
      <c r="AI13" s="84" t="s">
        <v>1456</v>
      </c>
      <c r="AJ13" s="84"/>
      <c r="AK13" s="92" t="s">
        <v>1453</v>
      </c>
      <c r="AL13" s="84" t="b">
        <v>0</v>
      </c>
      <c r="AM13" s="84">
        <v>25</v>
      </c>
      <c r="AN13" s="92" t="s">
        <v>1248</v>
      </c>
      <c r="AO13" s="84" t="s">
        <v>1468</v>
      </c>
      <c r="AP13" s="84" t="b">
        <v>0</v>
      </c>
      <c r="AQ13" s="92" t="s">
        <v>1248</v>
      </c>
      <c r="AR13" s="84" t="s">
        <v>187</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49"/>
      <c r="BG13" s="50"/>
      <c r="BH13" s="49"/>
      <c r="BI13" s="50"/>
      <c r="BJ13" s="49"/>
      <c r="BK13" s="50"/>
      <c r="BL13" s="49"/>
      <c r="BM13" s="50"/>
      <c r="BN13" s="49"/>
    </row>
    <row r="14" spans="1:66" ht="15">
      <c r="A14" s="68" t="s">
        <v>230</v>
      </c>
      <c r="B14" s="68" t="s">
        <v>381</v>
      </c>
      <c r="C14" s="69" t="s">
        <v>5208</v>
      </c>
      <c r="D14" s="70">
        <v>1</v>
      </c>
      <c r="E14" s="71" t="s">
        <v>132</v>
      </c>
      <c r="F14" s="72">
        <v>32</v>
      </c>
      <c r="G14" s="69" t="s">
        <v>51</v>
      </c>
      <c r="H14" s="73"/>
      <c r="I14" s="74"/>
      <c r="J14" s="74"/>
      <c r="K14" s="35" t="s">
        <v>65</v>
      </c>
      <c r="L14" s="82">
        <v>14</v>
      </c>
      <c r="M14" s="82"/>
      <c r="N14" s="76"/>
      <c r="O14" s="84" t="s">
        <v>440</v>
      </c>
      <c r="P14" s="86">
        <v>44081.717465277776</v>
      </c>
      <c r="Q14" s="84" t="s">
        <v>448</v>
      </c>
      <c r="R14" s="87" t="str">
        <f>HYPERLINK("https://www.peoplematters.in/news/technology/job-searches-in-artificial-intelligence-rise-106-in-one-year-report-26898")</f>
        <v>https://www.peoplematters.in/news/technology/job-searches-in-artificial-intelligence-rise-106-in-one-year-report-26898</v>
      </c>
      <c r="S14" s="84" t="s">
        <v>532</v>
      </c>
      <c r="T14" s="84" t="s">
        <v>568</v>
      </c>
      <c r="U14" s="87" t="str">
        <f>HYPERLINK("https://pbs.twimg.com/media/EhVAOmdWoAAOQiY.jpg")</f>
        <v>https://pbs.twimg.com/media/EhVAOmdWoAAOQiY.jpg</v>
      </c>
      <c r="V14" s="87" t="str">
        <f>HYPERLINK("https://pbs.twimg.com/media/EhVAOmdWoAAOQiY.jpg")</f>
        <v>https://pbs.twimg.com/media/EhVAOmdWoAAOQiY.jpg</v>
      </c>
      <c r="W14" s="86">
        <v>44081.717465277776</v>
      </c>
      <c r="X14" s="90">
        <v>44081</v>
      </c>
      <c r="Y14" s="92" t="s">
        <v>644</v>
      </c>
      <c r="Z14" s="87" t="str">
        <f>HYPERLINK("https://twitter.com/technojeder/status/1303018482016157697")</f>
        <v>https://twitter.com/technojeder/status/1303018482016157697</v>
      </c>
      <c r="AA14" s="84"/>
      <c r="AB14" s="84"/>
      <c r="AC14" s="92" t="s">
        <v>1038</v>
      </c>
      <c r="AD14" s="84"/>
      <c r="AE14" s="84" t="b">
        <v>0</v>
      </c>
      <c r="AF14" s="84">
        <v>0</v>
      </c>
      <c r="AG14" s="92" t="s">
        <v>1453</v>
      </c>
      <c r="AH14" s="84" t="b">
        <v>0</v>
      </c>
      <c r="AI14" s="84" t="s">
        <v>1456</v>
      </c>
      <c r="AJ14" s="84"/>
      <c r="AK14" s="92" t="s">
        <v>1453</v>
      </c>
      <c r="AL14" s="84" t="b">
        <v>0</v>
      </c>
      <c r="AM14" s="84">
        <v>25</v>
      </c>
      <c r="AN14" s="92" t="s">
        <v>1248</v>
      </c>
      <c r="AO14" s="84" t="s">
        <v>1468</v>
      </c>
      <c r="AP14" s="84" t="b">
        <v>0</v>
      </c>
      <c r="AQ14" s="92" t="s">
        <v>1248</v>
      </c>
      <c r="AR14" s="84" t="s">
        <v>187</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49"/>
      <c r="BG14" s="50"/>
      <c r="BH14" s="49"/>
      <c r="BI14" s="50"/>
      <c r="BJ14" s="49"/>
      <c r="BK14" s="50"/>
      <c r="BL14" s="49"/>
      <c r="BM14" s="50"/>
      <c r="BN14" s="49"/>
    </row>
    <row r="15" spans="1:66" ht="15">
      <c r="A15" s="68" t="s">
        <v>230</v>
      </c>
      <c r="B15" s="68" t="s">
        <v>431</v>
      </c>
      <c r="C15" s="69" t="s">
        <v>5208</v>
      </c>
      <c r="D15" s="70">
        <v>1</v>
      </c>
      <c r="E15" s="71" t="s">
        <v>132</v>
      </c>
      <c r="F15" s="72">
        <v>32</v>
      </c>
      <c r="G15" s="69" t="s">
        <v>51</v>
      </c>
      <c r="H15" s="73"/>
      <c r="I15" s="74"/>
      <c r="J15" s="74"/>
      <c r="K15" s="35" t="s">
        <v>65</v>
      </c>
      <c r="L15" s="82">
        <v>15</v>
      </c>
      <c r="M15" s="82"/>
      <c r="N15" s="76"/>
      <c r="O15" s="84" t="s">
        <v>440</v>
      </c>
      <c r="P15" s="86">
        <v>44081.717465277776</v>
      </c>
      <c r="Q15" s="84" t="s">
        <v>448</v>
      </c>
      <c r="R15" s="87" t="str">
        <f>HYPERLINK("https://www.peoplematters.in/news/technology/job-searches-in-artificial-intelligence-rise-106-in-one-year-report-26898")</f>
        <v>https://www.peoplematters.in/news/technology/job-searches-in-artificial-intelligence-rise-106-in-one-year-report-26898</v>
      </c>
      <c r="S15" s="84" t="s">
        <v>532</v>
      </c>
      <c r="T15" s="84" t="s">
        <v>568</v>
      </c>
      <c r="U15" s="87" t="str">
        <f>HYPERLINK("https://pbs.twimg.com/media/EhVAOmdWoAAOQiY.jpg")</f>
        <v>https://pbs.twimg.com/media/EhVAOmdWoAAOQiY.jpg</v>
      </c>
      <c r="V15" s="87" t="str">
        <f>HYPERLINK("https://pbs.twimg.com/media/EhVAOmdWoAAOQiY.jpg")</f>
        <v>https://pbs.twimg.com/media/EhVAOmdWoAAOQiY.jpg</v>
      </c>
      <c r="W15" s="86">
        <v>44081.717465277776</v>
      </c>
      <c r="X15" s="90">
        <v>44081</v>
      </c>
      <c r="Y15" s="92" t="s">
        <v>644</v>
      </c>
      <c r="Z15" s="87" t="str">
        <f>HYPERLINK("https://twitter.com/technojeder/status/1303018482016157697")</f>
        <v>https://twitter.com/technojeder/status/1303018482016157697</v>
      </c>
      <c r="AA15" s="84"/>
      <c r="AB15" s="84"/>
      <c r="AC15" s="92" t="s">
        <v>1038</v>
      </c>
      <c r="AD15" s="84"/>
      <c r="AE15" s="84" t="b">
        <v>0</v>
      </c>
      <c r="AF15" s="84">
        <v>0</v>
      </c>
      <c r="AG15" s="92" t="s">
        <v>1453</v>
      </c>
      <c r="AH15" s="84" t="b">
        <v>0</v>
      </c>
      <c r="AI15" s="84" t="s">
        <v>1456</v>
      </c>
      <c r="AJ15" s="84"/>
      <c r="AK15" s="92" t="s">
        <v>1453</v>
      </c>
      <c r="AL15" s="84" t="b">
        <v>0</v>
      </c>
      <c r="AM15" s="84">
        <v>25</v>
      </c>
      <c r="AN15" s="92" t="s">
        <v>1248</v>
      </c>
      <c r="AO15" s="84" t="s">
        <v>1468</v>
      </c>
      <c r="AP15" s="84" t="b">
        <v>0</v>
      </c>
      <c r="AQ15" s="92" t="s">
        <v>1248</v>
      </c>
      <c r="AR15" s="84" t="s">
        <v>187</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49"/>
      <c r="BG15" s="50"/>
      <c r="BH15" s="49"/>
      <c r="BI15" s="50"/>
      <c r="BJ15" s="49"/>
      <c r="BK15" s="50"/>
      <c r="BL15" s="49"/>
      <c r="BM15" s="50"/>
      <c r="BN15" s="49"/>
    </row>
    <row r="16" spans="1:66" ht="15">
      <c r="A16" s="68" t="s">
        <v>230</v>
      </c>
      <c r="B16" s="68" t="s">
        <v>432</v>
      </c>
      <c r="C16" s="69" t="s">
        <v>5208</v>
      </c>
      <c r="D16" s="70">
        <v>1</v>
      </c>
      <c r="E16" s="71" t="s">
        <v>132</v>
      </c>
      <c r="F16" s="72">
        <v>32</v>
      </c>
      <c r="G16" s="69" t="s">
        <v>51</v>
      </c>
      <c r="H16" s="73"/>
      <c r="I16" s="74"/>
      <c r="J16" s="74"/>
      <c r="K16" s="35" t="s">
        <v>65</v>
      </c>
      <c r="L16" s="82">
        <v>16</v>
      </c>
      <c r="M16" s="82"/>
      <c r="N16" s="76"/>
      <c r="O16" s="84" t="s">
        <v>440</v>
      </c>
      <c r="P16" s="86">
        <v>44081.717465277776</v>
      </c>
      <c r="Q16" s="84" t="s">
        <v>448</v>
      </c>
      <c r="R16" s="87" t="str">
        <f>HYPERLINK("https://www.peoplematters.in/news/technology/job-searches-in-artificial-intelligence-rise-106-in-one-year-report-26898")</f>
        <v>https://www.peoplematters.in/news/technology/job-searches-in-artificial-intelligence-rise-106-in-one-year-report-26898</v>
      </c>
      <c r="S16" s="84" t="s">
        <v>532</v>
      </c>
      <c r="T16" s="84" t="s">
        <v>568</v>
      </c>
      <c r="U16" s="87" t="str">
        <f>HYPERLINK("https://pbs.twimg.com/media/EhVAOmdWoAAOQiY.jpg")</f>
        <v>https://pbs.twimg.com/media/EhVAOmdWoAAOQiY.jpg</v>
      </c>
      <c r="V16" s="87" t="str">
        <f>HYPERLINK("https://pbs.twimg.com/media/EhVAOmdWoAAOQiY.jpg")</f>
        <v>https://pbs.twimg.com/media/EhVAOmdWoAAOQiY.jpg</v>
      </c>
      <c r="W16" s="86">
        <v>44081.717465277776</v>
      </c>
      <c r="X16" s="90">
        <v>44081</v>
      </c>
      <c r="Y16" s="92" t="s">
        <v>644</v>
      </c>
      <c r="Z16" s="87" t="str">
        <f>HYPERLINK("https://twitter.com/technojeder/status/1303018482016157697")</f>
        <v>https://twitter.com/technojeder/status/1303018482016157697</v>
      </c>
      <c r="AA16" s="84"/>
      <c r="AB16" s="84"/>
      <c r="AC16" s="92" t="s">
        <v>1038</v>
      </c>
      <c r="AD16" s="84"/>
      <c r="AE16" s="84" t="b">
        <v>0</v>
      </c>
      <c r="AF16" s="84">
        <v>0</v>
      </c>
      <c r="AG16" s="92" t="s">
        <v>1453</v>
      </c>
      <c r="AH16" s="84" t="b">
        <v>0</v>
      </c>
      <c r="AI16" s="84" t="s">
        <v>1456</v>
      </c>
      <c r="AJ16" s="84"/>
      <c r="AK16" s="92" t="s">
        <v>1453</v>
      </c>
      <c r="AL16" s="84" t="b">
        <v>0</v>
      </c>
      <c r="AM16" s="84">
        <v>25</v>
      </c>
      <c r="AN16" s="92" t="s">
        <v>1248</v>
      </c>
      <c r="AO16" s="84" t="s">
        <v>1468</v>
      </c>
      <c r="AP16" s="84" t="b">
        <v>0</v>
      </c>
      <c r="AQ16" s="92" t="s">
        <v>1248</v>
      </c>
      <c r="AR16" s="84" t="s">
        <v>187</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49"/>
      <c r="BG16" s="50"/>
      <c r="BH16" s="49"/>
      <c r="BI16" s="50"/>
      <c r="BJ16" s="49"/>
      <c r="BK16" s="50"/>
      <c r="BL16" s="49"/>
      <c r="BM16" s="50"/>
      <c r="BN16" s="49"/>
    </row>
    <row r="17" spans="1:66" ht="15">
      <c r="A17" s="68" t="s">
        <v>230</v>
      </c>
      <c r="B17" s="68" t="s">
        <v>384</v>
      </c>
      <c r="C17" s="69" t="s">
        <v>5208</v>
      </c>
      <c r="D17" s="70">
        <v>1</v>
      </c>
      <c r="E17" s="71" t="s">
        <v>132</v>
      </c>
      <c r="F17" s="72">
        <v>32</v>
      </c>
      <c r="G17" s="69" t="s">
        <v>51</v>
      </c>
      <c r="H17" s="73"/>
      <c r="I17" s="74"/>
      <c r="J17" s="74"/>
      <c r="K17" s="35" t="s">
        <v>65</v>
      </c>
      <c r="L17" s="82">
        <v>17</v>
      </c>
      <c r="M17" s="82"/>
      <c r="N17" s="76"/>
      <c r="O17" s="84" t="s">
        <v>439</v>
      </c>
      <c r="P17" s="86">
        <v>44081.717465277776</v>
      </c>
      <c r="Q17" s="84" t="s">
        <v>448</v>
      </c>
      <c r="R17" s="87" t="str">
        <f>HYPERLINK("https://www.peoplematters.in/news/technology/job-searches-in-artificial-intelligence-rise-106-in-one-year-report-26898")</f>
        <v>https://www.peoplematters.in/news/technology/job-searches-in-artificial-intelligence-rise-106-in-one-year-report-26898</v>
      </c>
      <c r="S17" s="84" t="s">
        <v>532</v>
      </c>
      <c r="T17" s="84" t="s">
        <v>568</v>
      </c>
      <c r="U17" s="87" t="str">
        <f>HYPERLINK("https://pbs.twimg.com/media/EhVAOmdWoAAOQiY.jpg")</f>
        <v>https://pbs.twimg.com/media/EhVAOmdWoAAOQiY.jpg</v>
      </c>
      <c r="V17" s="87" t="str">
        <f>HYPERLINK("https://pbs.twimg.com/media/EhVAOmdWoAAOQiY.jpg")</f>
        <v>https://pbs.twimg.com/media/EhVAOmdWoAAOQiY.jpg</v>
      </c>
      <c r="W17" s="86">
        <v>44081.717465277776</v>
      </c>
      <c r="X17" s="90">
        <v>44081</v>
      </c>
      <c r="Y17" s="92" t="s">
        <v>644</v>
      </c>
      <c r="Z17" s="87" t="str">
        <f>HYPERLINK("https://twitter.com/technojeder/status/1303018482016157697")</f>
        <v>https://twitter.com/technojeder/status/1303018482016157697</v>
      </c>
      <c r="AA17" s="84"/>
      <c r="AB17" s="84"/>
      <c r="AC17" s="92" t="s">
        <v>1038</v>
      </c>
      <c r="AD17" s="84"/>
      <c r="AE17" s="84" t="b">
        <v>0</v>
      </c>
      <c r="AF17" s="84">
        <v>0</v>
      </c>
      <c r="AG17" s="92" t="s">
        <v>1453</v>
      </c>
      <c r="AH17" s="84" t="b">
        <v>0</v>
      </c>
      <c r="AI17" s="84" t="s">
        <v>1456</v>
      </c>
      <c r="AJ17" s="84"/>
      <c r="AK17" s="92" t="s">
        <v>1453</v>
      </c>
      <c r="AL17" s="84" t="b">
        <v>0</v>
      </c>
      <c r="AM17" s="84">
        <v>25</v>
      </c>
      <c r="AN17" s="92" t="s">
        <v>1248</v>
      </c>
      <c r="AO17" s="84" t="s">
        <v>1468</v>
      </c>
      <c r="AP17" s="84" t="b">
        <v>0</v>
      </c>
      <c r="AQ17" s="92" t="s">
        <v>1248</v>
      </c>
      <c r="AR17" s="84" t="s">
        <v>187</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49">
        <v>0</v>
      </c>
      <c r="BG17" s="50">
        <v>0</v>
      </c>
      <c r="BH17" s="49">
        <v>0</v>
      </c>
      <c r="BI17" s="50">
        <v>0</v>
      </c>
      <c r="BJ17" s="49">
        <v>0</v>
      </c>
      <c r="BK17" s="50">
        <v>0</v>
      </c>
      <c r="BL17" s="49">
        <v>28</v>
      </c>
      <c r="BM17" s="50">
        <v>100</v>
      </c>
      <c r="BN17" s="49">
        <v>28</v>
      </c>
    </row>
    <row r="18" spans="1:66" ht="15">
      <c r="A18" s="68" t="s">
        <v>231</v>
      </c>
      <c r="B18" s="68" t="s">
        <v>382</v>
      </c>
      <c r="C18" s="69" t="s">
        <v>5208</v>
      </c>
      <c r="D18" s="70">
        <v>1</v>
      </c>
      <c r="E18" s="71" t="s">
        <v>132</v>
      </c>
      <c r="F18" s="72">
        <v>32</v>
      </c>
      <c r="G18" s="69" t="s">
        <v>51</v>
      </c>
      <c r="H18" s="73"/>
      <c r="I18" s="74"/>
      <c r="J18" s="74"/>
      <c r="K18" s="35" t="s">
        <v>65</v>
      </c>
      <c r="L18" s="82">
        <v>18</v>
      </c>
      <c r="M18" s="82"/>
      <c r="N18" s="76"/>
      <c r="O18" s="84" t="s">
        <v>440</v>
      </c>
      <c r="P18" s="86">
        <v>44081.71784722222</v>
      </c>
      <c r="Q18" s="84" t="s">
        <v>448</v>
      </c>
      <c r="R18" s="87" t="str">
        <f>HYPERLINK("https://www.peoplematters.in/news/technology/job-searches-in-artificial-intelligence-rise-106-in-one-year-report-26898")</f>
        <v>https://www.peoplematters.in/news/technology/job-searches-in-artificial-intelligence-rise-106-in-one-year-report-26898</v>
      </c>
      <c r="S18" s="84" t="s">
        <v>532</v>
      </c>
      <c r="T18" s="84" t="s">
        <v>568</v>
      </c>
      <c r="U18" s="87" t="str">
        <f>HYPERLINK("https://pbs.twimg.com/media/EhVAOmdWoAAOQiY.jpg")</f>
        <v>https://pbs.twimg.com/media/EhVAOmdWoAAOQiY.jpg</v>
      </c>
      <c r="V18" s="87" t="str">
        <f>HYPERLINK("https://pbs.twimg.com/media/EhVAOmdWoAAOQiY.jpg")</f>
        <v>https://pbs.twimg.com/media/EhVAOmdWoAAOQiY.jpg</v>
      </c>
      <c r="W18" s="86">
        <v>44081.71784722222</v>
      </c>
      <c r="X18" s="90">
        <v>44081</v>
      </c>
      <c r="Y18" s="92" t="s">
        <v>645</v>
      </c>
      <c r="Z18" s="87" t="str">
        <f>HYPERLINK("https://twitter.com/bharatmehrotra9/status/1303018621271044096")</f>
        <v>https://twitter.com/bharatmehrotra9/status/1303018621271044096</v>
      </c>
      <c r="AA18" s="84"/>
      <c r="AB18" s="84"/>
      <c r="AC18" s="92" t="s">
        <v>1039</v>
      </c>
      <c r="AD18" s="84"/>
      <c r="AE18" s="84" t="b">
        <v>0</v>
      </c>
      <c r="AF18" s="84">
        <v>0</v>
      </c>
      <c r="AG18" s="92" t="s">
        <v>1453</v>
      </c>
      <c r="AH18" s="84" t="b">
        <v>0</v>
      </c>
      <c r="AI18" s="84" t="s">
        <v>1456</v>
      </c>
      <c r="AJ18" s="84"/>
      <c r="AK18" s="92" t="s">
        <v>1453</v>
      </c>
      <c r="AL18" s="84" t="b">
        <v>0</v>
      </c>
      <c r="AM18" s="84">
        <v>25</v>
      </c>
      <c r="AN18" s="92" t="s">
        <v>1248</v>
      </c>
      <c r="AO18" s="84" t="s">
        <v>1467</v>
      </c>
      <c r="AP18" s="84" t="b">
        <v>0</v>
      </c>
      <c r="AQ18" s="92" t="s">
        <v>1248</v>
      </c>
      <c r="AR18" s="84" t="s">
        <v>187</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49"/>
      <c r="BG18" s="50"/>
      <c r="BH18" s="49"/>
      <c r="BI18" s="50"/>
      <c r="BJ18" s="49"/>
      <c r="BK18" s="50"/>
      <c r="BL18" s="49"/>
      <c r="BM18" s="50"/>
      <c r="BN18" s="49"/>
    </row>
    <row r="19" spans="1:66" ht="15">
      <c r="A19" s="68" t="s">
        <v>231</v>
      </c>
      <c r="B19" s="68" t="s">
        <v>385</v>
      </c>
      <c r="C19" s="69" t="s">
        <v>5208</v>
      </c>
      <c r="D19" s="70">
        <v>1</v>
      </c>
      <c r="E19" s="71" t="s">
        <v>132</v>
      </c>
      <c r="F19" s="72">
        <v>32</v>
      </c>
      <c r="G19" s="69" t="s">
        <v>51</v>
      </c>
      <c r="H19" s="73"/>
      <c r="I19" s="74"/>
      <c r="J19" s="74"/>
      <c r="K19" s="35" t="s">
        <v>65</v>
      </c>
      <c r="L19" s="82">
        <v>19</v>
      </c>
      <c r="M19" s="82"/>
      <c r="N19" s="76"/>
      <c r="O19" s="84" t="s">
        <v>440</v>
      </c>
      <c r="P19" s="86">
        <v>44081.71784722222</v>
      </c>
      <c r="Q19" s="84" t="s">
        <v>448</v>
      </c>
      <c r="R19" s="87" t="str">
        <f>HYPERLINK("https://www.peoplematters.in/news/technology/job-searches-in-artificial-intelligence-rise-106-in-one-year-report-26898")</f>
        <v>https://www.peoplematters.in/news/technology/job-searches-in-artificial-intelligence-rise-106-in-one-year-report-26898</v>
      </c>
      <c r="S19" s="84" t="s">
        <v>532</v>
      </c>
      <c r="T19" s="84" t="s">
        <v>568</v>
      </c>
      <c r="U19" s="87" t="str">
        <f>HYPERLINK("https://pbs.twimg.com/media/EhVAOmdWoAAOQiY.jpg")</f>
        <v>https://pbs.twimg.com/media/EhVAOmdWoAAOQiY.jpg</v>
      </c>
      <c r="V19" s="87" t="str">
        <f>HYPERLINK("https://pbs.twimg.com/media/EhVAOmdWoAAOQiY.jpg")</f>
        <v>https://pbs.twimg.com/media/EhVAOmdWoAAOQiY.jpg</v>
      </c>
      <c r="W19" s="86">
        <v>44081.71784722222</v>
      </c>
      <c r="X19" s="90">
        <v>44081</v>
      </c>
      <c r="Y19" s="92" t="s">
        <v>645</v>
      </c>
      <c r="Z19" s="87" t="str">
        <f>HYPERLINK("https://twitter.com/bharatmehrotra9/status/1303018621271044096")</f>
        <v>https://twitter.com/bharatmehrotra9/status/1303018621271044096</v>
      </c>
      <c r="AA19" s="84"/>
      <c r="AB19" s="84"/>
      <c r="AC19" s="92" t="s">
        <v>1039</v>
      </c>
      <c r="AD19" s="84"/>
      <c r="AE19" s="84" t="b">
        <v>0</v>
      </c>
      <c r="AF19" s="84">
        <v>0</v>
      </c>
      <c r="AG19" s="92" t="s">
        <v>1453</v>
      </c>
      <c r="AH19" s="84" t="b">
        <v>0</v>
      </c>
      <c r="AI19" s="84" t="s">
        <v>1456</v>
      </c>
      <c r="AJ19" s="84"/>
      <c r="AK19" s="92" t="s">
        <v>1453</v>
      </c>
      <c r="AL19" s="84" t="b">
        <v>0</v>
      </c>
      <c r="AM19" s="84">
        <v>25</v>
      </c>
      <c r="AN19" s="92" t="s">
        <v>1248</v>
      </c>
      <c r="AO19" s="84" t="s">
        <v>1467</v>
      </c>
      <c r="AP19" s="84" t="b">
        <v>0</v>
      </c>
      <c r="AQ19" s="92" t="s">
        <v>1248</v>
      </c>
      <c r="AR19" s="84" t="s">
        <v>187</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49"/>
      <c r="BG19" s="50"/>
      <c r="BH19" s="49"/>
      <c r="BI19" s="50"/>
      <c r="BJ19" s="49"/>
      <c r="BK19" s="50"/>
      <c r="BL19" s="49"/>
      <c r="BM19" s="50"/>
      <c r="BN19" s="49"/>
    </row>
    <row r="20" spans="1:66" ht="15">
      <c r="A20" s="68" t="s">
        <v>231</v>
      </c>
      <c r="B20" s="68" t="s">
        <v>430</v>
      </c>
      <c r="C20" s="69" t="s">
        <v>5208</v>
      </c>
      <c r="D20" s="70">
        <v>1</v>
      </c>
      <c r="E20" s="71" t="s">
        <v>132</v>
      </c>
      <c r="F20" s="72">
        <v>32</v>
      </c>
      <c r="G20" s="69" t="s">
        <v>51</v>
      </c>
      <c r="H20" s="73"/>
      <c r="I20" s="74"/>
      <c r="J20" s="74"/>
      <c r="K20" s="35" t="s">
        <v>65</v>
      </c>
      <c r="L20" s="82">
        <v>20</v>
      </c>
      <c r="M20" s="82"/>
      <c r="N20" s="76"/>
      <c r="O20" s="84" t="s">
        <v>440</v>
      </c>
      <c r="P20" s="86">
        <v>44081.71784722222</v>
      </c>
      <c r="Q20" s="84" t="s">
        <v>448</v>
      </c>
      <c r="R20" s="87" t="str">
        <f>HYPERLINK("https://www.peoplematters.in/news/technology/job-searches-in-artificial-intelligence-rise-106-in-one-year-report-26898")</f>
        <v>https://www.peoplematters.in/news/technology/job-searches-in-artificial-intelligence-rise-106-in-one-year-report-26898</v>
      </c>
      <c r="S20" s="84" t="s">
        <v>532</v>
      </c>
      <c r="T20" s="84" t="s">
        <v>568</v>
      </c>
      <c r="U20" s="87" t="str">
        <f>HYPERLINK("https://pbs.twimg.com/media/EhVAOmdWoAAOQiY.jpg")</f>
        <v>https://pbs.twimg.com/media/EhVAOmdWoAAOQiY.jpg</v>
      </c>
      <c r="V20" s="87" t="str">
        <f>HYPERLINK("https://pbs.twimg.com/media/EhVAOmdWoAAOQiY.jpg")</f>
        <v>https://pbs.twimg.com/media/EhVAOmdWoAAOQiY.jpg</v>
      </c>
      <c r="W20" s="86">
        <v>44081.71784722222</v>
      </c>
      <c r="X20" s="90">
        <v>44081</v>
      </c>
      <c r="Y20" s="92" t="s">
        <v>645</v>
      </c>
      <c r="Z20" s="87" t="str">
        <f>HYPERLINK("https://twitter.com/bharatmehrotra9/status/1303018621271044096")</f>
        <v>https://twitter.com/bharatmehrotra9/status/1303018621271044096</v>
      </c>
      <c r="AA20" s="84"/>
      <c r="AB20" s="84"/>
      <c r="AC20" s="92" t="s">
        <v>1039</v>
      </c>
      <c r="AD20" s="84"/>
      <c r="AE20" s="84" t="b">
        <v>0</v>
      </c>
      <c r="AF20" s="84">
        <v>0</v>
      </c>
      <c r="AG20" s="92" t="s">
        <v>1453</v>
      </c>
      <c r="AH20" s="84" t="b">
        <v>0</v>
      </c>
      <c r="AI20" s="84" t="s">
        <v>1456</v>
      </c>
      <c r="AJ20" s="84"/>
      <c r="AK20" s="92" t="s">
        <v>1453</v>
      </c>
      <c r="AL20" s="84" t="b">
        <v>0</v>
      </c>
      <c r="AM20" s="84">
        <v>25</v>
      </c>
      <c r="AN20" s="92" t="s">
        <v>1248</v>
      </c>
      <c r="AO20" s="84" t="s">
        <v>1467</v>
      </c>
      <c r="AP20" s="84" t="b">
        <v>0</v>
      </c>
      <c r="AQ20" s="92" t="s">
        <v>1248</v>
      </c>
      <c r="AR20" s="84" t="s">
        <v>187</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49"/>
      <c r="BG20" s="50"/>
      <c r="BH20" s="49"/>
      <c r="BI20" s="50"/>
      <c r="BJ20" s="49"/>
      <c r="BK20" s="50"/>
      <c r="BL20" s="49"/>
      <c r="BM20" s="50"/>
      <c r="BN20" s="49"/>
    </row>
    <row r="21" spans="1:66" ht="15">
      <c r="A21" s="68" t="s">
        <v>231</v>
      </c>
      <c r="B21" s="68" t="s">
        <v>383</v>
      </c>
      <c r="C21" s="69" t="s">
        <v>5208</v>
      </c>
      <c r="D21" s="70">
        <v>1</v>
      </c>
      <c r="E21" s="71" t="s">
        <v>132</v>
      </c>
      <c r="F21" s="72">
        <v>32</v>
      </c>
      <c r="G21" s="69" t="s">
        <v>51</v>
      </c>
      <c r="H21" s="73"/>
      <c r="I21" s="74"/>
      <c r="J21" s="74"/>
      <c r="K21" s="35" t="s">
        <v>65</v>
      </c>
      <c r="L21" s="82">
        <v>21</v>
      </c>
      <c r="M21" s="82"/>
      <c r="N21" s="76"/>
      <c r="O21" s="84" t="s">
        <v>440</v>
      </c>
      <c r="P21" s="86">
        <v>44081.71784722222</v>
      </c>
      <c r="Q21" s="84" t="s">
        <v>448</v>
      </c>
      <c r="R21" s="87" t="str">
        <f>HYPERLINK("https://www.peoplematters.in/news/technology/job-searches-in-artificial-intelligence-rise-106-in-one-year-report-26898")</f>
        <v>https://www.peoplematters.in/news/technology/job-searches-in-artificial-intelligence-rise-106-in-one-year-report-26898</v>
      </c>
      <c r="S21" s="84" t="s">
        <v>532</v>
      </c>
      <c r="T21" s="84" t="s">
        <v>568</v>
      </c>
      <c r="U21" s="87" t="str">
        <f>HYPERLINK("https://pbs.twimg.com/media/EhVAOmdWoAAOQiY.jpg")</f>
        <v>https://pbs.twimg.com/media/EhVAOmdWoAAOQiY.jpg</v>
      </c>
      <c r="V21" s="87" t="str">
        <f>HYPERLINK("https://pbs.twimg.com/media/EhVAOmdWoAAOQiY.jpg")</f>
        <v>https://pbs.twimg.com/media/EhVAOmdWoAAOQiY.jpg</v>
      </c>
      <c r="W21" s="86">
        <v>44081.71784722222</v>
      </c>
      <c r="X21" s="90">
        <v>44081</v>
      </c>
      <c r="Y21" s="92" t="s">
        <v>645</v>
      </c>
      <c r="Z21" s="87" t="str">
        <f>HYPERLINK("https://twitter.com/bharatmehrotra9/status/1303018621271044096")</f>
        <v>https://twitter.com/bharatmehrotra9/status/1303018621271044096</v>
      </c>
      <c r="AA21" s="84"/>
      <c r="AB21" s="84"/>
      <c r="AC21" s="92" t="s">
        <v>1039</v>
      </c>
      <c r="AD21" s="84"/>
      <c r="AE21" s="84" t="b">
        <v>0</v>
      </c>
      <c r="AF21" s="84">
        <v>0</v>
      </c>
      <c r="AG21" s="92" t="s">
        <v>1453</v>
      </c>
      <c r="AH21" s="84" t="b">
        <v>0</v>
      </c>
      <c r="AI21" s="84" t="s">
        <v>1456</v>
      </c>
      <c r="AJ21" s="84"/>
      <c r="AK21" s="92" t="s">
        <v>1453</v>
      </c>
      <c r="AL21" s="84" t="b">
        <v>0</v>
      </c>
      <c r="AM21" s="84">
        <v>25</v>
      </c>
      <c r="AN21" s="92" t="s">
        <v>1248</v>
      </c>
      <c r="AO21" s="84" t="s">
        <v>1467</v>
      </c>
      <c r="AP21" s="84" t="b">
        <v>0</v>
      </c>
      <c r="AQ21" s="92" t="s">
        <v>1248</v>
      </c>
      <c r="AR21" s="84" t="s">
        <v>187</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49"/>
      <c r="BG21" s="50"/>
      <c r="BH21" s="49"/>
      <c r="BI21" s="50"/>
      <c r="BJ21" s="49"/>
      <c r="BK21" s="50"/>
      <c r="BL21" s="49"/>
      <c r="BM21" s="50"/>
      <c r="BN21" s="49"/>
    </row>
    <row r="22" spans="1:66" ht="15">
      <c r="A22" s="68" t="s">
        <v>231</v>
      </c>
      <c r="B22" s="68" t="s">
        <v>380</v>
      </c>
      <c r="C22" s="69" t="s">
        <v>5208</v>
      </c>
      <c r="D22" s="70">
        <v>1</v>
      </c>
      <c r="E22" s="71" t="s">
        <v>132</v>
      </c>
      <c r="F22" s="72">
        <v>32</v>
      </c>
      <c r="G22" s="69" t="s">
        <v>51</v>
      </c>
      <c r="H22" s="73"/>
      <c r="I22" s="74"/>
      <c r="J22" s="74"/>
      <c r="K22" s="35" t="s">
        <v>65</v>
      </c>
      <c r="L22" s="82">
        <v>22</v>
      </c>
      <c r="M22" s="82"/>
      <c r="N22" s="76"/>
      <c r="O22" s="84" t="s">
        <v>440</v>
      </c>
      <c r="P22" s="86">
        <v>44081.71784722222</v>
      </c>
      <c r="Q22" s="84" t="s">
        <v>448</v>
      </c>
      <c r="R22" s="87" t="str">
        <f>HYPERLINK("https://www.peoplematters.in/news/technology/job-searches-in-artificial-intelligence-rise-106-in-one-year-report-26898")</f>
        <v>https://www.peoplematters.in/news/technology/job-searches-in-artificial-intelligence-rise-106-in-one-year-report-26898</v>
      </c>
      <c r="S22" s="84" t="s">
        <v>532</v>
      </c>
      <c r="T22" s="84" t="s">
        <v>568</v>
      </c>
      <c r="U22" s="87" t="str">
        <f>HYPERLINK("https://pbs.twimg.com/media/EhVAOmdWoAAOQiY.jpg")</f>
        <v>https://pbs.twimg.com/media/EhVAOmdWoAAOQiY.jpg</v>
      </c>
      <c r="V22" s="87" t="str">
        <f>HYPERLINK("https://pbs.twimg.com/media/EhVAOmdWoAAOQiY.jpg")</f>
        <v>https://pbs.twimg.com/media/EhVAOmdWoAAOQiY.jpg</v>
      </c>
      <c r="W22" s="86">
        <v>44081.71784722222</v>
      </c>
      <c r="X22" s="90">
        <v>44081</v>
      </c>
      <c r="Y22" s="92" t="s">
        <v>645</v>
      </c>
      <c r="Z22" s="87" t="str">
        <f>HYPERLINK("https://twitter.com/bharatmehrotra9/status/1303018621271044096")</f>
        <v>https://twitter.com/bharatmehrotra9/status/1303018621271044096</v>
      </c>
      <c r="AA22" s="84"/>
      <c r="AB22" s="84"/>
      <c r="AC22" s="92" t="s">
        <v>1039</v>
      </c>
      <c r="AD22" s="84"/>
      <c r="AE22" s="84" t="b">
        <v>0</v>
      </c>
      <c r="AF22" s="84">
        <v>0</v>
      </c>
      <c r="AG22" s="92" t="s">
        <v>1453</v>
      </c>
      <c r="AH22" s="84" t="b">
        <v>0</v>
      </c>
      <c r="AI22" s="84" t="s">
        <v>1456</v>
      </c>
      <c r="AJ22" s="84"/>
      <c r="AK22" s="92" t="s">
        <v>1453</v>
      </c>
      <c r="AL22" s="84" t="b">
        <v>0</v>
      </c>
      <c r="AM22" s="84">
        <v>25</v>
      </c>
      <c r="AN22" s="92" t="s">
        <v>1248</v>
      </c>
      <c r="AO22" s="84" t="s">
        <v>1467</v>
      </c>
      <c r="AP22" s="84" t="b">
        <v>0</v>
      </c>
      <c r="AQ22" s="92" t="s">
        <v>1248</v>
      </c>
      <c r="AR22" s="84" t="s">
        <v>187</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49"/>
      <c r="BG22" s="50"/>
      <c r="BH22" s="49"/>
      <c r="BI22" s="50"/>
      <c r="BJ22" s="49"/>
      <c r="BK22" s="50"/>
      <c r="BL22" s="49"/>
      <c r="BM22" s="50"/>
      <c r="BN22" s="49"/>
    </row>
    <row r="23" spans="1:66" ht="15">
      <c r="A23" s="68" t="s">
        <v>231</v>
      </c>
      <c r="B23" s="68" t="s">
        <v>381</v>
      </c>
      <c r="C23" s="69" t="s">
        <v>5208</v>
      </c>
      <c r="D23" s="70">
        <v>1</v>
      </c>
      <c r="E23" s="71" t="s">
        <v>132</v>
      </c>
      <c r="F23" s="72">
        <v>32</v>
      </c>
      <c r="G23" s="69" t="s">
        <v>51</v>
      </c>
      <c r="H23" s="73"/>
      <c r="I23" s="74"/>
      <c r="J23" s="74"/>
      <c r="K23" s="35" t="s">
        <v>65</v>
      </c>
      <c r="L23" s="82">
        <v>23</v>
      </c>
      <c r="M23" s="82"/>
      <c r="N23" s="76"/>
      <c r="O23" s="84" t="s">
        <v>440</v>
      </c>
      <c r="P23" s="86">
        <v>44081.71784722222</v>
      </c>
      <c r="Q23" s="84" t="s">
        <v>448</v>
      </c>
      <c r="R23" s="87" t="str">
        <f>HYPERLINK("https://www.peoplematters.in/news/technology/job-searches-in-artificial-intelligence-rise-106-in-one-year-report-26898")</f>
        <v>https://www.peoplematters.in/news/technology/job-searches-in-artificial-intelligence-rise-106-in-one-year-report-26898</v>
      </c>
      <c r="S23" s="84" t="s">
        <v>532</v>
      </c>
      <c r="T23" s="84" t="s">
        <v>568</v>
      </c>
      <c r="U23" s="87" t="str">
        <f>HYPERLINK("https://pbs.twimg.com/media/EhVAOmdWoAAOQiY.jpg")</f>
        <v>https://pbs.twimg.com/media/EhVAOmdWoAAOQiY.jpg</v>
      </c>
      <c r="V23" s="87" t="str">
        <f>HYPERLINK("https://pbs.twimg.com/media/EhVAOmdWoAAOQiY.jpg")</f>
        <v>https://pbs.twimg.com/media/EhVAOmdWoAAOQiY.jpg</v>
      </c>
      <c r="W23" s="86">
        <v>44081.71784722222</v>
      </c>
      <c r="X23" s="90">
        <v>44081</v>
      </c>
      <c r="Y23" s="92" t="s">
        <v>645</v>
      </c>
      <c r="Z23" s="87" t="str">
        <f>HYPERLINK("https://twitter.com/bharatmehrotra9/status/1303018621271044096")</f>
        <v>https://twitter.com/bharatmehrotra9/status/1303018621271044096</v>
      </c>
      <c r="AA23" s="84"/>
      <c r="AB23" s="84"/>
      <c r="AC23" s="92" t="s">
        <v>1039</v>
      </c>
      <c r="AD23" s="84"/>
      <c r="AE23" s="84" t="b">
        <v>0</v>
      </c>
      <c r="AF23" s="84">
        <v>0</v>
      </c>
      <c r="AG23" s="92" t="s">
        <v>1453</v>
      </c>
      <c r="AH23" s="84" t="b">
        <v>0</v>
      </c>
      <c r="AI23" s="84" t="s">
        <v>1456</v>
      </c>
      <c r="AJ23" s="84"/>
      <c r="AK23" s="92" t="s">
        <v>1453</v>
      </c>
      <c r="AL23" s="84" t="b">
        <v>0</v>
      </c>
      <c r="AM23" s="84">
        <v>25</v>
      </c>
      <c r="AN23" s="92" t="s">
        <v>1248</v>
      </c>
      <c r="AO23" s="84" t="s">
        <v>1467</v>
      </c>
      <c r="AP23" s="84" t="b">
        <v>0</v>
      </c>
      <c r="AQ23" s="92" t="s">
        <v>1248</v>
      </c>
      <c r="AR23" s="84" t="s">
        <v>187</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49"/>
      <c r="BG23" s="50"/>
      <c r="BH23" s="49"/>
      <c r="BI23" s="50"/>
      <c r="BJ23" s="49"/>
      <c r="BK23" s="50"/>
      <c r="BL23" s="49"/>
      <c r="BM23" s="50"/>
      <c r="BN23" s="49"/>
    </row>
    <row r="24" spans="1:66" ht="15">
      <c r="A24" s="68" t="s">
        <v>231</v>
      </c>
      <c r="B24" s="68" t="s">
        <v>431</v>
      </c>
      <c r="C24" s="69" t="s">
        <v>5208</v>
      </c>
      <c r="D24" s="70">
        <v>1</v>
      </c>
      <c r="E24" s="71" t="s">
        <v>132</v>
      </c>
      <c r="F24" s="72">
        <v>32</v>
      </c>
      <c r="G24" s="69" t="s">
        <v>51</v>
      </c>
      <c r="H24" s="73"/>
      <c r="I24" s="74"/>
      <c r="J24" s="74"/>
      <c r="K24" s="35" t="s">
        <v>65</v>
      </c>
      <c r="L24" s="82">
        <v>24</v>
      </c>
      <c r="M24" s="82"/>
      <c r="N24" s="76"/>
      <c r="O24" s="84" t="s">
        <v>440</v>
      </c>
      <c r="P24" s="86">
        <v>44081.71784722222</v>
      </c>
      <c r="Q24" s="84" t="s">
        <v>448</v>
      </c>
      <c r="R24" s="87" t="str">
        <f>HYPERLINK("https://www.peoplematters.in/news/technology/job-searches-in-artificial-intelligence-rise-106-in-one-year-report-26898")</f>
        <v>https://www.peoplematters.in/news/technology/job-searches-in-artificial-intelligence-rise-106-in-one-year-report-26898</v>
      </c>
      <c r="S24" s="84" t="s">
        <v>532</v>
      </c>
      <c r="T24" s="84" t="s">
        <v>568</v>
      </c>
      <c r="U24" s="87" t="str">
        <f>HYPERLINK("https://pbs.twimg.com/media/EhVAOmdWoAAOQiY.jpg")</f>
        <v>https://pbs.twimg.com/media/EhVAOmdWoAAOQiY.jpg</v>
      </c>
      <c r="V24" s="87" t="str">
        <f>HYPERLINK("https://pbs.twimg.com/media/EhVAOmdWoAAOQiY.jpg")</f>
        <v>https://pbs.twimg.com/media/EhVAOmdWoAAOQiY.jpg</v>
      </c>
      <c r="W24" s="86">
        <v>44081.71784722222</v>
      </c>
      <c r="X24" s="90">
        <v>44081</v>
      </c>
      <c r="Y24" s="92" t="s">
        <v>645</v>
      </c>
      <c r="Z24" s="87" t="str">
        <f>HYPERLINK("https://twitter.com/bharatmehrotra9/status/1303018621271044096")</f>
        <v>https://twitter.com/bharatmehrotra9/status/1303018621271044096</v>
      </c>
      <c r="AA24" s="84"/>
      <c r="AB24" s="84"/>
      <c r="AC24" s="92" t="s">
        <v>1039</v>
      </c>
      <c r="AD24" s="84"/>
      <c r="AE24" s="84" t="b">
        <v>0</v>
      </c>
      <c r="AF24" s="84">
        <v>0</v>
      </c>
      <c r="AG24" s="92" t="s">
        <v>1453</v>
      </c>
      <c r="AH24" s="84" t="b">
        <v>0</v>
      </c>
      <c r="AI24" s="84" t="s">
        <v>1456</v>
      </c>
      <c r="AJ24" s="84"/>
      <c r="AK24" s="92" t="s">
        <v>1453</v>
      </c>
      <c r="AL24" s="84" t="b">
        <v>0</v>
      </c>
      <c r="AM24" s="84">
        <v>25</v>
      </c>
      <c r="AN24" s="92" t="s">
        <v>1248</v>
      </c>
      <c r="AO24" s="84" t="s">
        <v>1467</v>
      </c>
      <c r="AP24" s="84" t="b">
        <v>0</v>
      </c>
      <c r="AQ24" s="92" t="s">
        <v>1248</v>
      </c>
      <c r="AR24" s="84" t="s">
        <v>187</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49"/>
      <c r="BG24" s="50"/>
      <c r="BH24" s="49"/>
      <c r="BI24" s="50"/>
      <c r="BJ24" s="49"/>
      <c r="BK24" s="50"/>
      <c r="BL24" s="49"/>
      <c r="BM24" s="50"/>
      <c r="BN24" s="49"/>
    </row>
    <row r="25" spans="1:66" ht="15">
      <c r="A25" s="68" t="s">
        <v>231</v>
      </c>
      <c r="B25" s="68" t="s">
        <v>432</v>
      </c>
      <c r="C25" s="69" t="s">
        <v>5208</v>
      </c>
      <c r="D25" s="70">
        <v>1</v>
      </c>
      <c r="E25" s="71" t="s">
        <v>132</v>
      </c>
      <c r="F25" s="72">
        <v>32</v>
      </c>
      <c r="G25" s="69" t="s">
        <v>51</v>
      </c>
      <c r="H25" s="73"/>
      <c r="I25" s="74"/>
      <c r="J25" s="74"/>
      <c r="K25" s="35" t="s">
        <v>65</v>
      </c>
      <c r="L25" s="82">
        <v>25</v>
      </c>
      <c r="M25" s="82"/>
      <c r="N25" s="76"/>
      <c r="O25" s="84" t="s">
        <v>440</v>
      </c>
      <c r="P25" s="86">
        <v>44081.71784722222</v>
      </c>
      <c r="Q25" s="84" t="s">
        <v>448</v>
      </c>
      <c r="R25" s="87" t="str">
        <f>HYPERLINK("https://www.peoplematters.in/news/technology/job-searches-in-artificial-intelligence-rise-106-in-one-year-report-26898")</f>
        <v>https://www.peoplematters.in/news/technology/job-searches-in-artificial-intelligence-rise-106-in-one-year-report-26898</v>
      </c>
      <c r="S25" s="84" t="s">
        <v>532</v>
      </c>
      <c r="T25" s="84" t="s">
        <v>568</v>
      </c>
      <c r="U25" s="87" t="str">
        <f>HYPERLINK("https://pbs.twimg.com/media/EhVAOmdWoAAOQiY.jpg")</f>
        <v>https://pbs.twimg.com/media/EhVAOmdWoAAOQiY.jpg</v>
      </c>
      <c r="V25" s="87" t="str">
        <f>HYPERLINK("https://pbs.twimg.com/media/EhVAOmdWoAAOQiY.jpg")</f>
        <v>https://pbs.twimg.com/media/EhVAOmdWoAAOQiY.jpg</v>
      </c>
      <c r="W25" s="86">
        <v>44081.71784722222</v>
      </c>
      <c r="X25" s="90">
        <v>44081</v>
      </c>
      <c r="Y25" s="92" t="s">
        <v>645</v>
      </c>
      <c r="Z25" s="87" t="str">
        <f>HYPERLINK("https://twitter.com/bharatmehrotra9/status/1303018621271044096")</f>
        <v>https://twitter.com/bharatmehrotra9/status/1303018621271044096</v>
      </c>
      <c r="AA25" s="84"/>
      <c r="AB25" s="84"/>
      <c r="AC25" s="92" t="s">
        <v>1039</v>
      </c>
      <c r="AD25" s="84"/>
      <c r="AE25" s="84" t="b">
        <v>0</v>
      </c>
      <c r="AF25" s="84">
        <v>0</v>
      </c>
      <c r="AG25" s="92" t="s">
        <v>1453</v>
      </c>
      <c r="AH25" s="84" t="b">
        <v>0</v>
      </c>
      <c r="AI25" s="84" t="s">
        <v>1456</v>
      </c>
      <c r="AJ25" s="84"/>
      <c r="AK25" s="92" t="s">
        <v>1453</v>
      </c>
      <c r="AL25" s="84" t="b">
        <v>0</v>
      </c>
      <c r="AM25" s="84">
        <v>25</v>
      </c>
      <c r="AN25" s="92" t="s">
        <v>1248</v>
      </c>
      <c r="AO25" s="84" t="s">
        <v>1467</v>
      </c>
      <c r="AP25" s="84" t="b">
        <v>0</v>
      </c>
      <c r="AQ25" s="92" t="s">
        <v>1248</v>
      </c>
      <c r="AR25" s="84" t="s">
        <v>187</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49"/>
      <c r="BG25" s="50"/>
      <c r="BH25" s="49"/>
      <c r="BI25" s="50"/>
      <c r="BJ25" s="49"/>
      <c r="BK25" s="50"/>
      <c r="BL25" s="49"/>
      <c r="BM25" s="50"/>
      <c r="BN25" s="49"/>
    </row>
    <row r="26" spans="1:66" ht="15">
      <c r="A26" s="68" t="s">
        <v>231</v>
      </c>
      <c r="B26" s="68" t="s">
        <v>384</v>
      </c>
      <c r="C26" s="69" t="s">
        <v>5208</v>
      </c>
      <c r="D26" s="70">
        <v>1</v>
      </c>
      <c r="E26" s="71" t="s">
        <v>132</v>
      </c>
      <c r="F26" s="72">
        <v>32</v>
      </c>
      <c r="G26" s="69" t="s">
        <v>51</v>
      </c>
      <c r="H26" s="73"/>
      <c r="I26" s="74"/>
      <c r="J26" s="74"/>
      <c r="K26" s="35" t="s">
        <v>65</v>
      </c>
      <c r="L26" s="82">
        <v>26</v>
      </c>
      <c r="M26" s="82"/>
      <c r="N26" s="76"/>
      <c r="O26" s="84" t="s">
        <v>439</v>
      </c>
      <c r="P26" s="86">
        <v>44081.71784722222</v>
      </c>
      <c r="Q26" s="84" t="s">
        <v>448</v>
      </c>
      <c r="R26" s="87" t="str">
        <f>HYPERLINK("https://www.peoplematters.in/news/technology/job-searches-in-artificial-intelligence-rise-106-in-one-year-report-26898")</f>
        <v>https://www.peoplematters.in/news/technology/job-searches-in-artificial-intelligence-rise-106-in-one-year-report-26898</v>
      </c>
      <c r="S26" s="84" t="s">
        <v>532</v>
      </c>
      <c r="T26" s="84" t="s">
        <v>568</v>
      </c>
      <c r="U26" s="87" t="str">
        <f>HYPERLINK("https://pbs.twimg.com/media/EhVAOmdWoAAOQiY.jpg")</f>
        <v>https://pbs.twimg.com/media/EhVAOmdWoAAOQiY.jpg</v>
      </c>
      <c r="V26" s="87" t="str">
        <f>HYPERLINK("https://pbs.twimg.com/media/EhVAOmdWoAAOQiY.jpg")</f>
        <v>https://pbs.twimg.com/media/EhVAOmdWoAAOQiY.jpg</v>
      </c>
      <c r="W26" s="86">
        <v>44081.71784722222</v>
      </c>
      <c r="X26" s="90">
        <v>44081</v>
      </c>
      <c r="Y26" s="92" t="s">
        <v>645</v>
      </c>
      <c r="Z26" s="87" t="str">
        <f>HYPERLINK("https://twitter.com/bharatmehrotra9/status/1303018621271044096")</f>
        <v>https://twitter.com/bharatmehrotra9/status/1303018621271044096</v>
      </c>
      <c r="AA26" s="84"/>
      <c r="AB26" s="84"/>
      <c r="AC26" s="92" t="s">
        <v>1039</v>
      </c>
      <c r="AD26" s="84"/>
      <c r="AE26" s="84" t="b">
        <v>0</v>
      </c>
      <c r="AF26" s="84">
        <v>0</v>
      </c>
      <c r="AG26" s="92" t="s">
        <v>1453</v>
      </c>
      <c r="AH26" s="84" t="b">
        <v>0</v>
      </c>
      <c r="AI26" s="84" t="s">
        <v>1456</v>
      </c>
      <c r="AJ26" s="84"/>
      <c r="AK26" s="92" t="s">
        <v>1453</v>
      </c>
      <c r="AL26" s="84" t="b">
        <v>0</v>
      </c>
      <c r="AM26" s="84">
        <v>25</v>
      </c>
      <c r="AN26" s="92" t="s">
        <v>1248</v>
      </c>
      <c r="AO26" s="84" t="s">
        <v>1467</v>
      </c>
      <c r="AP26" s="84" t="b">
        <v>0</v>
      </c>
      <c r="AQ26" s="92" t="s">
        <v>1248</v>
      </c>
      <c r="AR26" s="84" t="s">
        <v>187</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49">
        <v>0</v>
      </c>
      <c r="BG26" s="50">
        <v>0</v>
      </c>
      <c r="BH26" s="49">
        <v>0</v>
      </c>
      <c r="BI26" s="50">
        <v>0</v>
      </c>
      <c r="BJ26" s="49">
        <v>0</v>
      </c>
      <c r="BK26" s="50">
        <v>0</v>
      </c>
      <c r="BL26" s="49">
        <v>28</v>
      </c>
      <c r="BM26" s="50">
        <v>100</v>
      </c>
      <c r="BN26" s="49">
        <v>28</v>
      </c>
    </row>
    <row r="27" spans="1:66" ht="15">
      <c r="A27" s="68" t="s">
        <v>232</v>
      </c>
      <c r="B27" s="68" t="s">
        <v>382</v>
      </c>
      <c r="C27" s="69" t="s">
        <v>5208</v>
      </c>
      <c r="D27" s="70">
        <v>1</v>
      </c>
      <c r="E27" s="71" t="s">
        <v>132</v>
      </c>
      <c r="F27" s="72">
        <v>32</v>
      </c>
      <c r="G27" s="69" t="s">
        <v>51</v>
      </c>
      <c r="H27" s="73"/>
      <c r="I27" s="74"/>
      <c r="J27" s="74"/>
      <c r="K27" s="35" t="s">
        <v>65</v>
      </c>
      <c r="L27" s="82">
        <v>27</v>
      </c>
      <c r="M27" s="82"/>
      <c r="N27" s="76"/>
      <c r="O27" s="84" t="s">
        <v>440</v>
      </c>
      <c r="P27" s="86">
        <v>44081.71796296296</v>
      </c>
      <c r="Q27" s="84" t="s">
        <v>448</v>
      </c>
      <c r="R27" s="87" t="str">
        <f>HYPERLINK("https://www.peoplematters.in/news/technology/job-searches-in-artificial-intelligence-rise-106-in-one-year-report-26898")</f>
        <v>https://www.peoplematters.in/news/technology/job-searches-in-artificial-intelligence-rise-106-in-one-year-report-26898</v>
      </c>
      <c r="S27" s="84" t="s">
        <v>532</v>
      </c>
      <c r="T27" s="84" t="s">
        <v>568</v>
      </c>
      <c r="U27" s="87" t="str">
        <f>HYPERLINK("https://pbs.twimg.com/media/EhVAOmdWoAAOQiY.jpg")</f>
        <v>https://pbs.twimg.com/media/EhVAOmdWoAAOQiY.jpg</v>
      </c>
      <c r="V27" s="87" t="str">
        <f>HYPERLINK("https://pbs.twimg.com/media/EhVAOmdWoAAOQiY.jpg")</f>
        <v>https://pbs.twimg.com/media/EhVAOmdWoAAOQiY.jpg</v>
      </c>
      <c r="W27" s="86">
        <v>44081.71796296296</v>
      </c>
      <c r="X27" s="90">
        <v>44081</v>
      </c>
      <c r="Y27" s="92" t="s">
        <v>646</v>
      </c>
      <c r="Z27" s="87" t="str">
        <f>HYPERLINK("https://twitter.com/pvynckier/status/1303018661582704641")</f>
        <v>https://twitter.com/pvynckier/status/1303018661582704641</v>
      </c>
      <c r="AA27" s="84"/>
      <c r="AB27" s="84"/>
      <c r="AC27" s="92" t="s">
        <v>1040</v>
      </c>
      <c r="AD27" s="84"/>
      <c r="AE27" s="84" t="b">
        <v>0</v>
      </c>
      <c r="AF27" s="84">
        <v>0</v>
      </c>
      <c r="AG27" s="92" t="s">
        <v>1453</v>
      </c>
      <c r="AH27" s="84" t="b">
        <v>0</v>
      </c>
      <c r="AI27" s="84" t="s">
        <v>1456</v>
      </c>
      <c r="AJ27" s="84"/>
      <c r="AK27" s="92" t="s">
        <v>1453</v>
      </c>
      <c r="AL27" s="84" t="b">
        <v>0</v>
      </c>
      <c r="AM27" s="84">
        <v>25</v>
      </c>
      <c r="AN27" s="92" t="s">
        <v>1248</v>
      </c>
      <c r="AO27" s="84" t="s">
        <v>1465</v>
      </c>
      <c r="AP27" s="84" t="b">
        <v>0</v>
      </c>
      <c r="AQ27" s="92" t="s">
        <v>1248</v>
      </c>
      <c r="AR27" s="84" t="s">
        <v>187</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49"/>
      <c r="BG27" s="50"/>
      <c r="BH27" s="49"/>
      <c r="BI27" s="50"/>
      <c r="BJ27" s="49"/>
      <c r="BK27" s="50"/>
      <c r="BL27" s="49"/>
      <c r="BM27" s="50"/>
      <c r="BN27" s="49"/>
    </row>
    <row r="28" spans="1:66" ht="15">
      <c r="A28" s="68" t="s">
        <v>232</v>
      </c>
      <c r="B28" s="68" t="s">
        <v>385</v>
      </c>
      <c r="C28" s="69" t="s">
        <v>5208</v>
      </c>
      <c r="D28" s="70">
        <v>1</v>
      </c>
      <c r="E28" s="71" t="s">
        <v>132</v>
      </c>
      <c r="F28" s="72">
        <v>32</v>
      </c>
      <c r="G28" s="69" t="s">
        <v>51</v>
      </c>
      <c r="H28" s="73"/>
      <c r="I28" s="74"/>
      <c r="J28" s="74"/>
      <c r="K28" s="35" t="s">
        <v>65</v>
      </c>
      <c r="L28" s="82">
        <v>28</v>
      </c>
      <c r="M28" s="82"/>
      <c r="N28" s="76"/>
      <c r="O28" s="84" t="s">
        <v>440</v>
      </c>
      <c r="P28" s="86">
        <v>44081.71796296296</v>
      </c>
      <c r="Q28" s="84" t="s">
        <v>448</v>
      </c>
      <c r="R28" s="87" t="str">
        <f>HYPERLINK("https://www.peoplematters.in/news/technology/job-searches-in-artificial-intelligence-rise-106-in-one-year-report-26898")</f>
        <v>https://www.peoplematters.in/news/technology/job-searches-in-artificial-intelligence-rise-106-in-one-year-report-26898</v>
      </c>
      <c r="S28" s="84" t="s">
        <v>532</v>
      </c>
      <c r="T28" s="84" t="s">
        <v>568</v>
      </c>
      <c r="U28" s="87" t="str">
        <f>HYPERLINK("https://pbs.twimg.com/media/EhVAOmdWoAAOQiY.jpg")</f>
        <v>https://pbs.twimg.com/media/EhVAOmdWoAAOQiY.jpg</v>
      </c>
      <c r="V28" s="87" t="str">
        <f>HYPERLINK("https://pbs.twimg.com/media/EhVAOmdWoAAOQiY.jpg")</f>
        <v>https://pbs.twimg.com/media/EhVAOmdWoAAOQiY.jpg</v>
      </c>
      <c r="W28" s="86">
        <v>44081.71796296296</v>
      </c>
      <c r="X28" s="90">
        <v>44081</v>
      </c>
      <c r="Y28" s="92" t="s">
        <v>646</v>
      </c>
      <c r="Z28" s="87" t="str">
        <f>HYPERLINK("https://twitter.com/pvynckier/status/1303018661582704641")</f>
        <v>https://twitter.com/pvynckier/status/1303018661582704641</v>
      </c>
      <c r="AA28" s="84"/>
      <c r="AB28" s="84"/>
      <c r="AC28" s="92" t="s">
        <v>1040</v>
      </c>
      <c r="AD28" s="84"/>
      <c r="AE28" s="84" t="b">
        <v>0</v>
      </c>
      <c r="AF28" s="84">
        <v>0</v>
      </c>
      <c r="AG28" s="92" t="s">
        <v>1453</v>
      </c>
      <c r="AH28" s="84" t="b">
        <v>0</v>
      </c>
      <c r="AI28" s="84" t="s">
        <v>1456</v>
      </c>
      <c r="AJ28" s="84"/>
      <c r="AK28" s="92" t="s">
        <v>1453</v>
      </c>
      <c r="AL28" s="84" t="b">
        <v>0</v>
      </c>
      <c r="AM28" s="84">
        <v>25</v>
      </c>
      <c r="AN28" s="92" t="s">
        <v>1248</v>
      </c>
      <c r="AO28" s="84" t="s">
        <v>1465</v>
      </c>
      <c r="AP28" s="84" t="b">
        <v>0</v>
      </c>
      <c r="AQ28" s="92" t="s">
        <v>1248</v>
      </c>
      <c r="AR28" s="84" t="s">
        <v>187</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49"/>
      <c r="BG28" s="50"/>
      <c r="BH28" s="49"/>
      <c r="BI28" s="50"/>
      <c r="BJ28" s="49"/>
      <c r="BK28" s="50"/>
      <c r="BL28" s="49"/>
      <c r="BM28" s="50"/>
      <c r="BN28" s="49"/>
    </row>
    <row r="29" spans="1:66" ht="15">
      <c r="A29" s="68" t="s">
        <v>232</v>
      </c>
      <c r="B29" s="68" t="s">
        <v>430</v>
      </c>
      <c r="C29" s="69" t="s">
        <v>5208</v>
      </c>
      <c r="D29" s="70">
        <v>1</v>
      </c>
      <c r="E29" s="71" t="s">
        <v>132</v>
      </c>
      <c r="F29" s="72">
        <v>32</v>
      </c>
      <c r="G29" s="69" t="s">
        <v>51</v>
      </c>
      <c r="H29" s="73"/>
      <c r="I29" s="74"/>
      <c r="J29" s="74"/>
      <c r="K29" s="35" t="s">
        <v>65</v>
      </c>
      <c r="L29" s="82">
        <v>29</v>
      </c>
      <c r="M29" s="82"/>
      <c r="N29" s="76"/>
      <c r="O29" s="84" t="s">
        <v>440</v>
      </c>
      <c r="P29" s="86">
        <v>44081.71796296296</v>
      </c>
      <c r="Q29" s="84" t="s">
        <v>448</v>
      </c>
      <c r="R29" s="87" t="str">
        <f>HYPERLINK("https://www.peoplematters.in/news/technology/job-searches-in-artificial-intelligence-rise-106-in-one-year-report-26898")</f>
        <v>https://www.peoplematters.in/news/technology/job-searches-in-artificial-intelligence-rise-106-in-one-year-report-26898</v>
      </c>
      <c r="S29" s="84" t="s">
        <v>532</v>
      </c>
      <c r="T29" s="84" t="s">
        <v>568</v>
      </c>
      <c r="U29" s="87" t="str">
        <f>HYPERLINK("https://pbs.twimg.com/media/EhVAOmdWoAAOQiY.jpg")</f>
        <v>https://pbs.twimg.com/media/EhVAOmdWoAAOQiY.jpg</v>
      </c>
      <c r="V29" s="87" t="str">
        <f>HYPERLINK("https://pbs.twimg.com/media/EhVAOmdWoAAOQiY.jpg")</f>
        <v>https://pbs.twimg.com/media/EhVAOmdWoAAOQiY.jpg</v>
      </c>
      <c r="W29" s="86">
        <v>44081.71796296296</v>
      </c>
      <c r="X29" s="90">
        <v>44081</v>
      </c>
      <c r="Y29" s="92" t="s">
        <v>646</v>
      </c>
      <c r="Z29" s="87" t="str">
        <f>HYPERLINK("https://twitter.com/pvynckier/status/1303018661582704641")</f>
        <v>https://twitter.com/pvynckier/status/1303018661582704641</v>
      </c>
      <c r="AA29" s="84"/>
      <c r="AB29" s="84"/>
      <c r="AC29" s="92" t="s">
        <v>1040</v>
      </c>
      <c r="AD29" s="84"/>
      <c r="AE29" s="84" t="b">
        <v>0</v>
      </c>
      <c r="AF29" s="84">
        <v>0</v>
      </c>
      <c r="AG29" s="92" t="s">
        <v>1453</v>
      </c>
      <c r="AH29" s="84" t="b">
        <v>0</v>
      </c>
      <c r="AI29" s="84" t="s">
        <v>1456</v>
      </c>
      <c r="AJ29" s="84"/>
      <c r="AK29" s="92" t="s">
        <v>1453</v>
      </c>
      <c r="AL29" s="84" t="b">
        <v>0</v>
      </c>
      <c r="AM29" s="84">
        <v>25</v>
      </c>
      <c r="AN29" s="92" t="s">
        <v>1248</v>
      </c>
      <c r="AO29" s="84" t="s">
        <v>1465</v>
      </c>
      <c r="AP29" s="84" t="b">
        <v>0</v>
      </c>
      <c r="AQ29" s="92" t="s">
        <v>1248</v>
      </c>
      <c r="AR29" s="84" t="s">
        <v>187</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49"/>
      <c r="BG29" s="50"/>
      <c r="BH29" s="49"/>
      <c r="BI29" s="50"/>
      <c r="BJ29" s="49"/>
      <c r="BK29" s="50"/>
      <c r="BL29" s="49"/>
      <c r="BM29" s="50"/>
      <c r="BN29" s="49"/>
    </row>
    <row r="30" spans="1:66" ht="15">
      <c r="A30" s="68" t="s">
        <v>232</v>
      </c>
      <c r="B30" s="68" t="s">
        <v>383</v>
      </c>
      <c r="C30" s="69" t="s">
        <v>5208</v>
      </c>
      <c r="D30" s="70">
        <v>1</v>
      </c>
      <c r="E30" s="71" t="s">
        <v>132</v>
      </c>
      <c r="F30" s="72">
        <v>32</v>
      </c>
      <c r="G30" s="69" t="s">
        <v>51</v>
      </c>
      <c r="H30" s="73"/>
      <c r="I30" s="74"/>
      <c r="J30" s="74"/>
      <c r="K30" s="35" t="s">
        <v>65</v>
      </c>
      <c r="L30" s="82">
        <v>30</v>
      </c>
      <c r="M30" s="82"/>
      <c r="N30" s="76"/>
      <c r="O30" s="84" t="s">
        <v>440</v>
      </c>
      <c r="P30" s="86">
        <v>44081.71796296296</v>
      </c>
      <c r="Q30" s="84" t="s">
        <v>448</v>
      </c>
      <c r="R30" s="87" t="str">
        <f>HYPERLINK("https://www.peoplematters.in/news/technology/job-searches-in-artificial-intelligence-rise-106-in-one-year-report-26898")</f>
        <v>https://www.peoplematters.in/news/technology/job-searches-in-artificial-intelligence-rise-106-in-one-year-report-26898</v>
      </c>
      <c r="S30" s="84" t="s">
        <v>532</v>
      </c>
      <c r="T30" s="84" t="s">
        <v>568</v>
      </c>
      <c r="U30" s="87" t="str">
        <f>HYPERLINK("https://pbs.twimg.com/media/EhVAOmdWoAAOQiY.jpg")</f>
        <v>https://pbs.twimg.com/media/EhVAOmdWoAAOQiY.jpg</v>
      </c>
      <c r="V30" s="87" t="str">
        <f>HYPERLINK("https://pbs.twimg.com/media/EhVAOmdWoAAOQiY.jpg")</f>
        <v>https://pbs.twimg.com/media/EhVAOmdWoAAOQiY.jpg</v>
      </c>
      <c r="W30" s="86">
        <v>44081.71796296296</v>
      </c>
      <c r="X30" s="90">
        <v>44081</v>
      </c>
      <c r="Y30" s="92" t="s">
        <v>646</v>
      </c>
      <c r="Z30" s="87" t="str">
        <f>HYPERLINK("https://twitter.com/pvynckier/status/1303018661582704641")</f>
        <v>https://twitter.com/pvynckier/status/1303018661582704641</v>
      </c>
      <c r="AA30" s="84"/>
      <c r="AB30" s="84"/>
      <c r="AC30" s="92" t="s">
        <v>1040</v>
      </c>
      <c r="AD30" s="84"/>
      <c r="AE30" s="84" t="b">
        <v>0</v>
      </c>
      <c r="AF30" s="84">
        <v>0</v>
      </c>
      <c r="AG30" s="92" t="s">
        <v>1453</v>
      </c>
      <c r="AH30" s="84" t="b">
        <v>0</v>
      </c>
      <c r="AI30" s="84" t="s">
        <v>1456</v>
      </c>
      <c r="AJ30" s="84"/>
      <c r="AK30" s="92" t="s">
        <v>1453</v>
      </c>
      <c r="AL30" s="84" t="b">
        <v>0</v>
      </c>
      <c r="AM30" s="84">
        <v>25</v>
      </c>
      <c r="AN30" s="92" t="s">
        <v>1248</v>
      </c>
      <c r="AO30" s="84" t="s">
        <v>1465</v>
      </c>
      <c r="AP30" s="84" t="b">
        <v>0</v>
      </c>
      <c r="AQ30" s="92" t="s">
        <v>1248</v>
      </c>
      <c r="AR30" s="84" t="s">
        <v>187</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49"/>
      <c r="BG30" s="50"/>
      <c r="BH30" s="49"/>
      <c r="BI30" s="50"/>
      <c r="BJ30" s="49"/>
      <c r="BK30" s="50"/>
      <c r="BL30" s="49"/>
      <c r="BM30" s="50"/>
      <c r="BN30" s="49"/>
    </row>
    <row r="31" spans="1:66" ht="15">
      <c r="A31" s="68" t="s">
        <v>232</v>
      </c>
      <c r="B31" s="68" t="s">
        <v>380</v>
      </c>
      <c r="C31" s="69" t="s">
        <v>5208</v>
      </c>
      <c r="D31" s="70">
        <v>1</v>
      </c>
      <c r="E31" s="71" t="s">
        <v>132</v>
      </c>
      <c r="F31" s="72">
        <v>32</v>
      </c>
      <c r="G31" s="69" t="s">
        <v>51</v>
      </c>
      <c r="H31" s="73"/>
      <c r="I31" s="74"/>
      <c r="J31" s="74"/>
      <c r="K31" s="35" t="s">
        <v>65</v>
      </c>
      <c r="L31" s="82">
        <v>31</v>
      </c>
      <c r="M31" s="82"/>
      <c r="N31" s="76"/>
      <c r="O31" s="84" t="s">
        <v>440</v>
      </c>
      <c r="P31" s="86">
        <v>44081.71796296296</v>
      </c>
      <c r="Q31" s="84" t="s">
        <v>448</v>
      </c>
      <c r="R31" s="87" t="str">
        <f>HYPERLINK("https://www.peoplematters.in/news/technology/job-searches-in-artificial-intelligence-rise-106-in-one-year-report-26898")</f>
        <v>https://www.peoplematters.in/news/technology/job-searches-in-artificial-intelligence-rise-106-in-one-year-report-26898</v>
      </c>
      <c r="S31" s="84" t="s">
        <v>532</v>
      </c>
      <c r="T31" s="84" t="s">
        <v>568</v>
      </c>
      <c r="U31" s="87" t="str">
        <f>HYPERLINK("https://pbs.twimg.com/media/EhVAOmdWoAAOQiY.jpg")</f>
        <v>https://pbs.twimg.com/media/EhVAOmdWoAAOQiY.jpg</v>
      </c>
      <c r="V31" s="87" t="str">
        <f>HYPERLINK("https://pbs.twimg.com/media/EhVAOmdWoAAOQiY.jpg")</f>
        <v>https://pbs.twimg.com/media/EhVAOmdWoAAOQiY.jpg</v>
      </c>
      <c r="W31" s="86">
        <v>44081.71796296296</v>
      </c>
      <c r="X31" s="90">
        <v>44081</v>
      </c>
      <c r="Y31" s="92" t="s">
        <v>646</v>
      </c>
      <c r="Z31" s="87" t="str">
        <f>HYPERLINK("https://twitter.com/pvynckier/status/1303018661582704641")</f>
        <v>https://twitter.com/pvynckier/status/1303018661582704641</v>
      </c>
      <c r="AA31" s="84"/>
      <c r="AB31" s="84"/>
      <c r="AC31" s="92" t="s">
        <v>1040</v>
      </c>
      <c r="AD31" s="84"/>
      <c r="AE31" s="84" t="b">
        <v>0</v>
      </c>
      <c r="AF31" s="84">
        <v>0</v>
      </c>
      <c r="AG31" s="92" t="s">
        <v>1453</v>
      </c>
      <c r="AH31" s="84" t="b">
        <v>0</v>
      </c>
      <c r="AI31" s="84" t="s">
        <v>1456</v>
      </c>
      <c r="AJ31" s="84"/>
      <c r="AK31" s="92" t="s">
        <v>1453</v>
      </c>
      <c r="AL31" s="84" t="b">
        <v>0</v>
      </c>
      <c r="AM31" s="84">
        <v>25</v>
      </c>
      <c r="AN31" s="92" t="s">
        <v>1248</v>
      </c>
      <c r="AO31" s="84" t="s">
        <v>1465</v>
      </c>
      <c r="AP31" s="84" t="b">
        <v>0</v>
      </c>
      <c r="AQ31" s="92" t="s">
        <v>1248</v>
      </c>
      <c r="AR31" s="84" t="s">
        <v>187</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49"/>
      <c r="BG31" s="50"/>
      <c r="BH31" s="49"/>
      <c r="BI31" s="50"/>
      <c r="BJ31" s="49"/>
      <c r="BK31" s="50"/>
      <c r="BL31" s="49"/>
      <c r="BM31" s="50"/>
      <c r="BN31" s="49"/>
    </row>
    <row r="32" spans="1:66" ht="15">
      <c r="A32" s="68" t="s">
        <v>232</v>
      </c>
      <c r="B32" s="68" t="s">
        <v>381</v>
      </c>
      <c r="C32" s="69" t="s">
        <v>5208</v>
      </c>
      <c r="D32" s="70">
        <v>1</v>
      </c>
      <c r="E32" s="71" t="s">
        <v>132</v>
      </c>
      <c r="F32" s="72">
        <v>32</v>
      </c>
      <c r="G32" s="69" t="s">
        <v>51</v>
      </c>
      <c r="H32" s="73"/>
      <c r="I32" s="74"/>
      <c r="J32" s="74"/>
      <c r="K32" s="35" t="s">
        <v>65</v>
      </c>
      <c r="L32" s="82">
        <v>32</v>
      </c>
      <c r="M32" s="82"/>
      <c r="N32" s="76"/>
      <c r="O32" s="84" t="s">
        <v>440</v>
      </c>
      <c r="P32" s="86">
        <v>44081.71796296296</v>
      </c>
      <c r="Q32" s="84" t="s">
        <v>448</v>
      </c>
      <c r="R32" s="87" t="str">
        <f>HYPERLINK("https://www.peoplematters.in/news/technology/job-searches-in-artificial-intelligence-rise-106-in-one-year-report-26898")</f>
        <v>https://www.peoplematters.in/news/technology/job-searches-in-artificial-intelligence-rise-106-in-one-year-report-26898</v>
      </c>
      <c r="S32" s="84" t="s">
        <v>532</v>
      </c>
      <c r="T32" s="84" t="s">
        <v>568</v>
      </c>
      <c r="U32" s="87" t="str">
        <f>HYPERLINK("https://pbs.twimg.com/media/EhVAOmdWoAAOQiY.jpg")</f>
        <v>https://pbs.twimg.com/media/EhVAOmdWoAAOQiY.jpg</v>
      </c>
      <c r="V32" s="87" t="str">
        <f>HYPERLINK("https://pbs.twimg.com/media/EhVAOmdWoAAOQiY.jpg")</f>
        <v>https://pbs.twimg.com/media/EhVAOmdWoAAOQiY.jpg</v>
      </c>
      <c r="W32" s="86">
        <v>44081.71796296296</v>
      </c>
      <c r="X32" s="90">
        <v>44081</v>
      </c>
      <c r="Y32" s="92" t="s">
        <v>646</v>
      </c>
      <c r="Z32" s="87" t="str">
        <f>HYPERLINK("https://twitter.com/pvynckier/status/1303018661582704641")</f>
        <v>https://twitter.com/pvynckier/status/1303018661582704641</v>
      </c>
      <c r="AA32" s="84"/>
      <c r="AB32" s="84"/>
      <c r="AC32" s="92" t="s">
        <v>1040</v>
      </c>
      <c r="AD32" s="84"/>
      <c r="AE32" s="84" t="b">
        <v>0</v>
      </c>
      <c r="AF32" s="84">
        <v>0</v>
      </c>
      <c r="AG32" s="92" t="s">
        <v>1453</v>
      </c>
      <c r="AH32" s="84" t="b">
        <v>0</v>
      </c>
      <c r="AI32" s="84" t="s">
        <v>1456</v>
      </c>
      <c r="AJ32" s="84"/>
      <c r="AK32" s="92" t="s">
        <v>1453</v>
      </c>
      <c r="AL32" s="84" t="b">
        <v>0</v>
      </c>
      <c r="AM32" s="84">
        <v>25</v>
      </c>
      <c r="AN32" s="92" t="s">
        <v>1248</v>
      </c>
      <c r="AO32" s="84" t="s">
        <v>1465</v>
      </c>
      <c r="AP32" s="84" t="b">
        <v>0</v>
      </c>
      <c r="AQ32" s="92" t="s">
        <v>1248</v>
      </c>
      <c r="AR32" s="84" t="s">
        <v>187</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4</v>
      </c>
      <c r="BF32" s="49"/>
      <c r="BG32" s="50"/>
      <c r="BH32" s="49"/>
      <c r="BI32" s="50"/>
      <c r="BJ32" s="49"/>
      <c r="BK32" s="50"/>
      <c r="BL32" s="49"/>
      <c r="BM32" s="50"/>
      <c r="BN32" s="49"/>
    </row>
    <row r="33" spans="1:66" ht="15">
      <c r="A33" s="68" t="s">
        <v>232</v>
      </c>
      <c r="B33" s="68" t="s">
        <v>431</v>
      </c>
      <c r="C33" s="69" t="s">
        <v>5208</v>
      </c>
      <c r="D33" s="70">
        <v>1</v>
      </c>
      <c r="E33" s="71" t="s">
        <v>132</v>
      </c>
      <c r="F33" s="72">
        <v>32</v>
      </c>
      <c r="G33" s="69" t="s">
        <v>51</v>
      </c>
      <c r="H33" s="73"/>
      <c r="I33" s="74"/>
      <c r="J33" s="74"/>
      <c r="K33" s="35" t="s">
        <v>65</v>
      </c>
      <c r="L33" s="82">
        <v>33</v>
      </c>
      <c r="M33" s="82"/>
      <c r="N33" s="76"/>
      <c r="O33" s="84" t="s">
        <v>440</v>
      </c>
      <c r="P33" s="86">
        <v>44081.71796296296</v>
      </c>
      <c r="Q33" s="84" t="s">
        <v>448</v>
      </c>
      <c r="R33" s="87" t="str">
        <f>HYPERLINK("https://www.peoplematters.in/news/technology/job-searches-in-artificial-intelligence-rise-106-in-one-year-report-26898")</f>
        <v>https://www.peoplematters.in/news/technology/job-searches-in-artificial-intelligence-rise-106-in-one-year-report-26898</v>
      </c>
      <c r="S33" s="84" t="s">
        <v>532</v>
      </c>
      <c r="T33" s="84" t="s">
        <v>568</v>
      </c>
      <c r="U33" s="87" t="str">
        <f>HYPERLINK("https://pbs.twimg.com/media/EhVAOmdWoAAOQiY.jpg")</f>
        <v>https://pbs.twimg.com/media/EhVAOmdWoAAOQiY.jpg</v>
      </c>
      <c r="V33" s="87" t="str">
        <f>HYPERLINK("https://pbs.twimg.com/media/EhVAOmdWoAAOQiY.jpg")</f>
        <v>https://pbs.twimg.com/media/EhVAOmdWoAAOQiY.jpg</v>
      </c>
      <c r="W33" s="86">
        <v>44081.71796296296</v>
      </c>
      <c r="X33" s="90">
        <v>44081</v>
      </c>
      <c r="Y33" s="92" t="s">
        <v>646</v>
      </c>
      <c r="Z33" s="87" t="str">
        <f>HYPERLINK("https://twitter.com/pvynckier/status/1303018661582704641")</f>
        <v>https://twitter.com/pvynckier/status/1303018661582704641</v>
      </c>
      <c r="AA33" s="84"/>
      <c r="AB33" s="84"/>
      <c r="AC33" s="92" t="s">
        <v>1040</v>
      </c>
      <c r="AD33" s="84"/>
      <c r="AE33" s="84" t="b">
        <v>0</v>
      </c>
      <c r="AF33" s="84">
        <v>0</v>
      </c>
      <c r="AG33" s="92" t="s">
        <v>1453</v>
      </c>
      <c r="AH33" s="84" t="b">
        <v>0</v>
      </c>
      <c r="AI33" s="84" t="s">
        <v>1456</v>
      </c>
      <c r="AJ33" s="84"/>
      <c r="AK33" s="92" t="s">
        <v>1453</v>
      </c>
      <c r="AL33" s="84" t="b">
        <v>0</v>
      </c>
      <c r="AM33" s="84">
        <v>25</v>
      </c>
      <c r="AN33" s="92" t="s">
        <v>1248</v>
      </c>
      <c r="AO33" s="84" t="s">
        <v>1465</v>
      </c>
      <c r="AP33" s="84" t="b">
        <v>0</v>
      </c>
      <c r="AQ33" s="92" t="s">
        <v>1248</v>
      </c>
      <c r="AR33" s="84" t="s">
        <v>187</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49"/>
      <c r="BG33" s="50"/>
      <c r="BH33" s="49"/>
      <c r="BI33" s="50"/>
      <c r="BJ33" s="49"/>
      <c r="BK33" s="50"/>
      <c r="BL33" s="49"/>
      <c r="BM33" s="50"/>
      <c r="BN33" s="49"/>
    </row>
    <row r="34" spans="1:66" ht="15">
      <c r="A34" s="68" t="s">
        <v>232</v>
      </c>
      <c r="B34" s="68" t="s">
        <v>432</v>
      </c>
      <c r="C34" s="69" t="s">
        <v>5208</v>
      </c>
      <c r="D34" s="70">
        <v>1</v>
      </c>
      <c r="E34" s="71" t="s">
        <v>132</v>
      </c>
      <c r="F34" s="72">
        <v>32</v>
      </c>
      <c r="G34" s="69" t="s">
        <v>51</v>
      </c>
      <c r="H34" s="73"/>
      <c r="I34" s="74"/>
      <c r="J34" s="74"/>
      <c r="K34" s="35" t="s">
        <v>65</v>
      </c>
      <c r="L34" s="82">
        <v>34</v>
      </c>
      <c r="M34" s="82"/>
      <c r="N34" s="76"/>
      <c r="O34" s="84" t="s">
        <v>440</v>
      </c>
      <c r="P34" s="86">
        <v>44081.71796296296</v>
      </c>
      <c r="Q34" s="84" t="s">
        <v>448</v>
      </c>
      <c r="R34" s="87" t="str">
        <f>HYPERLINK("https://www.peoplematters.in/news/technology/job-searches-in-artificial-intelligence-rise-106-in-one-year-report-26898")</f>
        <v>https://www.peoplematters.in/news/technology/job-searches-in-artificial-intelligence-rise-106-in-one-year-report-26898</v>
      </c>
      <c r="S34" s="84" t="s">
        <v>532</v>
      </c>
      <c r="T34" s="84" t="s">
        <v>568</v>
      </c>
      <c r="U34" s="87" t="str">
        <f>HYPERLINK("https://pbs.twimg.com/media/EhVAOmdWoAAOQiY.jpg")</f>
        <v>https://pbs.twimg.com/media/EhVAOmdWoAAOQiY.jpg</v>
      </c>
      <c r="V34" s="87" t="str">
        <f>HYPERLINK("https://pbs.twimg.com/media/EhVAOmdWoAAOQiY.jpg")</f>
        <v>https://pbs.twimg.com/media/EhVAOmdWoAAOQiY.jpg</v>
      </c>
      <c r="W34" s="86">
        <v>44081.71796296296</v>
      </c>
      <c r="X34" s="90">
        <v>44081</v>
      </c>
      <c r="Y34" s="92" t="s">
        <v>646</v>
      </c>
      <c r="Z34" s="87" t="str">
        <f>HYPERLINK("https://twitter.com/pvynckier/status/1303018661582704641")</f>
        <v>https://twitter.com/pvynckier/status/1303018661582704641</v>
      </c>
      <c r="AA34" s="84"/>
      <c r="AB34" s="84"/>
      <c r="AC34" s="92" t="s">
        <v>1040</v>
      </c>
      <c r="AD34" s="84"/>
      <c r="AE34" s="84" t="b">
        <v>0</v>
      </c>
      <c r="AF34" s="84">
        <v>0</v>
      </c>
      <c r="AG34" s="92" t="s">
        <v>1453</v>
      </c>
      <c r="AH34" s="84" t="b">
        <v>0</v>
      </c>
      <c r="AI34" s="84" t="s">
        <v>1456</v>
      </c>
      <c r="AJ34" s="84"/>
      <c r="AK34" s="92" t="s">
        <v>1453</v>
      </c>
      <c r="AL34" s="84" t="b">
        <v>0</v>
      </c>
      <c r="AM34" s="84">
        <v>25</v>
      </c>
      <c r="AN34" s="92" t="s">
        <v>1248</v>
      </c>
      <c r="AO34" s="84" t="s">
        <v>1465</v>
      </c>
      <c r="AP34" s="84" t="b">
        <v>0</v>
      </c>
      <c r="AQ34" s="92" t="s">
        <v>1248</v>
      </c>
      <c r="AR34" s="84" t="s">
        <v>187</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49"/>
      <c r="BG34" s="50"/>
      <c r="BH34" s="49"/>
      <c r="BI34" s="50"/>
      <c r="BJ34" s="49"/>
      <c r="BK34" s="50"/>
      <c r="BL34" s="49"/>
      <c r="BM34" s="50"/>
      <c r="BN34" s="49"/>
    </row>
    <row r="35" spans="1:66" ht="15">
      <c r="A35" s="68" t="s">
        <v>232</v>
      </c>
      <c r="B35" s="68" t="s">
        <v>384</v>
      </c>
      <c r="C35" s="69" t="s">
        <v>5208</v>
      </c>
      <c r="D35" s="70">
        <v>1</v>
      </c>
      <c r="E35" s="71" t="s">
        <v>132</v>
      </c>
      <c r="F35" s="72">
        <v>32</v>
      </c>
      <c r="G35" s="69" t="s">
        <v>51</v>
      </c>
      <c r="H35" s="73"/>
      <c r="I35" s="74"/>
      <c r="J35" s="74"/>
      <c r="K35" s="35" t="s">
        <v>65</v>
      </c>
      <c r="L35" s="82">
        <v>35</v>
      </c>
      <c r="M35" s="82"/>
      <c r="N35" s="76"/>
      <c r="O35" s="84" t="s">
        <v>439</v>
      </c>
      <c r="P35" s="86">
        <v>44081.71796296296</v>
      </c>
      <c r="Q35" s="84" t="s">
        <v>448</v>
      </c>
      <c r="R35" s="87" t="str">
        <f>HYPERLINK("https://www.peoplematters.in/news/technology/job-searches-in-artificial-intelligence-rise-106-in-one-year-report-26898")</f>
        <v>https://www.peoplematters.in/news/technology/job-searches-in-artificial-intelligence-rise-106-in-one-year-report-26898</v>
      </c>
      <c r="S35" s="84" t="s">
        <v>532</v>
      </c>
      <c r="T35" s="84" t="s">
        <v>568</v>
      </c>
      <c r="U35" s="87" t="str">
        <f>HYPERLINK("https://pbs.twimg.com/media/EhVAOmdWoAAOQiY.jpg")</f>
        <v>https://pbs.twimg.com/media/EhVAOmdWoAAOQiY.jpg</v>
      </c>
      <c r="V35" s="87" t="str">
        <f>HYPERLINK("https://pbs.twimg.com/media/EhVAOmdWoAAOQiY.jpg")</f>
        <v>https://pbs.twimg.com/media/EhVAOmdWoAAOQiY.jpg</v>
      </c>
      <c r="W35" s="86">
        <v>44081.71796296296</v>
      </c>
      <c r="X35" s="90">
        <v>44081</v>
      </c>
      <c r="Y35" s="92" t="s">
        <v>646</v>
      </c>
      <c r="Z35" s="87" t="str">
        <f>HYPERLINK("https://twitter.com/pvynckier/status/1303018661582704641")</f>
        <v>https://twitter.com/pvynckier/status/1303018661582704641</v>
      </c>
      <c r="AA35" s="84"/>
      <c r="AB35" s="84"/>
      <c r="AC35" s="92" t="s">
        <v>1040</v>
      </c>
      <c r="AD35" s="84"/>
      <c r="AE35" s="84" t="b">
        <v>0</v>
      </c>
      <c r="AF35" s="84">
        <v>0</v>
      </c>
      <c r="AG35" s="92" t="s">
        <v>1453</v>
      </c>
      <c r="AH35" s="84" t="b">
        <v>0</v>
      </c>
      <c r="AI35" s="84" t="s">
        <v>1456</v>
      </c>
      <c r="AJ35" s="84"/>
      <c r="AK35" s="92" t="s">
        <v>1453</v>
      </c>
      <c r="AL35" s="84" t="b">
        <v>0</v>
      </c>
      <c r="AM35" s="84">
        <v>25</v>
      </c>
      <c r="AN35" s="92" t="s">
        <v>1248</v>
      </c>
      <c r="AO35" s="84" t="s">
        <v>1465</v>
      </c>
      <c r="AP35" s="84" t="b">
        <v>0</v>
      </c>
      <c r="AQ35" s="92" t="s">
        <v>1248</v>
      </c>
      <c r="AR35" s="84" t="s">
        <v>187</v>
      </c>
      <c r="AS35" s="84">
        <v>0</v>
      </c>
      <c r="AT35" s="84">
        <v>0</v>
      </c>
      <c r="AU35" s="84"/>
      <c r="AV35" s="84"/>
      <c r="AW35" s="84"/>
      <c r="AX35" s="84"/>
      <c r="AY35" s="84"/>
      <c r="AZ35" s="84"/>
      <c r="BA35" s="84"/>
      <c r="BB35" s="84"/>
      <c r="BC35">
        <v>1</v>
      </c>
      <c r="BD35" s="83" t="str">
        <f>REPLACE(INDEX(GroupVertices[Group],MATCH(Edges[[#This Row],[Vertex 1]],GroupVertices[Vertex],0)),1,1,"")</f>
        <v>4</v>
      </c>
      <c r="BE35" s="83" t="str">
        <f>REPLACE(INDEX(GroupVertices[Group],MATCH(Edges[[#This Row],[Vertex 2]],GroupVertices[Vertex],0)),1,1,"")</f>
        <v>4</v>
      </c>
      <c r="BF35" s="49">
        <v>0</v>
      </c>
      <c r="BG35" s="50">
        <v>0</v>
      </c>
      <c r="BH35" s="49">
        <v>0</v>
      </c>
      <c r="BI35" s="50">
        <v>0</v>
      </c>
      <c r="BJ35" s="49">
        <v>0</v>
      </c>
      <c r="BK35" s="50">
        <v>0</v>
      </c>
      <c r="BL35" s="49">
        <v>28</v>
      </c>
      <c r="BM35" s="50">
        <v>100</v>
      </c>
      <c r="BN35" s="49">
        <v>28</v>
      </c>
    </row>
    <row r="36" spans="1:66" ht="15">
      <c r="A36" s="68" t="s">
        <v>233</v>
      </c>
      <c r="B36" s="68" t="s">
        <v>382</v>
      </c>
      <c r="C36" s="69" t="s">
        <v>5208</v>
      </c>
      <c r="D36" s="70">
        <v>1</v>
      </c>
      <c r="E36" s="71" t="s">
        <v>132</v>
      </c>
      <c r="F36" s="72">
        <v>32</v>
      </c>
      <c r="G36" s="69" t="s">
        <v>51</v>
      </c>
      <c r="H36" s="73"/>
      <c r="I36" s="74"/>
      <c r="J36" s="74"/>
      <c r="K36" s="35" t="s">
        <v>65</v>
      </c>
      <c r="L36" s="82">
        <v>36</v>
      </c>
      <c r="M36" s="82"/>
      <c r="N36" s="76"/>
      <c r="O36" s="84" t="s">
        <v>440</v>
      </c>
      <c r="P36" s="86">
        <v>44081.72038194445</v>
      </c>
      <c r="Q36" s="84" t="s">
        <v>448</v>
      </c>
      <c r="R36" s="87" t="str">
        <f>HYPERLINK("https://www.peoplematters.in/news/technology/job-searches-in-artificial-intelligence-rise-106-in-one-year-report-26898")</f>
        <v>https://www.peoplematters.in/news/technology/job-searches-in-artificial-intelligence-rise-106-in-one-year-report-26898</v>
      </c>
      <c r="S36" s="84" t="s">
        <v>532</v>
      </c>
      <c r="T36" s="84" t="s">
        <v>568</v>
      </c>
      <c r="U36" s="87" t="str">
        <f>HYPERLINK("https://pbs.twimg.com/media/EhVAOmdWoAAOQiY.jpg")</f>
        <v>https://pbs.twimg.com/media/EhVAOmdWoAAOQiY.jpg</v>
      </c>
      <c r="V36" s="87" t="str">
        <f>HYPERLINK("https://pbs.twimg.com/media/EhVAOmdWoAAOQiY.jpg")</f>
        <v>https://pbs.twimg.com/media/EhVAOmdWoAAOQiY.jpg</v>
      </c>
      <c r="W36" s="86">
        <v>44081.72038194445</v>
      </c>
      <c r="X36" s="90">
        <v>44081</v>
      </c>
      <c r="Y36" s="92" t="s">
        <v>647</v>
      </c>
      <c r="Z36" s="87" t="str">
        <f>HYPERLINK("https://twitter.com/shamephorash/status/1303019537911119872")</f>
        <v>https://twitter.com/shamephorash/status/1303019537911119872</v>
      </c>
      <c r="AA36" s="84"/>
      <c r="AB36" s="84"/>
      <c r="AC36" s="92" t="s">
        <v>1041</v>
      </c>
      <c r="AD36" s="84"/>
      <c r="AE36" s="84" t="b">
        <v>0</v>
      </c>
      <c r="AF36" s="84">
        <v>0</v>
      </c>
      <c r="AG36" s="92" t="s">
        <v>1453</v>
      </c>
      <c r="AH36" s="84" t="b">
        <v>0</v>
      </c>
      <c r="AI36" s="84" t="s">
        <v>1456</v>
      </c>
      <c r="AJ36" s="84"/>
      <c r="AK36" s="92" t="s">
        <v>1453</v>
      </c>
      <c r="AL36" s="84" t="b">
        <v>0</v>
      </c>
      <c r="AM36" s="84">
        <v>25</v>
      </c>
      <c r="AN36" s="92" t="s">
        <v>1248</v>
      </c>
      <c r="AO36" s="84" t="s">
        <v>1465</v>
      </c>
      <c r="AP36" s="84" t="b">
        <v>0</v>
      </c>
      <c r="AQ36" s="92" t="s">
        <v>1248</v>
      </c>
      <c r="AR36" s="84" t="s">
        <v>187</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49"/>
      <c r="BG36" s="50"/>
      <c r="BH36" s="49"/>
      <c r="BI36" s="50"/>
      <c r="BJ36" s="49"/>
      <c r="BK36" s="50"/>
      <c r="BL36" s="49"/>
      <c r="BM36" s="50"/>
      <c r="BN36" s="49"/>
    </row>
    <row r="37" spans="1:66" ht="15">
      <c r="A37" s="68" t="s">
        <v>233</v>
      </c>
      <c r="B37" s="68" t="s">
        <v>385</v>
      </c>
      <c r="C37" s="69" t="s">
        <v>5208</v>
      </c>
      <c r="D37" s="70">
        <v>1</v>
      </c>
      <c r="E37" s="71" t="s">
        <v>132</v>
      </c>
      <c r="F37" s="72">
        <v>32</v>
      </c>
      <c r="G37" s="69" t="s">
        <v>51</v>
      </c>
      <c r="H37" s="73"/>
      <c r="I37" s="74"/>
      <c r="J37" s="74"/>
      <c r="K37" s="35" t="s">
        <v>65</v>
      </c>
      <c r="L37" s="82">
        <v>37</v>
      </c>
      <c r="M37" s="82"/>
      <c r="N37" s="76"/>
      <c r="O37" s="84" t="s">
        <v>440</v>
      </c>
      <c r="P37" s="86">
        <v>44081.72038194445</v>
      </c>
      <c r="Q37" s="84" t="s">
        <v>448</v>
      </c>
      <c r="R37" s="87" t="str">
        <f>HYPERLINK("https://www.peoplematters.in/news/technology/job-searches-in-artificial-intelligence-rise-106-in-one-year-report-26898")</f>
        <v>https://www.peoplematters.in/news/technology/job-searches-in-artificial-intelligence-rise-106-in-one-year-report-26898</v>
      </c>
      <c r="S37" s="84" t="s">
        <v>532</v>
      </c>
      <c r="T37" s="84" t="s">
        <v>568</v>
      </c>
      <c r="U37" s="87" t="str">
        <f>HYPERLINK("https://pbs.twimg.com/media/EhVAOmdWoAAOQiY.jpg")</f>
        <v>https://pbs.twimg.com/media/EhVAOmdWoAAOQiY.jpg</v>
      </c>
      <c r="V37" s="87" t="str">
        <f>HYPERLINK("https://pbs.twimg.com/media/EhVAOmdWoAAOQiY.jpg")</f>
        <v>https://pbs.twimg.com/media/EhVAOmdWoAAOQiY.jpg</v>
      </c>
      <c r="W37" s="86">
        <v>44081.72038194445</v>
      </c>
      <c r="X37" s="90">
        <v>44081</v>
      </c>
      <c r="Y37" s="92" t="s">
        <v>647</v>
      </c>
      <c r="Z37" s="87" t="str">
        <f>HYPERLINK("https://twitter.com/shamephorash/status/1303019537911119872")</f>
        <v>https://twitter.com/shamephorash/status/1303019537911119872</v>
      </c>
      <c r="AA37" s="84"/>
      <c r="AB37" s="84"/>
      <c r="AC37" s="92" t="s">
        <v>1041</v>
      </c>
      <c r="AD37" s="84"/>
      <c r="AE37" s="84" t="b">
        <v>0</v>
      </c>
      <c r="AF37" s="84">
        <v>0</v>
      </c>
      <c r="AG37" s="92" t="s">
        <v>1453</v>
      </c>
      <c r="AH37" s="84" t="b">
        <v>0</v>
      </c>
      <c r="AI37" s="84" t="s">
        <v>1456</v>
      </c>
      <c r="AJ37" s="84"/>
      <c r="AK37" s="92" t="s">
        <v>1453</v>
      </c>
      <c r="AL37" s="84" t="b">
        <v>0</v>
      </c>
      <c r="AM37" s="84">
        <v>25</v>
      </c>
      <c r="AN37" s="92" t="s">
        <v>1248</v>
      </c>
      <c r="AO37" s="84" t="s">
        <v>1465</v>
      </c>
      <c r="AP37" s="84" t="b">
        <v>0</v>
      </c>
      <c r="AQ37" s="92" t="s">
        <v>1248</v>
      </c>
      <c r="AR37" s="84" t="s">
        <v>187</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4</v>
      </c>
      <c r="BF37" s="49"/>
      <c r="BG37" s="50"/>
      <c r="BH37" s="49"/>
      <c r="BI37" s="50"/>
      <c r="BJ37" s="49"/>
      <c r="BK37" s="50"/>
      <c r="BL37" s="49"/>
      <c r="BM37" s="50"/>
      <c r="BN37" s="49"/>
    </row>
    <row r="38" spans="1:66" ht="15">
      <c r="A38" s="68" t="s">
        <v>233</v>
      </c>
      <c r="B38" s="68" t="s">
        <v>430</v>
      </c>
      <c r="C38" s="69" t="s">
        <v>5208</v>
      </c>
      <c r="D38" s="70">
        <v>1</v>
      </c>
      <c r="E38" s="71" t="s">
        <v>132</v>
      </c>
      <c r="F38" s="72">
        <v>32</v>
      </c>
      <c r="G38" s="69" t="s">
        <v>51</v>
      </c>
      <c r="H38" s="73"/>
      <c r="I38" s="74"/>
      <c r="J38" s="74"/>
      <c r="K38" s="35" t="s">
        <v>65</v>
      </c>
      <c r="L38" s="82">
        <v>38</v>
      </c>
      <c r="M38" s="82"/>
      <c r="N38" s="76"/>
      <c r="O38" s="84" t="s">
        <v>440</v>
      </c>
      <c r="P38" s="86">
        <v>44081.72038194445</v>
      </c>
      <c r="Q38" s="84" t="s">
        <v>448</v>
      </c>
      <c r="R38" s="87" t="str">
        <f>HYPERLINK("https://www.peoplematters.in/news/technology/job-searches-in-artificial-intelligence-rise-106-in-one-year-report-26898")</f>
        <v>https://www.peoplematters.in/news/technology/job-searches-in-artificial-intelligence-rise-106-in-one-year-report-26898</v>
      </c>
      <c r="S38" s="84" t="s">
        <v>532</v>
      </c>
      <c r="T38" s="84" t="s">
        <v>568</v>
      </c>
      <c r="U38" s="87" t="str">
        <f>HYPERLINK("https://pbs.twimg.com/media/EhVAOmdWoAAOQiY.jpg")</f>
        <v>https://pbs.twimg.com/media/EhVAOmdWoAAOQiY.jpg</v>
      </c>
      <c r="V38" s="87" t="str">
        <f>HYPERLINK("https://pbs.twimg.com/media/EhVAOmdWoAAOQiY.jpg")</f>
        <v>https://pbs.twimg.com/media/EhVAOmdWoAAOQiY.jpg</v>
      </c>
      <c r="W38" s="86">
        <v>44081.72038194445</v>
      </c>
      <c r="X38" s="90">
        <v>44081</v>
      </c>
      <c r="Y38" s="92" t="s">
        <v>647</v>
      </c>
      <c r="Z38" s="87" t="str">
        <f>HYPERLINK("https://twitter.com/shamephorash/status/1303019537911119872")</f>
        <v>https://twitter.com/shamephorash/status/1303019537911119872</v>
      </c>
      <c r="AA38" s="84"/>
      <c r="AB38" s="84"/>
      <c r="AC38" s="92" t="s">
        <v>1041</v>
      </c>
      <c r="AD38" s="84"/>
      <c r="AE38" s="84" t="b">
        <v>0</v>
      </c>
      <c r="AF38" s="84">
        <v>0</v>
      </c>
      <c r="AG38" s="92" t="s">
        <v>1453</v>
      </c>
      <c r="AH38" s="84" t="b">
        <v>0</v>
      </c>
      <c r="AI38" s="84" t="s">
        <v>1456</v>
      </c>
      <c r="AJ38" s="84"/>
      <c r="AK38" s="92" t="s">
        <v>1453</v>
      </c>
      <c r="AL38" s="84" t="b">
        <v>0</v>
      </c>
      <c r="AM38" s="84">
        <v>25</v>
      </c>
      <c r="AN38" s="92" t="s">
        <v>1248</v>
      </c>
      <c r="AO38" s="84" t="s">
        <v>1465</v>
      </c>
      <c r="AP38" s="84" t="b">
        <v>0</v>
      </c>
      <c r="AQ38" s="92" t="s">
        <v>1248</v>
      </c>
      <c r="AR38" s="84" t="s">
        <v>187</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4</v>
      </c>
      <c r="BF38" s="49"/>
      <c r="BG38" s="50"/>
      <c r="BH38" s="49"/>
      <c r="BI38" s="50"/>
      <c r="BJ38" s="49"/>
      <c r="BK38" s="50"/>
      <c r="BL38" s="49"/>
      <c r="BM38" s="50"/>
      <c r="BN38" s="49"/>
    </row>
    <row r="39" spans="1:66" ht="15">
      <c r="A39" s="68" t="s">
        <v>233</v>
      </c>
      <c r="B39" s="68" t="s">
        <v>383</v>
      </c>
      <c r="C39" s="69" t="s">
        <v>5208</v>
      </c>
      <c r="D39" s="70">
        <v>1</v>
      </c>
      <c r="E39" s="71" t="s">
        <v>132</v>
      </c>
      <c r="F39" s="72">
        <v>32</v>
      </c>
      <c r="G39" s="69" t="s">
        <v>51</v>
      </c>
      <c r="H39" s="73"/>
      <c r="I39" s="74"/>
      <c r="J39" s="74"/>
      <c r="K39" s="35" t="s">
        <v>65</v>
      </c>
      <c r="L39" s="82">
        <v>39</v>
      </c>
      <c r="M39" s="82"/>
      <c r="N39" s="76"/>
      <c r="O39" s="84" t="s">
        <v>440</v>
      </c>
      <c r="P39" s="86">
        <v>44081.72038194445</v>
      </c>
      <c r="Q39" s="84" t="s">
        <v>448</v>
      </c>
      <c r="R39" s="87" t="str">
        <f>HYPERLINK("https://www.peoplematters.in/news/technology/job-searches-in-artificial-intelligence-rise-106-in-one-year-report-26898")</f>
        <v>https://www.peoplematters.in/news/technology/job-searches-in-artificial-intelligence-rise-106-in-one-year-report-26898</v>
      </c>
      <c r="S39" s="84" t="s">
        <v>532</v>
      </c>
      <c r="T39" s="84" t="s">
        <v>568</v>
      </c>
      <c r="U39" s="87" t="str">
        <f>HYPERLINK("https://pbs.twimg.com/media/EhVAOmdWoAAOQiY.jpg")</f>
        <v>https://pbs.twimg.com/media/EhVAOmdWoAAOQiY.jpg</v>
      </c>
      <c r="V39" s="87" t="str">
        <f>HYPERLINK("https://pbs.twimg.com/media/EhVAOmdWoAAOQiY.jpg")</f>
        <v>https://pbs.twimg.com/media/EhVAOmdWoAAOQiY.jpg</v>
      </c>
      <c r="W39" s="86">
        <v>44081.72038194445</v>
      </c>
      <c r="X39" s="90">
        <v>44081</v>
      </c>
      <c r="Y39" s="92" t="s">
        <v>647</v>
      </c>
      <c r="Z39" s="87" t="str">
        <f>HYPERLINK("https://twitter.com/shamephorash/status/1303019537911119872")</f>
        <v>https://twitter.com/shamephorash/status/1303019537911119872</v>
      </c>
      <c r="AA39" s="84"/>
      <c r="AB39" s="84"/>
      <c r="AC39" s="92" t="s">
        <v>1041</v>
      </c>
      <c r="AD39" s="84"/>
      <c r="AE39" s="84" t="b">
        <v>0</v>
      </c>
      <c r="AF39" s="84">
        <v>0</v>
      </c>
      <c r="AG39" s="92" t="s">
        <v>1453</v>
      </c>
      <c r="AH39" s="84" t="b">
        <v>0</v>
      </c>
      <c r="AI39" s="84" t="s">
        <v>1456</v>
      </c>
      <c r="AJ39" s="84"/>
      <c r="AK39" s="92" t="s">
        <v>1453</v>
      </c>
      <c r="AL39" s="84" t="b">
        <v>0</v>
      </c>
      <c r="AM39" s="84">
        <v>25</v>
      </c>
      <c r="AN39" s="92" t="s">
        <v>1248</v>
      </c>
      <c r="AO39" s="84" t="s">
        <v>1465</v>
      </c>
      <c r="AP39" s="84" t="b">
        <v>0</v>
      </c>
      <c r="AQ39" s="92" t="s">
        <v>1248</v>
      </c>
      <c r="AR39" s="84" t="s">
        <v>187</v>
      </c>
      <c r="AS39" s="84">
        <v>0</v>
      </c>
      <c r="AT39" s="84">
        <v>0</v>
      </c>
      <c r="AU39" s="84"/>
      <c r="AV39" s="84"/>
      <c r="AW39" s="84"/>
      <c r="AX39" s="84"/>
      <c r="AY39" s="84"/>
      <c r="AZ39" s="84"/>
      <c r="BA39" s="84"/>
      <c r="BB39" s="84"/>
      <c r="BC39">
        <v>1</v>
      </c>
      <c r="BD39" s="83" t="str">
        <f>REPLACE(INDEX(GroupVertices[Group],MATCH(Edges[[#This Row],[Vertex 1]],GroupVertices[Vertex],0)),1,1,"")</f>
        <v>4</v>
      </c>
      <c r="BE39" s="83" t="str">
        <f>REPLACE(INDEX(GroupVertices[Group],MATCH(Edges[[#This Row],[Vertex 2]],GroupVertices[Vertex],0)),1,1,"")</f>
        <v>4</v>
      </c>
      <c r="BF39" s="49"/>
      <c r="BG39" s="50"/>
      <c r="BH39" s="49"/>
      <c r="BI39" s="50"/>
      <c r="BJ39" s="49"/>
      <c r="BK39" s="50"/>
      <c r="BL39" s="49"/>
      <c r="BM39" s="50"/>
      <c r="BN39" s="49"/>
    </row>
    <row r="40" spans="1:66" ht="15">
      <c r="A40" s="68" t="s">
        <v>233</v>
      </c>
      <c r="B40" s="68" t="s">
        <v>380</v>
      </c>
      <c r="C40" s="69" t="s">
        <v>5208</v>
      </c>
      <c r="D40" s="70">
        <v>1</v>
      </c>
      <c r="E40" s="71" t="s">
        <v>132</v>
      </c>
      <c r="F40" s="72">
        <v>32</v>
      </c>
      <c r="G40" s="69" t="s">
        <v>51</v>
      </c>
      <c r="H40" s="73"/>
      <c r="I40" s="74"/>
      <c r="J40" s="74"/>
      <c r="K40" s="35" t="s">
        <v>65</v>
      </c>
      <c r="L40" s="82">
        <v>40</v>
      </c>
      <c r="M40" s="82"/>
      <c r="N40" s="76"/>
      <c r="O40" s="84" t="s">
        <v>440</v>
      </c>
      <c r="P40" s="86">
        <v>44081.72038194445</v>
      </c>
      <c r="Q40" s="84" t="s">
        <v>448</v>
      </c>
      <c r="R40" s="87" t="str">
        <f>HYPERLINK("https://www.peoplematters.in/news/technology/job-searches-in-artificial-intelligence-rise-106-in-one-year-report-26898")</f>
        <v>https://www.peoplematters.in/news/technology/job-searches-in-artificial-intelligence-rise-106-in-one-year-report-26898</v>
      </c>
      <c r="S40" s="84" t="s">
        <v>532</v>
      </c>
      <c r="T40" s="84" t="s">
        <v>568</v>
      </c>
      <c r="U40" s="87" t="str">
        <f>HYPERLINK("https://pbs.twimg.com/media/EhVAOmdWoAAOQiY.jpg")</f>
        <v>https://pbs.twimg.com/media/EhVAOmdWoAAOQiY.jpg</v>
      </c>
      <c r="V40" s="87" t="str">
        <f>HYPERLINK("https://pbs.twimg.com/media/EhVAOmdWoAAOQiY.jpg")</f>
        <v>https://pbs.twimg.com/media/EhVAOmdWoAAOQiY.jpg</v>
      </c>
      <c r="W40" s="86">
        <v>44081.72038194445</v>
      </c>
      <c r="X40" s="90">
        <v>44081</v>
      </c>
      <c r="Y40" s="92" t="s">
        <v>647</v>
      </c>
      <c r="Z40" s="87" t="str">
        <f>HYPERLINK("https://twitter.com/shamephorash/status/1303019537911119872")</f>
        <v>https://twitter.com/shamephorash/status/1303019537911119872</v>
      </c>
      <c r="AA40" s="84"/>
      <c r="AB40" s="84"/>
      <c r="AC40" s="92" t="s">
        <v>1041</v>
      </c>
      <c r="AD40" s="84"/>
      <c r="AE40" s="84" t="b">
        <v>0</v>
      </c>
      <c r="AF40" s="84">
        <v>0</v>
      </c>
      <c r="AG40" s="92" t="s">
        <v>1453</v>
      </c>
      <c r="AH40" s="84" t="b">
        <v>0</v>
      </c>
      <c r="AI40" s="84" t="s">
        <v>1456</v>
      </c>
      <c r="AJ40" s="84"/>
      <c r="AK40" s="92" t="s">
        <v>1453</v>
      </c>
      <c r="AL40" s="84" t="b">
        <v>0</v>
      </c>
      <c r="AM40" s="84">
        <v>25</v>
      </c>
      <c r="AN40" s="92" t="s">
        <v>1248</v>
      </c>
      <c r="AO40" s="84" t="s">
        <v>1465</v>
      </c>
      <c r="AP40" s="84" t="b">
        <v>0</v>
      </c>
      <c r="AQ40" s="92" t="s">
        <v>1248</v>
      </c>
      <c r="AR40" s="84" t="s">
        <v>187</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49"/>
      <c r="BG40" s="50"/>
      <c r="BH40" s="49"/>
      <c r="BI40" s="50"/>
      <c r="BJ40" s="49"/>
      <c r="BK40" s="50"/>
      <c r="BL40" s="49"/>
      <c r="BM40" s="50"/>
      <c r="BN40" s="49"/>
    </row>
    <row r="41" spans="1:66" ht="15">
      <c r="A41" s="68" t="s">
        <v>233</v>
      </c>
      <c r="B41" s="68" t="s">
        <v>381</v>
      </c>
      <c r="C41" s="69" t="s">
        <v>5208</v>
      </c>
      <c r="D41" s="70">
        <v>1</v>
      </c>
      <c r="E41" s="71" t="s">
        <v>132</v>
      </c>
      <c r="F41" s="72">
        <v>32</v>
      </c>
      <c r="G41" s="69" t="s">
        <v>51</v>
      </c>
      <c r="H41" s="73"/>
      <c r="I41" s="74"/>
      <c r="J41" s="74"/>
      <c r="K41" s="35" t="s">
        <v>65</v>
      </c>
      <c r="L41" s="82">
        <v>41</v>
      </c>
      <c r="M41" s="82"/>
      <c r="N41" s="76"/>
      <c r="O41" s="84" t="s">
        <v>440</v>
      </c>
      <c r="P41" s="86">
        <v>44081.72038194445</v>
      </c>
      <c r="Q41" s="84" t="s">
        <v>448</v>
      </c>
      <c r="R41" s="87" t="str">
        <f>HYPERLINK("https://www.peoplematters.in/news/technology/job-searches-in-artificial-intelligence-rise-106-in-one-year-report-26898")</f>
        <v>https://www.peoplematters.in/news/technology/job-searches-in-artificial-intelligence-rise-106-in-one-year-report-26898</v>
      </c>
      <c r="S41" s="84" t="s">
        <v>532</v>
      </c>
      <c r="T41" s="84" t="s">
        <v>568</v>
      </c>
      <c r="U41" s="87" t="str">
        <f>HYPERLINK("https://pbs.twimg.com/media/EhVAOmdWoAAOQiY.jpg")</f>
        <v>https://pbs.twimg.com/media/EhVAOmdWoAAOQiY.jpg</v>
      </c>
      <c r="V41" s="87" t="str">
        <f>HYPERLINK("https://pbs.twimg.com/media/EhVAOmdWoAAOQiY.jpg")</f>
        <v>https://pbs.twimg.com/media/EhVAOmdWoAAOQiY.jpg</v>
      </c>
      <c r="W41" s="86">
        <v>44081.72038194445</v>
      </c>
      <c r="X41" s="90">
        <v>44081</v>
      </c>
      <c r="Y41" s="92" t="s">
        <v>647</v>
      </c>
      <c r="Z41" s="87" t="str">
        <f>HYPERLINK("https://twitter.com/shamephorash/status/1303019537911119872")</f>
        <v>https://twitter.com/shamephorash/status/1303019537911119872</v>
      </c>
      <c r="AA41" s="84"/>
      <c r="AB41" s="84"/>
      <c r="AC41" s="92" t="s">
        <v>1041</v>
      </c>
      <c r="AD41" s="84"/>
      <c r="AE41" s="84" t="b">
        <v>0</v>
      </c>
      <c r="AF41" s="84">
        <v>0</v>
      </c>
      <c r="AG41" s="92" t="s">
        <v>1453</v>
      </c>
      <c r="AH41" s="84" t="b">
        <v>0</v>
      </c>
      <c r="AI41" s="84" t="s">
        <v>1456</v>
      </c>
      <c r="AJ41" s="84"/>
      <c r="AK41" s="92" t="s">
        <v>1453</v>
      </c>
      <c r="AL41" s="84" t="b">
        <v>0</v>
      </c>
      <c r="AM41" s="84">
        <v>25</v>
      </c>
      <c r="AN41" s="92" t="s">
        <v>1248</v>
      </c>
      <c r="AO41" s="84" t="s">
        <v>1465</v>
      </c>
      <c r="AP41" s="84" t="b">
        <v>0</v>
      </c>
      <c r="AQ41" s="92" t="s">
        <v>1248</v>
      </c>
      <c r="AR41" s="84" t="s">
        <v>187</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49"/>
      <c r="BG41" s="50"/>
      <c r="BH41" s="49"/>
      <c r="BI41" s="50"/>
      <c r="BJ41" s="49"/>
      <c r="BK41" s="50"/>
      <c r="BL41" s="49"/>
      <c r="BM41" s="50"/>
      <c r="BN41" s="49"/>
    </row>
    <row r="42" spans="1:66" ht="15">
      <c r="A42" s="68" t="s">
        <v>233</v>
      </c>
      <c r="B42" s="68" t="s">
        <v>431</v>
      </c>
      <c r="C42" s="69" t="s">
        <v>5208</v>
      </c>
      <c r="D42" s="70">
        <v>1</v>
      </c>
      <c r="E42" s="71" t="s">
        <v>132</v>
      </c>
      <c r="F42" s="72">
        <v>32</v>
      </c>
      <c r="G42" s="69" t="s">
        <v>51</v>
      </c>
      <c r="H42" s="73"/>
      <c r="I42" s="74"/>
      <c r="J42" s="74"/>
      <c r="K42" s="35" t="s">
        <v>65</v>
      </c>
      <c r="L42" s="82">
        <v>42</v>
      </c>
      <c r="M42" s="82"/>
      <c r="N42" s="76"/>
      <c r="O42" s="84" t="s">
        <v>440</v>
      </c>
      <c r="P42" s="86">
        <v>44081.72038194445</v>
      </c>
      <c r="Q42" s="84" t="s">
        <v>448</v>
      </c>
      <c r="R42" s="87" t="str">
        <f>HYPERLINK("https://www.peoplematters.in/news/technology/job-searches-in-artificial-intelligence-rise-106-in-one-year-report-26898")</f>
        <v>https://www.peoplematters.in/news/technology/job-searches-in-artificial-intelligence-rise-106-in-one-year-report-26898</v>
      </c>
      <c r="S42" s="84" t="s">
        <v>532</v>
      </c>
      <c r="T42" s="84" t="s">
        <v>568</v>
      </c>
      <c r="U42" s="87" t="str">
        <f>HYPERLINK("https://pbs.twimg.com/media/EhVAOmdWoAAOQiY.jpg")</f>
        <v>https://pbs.twimg.com/media/EhVAOmdWoAAOQiY.jpg</v>
      </c>
      <c r="V42" s="87" t="str">
        <f>HYPERLINK("https://pbs.twimg.com/media/EhVAOmdWoAAOQiY.jpg")</f>
        <v>https://pbs.twimg.com/media/EhVAOmdWoAAOQiY.jpg</v>
      </c>
      <c r="W42" s="86">
        <v>44081.72038194445</v>
      </c>
      <c r="X42" s="90">
        <v>44081</v>
      </c>
      <c r="Y42" s="92" t="s">
        <v>647</v>
      </c>
      <c r="Z42" s="87" t="str">
        <f>HYPERLINK("https://twitter.com/shamephorash/status/1303019537911119872")</f>
        <v>https://twitter.com/shamephorash/status/1303019537911119872</v>
      </c>
      <c r="AA42" s="84"/>
      <c r="AB42" s="84"/>
      <c r="AC42" s="92" t="s">
        <v>1041</v>
      </c>
      <c r="AD42" s="84"/>
      <c r="AE42" s="84" t="b">
        <v>0</v>
      </c>
      <c r="AF42" s="84">
        <v>0</v>
      </c>
      <c r="AG42" s="92" t="s">
        <v>1453</v>
      </c>
      <c r="AH42" s="84" t="b">
        <v>0</v>
      </c>
      <c r="AI42" s="84" t="s">
        <v>1456</v>
      </c>
      <c r="AJ42" s="84"/>
      <c r="AK42" s="92" t="s">
        <v>1453</v>
      </c>
      <c r="AL42" s="84" t="b">
        <v>0</v>
      </c>
      <c r="AM42" s="84">
        <v>25</v>
      </c>
      <c r="AN42" s="92" t="s">
        <v>1248</v>
      </c>
      <c r="AO42" s="84" t="s">
        <v>1465</v>
      </c>
      <c r="AP42" s="84" t="b">
        <v>0</v>
      </c>
      <c r="AQ42" s="92" t="s">
        <v>1248</v>
      </c>
      <c r="AR42" s="84" t="s">
        <v>187</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49"/>
      <c r="BG42" s="50"/>
      <c r="BH42" s="49"/>
      <c r="BI42" s="50"/>
      <c r="BJ42" s="49"/>
      <c r="BK42" s="50"/>
      <c r="BL42" s="49"/>
      <c r="BM42" s="50"/>
      <c r="BN42" s="49"/>
    </row>
    <row r="43" spans="1:66" ht="15">
      <c r="A43" s="68" t="s">
        <v>233</v>
      </c>
      <c r="B43" s="68" t="s">
        <v>432</v>
      </c>
      <c r="C43" s="69" t="s">
        <v>5208</v>
      </c>
      <c r="D43" s="70">
        <v>1</v>
      </c>
      <c r="E43" s="71" t="s">
        <v>132</v>
      </c>
      <c r="F43" s="72">
        <v>32</v>
      </c>
      <c r="G43" s="69" t="s">
        <v>51</v>
      </c>
      <c r="H43" s="73"/>
      <c r="I43" s="74"/>
      <c r="J43" s="74"/>
      <c r="K43" s="35" t="s">
        <v>65</v>
      </c>
      <c r="L43" s="82">
        <v>43</v>
      </c>
      <c r="M43" s="82"/>
      <c r="N43" s="76"/>
      <c r="O43" s="84" t="s">
        <v>440</v>
      </c>
      <c r="P43" s="86">
        <v>44081.72038194445</v>
      </c>
      <c r="Q43" s="84" t="s">
        <v>448</v>
      </c>
      <c r="R43" s="87" t="str">
        <f>HYPERLINK("https://www.peoplematters.in/news/technology/job-searches-in-artificial-intelligence-rise-106-in-one-year-report-26898")</f>
        <v>https://www.peoplematters.in/news/technology/job-searches-in-artificial-intelligence-rise-106-in-one-year-report-26898</v>
      </c>
      <c r="S43" s="84" t="s">
        <v>532</v>
      </c>
      <c r="T43" s="84" t="s">
        <v>568</v>
      </c>
      <c r="U43" s="87" t="str">
        <f>HYPERLINK("https://pbs.twimg.com/media/EhVAOmdWoAAOQiY.jpg")</f>
        <v>https://pbs.twimg.com/media/EhVAOmdWoAAOQiY.jpg</v>
      </c>
      <c r="V43" s="87" t="str">
        <f>HYPERLINK("https://pbs.twimg.com/media/EhVAOmdWoAAOQiY.jpg")</f>
        <v>https://pbs.twimg.com/media/EhVAOmdWoAAOQiY.jpg</v>
      </c>
      <c r="W43" s="86">
        <v>44081.72038194445</v>
      </c>
      <c r="X43" s="90">
        <v>44081</v>
      </c>
      <c r="Y43" s="92" t="s">
        <v>647</v>
      </c>
      <c r="Z43" s="87" t="str">
        <f>HYPERLINK("https://twitter.com/shamephorash/status/1303019537911119872")</f>
        <v>https://twitter.com/shamephorash/status/1303019537911119872</v>
      </c>
      <c r="AA43" s="84"/>
      <c r="AB43" s="84"/>
      <c r="AC43" s="92" t="s">
        <v>1041</v>
      </c>
      <c r="AD43" s="84"/>
      <c r="AE43" s="84" t="b">
        <v>0</v>
      </c>
      <c r="AF43" s="84">
        <v>0</v>
      </c>
      <c r="AG43" s="92" t="s">
        <v>1453</v>
      </c>
      <c r="AH43" s="84" t="b">
        <v>0</v>
      </c>
      <c r="AI43" s="84" t="s">
        <v>1456</v>
      </c>
      <c r="AJ43" s="84"/>
      <c r="AK43" s="92" t="s">
        <v>1453</v>
      </c>
      <c r="AL43" s="84" t="b">
        <v>0</v>
      </c>
      <c r="AM43" s="84">
        <v>25</v>
      </c>
      <c r="AN43" s="92" t="s">
        <v>1248</v>
      </c>
      <c r="AO43" s="84" t="s">
        <v>1465</v>
      </c>
      <c r="AP43" s="84" t="b">
        <v>0</v>
      </c>
      <c r="AQ43" s="92" t="s">
        <v>1248</v>
      </c>
      <c r="AR43" s="84" t="s">
        <v>187</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4</v>
      </c>
      <c r="BF43" s="49"/>
      <c r="BG43" s="50"/>
      <c r="BH43" s="49"/>
      <c r="BI43" s="50"/>
      <c r="BJ43" s="49"/>
      <c r="BK43" s="50"/>
      <c r="BL43" s="49"/>
      <c r="BM43" s="50"/>
      <c r="BN43" s="49"/>
    </row>
    <row r="44" spans="1:66" ht="15">
      <c r="A44" s="68" t="s">
        <v>233</v>
      </c>
      <c r="B44" s="68" t="s">
        <v>384</v>
      </c>
      <c r="C44" s="69" t="s">
        <v>5208</v>
      </c>
      <c r="D44" s="70">
        <v>1</v>
      </c>
      <c r="E44" s="71" t="s">
        <v>132</v>
      </c>
      <c r="F44" s="72">
        <v>32</v>
      </c>
      <c r="G44" s="69" t="s">
        <v>51</v>
      </c>
      <c r="H44" s="73"/>
      <c r="I44" s="74"/>
      <c r="J44" s="74"/>
      <c r="K44" s="35" t="s">
        <v>65</v>
      </c>
      <c r="L44" s="82">
        <v>44</v>
      </c>
      <c r="M44" s="82"/>
      <c r="N44" s="76"/>
      <c r="O44" s="84" t="s">
        <v>439</v>
      </c>
      <c r="P44" s="86">
        <v>44081.72038194445</v>
      </c>
      <c r="Q44" s="84" t="s">
        <v>448</v>
      </c>
      <c r="R44" s="87" t="str">
        <f>HYPERLINK("https://www.peoplematters.in/news/technology/job-searches-in-artificial-intelligence-rise-106-in-one-year-report-26898")</f>
        <v>https://www.peoplematters.in/news/technology/job-searches-in-artificial-intelligence-rise-106-in-one-year-report-26898</v>
      </c>
      <c r="S44" s="84" t="s">
        <v>532</v>
      </c>
      <c r="T44" s="84" t="s">
        <v>568</v>
      </c>
      <c r="U44" s="87" t="str">
        <f>HYPERLINK("https://pbs.twimg.com/media/EhVAOmdWoAAOQiY.jpg")</f>
        <v>https://pbs.twimg.com/media/EhVAOmdWoAAOQiY.jpg</v>
      </c>
      <c r="V44" s="87" t="str">
        <f>HYPERLINK("https://pbs.twimg.com/media/EhVAOmdWoAAOQiY.jpg")</f>
        <v>https://pbs.twimg.com/media/EhVAOmdWoAAOQiY.jpg</v>
      </c>
      <c r="W44" s="86">
        <v>44081.72038194445</v>
      </c>
      <c r="X44" s="90">
        <v>44081</v>
      </c>
      <c r="Y44" s="92" t="s">
        <v>647</v>
      </c>
      <c r="Z44" s="87" t="str">
        <f>HYPERLINK("https://twitter.com/shamephorash/status/1303019537911119872")</f>
        <v>https://twitter.com/shamephorash/status/1303019537911119872</v>
      </c>
      <c r="AA44" s="84"/>
      <c r="AB44" s="84"/>
      <c r="AC44" s="92" t="s">
        <v>1041</v>
      </c>
      <c r="AD44" s="84"/>
      <c r="AE44" s="84" t="b">
        <v>0</v>
      </c>
      <c r="AF44" s="84">
        <v>0</v>
      </c>
      <c r="AG44" s="92" t="s">
        <v>1453</v>
      </c>
      <c r="AH44" s="84" t="b">
        <v>0</v>
      </c>
      <c r="AI44" s="84" t="s">
        <v>1456</v>
      </c>
      <c r="AJ44" s="84"/>
      <c r="AK44" s="92" t="s">
        <v>1453</v>
      </c>
      <c r="AL44" s="84" t="b">
        <v>0</v>
      </c>
      <c r="AM44" s="84">
        <v>25</v>
      </c>
      <c r="AN44" s="92" t="s">
        <v>1248</v>
      </c>
      <c r="AO44" s="84" t="s">
        <v>1465</v>
      </c>
      <c r="AP44" s="84" t="b">
        <v>0</v>
      </c>
      <c r="AQ44" s="92" t="s">
        <v>1248</v>
      </c>
      <c r="AR44" s="84" t="s">
        <v>187</v>
      </c>
      <c r="AS44" s="84">
        <v>0</v>
      </c>
      <c r="AT44" s="84">
        <v>0</v>
      </c>
      <c r="AU44" s="84"/>
      <c r="AV44" s="84"/>
      <c r="AW44" s="84"/>
      <c r="AX44" s="84"/>
      <c r="AY44" s="84"/>
      <c r="AZ44" s="84"/>
      <c r="BA44" s="84"/>
      <c r="BB44" s="84"/>
      <c r="BC44">
        <v>1</v>
      </c>
      <c r="BD44" s="83" t="str">
        <f>REPLACE(INDEX(GroupVertices[Group],MATCH(Edges[[#This Row],[Vertex 1]],GroupVertices[Vertex],0)),1,1,"")</f>
        <v>4</v>
      </c>
      <c r="BE44" s="83" t="str">
        <f>REPLACE(INDEX(GroupVertices[Group],MATCH(Edges[[#This Row],[Vertex 2]],GroupVertices[Vertex],0)),1,1,"")</f>
        <v>4</v>
      </c>
      <c r="BF44" s="49">
        <v>0</v>
      </c>
      <c r="BG44" s="50">
        <v>0</v>
      </c>
      <c r="BH44" s="49">
        <v>0</v>
      </c>
      <c r="BI44" s="50">
        <v>0</v>
      </c>
      <c r="BJ44" s="49">
        <v>0</v>
      </c>
      <c r="BK44" s="50">
        <v>0</v>
      </c>
      <c r="BL44" s="49">
        <v>28</v>
      </c>
      <c r="BM44" s="50">
        <v>100</v>
      </c>
      <c r="BN44" s="49">
        <v>28</v>
      </c>
    </row>
    <row r="45" spans="1:66" ht="15">
      <c r="A45" s="68" t="s">
        <v>234</v>
      </c>
      <c r="B45" s="68" t="s">
        <v>382</v>
      </c>
      <c r="C45" s="69" t="s">
        <v>5208</v>
      </c>
      <c r="D45" s="70">
        <v>1</v>
      </c>
      <c r="E45" s="71" t="s">
        <v>132</v>
      </c>
      <c r="F45" s="72">
        <v>32</v>
      </c>
      <c r="G45" s="69" t="s">
        <v>51</v>
      </c>
      <c r="H45" s="73"/>
      <c r="I45" s="74"/>
      <c r="J45" s="74"/>
      <c r="K45" s="35" t="s">
        <v>65</v>
      </c>
      <c r="L45" s="82">
        <v>45</v>
      </c>
      <c r="M45" s="82"/>
      <c r="N45" s="76"/>
      <c r="O45" s="84" t="s">
        <v>440</v>
      </c>
      <c r="P45" s="86">
        <v>44081.749814814815</v>
      </c>
      <c r="Q45" s="84" t="s">
        <v>448</v>
      </c>
      <c r="R45" s="87" t="str">
        <f>HYPERLINK("https://www.peoplematters.in/news/technology/job-searches-in-artificial-intelligence-rise-106-in-one-year-report-26898")</f>
        <v>https://www.peoplematters.in/news/technology/job-searches-in-artificial-intelligence-rise-106-in-one-year-report-26898</v>
      </c>
      <c r="S45" s="84" t="s">
        <v>532</v>
      </c>
      <c r="T45" s="84" t="s">
        <v>568</v>
      </c>
      <c r="U45" s="87" t="str">
        <f>HYPERLINK("https://pbs.twimg.com/media/EhVAOmdWoAAOQiY.jpg")</f>
        <v>https://pbs.twimg.com/media/EhVAOmdWoAAOQiY.jpg</v>
      </c>
      <c r="V45" s="87" t="str">
        <f>HYPERLINK("https://pbs.twimg.com/media/EhVAOmdWoAAOQiY.jpg")</f>
        <v>https://pbs.twimg.com/media/EhVAOmdWoAAOQiY.jpg</v>
      </c>
      <c r="W45" s="86">
        <v>44081.749814814815</v>
      </c>
      <c r="X45" s="90">
        <v>44081</v>
      </c>
      <c r="Y45" s="92" t="s">
        <v>648</v>
      </c>
      <c r="Z45" s="87" t="str">
        <f>HYPERLINK("https://twitter.com/ilovebooks786/status/1303030206240665601")</f>
        <v>https://twitter.com/ilovebooks786/status/1303030206240665601</v>
      </c>
      <c r="AA45" s="84"/>
      <c r="AB45" s="84"/>
      <c r="AC45" s="92" t="s">
        <v>1042</v>
      </c>
      <c r="AD45" s="84"/>
      <c r="AE45" s="84" t="b">
        <v>0</v>
      </c>
      <c r="AF45" s="84">
        <v>0</v>
      </c>
      <c r="AG45" s="92" t="s">
        <v>1453</v>
      </c>
      <c r="AH45" s="84" t="b">
        <v>0</v>
      </c>
      <c r="AI45" s="84" t="s">
        <v>1456</v>
      </c>
      <c r="AJ45" s="84"/>
      <c r="AK45" s="92" t="s">
        <v>1453</v>
      </c>
      <c r="AL45" s="84" t="b">
        <v>0</v>
      </c>
      <c r="AM45" s="84">
        <v>25</v>
      </c>
      <c r="AN45" s="92" t="s">
        <v>1248</v>
      </c>
      <c r="AO45" s="84" t="s">
        <v>1464</v>
      </c>
      <c r="AP45" s="84" t="b">
        <v>0</v>
      </c>
      <c r="AQ45" s="92" t="s">
        <v>1248</v>
      </c>
      <c r="AR45" s="84" t="s">
        <v>187</v>
      </c>
      <c r="AS45" s="84">
        <v>0</v>
      </c>
      <c r="AT45" s="84">
        <v>0</v>
      </c>
      <c r="AU45" s="84"/>
      <c r="AV45" s="84"/>
      <c r="AW45" s="84"/>
      <c r="AX45" s="84"/>
      <c r="AY45" s="84"/>
      <c r="AZ45" s="84"/>
      <c r="BA45" s="84"/>
      <c r="BB45" s="84"/>
      <c r="BC45">
        <v>1</v>
      </c>
      <c r="BD45" s="83" t="str">
        <f>REPLACE(INDEX(GroupVertices[Group],MATCH(Edges[[#This Row],[Vertex 1]],GroupVertices[Vertex],0)),1,1,"")</f>
        <v>4</v>
      </c>
      <c r="BE45" s="83" t="str">
        <f>REPLACE(INDEX(GroupVertices[Group],MATCH(Edges[[#This Row],[Vertex 2]],GroupVertices[Vertex],0)),1,1,"")</f>
        <v>4</v>
      </c>
      <c r="BF45" s="49"/>
      <c r="BG45" s="50"/>
      <c r="BH45" s="49"/>
      <c r="BI45" s="50"/>
      <c r="BJ45" s="49"/>
      <c r="BK45" s="50"/>
      <c r="BL45" s="49"/>
      <c r="BM45" s="50"/>
      <c r="BN45" s="49"/>
    </row>
    <row r="46" spans="1:66" ht="15">
      <c r="A46" s="68" t="s">
        <v>234</v>
      </c>
      <c r="B46" s="68" t="s">
        <v>385</v>
      </c>
      <c r="C46" s="69" t="s">
        <v>5208</v>
      </c>
      <c r="D46" s="70">
        <v>1</v>
      </c>
      <c r="E46" s="71" t="s">
        <v>132</v>
      </c>
      <c r="F46" s="72">
        <v>32</v>
      </c>
      <c r="G46" s="69" t="s">
        <v>51</v>
      </c>
      <c r="H46" s="73"/>
      <c r="I46" s="74"/>
      <c r="J46" s="74"/>
      <c r="K46" s="35" t="s">
        <v>65</v>
      </c>
      <c r="L46" s="82">
        <v>46</v>
      </c>
      <c r="M46" s="82"/>
      <c r="N46" s="76"/>
      <c r="O46" s="84" t="s">
        <v>440</v>
      </c>
      <c r="P46" s="86">
        <v>44081.749814814815</v>
      </c>
      <c r="Q46" s="84" t="s">
        <v>448</v>
      </c>
      <c r="R46" s="87" t="str">
        <f>HYPERLINK("https://www.peoplematters.in/news/technology/job-searches-in-artificial-intelligence-rise-106-in-one-year-report-26898")</f>
        <v>https://www.peoplematters.in/news/technology/job-searches-in-artificial-intelligence-rise-106-in-one-year-report-26898</v>
      </c>
      <c r="S46" s="84" t="s">
        <v>532</v>
      </c>
      <c r="T46" s="84" t="s">
        <v>568</v>
      </c>
      <c r="U46" s="87" t="str">
        <f>HYPERLINK("https://pbs.twimg.com/media/EhVAOmdWoAAOQiY.jpg")</f>
        <v>https://pbs.twimg.com/media/EhVAOmdWoAAOQiY.jpg</v>
      </c>
      <c r="V46" s="87" t="str">
        <f>HYPERLINK("https://pbs.twimg.com/media/EhVAOmdWoAAOQiY.jpg")</f>
        <v>https://pbs.twimg.com/media/EhVAOmdWoAAOQiY.jpg</v>
      </c>
      <c r="W46" s="86">
        <v>44081.749814814815</v>
      </c>
      <c r="X46" s="90">
        <v>44081</v>
      </c>
      <c r="Y46" s="92" t="s">
        <v>648</v>
      </c>
      <c r="Z46" s="87" t="str">
        <f>HYPERLINK("https://twitter.com/ilovebooks786/status/1303030206240665601")</f>
        <v>https://twitter.com/ilovebooks786/status/1303030206240665601</v>
      </c>
      <c r="AA46" s="84"/>
      <c r="AB46" s="84"/>
      <c r="AC46" s="92" t="s">
        <v>1042</v>
      </c>
      <c r="AD46" s="84"/>
      <c r="AE46" s="84" t="b">
        <v>0</v>
      </c>
      <c r="AF46" s="84">
        <v>0</v>
      </c>
      <c r="AG46" s="92" t="s">
        <v>1453</v>
      </c>
      <c r="AH46" s="84" t="b">
        <v>0</v>
      </c>
      <c r="AI46" s="84" t="s">
        <v>1456</v>
      </c>
      <c r="AJ46" s="84"/>
      <c r="AK46" s="92" t="s">
        <v>1453</v>
      </c>
      <c r="AL46" s="84" t="b">
        <v>0</v>
      </c>
      <c r="AM46" s="84">
        <v>25</v>
      </c>
      <c r="AN46" s="92" t="s">
        <v>1248</v>
      </c>
      <c r="AO46" s="84" t="s">
        <v>1464</v>
      </c>
      <c r="AP46" s="84" t="b">
        <v>0</v>
      </c>
      <c r="AQ46" s="92" t="s">
        <v>1248</v>
      </c>
      <c r="AR46" s="84" t="s">
        <v>187</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49"/>
      <c r="BG46" s="50"/>
      <c r="BH46" s="49"/>
      <c r="BI46" s="50"/>
      <c r="BJ46" s="49"/>
      <c r="BK46" s="50"/>
      <c r="BL46" s="49"/>
      <c r="BM46" s="50"/>
      <c r="BN46" s="49"/>
    </row>
    <row r="47" spans="1:66" ht="15">
      <c r="A47" s="68" t="s">
        <v>234</v>
      </c>
      <c r="B47" s="68" t="s">
        <v>430</v>
      </c>
      <c r="C47" s="69" t="s">
        <v>5208</v>
      </c>
      <c r="D47" s="70">
        <v>1</v>
      </c>
      <c r="E47" s="71" t="s">
        <v>132</v>
      </c>
      <c r="F47" s="72">
        <v>32</v>
      </c>
      <c r="G47" s="69" t="s">
        <v>51</v>
      </c>
      <c r="H47" s="73"/>
      <c r="I47" s="74"/>
      <c r="J47" s="74"/>
      <c r="K47" s="35" t="s">
        <v>65</v>
      </c>
      <c r="L47" s="82">
        <v>47</v>
      </c>
      <c r="M47" s="82"/>
      <c r="N47" s="76"/>
      <c r="O47" s="84" t="s">
        <v>440</v>
      </c>
      <c r="P47" s="86">
        <v>44081.749814814815</v>
      </c>
      <c r="Q47" s="84" t="s">
        <v>448</v>
      </c>
      <c r="R47" s="87" t="str">
        <f>HYPERLINK("https://www.peoplematters.in/news/technology/job-searches-in-artificial-intelligence-rise-106-in-one-year-report-26898")</f>
        <v>https://www.peoplematters.in/news/technology/job-searches-in-artificial-intelligence-rise-106-in-one-year-report-26898</v>
      </c>
      <c r="S47" s="84" t="s">
        <v>532</v>
      </c>
      <c r="T47" s="84" t="s">
        <v>568</v>
      </c>
      <c r="U47" s="87" t="str">
        <f>HYPERLINK("https://pbs.twimg.com/media/EhVAOmdWoAAOQiY.jpg")</f>
        <v>https://pbs.twimg.com/media/EhVAOmdWoAAOQiY.jpg</v>
      </c>
      <c r="V47" s="87" t="str">
        <f>HYPERLINK("https://pbs.twimg.com/media/EhVAOmdWoAAOQiY.jpg")</f>
        <v>https://pbs.twimg.com/media/EhVAOmdWoAAOQiY.jpg</v>
      </c>
      <c r="W47" s="86">
        <v>44081.749814814815</v>
      </c>
      <c r="X47" s="90">
        <v>44081</v>
      </c>
      <c r="Y47" s="92" t="s">
        <v>648</v>
      </c>
      <c r="Z47" s="87" t="str">
        <f>HYPERLINK("https://twitter.com/ilovebooks786/status/1303030206240665601")</f>
        <v>https://twitter.com/ilovebooks786/status/1303030206240665601</v>
      </c>
      <c r="AA47" s="84"/>
      <c r="AB47" s="84"/>
      <c r="AC47" s="92" t="s">
        <v>1042</v>
      </c>
      <c r="AD47" s="84"/>
      <c r="AE47" s="84" t="b">
        <v>0</v>
      </c>
      <c r="AF47" s="84">
        <v>0</v>
      </c>
      <c r="AG47" s="92" t="s">
        <v>1453</v>
      </c>
      <c r="AH47" s="84" t="b">
        <v>0</v>
      </c>
      <c r="AI47" s="84" t="s">
        <v>1456</v>
      </c>
      <c r="AJ47" s="84"/>
      <c r="AK47" s="92" t="s">
        <v>1453</v>
      </c>
      <c r="AL47" s="84" t="b">
        <v>0</v>
      </c>
      <c r="AM47" s="84">
        <v>25</v>
      </c>
      <c r="AN47" s="92" t="s">
        <v>1248</v>
      </c>
      <c r="AO47" s="84" t="s">
        <v>1464</v>
      </c>
      <c r="AP47" s="84" t="b">
        <v>0</v>
      </c>
      <c r="AQ47" s="92" t="s">
        <v>1248</v>
      </c>
      <c r="AR47" s="84" t="s">
        <v>187</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49"/>
      <c r="BG47" s="50"/>
      <c r="BH47" s="49"/>
      <c r="BI47" s="50"/>
      <c r="BJ47" s="49"/>
      <c r="BK47" s="50"/>
      <c r="BL47" s="49"/>
      <c r="BM47" s="50"/>
      <c r="BN47" s="49"/>
    </row>
    <row r="48" spans="1:66" ht="15">
      <c r="A48" s="68" t="s">
        <v>234</v>
      </c>
      <c r="B48" s="68" t="s">
        <v>383</v>
      </c>
      <c r="C48" s="69" t="s">
        <v>5208</v>
      </c>
      <c r="D48" s="70">
        <v>1</v>
      </c>
      <c r="E48" s="71" t="s">
        <v>132</v>
      </c>
      <c r="F48" s="72">
        <v>32</v>
      </c>
      <c r="G48" s="69" t="s">
        <v>51</v>
      </c>
      <c r="H48" s="73"/>
      <c r="I48" s="74"/>
      <c r="J48" s="74"/>
      <c r="K48" s="35" t="s">
        <v>65</v>
      </c>
      <c r="L48" s="82">
        <v>48</v>
      </c>
      <c r="M48" s="82"/>
      <c r="N48" s="76"/>
      <c r="O48" s="84" t="s">
        <v>440</v>
      </c>
      <c r="P48" s="86">
        <v>44081.749814814815</v>
      </c>
      <c r="Q48" s="84" t="s">
        <v>448</v>
      </c>
      <c r="R48" s="87" t="str">
        <f>HYPERLINK("https://www.peoplematters.in/news/technology/job-searches-in-artificial-intelligence-rise-106-in-one-year-report-26898")</f>
        <v>https://www.peoplematters.in/news/technology/job-searches-in-artificial-intelligence-rise-106-in-one-year-report-26898</v>
      </c>
      <c r="S48" s="84" t="s">
        <v>532</v>
      </c>
      <c r="T48" s="84" t="s">
        <v>568</v>
      </c>
      <c r="U48" s="87" t="str">
        <f>HYPERLINK("https://pbs.twimg.com/media/EhVAOmdWoAAOQiY.jpg")</f>
        <v>https://pbs.twimg.com/media/EhVAOmdWoAAOQiY.jpg</v>
      </c>
      <c r="V48" s="87" t="str">
        <f>HYPERLINK("https://pbs.twimg.com/media/EhVAOmdWoAAOQiY.jpg")</f>
        <v>https://pbs.twimg.com/media/EhVAOmdWoAAOQiY.jpg</v>
      </c>
      <c r="W48" s="86">
        <v>44081.749814814815</v>
      </c>
      <c r="X48" s="90">
        <v>44081</v>
      </c>
      <c r="Y48" s="92" t="s">
        <v>648</v>
      </c>
      <c r="Z48" s="87" t="str">
        <f>HYPERLINK("https://twitter.com/ilovebooks786/status/1303030206240665601")</f>
        <v>https://twitter.com/ilovebooks786/status/1303030206240665601</v>
      </c>
      <c r="AA48" s="84"/>
      <c r="AB48" s="84"/>
      <c r="AC48" s="92" t="s">
        <v>1042</v>
      </c>
      <c r="AD48" s="84"/>
      <c r="AE48" s="84" t="b">
        <v>0</v>
      </c>
      <c r="AF48" s="84">
        <v>0</v>
      </c>
      <c r="AG48" s="92" t="s">
        <v>1453</v>
      </c>
      <c r="AH48" s="84" t="b">
        <v>0</v>
      </c>
      <c r="AI48" s="84" t="s">
        <v>1456</v>
      </c>
      <c r="AJ48" s="84"/>
      <c r="AK48" s="92" t="s">
        <v>1453</v>
      </c>
      <c r="AL48" s="84" t="b">
        <v>0</v>
      </c>
      <c r="AM48" s="84">
        <v>25</v>
      </c>
      <c r="AN48" s="92" t="s">
        <v>1248</v>
      </c>
      <c r="AO48" s="84" t="s">
        <v>1464</v>
      </c>
      <c r="AP48" s="84" t="b">
        <v>0</v>
      </c>
      <c r="AQ48" s="92" t="s">
        <v>1248</v>
      </c>
      <c r="AR48" s="84" t="s">
        <v>187</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49"/>
      <c r="BG48" s="50"/>
      <c r="BH48" s="49"/>
      <c r="BI48" s="50"/>
      <c r="BJ48" s="49"/>
      <c r="BK48" s="50"/>
      <c r="BL48" s="49"/>
      <c r="BM48" s="50"/>
      <c r="BN48" s="49"/>
    </row>
    <row r="49" spans="1:66" ht="15">
      <c r="A49" s="68" t="s">
        <v>234</v>
      </c>
      <c r="B49" s="68" t="s">
        <v>380</v>
      </c>
      <c r="C49" s="69" t="s">
        <v>5208</v>
      </c>
      <c r="D49" s="70">
        <v>1</v>
      </c>
      <c r="E49" s="71" t="s">
        <v>132</v>
      </c>
      <c r="F49" s="72">
        <v>32</v>
      </c>
      <c r="G49" s="69" t="s">
        <v>51</v>
      </c>
      <c r="H49" s="73"/>
      <c r="I49" s="74"/>
      <c r="J49" s="74"/>
      <c r="K49" s="35" t="s">
        <v>65</v>
      </c>
      <c r="L49" s="82">
        <v>49</v>
      </c>
      <c r="M49" s="82"/>
      <c r="N49" s="76"/>
      <c r="O49" s="84" t="s">
        <v>440</v>
      </c>
      <c r="P49" s="86">
        <v>44081.749814814815</v>
      </c>
      <c r="Q49" s="84" t="s">
        <v>448</v>
      </c>
      <c r="R49" s="87" t="str">
        <f>HYPERLINK("https://www.peoplematters.in/news/technology/job-searches-in-artificial-intelligence-rise-106-in-one-year-report-26898")</f>
        <v>https://www.peoplematters.in/news/technology/job-searches-in-artificial-intelligence-rise-106-in-one-year-report-26898</v>
      </c>
      <c r="S49" s="84" t="s">
        <v>532</v>
      </c>
      <c r="T49" s="84" t="s">
        <v>568</v>
      </c>
      <c r="U49" s="87" t="str">
        <f>HYPERLINK("https://pbs.twimg.com/media/EhVAOmdWoAAOQiY.jpg")</f>
        <v>https://pbs.twimg.com/media/EhVAOmdWoAAOQiY.jpg</v>
      </c>
      <c r="V49" s="87" t="str">
        <f>HYPERLINK("https://pbs.twimg.com/media/EhVAOmdWoAAOQiY.jpg")</f>
        <v>https://pbs.twimg.com/media/EhVAOmdWoAAOQiY.jpg</v>
      </c>
      <c r="W49" s="86">
        <v>44081.749814814815</v>
      </c>
      <c r="X49" s="90">
        <v>44081</v>
      </c>
      <c r="Y49" s="92" t="s">
        <v>648</v>
      </c>
      <c r="Z49" s="87" t="str">
        <f>HYPERLINK("https://twitter.com/ilovebooks786/status/1303030206240665601")</f>
        <v>https://twitter.com/ilovebooks786/status/1303030206240665601</v>
      </c>
      <c r="AA49" s="84"/>
      <c r="AB49" s="84"/>
      <c r="AC49" s="92" t="s">
        <v>1042</v>
      </c>
      <c r="AD49" s="84"/>
      <c r="AE49" s="84" t="b">
        <v>0</v>
      </c>
      <c r="AF49" s="84">
        <v>0</v>
      </c>
      <c r="AG49" s="92" t="s">
        <v>1453</v>
      </c>
      <c r="AH49" s="84" t="b">
        <v>0</v>
      </c>
      <c r="AI49" s="84" t="s">
        <v>1456</v>
      </c>
      <c r="AJ49" s="84"/>
      <c r="AK49" s="92" t="s">
        <v>1453</v>
      </c>
      <c r="AL49" s="84" t="b">
        <v>0</v>
      </c>
      <c r="AM49" s="84">
        <v>25</v>
      </c>
      <c r="AN49" s="92" t="s">
        <v>1248</v>
      </c>
      <c r="AO49" s="84" t="s">
        <v>1464</v>
      </c>
      <c r="AP49" s="84" t="b">
        <v>0</v>
      </c>
      <c r="AQ49" s="92" t="s">
        <v>1248</v>
      </c>
      <c r="AR49" s="84" t="s">
        <v>187</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49"/>
      <c r="BG49" s="50"/>
      <c r="BH49" s="49"/>
      <c r="BI49" s="50"/>
      <c r="BJ49" s="49"/>
      <c r="BK49" s="50"/>
      <c r="BL49" s="49"/>
      <c r="BM49" s="50"/>
      <c r="BN49" s="49"/>
    </row>
    <row r="50" spans="1:66" ht="15">
      <c r="A50" s="68" t="s">
        <v>234</v>
      </c>
      <c r="B50" s="68" t="s">
        <v>381</v>
      </c>
      <c r="C50" s="69" t="s">
        <v>5208</v>
      </c>
      <c r="D50" s="70">
        <v>1</v>
      </c>
      <c r="E50" s="71" t="s">
        <v>132</v>
      </c>
      <c r="F50" s="72">
        <v>32</v>
      </c>
      <c r="G50" s="69" t="s">
        <v>51</v>
      </c>
      <c r="H50" s="73"/>
      <c r="I50" s="74"/>
      <c r="J50" s="74"/>
      <c r="K50" s="35" t="s">
        <v>65</v>
      </c>
      <c r="L50" s="82">
        <v>50</v>
      </c>
      <c r="M50" s="82"/>
      <c r="N50" s="76"/>
      <c r="O50" s="84" t="s">
        <v>440</v>
      </c>
      <c r="P50" s="86">
        <v>44081.749814814815</v>
      </c>
      <c r="Q50" s="84" t="s">
        <v>448</v>
      </c>
      <c r="R50" s="87" t="str">
        <f>HYPERLINK("https://www.peoplematters.in/news/technology/job-searches-in-artificial-intelligence-rise-106-in-one-year-report-26898")</f>
        <v>https://www.peoplematters.in/news/technology/job-searches-in-artificial-intelligence-rise-106-in-one-year-report-26898</v>
      </c>
      <c r="S50" s="84" t="s">
        <v>532</v>
      </c>
      <c r="T50" s="84" t="s">
        <v>568</v>
      </c>
      <c r="U50" s="87" t="str">
        <f>HYPERLINK("https://pbs.twimg.com/media/EhVAOmdWoAAOQiY.jpg")</f>
        <v>https://pbs.twimg.com/media/EhVAOmdWoAAOQiY.jpg</v>
      </c>
      <c r="V50" s="87" t="str">
        <f>HYPERLINK("https://pbs.twimg.com/media/EhVAOmdWoAAOQiY.jpg")</f>
        <v>https://pbs.twimg.com/media/EhVAOmdWoAAOQiY.jpg</v>
      </c>
      <c r="W50" s="86">
        <v>44081.749814814815</v>
      </c>
      <c r="X50" s="90">
        <v>44081</v>
      </c>
      <c r="Y50" s="92" t="s">
        <v>648</v>
      </c>
      <c r="Z50" s="87" t="str">
        <f>HYPERLINK("https://twitter.com/ilovebooks786/status/1303030206240665601")</f>
        <v>https://twitter.com/ilovebooks786/status/1303030206240665601</v>
      </c>
      <c r="AA50" s="84"/>
      <c r="AB50" s="84"/>
      <c r="AC50" s="92" t="s">
        <v>1042</v>
      </c>
      <c r="AD50" s="84"/>
      <c r="AE50" s="84" t="b">
        <v>0</v>
      </c>
      <c r="AF50" s="84">
        <v>0</v>
      </c>
      <c r="AG50" s="92" t="s">
        <v>1453</v>
      </c>
      <c r="AH50" s="84" t="b">
        <v>0</v>
      </c>
      <c r="AI50" s="84" t="s">
        <v>1456</v>
      </c>
      <c r="AJ50" s="84"/>
      <c r="AK50" s="92" t="s">
        <v>1453</v>
      </c>
      <c r="AL50" s="84" t="b">
        <v>0</v>
      </c>
      <c r="AM50" s="84">
        <v>25</v>
      </c>
      <c r="AN50" s="92" t="s">
        <v>1248</v>
      </c>
      <c r="AO50" s="84" t="s">
        <v>1464</v>
      </c>
      <c r="AP50" s="84" t="b">
        <v>0</v>
      </c>
      <c r="AQ50" s="92" t="s">
        <v>1248</v>
      </c>
      <c r="AR50" s="84" t="s">
        <v>187</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49"/>
      <c r="BG50" s="50"/>
      <c r="BH50" s="49"/>
      <c r="BI50" s="50"/>
      <c r="BJ50" s="49"/>
      <c r="BK50" s="50"/>
      <c r="BL50" s="49"/>
      <c r="BM50" s="50"/>
      <c r="BN50" s="49"/>
    </row>
    <row r="51" spans="1:66" ht="15">
      <c r="A51" s="68" t="s">
        <v>234</v>
      </c>
      <c r="B51" s="68" t="s">
        <v>431</v>
      </c>
      <c r="C51" s="69" t="s">
        <v>5208</v>
      </c>
      <c r="D51" s="70">
        <v>1</v>
      </c>
      <c r="E51" s="71" t="s">
        <v>132</v>
      </c>
      <c r="F51" s="72">
        <v>32</v>
      </c>
      <c r="G51" s="69" t="s">
        <v>51</v>
      </c>
      <c r="H51" s="73"/>
      <c r="I51" s="74"/>
      <c r="J51" s="74"/>
      <c r="K51" s="35" t="s">
        <v>65</v>
      </c>
      <c r="L51" s="82">
        <v>51</v>
      </c>
      <c r="M51" s="82"/>
      <c r="N51" s="76"/>
      <c r="O51" s="84" t="s">
        <v>440</v>
      </c>
      <c r="P51" s="86">
        <v>44081.749814814815</v>
      </c>
      <c r="Q51" s="84" t="s">
        <v>448</v>
      </c>
      <c r="R51" s="87" t="str">
        <f>HYPERLINK("https://www.peoplematters.in/news/technology/job-searches-in-artificial-intelligence-rise-106-in-one-year-report-26898")</f>
        <v>https://www.peoplematters.in/news/technology/job-searches-in-artificial-intelligence-rise-106-in-one-year-report-26898</v>
      </c>
      <c r="S51" s="84" t="s">
        <v>532</v>
      </c>
      <c r="T51" s="84" t="s">
        <v>568</v>
      </c>
      <c r="U51" s="87" t="str">
        <f>HYPERLINK("https://pbs.twimg.com/media/EhVAOmdWoAAOQiY.jpg")</f>
        <v>https://pbs.twimg.com/media/EhVAOmdWoAAOQiY.jpg</v>
      </c>
      <c r="V51" s="87" t="str">
        <f>HYPERLINK("https://pbs.twimg.com/media/EhVAOmdWoAAOQiY.jpg")</f>
        <v>https://pbs.twimg.com/media/EhVAOmdWoAAOQiY.jpg</v>
      </c>
      <c r="W51" s="86">
        <v>44081.749814814815</v>
      </c>
      <c r="X51" s="90">
        <v>44081</v>
      </c>
      <c r="Y51" s="92" t="s">
        <v>648</v>
      </c>
      <c r="Z51" s="87" t="str">
        <f>HYPERLINK("https://twitter.com/ilovebooks786/status/1303030206240665601")</f>
        <v>https://twitter.com/ilovebooks786/status/1303030206240665601</v>
      </c>
      <c r="AA51" s="84"/>
      <c r="AB51" s="84"/>
      <c r="AC51" s="92" t="s">
        <v>1042</v>
      </c>
      <c r="AD51" s="84"/>
      <c r="AE51" s="84" t="b">
        <v>0</v>
      </c>
      <c r="AF51" s="84">
        <v>0</v>
      </c>
      <c r="AG51" s="92" t="s">
        <v>1453</v>
      </c>
      <c r="AH51" s="84" t="b">
        <v>0</v>
      </c>
      <c r="AI51" s="84" t="s">
        <v>1456</v>
      </c>
      <c r="AJ51" s="84"/>
      <c r="AK51" s="92" t="s">
        <v>1453</v>
      </c>
      <c r="AL51" s="84" t="b">
        <v>0</v>
      </c>
      <c r="AM51" s="84">
        <v>25</v>
      </c>
      <c r="AN51" s="92" t="s">
        <v>1248</v>
      </c>
      <c r="AO51" s="84" t="s">
        <v>1464</v>
      </c>
      <c r="AP51" s="84" t="b">
        <v>0</v>
      </c>
      <c r="AQ51" s="92" t="s">
        <v>1248</v>
      </c>
      <c r="AR51" s="84" t="s">
        <v>187</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49"/>
      <c r="BG51" s="50"/>
      <c r="BH51" s="49"/>
      <c r="BI51" s="50"/>
      <c r="BJ51" s="49"/>
      <c r="BK51" s="50"/>
      <c r="BL51" s="49"/>
      <c r="BM51" s="50"/>
      <c r="BN51" s="49"/>
    </row>
    <row r="52" spans="1:66" ht="15">
      <c r="A52" s="68" t="s">
        <v>234</v>
      </c>
      <c r="B52" s="68" t="s">
        <v>432</v>
      </c>
      <c r="C52" s="69" t="s">
        <v>5208</v>
      </c>
      <c r="D52" s="70">
        <v>1</v>
      </c>
      <c r="E52" s="71" t="s">
        <v>132</v>
      </c>
      <c r="F52" s="72">
        <v>32</v>
      </c>
      <c r="G52" s="69" t="s">
        <v>51</v>
      </c>
      <c r="H52" s="73"/>
      <c r="I52" s="74"/>
      <c r="J52" s="74"/>
      <c r="K52" s="35" t="s">
        <v>65</v>
      </c>
      <c r="L52" s="82">
        <v>52</v>
      </c>
      <c r="M52" s="82"/>
      <c r="N52" s="76"/>
      <c r="O52" s="84" t="s">
        <v>440</v>
      </c>
      <c r="P52" s="86">
        <v>44081.749814814815</v>
      </c>
      <c r="Q52" s="84" t="s">
        <v>448</v>
      </c>
      <c r="R52" s="87" t="str">
        <f>HYPERLINK("https://www.peoplematters.in/news/technology/job-searches-in-artificial-intelligence-rise-106-in-one-year-report-26898")</f>
        <v>https://www.peoplematters.in/news/technology/job-searches-in-artificial-intelligence-rise-106-in-one-year-report-26898</v>
      </c>
      <c r="S52" s="84" t="s">
        <v>532</v>
      </c>
      <c r="T52" s="84" t="s">
        <v>568</v>
      </c>
      <c r="U52" s="87" t="str">
        <f>HYPERLINK("https://pbs.twimg.com/media/EhVAOmdWoAAOQiY.jpg")</f>
        <v>https://pbs.twimg.com/media/EhVAOmdWoAAOQiY.jpg</v>
      </c>
      <c r="V52" s="87" t="str">
        <f>HYPERLINK("https://pbs.twimg.com/media/EhVAOmdWoAAOQiY.jpg")</f>
        <v>https://pbs.twimg.com/media/EhVAOmdWoAAOQiY.jpg</v>
      </c>
      <c r="W52" s="86">
        <v>44081.749814814815</v>
      </c>
      <c r="X52" s="90">
        <v>44081</v>
      </c>
      <c r="Y52" s="92" t="s">
        <v>648</v>
      </c>
      <c r="Z52" s="87" t="str">
        <f>HYPERLINK("https://twitter.com/ilovebooks786/status/1303030206240665601")</f>
        <v>https://twitter.com/ilovebooks786/status/1303030206240665601</v>
      </c>
      <c r="AA52" s="84"/>
      <c r="AB52" s="84"/>
      <c r="AC52" s="92" t="s">
        <v>1042</v>
      </c>
      <c r="AD52" s="84"/>
      <c r="AE52" s="84" t="b">
        <v>0</v>
      </c>
      <c r="AF52" s="84">
        <v>0</v>
      </c>
      <c r="AG52" s="92" t="s">
        <v>1453</v>
      </c>
      <c r="AH52" s="84" t="b">
        <v>0</v>
      </c>
      <c r="AI52" s="84" t="s">
        <v>1456</v>
      </c>
      <c r="AJ52" s="84"/>
      <c r="AK52" s="92" t="s">
        <v>1453</v>
      </c>
      <c r="AL52" s="84" t="b">
        <v>0</v>
      </c>
      <c r="AM52" s="84">
        <v>25</v>
      </c>
      <c r="AN52" s="92" t="s">
        <v>1248</v>
      </c>
      <c r="AO52" s="84" t="s">
        <v>1464</v>
      </c>
      <c r="AP52" s="84" t="b">
        <v>0</v>
      </c>
      <c r="AQ52" s="92" t="s">
        <v>1248</v>
      </c>
      <c r="AR52" s="84" t="s">
        <v>187</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49"/>
      <c r="BG52" s="50"/>
      <c r="BH52" s="49"/>
      <c r="BI52" s="50"/>
      <c r="BJ52" s="49"/>
      <c r="BK52" s="50"/>
      <c r="BL52" s="49"/>
      <c r="BM52" s="50"/>
      <c r="BN52" s="49"/>
    </row>
    <row r="53" spans="1:66" ht="15">
      <c r="A53" s="68" t="s">
        <v>234</v>
      </c>
      <c r="B53" s="68" t="s">
        <v>384</v>
      </c>
      <c r="C53" s="69" t="s">
        <v>5208</v>
      </c>
      <c r="D53" s="70">
        <v>1</v>
      </c>
      <c r="E53" s="71" t="s">
        <v>132</v>
      </c>
      <c r="F53" s="72">
        <v>32</v>
      </c>
      <c r="G53" s="69" t="s">
        <v>51</v>
      </c>
      <c r="H53" s="73"/>
      <c r="I53" s="74"/>
      <c r="J53" s="74"/>
      <c r="K53" s="35" t="s">
        <v>65</v>
      </c>
      <c r="L53" s="82">
        <v>53</v>
      </c>
      <c r="M53" s="82"/>
      <c r="N53" s="76"/>
      <c r="O53" s="84" t="s">
        <v>439</v>
      </c>
      <c r="P53" s="86">
        <v>44081.749814814815</v>
      </c>
      <c r="Q53" s="84" t="s">
        <v>448</v>
      </c>
      <c r="R53" s="87" t="str">
        <f>HYPERLINK("https://www.peoplematters.in/news/technology/job-searches-in-artificial-intelligence-rise-106-in-one-year-report-26898")</f>
        <v>https://www.peoplematters.in/news/technology/job-searches-in-artificial-intelligence-rise-106-in-one-year-report-26898</v>
      </c>
      <c r="S53" s="84" t="s">
        <v>532</v>
      </c>
      <c r="T53" s="84" t="s">
        <v>568</v>
      </c>
      <c r="U53" s="87" t="str">
        <f>HYPERLINK("https://pbs.twimg.com/media/EhVAOmdWoAAOQiY.jpg")</f>
        <v>https://pbs.twimg.com/media/EhVAOmdWoAAOQiY.jpg</v>
      </c>
      <c r="V53" s="87" t="str">
        <f>HYPERLINK("https://pbs.twimg.com/media/EhVAOmdWoAAOQiY.jpg")</f>
        <v>https://pbs.twimg.com/media/EhVAOmdWoAAOQiY.jpg</v>
      </c>
      <c r="W53" s="86">
        <v>44081.749814814815</v>
      </c>
      <c r="X53" s="90">
        <v>44081</v>
      </c>
      <c r="Y53" s="92" t="s">
        <v>648</v>
      </c>
      <c r="Z53" s="87" t="str">
        <f>HYPERLINK("https://twitter.com/ilovebooks786/status/1303030206240665601")</f>
        <v>https://twitter.com/ilovebooks786/status/1303030206240665601</v>
      </c>
      <c r="AA53" s="84"/>
      <c r="AB53" s="84"/>
      <c r="AC53" s="92" t="s">
        <v>1042</v>
      </c>
      <c r="AD53" s="84"/>
      <c r="AE53" s="84" t="b">
        <v>0</v>
      </c>
      <c r="AF53" s="84">
        <v>0</v>
      </c>
      <c r="AG53" s="92" t="s">
        <v>1453</v>
      </c>
      <c r="AH53" s="84" t="b">
        <v>0</v>
      </c>
      <c r="AI53" s="84" t="s">
        <v>1456</v>
      </c>
      <c r="AJ53" s="84"/>
      <c r="AK53" s="92" t="s">
        <v>1453</v>
      </c>
      <c r="AL53" s="84" t="b">
        <v>0</v>
      </c>
      <c r="AM53" s="84">
        <v>25</v>
      </c>
      <c r="AN53" s="92" t="s">
        <v>1248</v>
      </c>
      <c r="AO53" s="84" t="s">
        <v>1464</v>
      </c>
      <c r="AP53" s="84" t="b">
        <v>0</v>
      </c>
      <c r="AQ53" s="92" t="s">
        <v>1248</v>
      </c>
      <c r="AR53" s="84" t="s">
        <v>187</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49">
        <v>0</v>
      </c>
      <c r="BG53" s="50">
        <v>0</v>
      </c>
      <c r="BH53" s="49">
        <v>0</v>
      </c>
      <c r="BI53" s="50">
        <v>0</v>
      </c>
      <c r="BJ53" s="49">
        <v>0</v>
      </c>
      <c r="BK53" s="50">
        <v>0</v>
      </c>
      <c r="BL53" s="49">
        <v>28</v>
      </c>
      <c r="BM53" s="50">
        <v>100</v>
      </c>
      <c r="BN53" s="49">
        <v>28</v>
      </c>
    </row>
    <row r="54" spans="1:66" ht="15">
      <c r="A54" s="68" t="s">
        <v>235</v>
      </c>
      <c r="B54" s="68" t="s">
        <v>382</v>
      </c>
      <c r="C54" s="69" t="s">
        <v>5208</v>
      </c>
      <c r="D54" s="70">
        <v>1</v>
      </c>
      <c r="E54" s="71" t="s">
        <v>132</v>
      </c>
      <c r="F54" s="72">
        <v>32</v>
      </c>
      <c r="G54" s="69" t="s">
        <v>51</v>
      </c>
      <c r="H54" s="73"/>
      <c r="I54" s="74"/>
      <c r="J54" s="74"/>
      <c r="K54" s="35" t="s">
        <v>65</v>
      </c>
      <c r="L54" s="82">
        <v>54</v>
      </c>
      <c r="M54" s="82"/>
      <c r="N54" s="76"/>
      <c r="O54" s="84" t="s">
        <v>440</v>
      </c>
      <c r="P54" s="86">
        <v>44081.767534722225</v>
      </c>
      <c r="Q54" s="84" t="s">
        <v>448</v>
      </c>
      <c r="R54" s="87" t="str">
        <f>HYPERLINK("https://www.peoplematters.in/news/technology/job-searches-in-artificial-intelligence-rise-106-in-one-year-report-26898")</f>
        <v>https://www.peoplematters.in/news/technology/job-searches-in-artificial-intelligence-rise-106-in-one-year-report-26898</v>
      </c>
      <c r="S54" s="84" t="s">
        <v>532</v>
      </c>
      <c r="T54" s="84" t="s">
        <v>568</v>
      </c>
      <c r="U54" s="87" t="str">
        <f>HYPERLINK("https://pbs.twimg.com/media/EhVAOmdWoAAOQiY.jpg")</f>
        <v>https://pbs.twimg.com/media/EhVAOmdWoAAOQiY.jpg</v>
      </c>
      <c r="V54" s="87" t="str">
        <f>HYPERLINK("https://pbs.twimg.com/media/EhVAOmdWoAAOQiY.jpg")</f>
        <v>https://pbs.twimg.com/media/EhVAOmdWoAAOQiY.jpg</v>
      </c>
      <c r="W54" s="86">
        <v>44081.767534722225</v>
      </c>
      <c r="X54" s="90">
        <v>44081</v>
      </c>
      <c r="Y54" s="92" t="s">
        <v>649</v>
      </c>
      <c r="Z54" s="87" t="str">
        <f>HYPERLINK("https://twitter.com/rldi_lamy/status/1303036625895686149")</f>
        <v>https://twitter.com/rldi_lamy/status/1303036625895686149</v>
      </c>
      <c r="AA54" s="84"/>
      <c r="AB54" s="84"/>
      <c r="AC54" s="92" t="s">
        <v>1043</v>
      </c>
      <c r="AD54" s="84"/>
      <c r="AE54" s="84" t="b">
        <v>0</v>
      </c>
      <c r="AF54" s="84">
        <v>0</v>
      </c>
      <c r="AG54" s="92" t="s">
        <v>1453</v>
      </c>
      <c r="AH54" s="84" t="b">
        <v>0</v>
      </c>
      <c r="AI54" s="84" t="s">
        <v>1456</v>
      </c>
      <c r="AJ54" s="84"/>
      <c r="AK54" s="92" t="s">
        <v>1453</v>
      </c>
      <c r="AL54" s="84" t="b">
        <v>0</v>
      </c>
      <c r="AM54" s="84">
        <v>25</v>
      </c>
      <c r="AN54" s="92" t="s">
        <v>1248</v>
      </c>
      <c r="AO54" s="84" t="s">
        <v>1464</v>
      </c>
      <c r="AP54" s="84" t="b">
        <v>0</v>
      </c>
      <c r="AQ54" s="92" t="s">
        <v>1248</v>
      </c>
      <c r="AR54" s="84" t="s">
        <v>187</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49"/>
      <c r="BG54" s="50"/>
      <c r="BH54" s="49"/>
      <c r="BI54" s="50"/>
      <c r="BJ54" s="49"/>
      <c r="BK54" s="50"/>
      <c r="BL54" s="49"/>
      <c r="BM54" s="50"/>
      <c r="BN54" s="49"/>
    </row>
    <row r="55" spans="1:66" ht="15">
      <c r="A55" s="68" t="s">
        <v>235</v>
      </c>
      <c r="B55" s="68" t="s">
        <v>385</v>
      </c>
      <c r="C55" s="69" t="s">
        <v>5208</v>
      </c>
      <c r="D55" s="70">
        <v>1</v>
      </c>
      <c r="E55" s="71" t="s">
        <v>132</v>
      </c>
      <c r="F55" s="72">
        <v>32</v>
      </c>
      <c r="G55" s="69" t="s">
        <v>51</v>
      </c>
      <c r="H55" s="73"/>
      <c r="I55" s="74"/>
      <c r="J55" s="74"/>
      <c r="K55" s="35" t="s">
        <v>65</v>
      </c>
      <c r="L55" s="82">
        <v>55</v>
      </c>
      <c r="M55" s="82"/>
      <c r="N55" s="76"/>
      <c r="O55" s="84" t="s">
        <v>440</v>
      </c>
      <c r="P55" s="86">
        <v>44081.767534722225</v>
      </c>
      <c r="Q55" s="84" t="s">
        <v>448</v>
      </c>
      <c r="R55" s="87" t="str">
        <f>HYPERLINK("https://www.peoplematters.in/news/technology/job-searches-in-artificial-intelligence-rise-106-in-one-year-report-26898")</f>
        <v>https://www.peoplematters.in/news/technology/job-searches-in-artificial-intelligence-rise-106-in-one-year-report-26898</v>
      </c>
      <c r="S55" s="84" t="s">
        <v>532</v>
      </c>
      <c r="T55" s="84" t="s">
        <v>568</v>
      </c>
      <c r="U55" s="87" t="str">
        <f>HYPERLINK("https://pbs.twimg.com/media/EhVAOmdWoAAOQiY.jpg")</f>
        <v>https://pbs.twimg.com/media/EhVAOmdWoAAOQiY.jpg</v>
      </c>
      <c r="V55" s="87" t="str">
        <f>HYPERLINK("https://pbs.twimg.com/media/EhVAOmdWoAAOQiY.jpg")</f>
        <v>https://pbs.twimg.com/media/EhVAOmdWoAAOQiY.jpg</v>
      </c>
      <c r="W55" s="86">
        <v>44081.767534722225</v>
      </c>
      <c r="X55" s="90">
        <v>44081</v>
      </c>
      <c r="Y55" s="92" t="s">
        <v>649</v>
      </c>
      <c r="Z55" s="87" t="str">
        <f>HYPERLINK("https://twitter.com/rldi_lamy/status/1303036625895686149")</f>
        <v>https://twitter.com/rldi_lamy/status/1303036625895686149</v>
      </c>
      <c r="AA55" s="84"/>
      <c r="AB55" s="84"/>
      <c r="AC55" s="92" t="s">
        <v>1043</v>
      </c>
      <c r="AD55" s="84"/>
      <c r="AE55" s="84" t="b">
        <v>0</v>
      </c>
      <c r="AF55" s="84">
        <v>0</v>
      </c>
      <c r="AG55" s="92" t="s">
        <v>1453</v>
      </c>
      <c r="AH55" s="84" t="b">
        <v>0</v>
      </c>
      <c r="AI55" s="84" t="s">
        <v>1456</v>
      </c>
      <c r="AJ55" s="84"/>
      <c r="AK55" s="92" t="s">
        <v>1453</v>
      </c>
      <c r="AL55" s="84" t="b">
        <v>0</v>
      </c>
      <c r="AM55" s="84">
        <v>25</v>
      </c>
      <c r="AN55" s="92" t="s">
        <v>1248</v>
      </c>
      <c r="AO55" s="84" t="s">
        <v>1464</v>
      </c>
      <c r="AP55" s="84" t="b">
        <v>0</v>
      </c>
      <c r="AQ55" s="92" t="s">
        <v>1248</v>
      </c>
      <c r="AR55" s="84" t="s">
        <v>187</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49"/>
      <c r="BG55" s="50"/>
      <c r="BH55" s="49"/>
      <c r="BI55" s="50"/>
      <c r="BJ55" s="49"/>
      <c r="BK55" s="50"/>
      <c r="BL55" s="49"/>
      <c r="BM55" s="50"/>
      <c r="BN55" s="49"/>
    </row>
    <row r="56" spans="1:66" ht="15">
      <c r="A56" s="68" t="s">
        <v>235</v>
      </c>
      <c r="B56" s="68" t="s">
        <v>430</v>
      </c>
      <c r="C56" s="69" t="s">
        <v>5208</v>
      </c>
      <c r="D56" s="70">
        <v>1</v>
      </c>
      <c r="E56" s="71" t="s">
        <v>132</v>
      </c>
      <c r="F56" s="72">
        <v>32</v>
      </c>
      <c r="G56" s="69" t="s">
        <v>51</v>
      </c>
      <c r="H56" s="73"/>
      <c r="I56" s="74"/>
      <c r="J56" s="74"/>
      <c r="K56" s="35" t="s">
        <v>65</v>
      </c>
      <c r="L56" s="82">
        <v>56</v>
      </c>
      <c r="M56" s="82"/>
      <c r="N56" s="76"/>
      <c r="O56" s="84" t="s">
        <v>440</v>
      </c>
      <c r="P56" s="86">
        <v>44081.767534722225</v>
      </c>
      <c r="Q56" s="84" t="s">
        <v>448</v>
      </c>
      <c r="R56" s="87" t="str">
        <f>HYPERLINK("https://www.peoplematters.in/news/technology/job-searches-in-artificial-intelligence-rise-106-in-one-year-report-26898")</f>
        <v>https://www.peoplematters.in/news/technology/job-searches-in-artificial-intelligence-rise-106-in-one-year-report-26898</v>
      </c>
      <c r="S56" s="84" t="s">
        <v>532</v>
      </c>
      <c r="T56" s="84" t="s">
        <v>568</v>
      </c>
      <c r="U56" s="87" t="str">
        <f>HYPERLINK("https://pbs.twimg.com/media/EhVAOmdWoAAOQiY.jpg")</f>
        <v>https://pbs.twimg.com/media/EhVAOmdWoAAOQiY.jpg</v>
      </c>
      <c r="V56" s="87" t="str">
        <f>HYPERLINK("https://pbs.twimg.com/media/EhVAOmdWoAAOQiY.jpg")</f>
        <v>https://pbs.twimg.com/media/EhVAOmdWoAAOQiY.jpg</v>
      </c>
      <c r="W56" s="86">
        <v>44081.767534722225</v>
      </c>
      <c r="X56" s="90">
        <v>44081</v>
      </c>
      <c r="Y56" s="92" t="s">
        <v>649</v>
      </c>
      <c r="Z56" s="87" t="str">
        <f>HYPERLINK("https://twitter.com/rldi_lamy/status/1303036625895686149")</f>
        <v>https://twitter.com/rldi_lamy/status/1303036625895686149</v>
      </c>
      <c r="AA56" s="84"/>
      <c r="AB56" s="84"/>
      <c r="AC56" s="92" t="s">
        <v>1043</v>
      </c>
      <c r="AD56" s="84"/>
      <c r="AE56" s="84" t="b">
        <v>0</v>
      </c>
      <c r="AF56" s="84">
        <v>0</v>
      </c>
      <c r="AG56" s="92" t="s">
        <v>1453</v>
      </c>
      <c r="AH56" s="84" t="b">
        <v>0</v>
      </c>
      <c r="AI56" s="84" t="s">
        <v>1456</v>
      </c>
      <c r="AJ56" s="84"/>
      <c r="AK56" s="92" t="s">
        <v>1453</v>
      </c>
      <c r="AL56" s="84" t="b">
        <v>0</v>
      </c>
      <c r="AM56" s="84">
        <v>25</v>
      </c>
      <c r="AN56" s="92" t="s">
        <v>1248</v>
      </c>
      <c r="AO56" s="84" t="s">
        <v>1464</v>
      </c>
      <c r="AP56" s="84" t="b">
        <v>0</v>
      </c>
      <c r="AQ56" s="92" t="s">
        <v>1248</v>
      </c>
      <c r="AR56" s="84" t="s">
        <v>187</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49"/>
      <c r="BG56" s="50"/>
      <c r="BH56" s="49"/>
      <c r="BI56" s="50"/>
      <c r="BJ56" s="49"/>
      <c r="BK56" s="50"/>
      <c r="BL56" s="49"/>
      <c r="BM56" s="50"/>
      <c r="BN56" s="49"/>
    </row>
    <row r="57" spans="1:66" ht="15">
      <c r="A57" s="68" t="s">
        <v>235</v>
      </c>
      <c r="B57" s="68" t="s">
        <v>383</v>
      </c>
      <c r="C57" s="69" t="s">
        <v>5208</v>
      </c>
      <c r="D57" s="70">
        <v>1</v>
      </c>
      <c r="E57" s="71" t="s">
        <v>132</v>
      </c>
      <c r="F57" s="72">
        <v>32</v>
      </c>
      <c r="G57" s="69" t="s">
        <v>51</v>
      </c>
      <c r="H57" s="73"/>
      <c r="I57" s="74"/>
      <c r="J57" s="74"/>
      <c r="K57" s="35" t="s">
        <v>65</v>
      </c>
      <c r="L57" s="82">
        <v>57</v>
      </c>
      <c r="M57" s="82"/>
      <c r="N57" s="76"/>
      <c r="O57" s="84" t="s">
        <v>440</v>
      </c>
      <c r="P57" s="86">
        <v>44081.767534722225</v>
      </c>
      <c r="Q57" s="84" t="s">
        <v>448</v>
      </c>
      <c r="R57" s="87" t="str">
        <f>HYPERLINK("https://www.peoplematters.in/news/technology/job-searches-in-artificial-intelligence-rise-106-in-one-year-report-26898")</f>
        <v>https://www.peoplematters.in/news/technology/job-searches-in-artificial-intelligence-rise-106-in-one-year-report-26898</v>
      </c>
      <c r="S57" s="84" t="s">
        <v>532</v>
      </c>
      <c r="T57" s="84" t="s">
        <v>568</v>
      </c>
      <c r="U57" s="87" t="str">
        <f>HYPERLINK("https://pbs.twimg.com/media/EhVAOmdWoAAOQiY.jpg")</f>
        <v>https://pbs.twimg.com/media/EhVAOmdWoAAOQiY.jpg</v>
      </c>
      <c r="V57" s="87" t="str">
        <f>HYPERLINK("https://pbs.twimg.com/media/EhVAOmdWoAAOQiY.jpg")</f>
        <v>https://pbs.twimg.com/media/EhVAOmdWoAAOQiY.jpg</v>
      </c>
      <c r="W57" s="86">
        <v>44081.767534722225</v>
      </c>
      <c r="X57" s="90">
        <v>44081</v>
      </c>
      <c r="Y57" s="92" t="s">
        <v>649</v>
      </c>
      <c r="Z57" s="87" t="str">
        <f>HYPERLINK("https://twitter.com/rldi_lamy/status/1303036625895686149")</f>
        <v>https://twitter.com/rldi_lamy/status/1303036625895686149</v>
      </c>
      <c r="AA57" s="84"/>
      <c r="AB57" s="84"/>
      <c r="AC57" s="92" t="s">
        <v>1043</v>
      </c>
      <c r="AD57" s="84"/>
      <c r="AE57" s="84" t="b">
        <v>0</v>
      </c>
      <c r="AF57" s="84">
        <v>0</v>
      </c>
      <c r="AG57" s="92" t="s">
        <v>1453</v>
      </c>
      <c r="AH57" s="84" t="b">
        <v>0</v>
      </c>
      <c r="AI57" s="84" t="s">
        <v>1456</v>
      </c>
      <c r="AJ57" s="84"/>
      <c r="AK57" s="92" t="s">
        <v>1453</v>
      </c>
      <c r="AL57" s="84" t="b">
        <v>0</v>
      </c>
      <c r="AM57" s="84">
        <v>25</v>
      </c>
      <c r="AN57" s="92" t="s">
        <v>1248</v>
      </c>
      <c r="AO57" s="84" t="s">
        <v>1464</v>
      </c>
      <c r="AP57" s="84" t="b">
        <v>0</v>
      </c>
      <c r="AQ57" s="92" t="s">
        <v>1248</v>
      </c>
      <c r="AR57" s="84" t="s">
        <v>187</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49"/>
      <c r="BG57" s="50"/>
      <c r="BH57" s="49"/>
      <c r="BI57" s="50"/>
      <c r="BJ57" s="49"/>
      <c r="BK57" s="50"/>
      <c r="BL57" s="49"/>
      <c r="BM57" s="50"/>
      <c r="BN57" s="49"/>
    </row>
    <row r="58" spans="1:66" ht="15">
      <c r="A58" s="68" t="s">
        <v>235</v>
      </c>
      <c r="B58" s="68" t="s">
        <v>380</v>
      </c>
      <c r="C58" s="69" t="s">
        <v>5208</v>
      </c>
      <c r="D58" s="70">
        <v>1</v>
      </c>
      <c r="E58" s="71" t="s">
        <v>132</v>
      </c>
      <c r="F58" s="72">
        <v>32</v>
      </c>
      <c r="G58" s="69" t="s">
        <v>51</v>
      </c>
      <c r="H58" s="73"/>
      <c r="I58" s="74"/>
      <c r="J58" s="74"/>
      <c r="K58" s="35" t="s">
        <v>65</v>
      </c>
      <c r="L58" s="82">
        <v>58</v>
      </c>
      <c r="M58" s="82"/>
      <c r="N58" s="76"/>
      <c r="O58" s="84" t="s">
        <v>440</v>
      </c>
      <c r="P58" s="86">
        <v>44081.767534722225</v>
      </c>
      <c r="Q58" s="84" t="s">
        <v>448</v>
      </c>
      <c r="R58" s="87" t="str">
        <f>HYPERLINK("https://www.peoplematters.in/news/technology/job-searches-in-artificial-intelligence-rise-106-in-one-year-report-26898")</f>
        <v>https://www.peoplematters.in/news/technology/job-searches-in-artificial-intelligence-rise-106-in-one-year-report-26898</v>
      </c>
      <c r="S58" s="84" t="s">
        <v>532</v>
      </c>
      <c r="T58" s="84" t="s">
        <v>568</v>
      </c>
      <c r="U58" s="87" t="str">
        <f>HYPERLINK("https://pbs.twimg.com/media/EhVAOmdWoAAOQiY.jpg")</f>
        <v>https://pbs.twimg.com/media/EhVAOmdWoAAOQiY.jpg</v>
      </c>
      <c r="V58" s="87" t="str">
        <f>HYPERLINK("https://pbs.twimg.com/media/EhVAOmdWoAAOQiY.jpg")</f>
        <v>https://pbs.twimg.com/media/EhVAOmdWoAAOQiY.jpg</v>
      </c>
      <c r="W58" s="86">
        <v>44081.767534722225</v>
      </c>
      <c r="X58" s="90">
        <v>44081</v>
      </c>
      <c r="Y58" s="92" t="s">
        <v>649</v>
      </c>
      <c r="Z58" s="87" t="str">
        <f>HYPERLINK("https://twitter.com/rldi_lamy/status/1303036625895686149")</f>
        <v>https://twitter.com/rldi_lamy/status/1303036625895686149</v>
      </c>
      <c r="AA58" s="84"/>
      <c r="AB58" s="84"/>
      <c r="AC58" s="92" t="s">
        <v>1043</v>
      </c>
      <c r="AD58" s="84"/>
      <c r="AE58" s="84" t="b">
        <v>0</v>
      </c>
      <c r="AF58" s="84">
        <v>0</v>
      </c>
      <c r="AG58" s="92" t="s">
        <v>1453</v>
      </c>
      <c r="AH58" s="84" t="b">
        <v>0</v>
      </c>
      <c r="AI58" s="84" t="s">
        <v>1456</v>
      </c>
      <c r="AJ58" s="84"/>
      <c r="AK58" s="92" t="s">
        <v>1453</v>
      </c>
      <c r="AL58" s="84" t="b">
        <v>0</v>
      </c>
      <c r="AM58" s="84">
        <v>25</v>
      </c>
      <c r="AN58" s="92" t="s">
        <v>1248</v>
      </c>
      <c r="AO58" s="84" t="s">
        <v>1464</v>
      </c>
      <c r="AP58" s="84" t="b">
        <v>0</v>
      </c>
      <c r="AQ58" s="92" t="s">
        <v>1248</v>
      </c>
      <c r="AR58" s="84" t="s">
        <v>187</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49"/>
      <c r="BG58" s="50"/>
      <c r="BH58" s="49"/>
      <c r="BI58" s="50"/>
      <c r="BJ58" s="49"/>
      <c r="BK58" s="50"/>
      <c r="BL58" s="49"/>
      <c r="BM58" s="50"/>
      <c r="BN58" s="49"/>
    </row>
    <row r="59" spans="1:66" ht="15">
      <c r="A59" s="68" t="s">
        <v>235</v>
      </c>
      <c r="B59" s="68" t="s">
        <v>381</v>
      </c>
      <c r="C59" s="69" t="s">
        <v>5208</v>
      </c>
      <c r="D59" s="70">
        <v>1</v>
      </c>
      <c r="E59" s="71" t="s">
        <v>132</v>
      </c>
      <c r="F59" s="72">
        <v>32</v>
      </c>
      <c r="G59" s="69" t="s">
        <v>51</v>
      </c>
      <c r="H59" s="73"/>
      <c r="I59" s="74"/>
      <c r="J59" s="74"/>
      <c r="K59" s="35" t="s">
        <v>65</v>
      </c>
      <c r="L59" s="82">
        <v>59</v>
      </c>
      <c r="M59" s="82"/>
      <c r="N59" s="76"/>
      <c r="O59" s="84" t="s">
        <v>440</v>
      </c>
      <c r="P59" s="86">
        <v>44081.767534722225</v>
      </c>
      <c r="Q59" s="84" t="s">
        <v>448</v>
      </c>
      <c r="R59" s="87" t="str">
        <f>HYPERLINK("https://www.peoplematters.in/news/technology/job-searches-in-artificial-intelligence-rise-106-in-one-year-report-26898")</f>
        <v>https://www.peoplematters.in/news/technology/job-searches-in-artificial-intelligence-rise-106-in-one-year-report-26898</v>
      </c>
      <c r="S59" s="84" t="s">
        <v>532</v>
      </c>
      <c r="T59" s="84" t="s">
        <v>568</v>
      </c>
      <c r="U59" s="87" t="str">
        <f>HYPERLINK("https://pbs.twimg.com/media/EhVAOmdWoAAOQiY.jpg")</f>
        <v>https://pbs.twimg.com/media/EhVAOmdWoAAOQiY.jpg</v>
      </c>
      <c r="V59" s="87" t="str">
        <f>HYPERLINK("https://pbs.twimg.com/media/EhVAOmdWoAAOQiY.jpg")</f>
        <v>https://pbs.twimg.com/media/EhVAOmdWoAAOQiY.jpg</v>
      </c>
      <c r="W59" s="86">
        <v>44081.767534722225</v>
      </c>
      <c r="X59" s="90">
        <v>44081</v>
      </c>
      <c r="Y59" s="92" t="s">
        <v>649</v>
      </c>
      <c r="Z59" s="87" t="str">
        <f>HYPERLINK("https://twitter.com/rldi_lamy/status/1303036625895686149")</f>
        <v>https://twitter.com/rldi_lamy/status/1303036625895686149</v>
      </c>
      <c r="AA59" s="84"/>
      <c r="AB59" s="84"/>
      <c r="AC59" s="92" t="s">
        <v>1043</v>
      </c>
      <c r="AD59" s="84"/>
      <c r="AE59" s="84" t="b">
        <v>0</v>
      </c>
      <c r="AF59" s="84">
        <v>0</v>
      </c>
      <c r="AG59" s="92" t="s">
        <v>1453</v>
      </c>
      <c r="AH59" s="84" t="b">
        <v>0</v>
      </c>
      <c r="AI59" s="84" t="s">
        <v>1456</v>
      </c>
      <c r="AJ59" s="84"/>
      <c r="AK59" s="92" t="s">
        <v>1453</v>
      </c>
      <c r="AL59" s="84" t="b">
        <v>0</v>
      </c>
      <c r="AM59" s="84">
        <v>25</v>
      </c>
      <c r="AN59" s="92" t="s">
        <v>1248</v>
      </c>
      <c r="AO59" s="84" t="s">
        <v>1464</v>
      </c>
      <c r="AP59" s="84" t="b">
        <v>0</v>
      </c>
      <c r="AQ59" s="92" t="s">
        <v>1248</v>
      </c>
      <c r="AR59" s="84" t="s">
        <v>187</v>
      </c>
      <c r="AS59" s="84">
        <v>0</v>
      </c>
      <c r="AT59" s="84">
        <v>0</v>
      </c>
      <c r="AU59" s="84"/>
      <c r="AV59" s="84"/>
      <c r="AW59" s="84"/>
      <c r="AX59" s="84"/>
      <c r="AY59" s="84"/>
      <c r="AZ59" s="84"/>
      <c r="BA59" s="84"/>
      <c r="BB59" s="84"/>
      <c r="BC59">
        <v>1</v>
      </c>
      <c r="BD59" s="83" t="str">
        <f>REPLACE(INDEX(GroupVertices[Group],MATCH(Edges[[#This Row],[Vertex 1]],GroupVertices[Vertex],0)),1,1,"")</f>
        <v>4</v>
      </c>
      <c r="BE59" s="83" t="str">
        <f>REPLACE(INDEX(GroupVertices[Group],MATCH(Edges[[#This Row],[Vertex 2]],GroupVertices[Vertex],0)),1,1,"")</f>
        <v>4</v>
      </c>
      <c r="BF59" s="49"/>
      <c r="BG59" s="50"/>
      <c r="BH59" s="49"/>
      <c r="BI59" s="50"/>
      <c r="BJ59" s="49"/>
      <c r="BK59" s="50"/>
      <c r="BL59" s="49"/>
      <c r="BM59" s="50"/>
      <c r="BN59" s="49"/>
    </row>
    <row r="60" spans="1:66" ht="15">
      <c r="A60" s="68" t="s">
        <v>235</v>
      </c>
      <c r="B60" s="68" t="s">
        <v>431</v>
      </c>
      <c r="C60" s="69" t="s">
        <v>5208</v>
      </c>
      <c r="D60" s="70">
        <v>1</v>
      </c>
      <c r="E60" s="71" t="s">
        <v>132</v>
      </c>
      <c r="F60" s="72">
        <v>32</v>
      </c>
      <c r="G60" s="69" t="s">
        <v>51</v>
      </c>
      <c r="H60" s="73"/>
      <c r="I60" s="74"/>
      <c r="J60" s="74"/>
      <c r="K60" s="35" t="s">
        <v>65</v>
      </c>
      <c r="L60" s="82">
        <v>60</v>
      </c>
      <c r="M60" s="82"/>
      <c r="N60" s="76"/>
      <c r="O60" s="84" t="s">
        <v>440</v>
      </c>
      <c r="P60" s="86">
        <v>44081.767534722225</v>
      </c>
      <c r="Q60" s="84" t="s">
        <v>448</v>
      </c>
      <c r="R60" s="87" t="str">
        <f>HYPERLINK("https://www.peoplematters.in/news/technology/job-searches-in-artificial-intelligence-rise-106-in-one-year-report-26898")</f>
        <v>https://www.peoplematters.in/news/technology/job-searches-in-artificial-intelligence-rise-106-in-one-year-report-26898</v>
      </c>
      <c r="S60" s="84" t="s">
        <v>532</v>
      </c>
      <c r="T60" s="84" t="s">
        <v>568</v>
      </c>
      <c r="U60" s="87" t="str">
        <f>HYPERLINK("https://pbs.twimg.com/media/EhVAOmdWoAAOQiY.jpg")</f>
        <v>https://pbs.twimg.com/media/EhVAOmdWoAAOQiY.jpg</v>
      </c>
      <c r="V60" s="87" t="str">
        <f>HYPERLINK("https://pbs.twimg.com/media/EhVAOmdWoAAOQiY.jpg")</f>
        <v>https://pbs.twimg.com/media/EhVAOmdWoAAOQiY.jpg</v>
      </c>
      <c r="W60" s="86">
        <v>44081.767534722225</v>
      </c>
      <c r="X60" s="90">
        <v>44081</v>
      </c>
      <c r="Y60" s="92" t="s">
        <v>649</v>
      </c>
      <c r="Z60" s="87" t="str">
        <f>HYPERLINK("https://twitter.com/rldi_lamy/status/1303036625895686149")</f>
        <v>https://twitter.com/rldi_lamy/status/1303036625895686149</v>
      </c>
      <c r="AA60" s="84"/>
      <c r="AB60" s="84"/>
      <c r="AC60" s="92" t="s">
        <v>1043</v>
      </c>
      <c r="AD60" s="84"/>
      <c r="AE60" s="84" t="b">
        <v>0</v>
      </c>
      <c r="AF60" s="84">
        <v>0</v>
      </c>
      <c r="AG60" s="92" t="s">
        <v>1453</v>
      </c>
      <c r="AH60" s="84" t="b">
        <v>0</v>
      </c>
      <c r="AI60" s="84" t="s">
        <v>1456</v>
      </c>
      <c r="AJ60" s="84"/>
      <c r="AK60" s="92" t="s">
        <v>1453</v>
      </c>
      <c r="AL60" s="84" t="b">
        <v>0</v>
      </c>
      <c r="AM60" s="84">
        <v>25</v>
      </c>
      <c r="AN60" s="92" t="s">
        <v>1248</v>
      </c>
      <c r="AO60" s="84" t="s">
        <v>1464</v>
      </c>
      <c r="AP60" s="84" t="b">
        <v>0</v>
      </c>
      <c r="AQ60" s="92" t="s">
        <v>1248</v>
      </c>
      <c r="AR60" s="84" t="s">
        <v>187</v>
      </c>
      <c r="AS60" s="84">
        <v>0</v>
      </c>
      <c r="AT60" s="84">
        <v>0</v>
      </c>
      <c r="AU60" s="84"/>
      <c r="AV60" s="84"/>
      <c r="AW60" s="84"/>
      <c r="AX60" s="84"/>
      <c r="AY60" s="84"/>
      <c r="AZ60" s="84"/>
      <c r="BA60" s="84"/>
      <c r="BB60" s="84"/>
      <c r="BC60">
        <v>1</v>
      </c>
      <c r="BD60" s="83" t="str">
        <f>REPLACE(INDEX(GroupVertices[Group],MATCH(Edges[[#This Row],[Vertex 1]],GroupVertices[Vertex],0)),1,1,"")</f>
        <v>4</v>
      </c>
      <c r="BE60" s="83" t="str">
        <f>REPLACE(INDEX(GroupVertices[Group],MATCH(Edges[[#This Row],[Vertex 2]],GroupVertices[Vertex],0)),1,1,"")</f>
        <v>4</v>
      </c>
      <c r="BF60" s="49"/>
      <c r="BG60" s="50"/>
      <c r="BH60" s="49"/>
      <c r="BI60" s="50"/>
      <c r="BJ60" s="49"/>
      <c r="BK60" s="50"/>
      <c r="BL60" s="49"/>
      <c r="BM60" s="50"/>
      <c r="BN60" s="49"/>
    </row>
    <row r="61" spans="1:66" ht="15">
      <c r="A61" s="68" t="s">
        <v>235</v>
      </c>
      <c r="B61" s="68" t="s">
        <v>432</v>
      </c>
      <c r="C61" s="69" t="s">
        <v>5208</v>
      </c>
      <c r="D61" s="70">
        <v>1</v>
      </c>
      <c r="E61" s="71" t="s">
        <v>132</v>
      </c>
      <c r="F61" s="72">
        <v>32</v>
      </c>
      <c r="G61" s="69" t="s">
        <v>51</v>
      </c>
      <c r="H61" s="73"/>
      <c r="I61" s="74"/>
      <c r="J61" s="74"/>
      <c r="K61" s="35" t="s">
        <v>65</v>
      </c>
      <c r="L61" s="82">
        <v>61</v>
      </c>
      <c r="M61" s="82"/>
      <c r="N61" s="76"/>
      <c r="O61" s="84" t="s">
        <v>440</v>
      </c>
      <c r="P61" s="86">
        <v>44081.767534722225</v>
      </c>
      <c r="Q61" s="84" t="s">
        <v>448</v>
      </c>
      <c r="R61" s="87" t="str">
        <f>HYPERLINK("https://www.peoplematters.in/news/technology/job-searches-in-artificial-intelligence-rise-106-in-one-year-report-26898")</f>
        <v>https://www.peoplematters.in/news/technology/job-searches-in-artificial-intelligence-rise-106-in-one-year-report-26898</v>
      </c>
      <c r="S61" s="84" t="s">
        <v>532</v>
      </c>
      <c r="T61" s="84" t="s">
        <v>568</v>
      </c>
      <c r="U61" s="87" t="str">
        <f>HYPERLINK("https://pbs.twimg.com/media/EhVAOmdWoAAOQiY.jpg")</f>
        <v>https://pbs.twimg.com/media/EhVAOmdWoAAOQiY.jpg</v>
      </c>
      <c r="V61" s="87" t="str">
        <f>HYPERLINK("https://pbs.twimg.com/media/EhVAOmdWoAAOQiY.jpg")</f>
        <v>https://pbs.twimg.com/media/EhVAOmdWoAAOQiY.jpg</v>
      </c>
      <c r="W61" s="86">
        <v>44081.767534722225</v>
      </c>
      <c r="X61" s="90">
        <v>44081</v>
      </c>
      <c r="Y61" s="92" t="s">
        <v>649</v>
      </c>
      <c r="Z61" s="87" t="str">
        <f>HYPERLINK("https://twitter.com/rldi_lamy/status/1303036625895686149")</f>
        <v>https://twitter.com/rldi_lamy/status/1303036625895686149</v>
      </c>
      <c r="AA61" s="84"/>
      <c r="AB61" s="84"/>
      <c r="AC61" s="92" t="s">
        <v>1043</v>
      </c>
      <c r="AD61" s="84"/>
      <c r="AE61" s="84" t="b">
        <v>0</v>
      </c>
      <c r="AF61" s="84">
        <v>0</v>
      </c>
      <c r="AG61" s="92" t="s">
        <v>1453</v>
      </c>
      <c r="AH61" s="84" t="b">
        <v>0</v>
      </c>
      <c r="AI61" s="84" t="s">
        <v>1456</v>
      </c>
      <c r="AJ61" s="84"/>
      <c r="AK61" s="92" t="s">
        <v>1453</v>
      </c>
      <c r="AL61" s="84" t="b">
        <v>0</v>
      </c>
      <c r="AM61" s="84">
        <v>25</v>
      </c>
      <c r="AN61" s="92" t="s">
        <v>1248</v>
      </c>
      <c r="AO61" s="84" t="s">
        <v>1464</v>
      </c>
      <c r="AP61" s="84" t="b">
        <v>0</v>
      </c>
      <c r="AQ61" s="92" t="s">
        <v>1248</v>
      </c>
      <c r="AR61" s="84" t="s">
        <v>187</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49"/>
      <c r="BG61" s="50"/>
      <c r="BH61" s="49"/>
      <c r="BI61" s="50"/>
      <c r="BJ61" s="49"/>
      <c r="BK61" s="50"/>
      <c r="BL61" s="49"/>
      <c r="BM61" s="50"/>
      <c r="BN61" s="49"/>
    </row>
    <row r="62" spans="1:66" ht="15">
      <c r="A62" s="68" t="s">
        <v>235</v>
      </c>
      <c r="B62" s="68" t="s">
        <v>384</v>
      </c>
      <c r="C62" s="69" t="s">
        <v>5208</v>
      </c>
      <c r="D62" s="70">
        <v>1</v>
      </c>
      <c r="E62" s="71" t="s">
        <v>132</v>
      </c>
      <c r="F62" s="72">
        <v>32</v>
      </c>
      <c r="G62" s="69" t="s">
        <v>51</v>
      </c>
      <c r="H62" s="73"/>
      <c r="I62" s="74"/>
      <c r="J62" s="74"/>
      <c r="K62" s="35" t="s">
        <v>65</v>
      </c>
      <c r="L62" s="82">
        <v>62</v>
      </c>
      <c r="M62" s="82"/>
      <c r="N62" s="76"/>
      <c r="O62" s="84" t="s">
        <v>439</v>
      </c>
      <c r="P62" s="86">
        <v>44081.767534722225</v>
      </c>
      <c r="Q62" s="84" t="s">
        <v>448</v>
      </c>
      <c r="R62" s="87" t="str">
        <f>HYPERLINK("https://www.peoplematters.in/news/technology/job-searches-in-artificial-intelligence-rise-106-in-one-year-report-26898")</f>
        <v>https://www.peoplematters.in/news/technology/job-searches-in-artificial-intelligence-rise-106-in-one-year-report-26898</v>
      </c>
      <c r="S62" s="84" t="s">
        <v>532</v>
      </c>
      <c r="T62" s="84" t="s">
        <v>568</v>
      </c>
      <c r="U62" s="87" t="str">
        <f>HYPERLINK("https://pbs.twimg.com/media/EhVAOmdWoAAOQiY.jpg")</f>
        <v>https://pbs.twimg.com/media/EhVAOmdWoAAOQiY.jpg</v>
      </c>
      <c r="V62" s="87" t="str">
        <f>HYPERLINK("https://pbs.twimg.com/media/EhVAOmdWoAAOQiY.jpg")</f>
        <v>https://pbs.twimg.com/media/EhVAOmdWoAAOQiY.jpg</v>
      </c>
      <c r="W62" s="86">
        <v>44081.767534722225</v>
      </c>
      <c r="X62" s="90">
        <v>44081</v>
      </c>
      <c r="Y62" s="92" t="s">
        <v>649</v>
      </c>
      <c r="Z62" s="87" t="str">
        <f>HYPERLINK("https://twitter.com/rldi_lamy/status/1303036625895686149")</f>
        <v>https://twitter.com/rldi_lamy/status/1303036625895686149</v>
      </c>
      <c r="AA62" s="84"/>
      <c r="AB62" s="84"/>
      <c r="AC62" s="92" t="s">
        <v>1043</v>
      </c>
      <c r="AD62" s="84"/>
      <c r="AE62" s="84" t="b">
        <v>0</v>
      </c>
      <c r="AF62" s="84">
        <v>0</v>
      </c>
      <c r="AG62" s="92" t="s">
        <v>1453</v>
      </c>
      <c r="AH62" s="84" t="b">
        <v>0</v>
      </c>
      <c r="AI62" s="84" t="s">
        <v>1456</v>
      </c>
      <c r="AJ62" s="84"/>
      <c r="AK62" s="92" t="s">
        <v>1453</v>
      </c>
      <c r="AL62" s="84" t="b">
        <v>0</v>
      </c>
      <c r="AM62" s="84">
        <v>25</v>
      </c>
      <c r="AN62" s="92" t="s">
        <v>1248</v>
      </c>
      <c r="AO62" s="84" t="s">
        <v>1464</v>
      </c>
      <c r="AP62" s="84" t="b">
        <v>0</v>
      </c>
      <c r="AQ62" s="92" t="s">
        <v>1248</v>
      </c>
      <c r="AR62" s="84" t="s">
        <v>187</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49">
        <v>0</v>
      </c>
      <c r="BG62" s="50">
        <v>0</v>
      </c>
      <c r="BH62" s="49">
        <v>0</v>
      </c>
      <c r="BI62" s="50">
        <v>0</v>
      </c>
      <c r="BJ62" s="49">
        <v>0</v>
      </c>
      <c r="BK62" s="50">
        <v>0</v>
      </c>
      <c r="BL62" s="49">
        <v>28</v>
      </c>
      <c r="BM62" s="50">
        <v>100</v>
      </c>
      <c r="BN62" s="49">
        <v>28</v>
      </c>
    </row>
    <row r="63" spans="1:66" ht="15">
      <c r="A63" s="68" t="s">
        <v>236</v>
      </c>
      <c r="B63" s="68" t="s">
        <v>264</v>
      </c>
      <c r="C63" s="69" t="s">
        <v>5208</v>
      </c>
      <c r="D63" s="70">
        <v>1</v>
      </c>
      <c r="E63" s="71" t="s">
        <v>132</v>
      </c>
      <c r="F63" s="72">
        <v>32</v>
      </c>
      <c r="G63" s="69" t="s">
        <v>51</v>
      </c>
      <c r="H63" s="73"/>
      <c r="I63" s="74"/>
      <c r="J63" s="74"/>
      <c r="K63" s="35" t="s">
        <v>65</v>
      </c>
      <c r="L63" s="82">
        <v>63</v>
      </c>
      <c r="M63" s="82"/>
      <c r="N63" s="76"/>
      <c r="O63" s="84" t="s">
        <v>439</v>
      </c>
      <c r="P63" s="86">
        <v>44081.91101851852</v>
      </c>
      <c r="Q63" s="84" t="s">
        <v>449</v>
      </c>
      <c r="R63" s="84"/>
      <c r="S63" s="84"/>
      <c r="T63" s="84" t="s">
        <v>569</v>
      </c>
      <c r="U63" s="84"/>
      <c r="V63" s="87" t="str">
        <f>HYPERLINK("http://pbs.twimg.com/profile_images/1178587444410761216/yDDDwkyM_normal.jpg")</f>
        <v>http://pbs.twimg.com/profile_images/1178587444410761216/yDDDwkyM_normal.jpg</v>
      </c>
      <c r="W63" s="86">
        <v>44081.91101851852</v>
      </c>
      <c r="X63" s="90">
        <v>44081</v>
      </c>
      <c r="Y63" s="92" t="s">
        <v>650</v>
      </c>
      <c r="Z63" s="87" t="str">
        <f>HYPERLINK("https://twitter.com/salsamander/status/1303088624054030336")</f>
        <v>https://twitter.com/salsamander/status/1303088624054030336</v>
      </c>
      <c r="AA63" s="84"/>
      <c r="AB63" s="84"/>
      <c r="AC63" s="92" t="s">
        <v>1044</v>
      </c>
      <c r="AD63" s="84"/>
      <c r="AE63" s="84" t="b">
        <v>0</v>
      </c>
      <c r="AF63" s="84">
        <v>0</v>
      </c>
      <c r="AG63" s="92" t="s">
        <v>1453</v>
      </c>
      <c r="AH63" s="84" t="b">
        <v>0</v>
      </c>
      <c r="AI63" s="84" t="s">
        <v>1456</v>
      </c>
      <c r="AJ63" s="84"/>
      <c r="AK63" s="92" t="s">
        <v>1453</v>
      </c>
      <c r="AL63" s="84" t="b">
        <v>0</v>
      </c>
      <c r="AM63" s="84">
        <v>4</v>
      </c>
      <c r="AN63" s="92" t="s">
        <v>1072</v>
      </c>
      <c r="AO63" s="84" t="s">
        <v>1465</v>
      </c>
      <c r="AP63" s="84" t="b">
        <v>0</v>
      </c>
      <c r="AQ63" s="92" t="s">
        <v>1072</v>
      </c>
      <c r="AR63" s="84" t="s">
        <v>187</v>
      </c>
      <c r="AS63" s="84">
        <v>0</v>
      </c>
      <c r="AT63" s="84">
        <v>0</v>
      </c>
      <c r="AU63" s="84"/>
      <c r="AV63" s="84"/>
      <c r="AW63" s="84"/>
      <c r="AX63" s="84"/>
      <c r="AY63" s="84"/>
      <c r="AZ63" s="84"/>
      <c r="BA63" s="84"/>
      <c r="BB63" s="84"/>
      <c r="BC63">
        <v>1</v>
      </c>
      <c r="BD63" s="83" t="str">
        <f>REPLACE(INDEX(GroupVertices[Group],MATCH(Edges[[#This Row],[Vertex 1]],GroupVertices[Vertex],0)),1,1,"")</f>
        <v>7</v>
      </c>
      <c r="BE63" s="83" t="str">
        <f>REPLACE(INDEX(GroupVertices[Group],MATCH(Edges[[#This Row],[Vertex 2]],GroupVertices[Vertex],0)),1,1,"")</f>
        <v>7</v>
      </c>
      <c r="BF63" s="49">
        <v>0</v>
      </c>
      <c r="BG63" s="50">
        <v>0</v>
      </c>
      <c r="BH63" s="49">
        <v>0</v>
      </c>
      <c r="BI63" s="50">
        <v>0</v>
      </c>
      <c r="BJ63" s="49">
        <v>0</v>
      </c>
      <c r="BK63" s="50">
        <v>0</v>
      </c>
      <c r="BL63" s="49">
        <v>28</v>
      </c>
      <c r="BM63" s="50">
        <v>100</v>
      </c>
      <c r="BN63" s="49">
        <v>28</v>
      </c>
    </row>
    <row r="64" spans="1:66" ht="15">
      <c r="A64" s="68" t="s">
        <v>237</v>
      </c>
      <c r="B64" s="68" t="s">
        <v>382</v>
      </c>
      <c r="C64" s="69" t="s">
        <v>5208</v>
      </c>
      <c r="D64" s="70">
        <v>1</v>
      </c>
      <c r="E64" s="71" t="s">
        <v>132</v>
      </c>
      <c r="F64" s="72">
        <v>32</v>
      </c>
      <c r="G64" s="69" t="s">
        <v>51</v>
      </c>
      <c r="H64" s="73"/>
      <c r="I64" s="74"/>
      <c r="J64" s="74"/>
      <c r="K64" s="35" t="s">
        <v>65</v>
      </c>
      <c r="L64" s="82">
        <v>64</v>
      </c>
      <c r="M64" s="82"/>
      <c r="N64" s="76"/>
      <c r="O64" s="84" t="s">
        <v>440</v>
      </c>
      <c r="P64" s="86">
        <v>44081.91355324074</v>
      </c>
      <c r="Q64" s="84" t="s">
        <v>448</v>
      </c>
      <c r="R64" s="87" t="str">
        <f>HYPERLINK("https://www.peoplematters.in/news/technology/job-searches-in-artificial-intelligence-rise-106-in-one-year-report-26898")</f>
        <v>https://www.peoplematters.in/news/technology/job-searches-in-artificial-intelligence-rise-106-in-one-year-report-26898</v>
      </c>
      <c r="S64" s="84" t="s">
        <v>532</v>
      </c>
      <c r="T64" s="84" t="s">
        <v>568</v>
      </c>
      <c r="U64" s="87" t="str">
        <f>HYPERLINK("https://pbs.twimg.com/media/EhVAOmdWoAAOQiY.jpg")</f>
        <v>https://pbs.twimg.com/media/EhVAOmdWoAAOQiY.jpg</v>
      </c>
      <c r="V64" s="87" t="str">
        <f>HYPERLINK("https://pbs.twimg.com/media/EhVAOmdWoAAOQiY.jpg")</f>
        <v>https://pbs.twimg.com/media/EhVAOmdWoAAOQiY.jpg</v>
      </c>
      <c r="W64" s="86">
        <v>44081.91355324074</v>
      </c>
      <c r="X64" s="90">
        <v>44081</v>
      </c>
      <c r="Y64" s="92" t="s">
        <v>651</v>
      </c>
      <c r="Z64" s="87" t="str">
        <f>HYPERLINK("https://twitter.com/silentseawolf/status/1303089542786809856")</f>
        <v>https://twitter.com/silentseawolf/status/1303089542786809856</v>
      </c>
      <c r="AA64" s="84"/>
      <c r="AB64" s="84"/>
      <c r="AC64" s="92" t="s">
        <v>1045</v>
      </c>
      <c r="AD64" s="84"/>
      <c r="AE64" s="84" t="b">
        <v>0</v>
      </c>
      <c r="AF64" s="84">
        <v>0</v>
      </c>
      <c r="AG64" s="92" t="s">
        <v>1453</v>
      </c>
      <c r="AH64" s="84" t="b">
        <v>0</v>
      </c>
      <c r="AI64" s="84" t="s">
        <v>1456</v>
      </c>
      <c r="AJ64" s="84"/>
      <c r="AK64" s="92" t="s">
        <v>1453</v>
      </c>
      <c r="AL64" s="84" t="b">
        <v>0</v>
      </c>
      <c r="AM64" s="84">
        <v>25</v>
      </c>
      <c r="AN64" s="92" t="s">
        <v>1248</v>
      </c>
      <c r="AO64" s="84" t="s">
        <v>1465</v>
      </c>
      <c r="AP64" s="84" t="b">
        <v>0</v>
      </c>
      <c r="AQ64" s="92" t="s">
        <v>1248</v>
      </c>
      <c r="AR64" s="84" t="s">
        <v>187</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49"/>
      <c r="BG64" s="50"/>
      <c r="BH64" s="49"/>
      <c r="BI64" s="50"/>
      <c r="BJ64" s="49"/>
      <c r="BK64" s="50"/>
      <c r="BL64" s="49"/>
      <c r="BM64" s="50"/>
      <c r="BN64" s="49"/>
    </row>
    <row r="65" spans="1:66" ht="15">
      <c r="A65" s="68" t="s">
        <v>237</v>
      </c>
      <c r="B65" s="68" t="s">
        <v>385</v>
      </c>
      <c r="C65" s="69" t="s">
        <v>5208</v>
      </c>
      <c r="D65" s="70">
        <v>1</v>
      </c>
      <c r="E65" s="71" t="s">
        <v>132</v>
      </c>
      <c r="F65" s="72">
        <v>32</v>
      </c>
      <c r="G65" s="69" t="s">
        <v>51</v>
      </c>
      <c r="H65" s="73"/>
      <c r="I65" s="74"/>
      <c r="J65" s="74"/>
      <c r="K65" s="35" t="s">
        <v>65</v>
      </c>
      <c r="L65" s="82">
        <v>65</v>
      </c>
      <c r="M65" s="82"/>
      <c r="N65" s="76"/>
      <c r="O65" s="84" t="s">
        <v>440</v>
      </c>
      <c r="P65" s="86">
        <v>44081.91355324074</v>
      </c>
      <c r="Q65" s="84" t="s">
        <v>448</v>
      </c>
      <c r="R65" s="87" t="str">
        <f>HYPERLINK("https://www.peoplematters.in/news/technology/job-searches-in-artificial-intelligence-rise-106-in-one-year-report-26898")</f>
        <v>https://www.peoplematters.in/news/technology/job-searches-in-artificial-intelligence-rise-106-in-one-year-report-26898</v>
      </c>
      <c r="S65" s="84" t="s">
        <v>532</v>
      </c>
      <c r="T65" s="84" t="s">
        <v>568</v>
      </c>
      <c r="U65" s="87" t="str">
        <f>HYPERLINK("https://pbs.twimg.com/media/EhVAOmdWoAAOQiY.jpg")</f>
        <v>https://pbs.twimg.com/media/EhVAOmdWoAAOQiY.jpg</v>
      </c>
      <c r="V65" s="87" t="str">
        <f>HYPERLINK("https://pbs.twimg.com/media/EhVAOmdWoAAOQiY.jpg")</f>
        <v>https://pbs.twimg.com/media/EhVAOmdWoAAOQiY.jpg</v>
      </c>
      <c r="W65" s="86">
        <v>44081.91355324074</v>
      </c>
      <c r="X65" s="90">
        <v>44081</v>
      </c>
      <c r="Y65" s="92" t="s">
        <v>651</v>
      </c>
      <c r="Z65" s="87" t="str">
        <f>HYPERLINK("https://twitter.com/silentseawolf/status/1303089542786809856")</f>
        <v>https://twitter.com/silentseawolf/status/1303089542786809856</v>
      </c>
      <c r="AA65" s="84"/>
      <c r="AB65" s="84"/>
      <c r="AC65" s="92" t="s">
        <v>1045</v>
      </c>
      <c r="AD65" s="84"/>
      <c r="AE65" s="84" t="b">
        <v>0</v>
      </c>
      <c r="AF65" s="84">
        <v>0</v>
      </c>
      <c r="AG65" s="92" t="s">
        <v>1453</v>
      </c>
      <c r="AH65" s="84" t="b">
        <v>0</v>
      </c>
      <c r="AI65" s="84" t="s">
        <v>1456</v>
      </c>
      <c r="AJ65" s="84"/>
      <c r="AK65" s="92" t="s">
        <v>1453</v>
      </c>
      <c r="AL65" s="84" t="b">
        <v>0</v>
      </c>
      <c r="AM65" s="84">
        <v>25</v>
      </c>
      <c r="AN65" s="92" t="s">
        <v>1248</v>
      </c>
      <c r="AO65" s="84" t="s">
        <v>1465</v>
      </c>
      <c r="AP65" s="84" t="b">
        <v>0</v>
      </c>
      <c r="AQ65" s="92" t="s">
        <v>1248</v>
      </c>
      <c r="AR65" s="84" t="s">
        <v>187</v>
      </c>
      <c r="AS65" s="84">
        <v>0</v>
      </c>
      <c r="AT65" s="84">
        <v>0</v>
      </c>
      <c r="AU65" s="84"/>
      <c r="AV65" s="84"/>
      <c r="AW65" s="84"/>
      <c r="AX65" s="84"/>
      <c r="AY65" s="84"/>
      <c r="AZ65" s="84"/>
      <c r="BA65" s="84"/>
      <c r="BB65" s="84"/>
      <c r="BC65">
        <v>1</v>
      </c>
      <c r="BD65" s="83" t="str">
        <f>REPLACE(INDEX(GroupVertices[Group],MATCH(Edges[[#This Row],[Vertex 1]],GroupVertices[Vertex],0)),1,1,"")</f>
        <v>4</v>
      </c>
      <c r="BE65" s="83" t="str">
        <f>REPLACE(INDEX(GroupVertices[Group],MATCH(Edges[[#This Row],[Vertex 2]],GroupVertices[Vertex],0)),1,1,"")</f>
        <v>4</v>
      </c>
      <c r="BF65" s="49"/>
      <c r="BG65" s="50"/>
      <c r="BH65" s="49"/>
      <c r="BI65" s="50"/>
      <c r="BJ65" s="49"/>
      <c r="BK65" s="50"/>
      <c r="BL65" s="49"/>
      <c r="BM65" s="50"/>
      <c r="BN65" s="49"/>
    </row>
    <row r="66" spans="1:66" ht="15">
      <c r="A66" s="68" t="s">
        <v>237</v>
      </c>
      <c r="B66" s="68" t="s">
        <v>430</v>
      </c>
      <c r="C66" s="69" t="s">
        <v>5208</v>
      </c>
      <c r="D66" s="70">
        <v>1</v>
      </c>
      <c r="E66" s="71" t="s">
        <v>132</v>
      </c>
      <c r="F66" s="72">
        <v>32</v>
      </c>
      <c r="G66" s="69" t="s">
        <v>51</v>
      </c>
      <c r="H66" s="73"/>
      <c r="I66" s="74"/>
      <c r="J66" s="74"/>
      <c r="K66" s="35" t="s">
        <v>65</v>
      </c>
      <c r="L66" s="82">
        <v>66</v>
      </c>
      <c r="M66" s="82"/>
      <c r="N66" s="76"/>
      <c r="O66" s="84" t="s">
        <v>440</v>
      </c>
      <c r="P66" s="86">
        <v>44081.91355324074</v>
      </c>
      <c r="Q66" s="84" t="s">
        <v>448</v>
      </c>
      <c r="R66" s="87" t="str">
        <f>HYPERLINK("https://www.peoplematters.in/news/technology/job-searches-in-artificial-intelligence-rise-106-in-one-year-report-26898")</f>
        <v>https://www.peoplematters.in/news/technology/job-searches-in-artificial-intelligence-rise-106-in-one-year-report-26898</v>
      </c>
      <c r="S66" s="84" t="s">
        <v>532</v>
      </c>
      <c r="T66" s="84" t="s">
        <v>568</v>
      </c>
      <c r="U66" s="87" t="str">
        <f>HYPERLINK("https://pbs.twimg.com/media/EhVAOmdWoAAOQiY.jpg")</f>
        <v>https://pbs.twimg.com/media/EhVAOmdWoAAOQiY.jpg</v>
      </c>
      <c r="V66" s="87" t="str">
        <f>HYPERLINK("https://pbs.twimg.com/media/EhVAOmdWoAAOQiY.jpg")</f>
        <v>https://pbs.twimg.com/media/EhVAOmdWoAAOQiY.jpg</v>
      </c>
      <c r="W66" s="86">
        <v>44081.91355324074</v>
      </c>
      <c r="X66" s="90">
        <v>44081</v>
      </c>
      <c r="Y66" s="92" t="s">
        <v>651</v>
      </c>
      <c r="Z66" s="87" t="str">
        <f>HYPERLINK("https://twitter.com/silentseawolf/status/1303089542786809856")</f>
        <v>https://twitter.com/silentseawolf/status/1303089542786809856</v>
      </c>
      <c r="AA66" s="84"/>
      <c r="AB66" s="84"/>
      <c r="AC66" s="92" t="s">
        <v>1045</v>
      </c>
      <c r="AD66" s="84"/>
      <c r="AE66" s="84" t="b">
        <v>0</v>
      </c>
      <c r="AF66" s="84">
        <v>0</v>
      </c>
      <c r="AG66" s="92" t="s">
        <v>1453</v>
      </c>
      <c r="AH66" s="84" t="b">
        <v>0</v>
      </c>
      <c r="AI66" s="84" t="s">
        <v>1456</v>
      </c>
      <c r="AJ66" s="84"/>
      <c r="AK66" s="92" t="s">
        <v>1453</v>
      </c>
      <c r="AL66" s="84" t="b">
        <v>0</v>
      </c>
      <c r="AM66" s="84">
        <v>25</v>
      </c>
      <c r="AN66" s="92" t="s">
        <v>1248</v>
      </c>
      <c r="AO66" s="84" t="s">
        <v>1465</v>
      </c>
      <c r="AP66" s="84" t="b">
        <v>0</v>
      </c>
      <c r="AQ66" s="92" t="s">
        <v>1248</v>
      </c>
      <c r="AR66" s="84" t="s">
        <v>187</v>
      </c>
      <c r="AS66" s="84">
        <v>0</v>
      </c>
      <c r="AT66" s="84">
        <v>0</v>
      </c>
      <c r="AU66" s="84"/>
      <c r="AV66" s="84"/>
      <c r="AW66" s="84"/>
      <c r="AX66" s="84"/>
      <c r="AY66" s="84"/>
      <c r="AZ66" s="84"/>
      <c r="BA66" s="84"/>
      <c r="BB66" s="84"/>
      <c r="BC66">
        <v>1</v>
      </c>
      <c r="BD66" s="83" t="str">
        <f>REPLACE(INDEX(GroupVertices[Group],MATCH(Edges[[#This Row],[Vertex 1]],GroupVertices[Vertex],0)),1,1,"")</f>
        <v>4</v>
      </c>
      <c r="BE66" s="83" t="str">
        <f>REPLACE(INDEX(GroupVertices[Group],MATCH(Edges[[#This Row],[Vertex 2]],GroupVertices[Vertex],0)),1,1,"")</f>
        <v>4</v>
      </c>
      <c r="BF66" s="49"/>
      <c r="BG66" s="50"/>
      <c r="BH66" s="49"/>
      <c r="BI66" s="50"/>
      <c r="BJ66" s="49"/>
      <c r="BK66" s="50"/>
      <c r="BL66" s="49"/>
      <c r="BM66" s="50"/>
      <c r="BN66" s="49"/>
    </row>
    <row r="67" spans="1:66" ht="15">
      <c r="A67" s="68" t="s">
        <v>237</v>
      </c>
      <c r="B67" s="68" t="s">
        <v>383</v>
      </c>
      <c r="C67" s="69" t="s">
        <v>5208</v>
      </c>
      <c r="D67" s="70">
        <v>1</v>
      </c>
      <c r="E67" s="71" t="s">
        <v>132</v>
      </c>
      <c r="F67" s="72">
        <v>32</v>
      </c>
      <c r="G67" s="69" t="s">
        <v>51</v>
      </c>
      <c r="H67" s="73"/>
      <c r="I67" s="74"/>
      <c r="J67" s="74"/>
      <c r="K67" s="35" t="s">
        <v>65</v>
      </c>
      <c r="L67" s="82">
        <v>67</v>
      </c>
      <c r="M67" s="82"/>
      <c r="N67" s="76"/>
      <c r="O67" s="84" t="s">
        <v>440</v>
      </c>
      <c r="P67" s="86">
        <v>44081.91355324074</v>
      </c>
      <c r="Q67" s="84" t="s">
        <v>448</v>
      </c>
      <c r="R67" s="87" t="str">
        <f>HYPERLINK("https://www.peoplematters.in/news/technology/job-searches-in-artificial-intelligence-rise-106-in-one-year-report-26898")</f>
        <v>https://www.peoplematters.in/news/technology/job-searches-in-artificial-intelligence-rise-106-in-one-year-report-26898</v>
      </c>
      <c r="S67" s="84" t="s">
        <v>532</v>
      </c>
      <c r="T67" s="84" t="s">
        <v>568</v>
      </c>
      <c r="U67" s="87" t="str">
        <f>HYPERLINK("https://pbs.twimg.com/media/EhVAOmdWoAAOQiY.jpg")</f>
        <v>https://pbs.twimg.com/media/EhVAOmdWoAAOQiY.jpg</v>
      </c>
      <c r="V67" s="87" t="str">
        <f>HYPERLINK("https://pbs.twimg.com/media/EhVAOmdWoAAOQiY.jpg")</f>
        <v>https://pbs.twimg.com/media/EhVAOmdWoAAOQiY.jpg</v>
      </c>
      <c r="W67" s="86">
        <v>44081.91355324074</v>
      </c>
      <c r="X67" s="90">
        <v>44081</v>
      </c>
      <c r="Y67" s="92" t="s">
        <v>651</v>
      </c>
      <c r="Z67" s="87" t="str">
        <f>HYPERLINK("https://twitter.com/silentseawolf/status/1303089542786809856")</f>
        <v>https://twitter.com/silentseawolf/status/1303089542786809856</v>
      </c>
      <c r="AA67" s="84"/>
      <c r="AB67" s="84"/>
      <c r="AC67" s="92" t="s">
        <v>1045</v>
      </c>
      <c r="AD67" s="84"/>
      <c r="AE67" s="84" t="b">
        <v>0</v>
      </c>
      <c r="AF67" s="84">
        <v>0</v>
      </c>
      <c r="AG67" s="92" t="s">
        <v>1453</v>
      </c>
      <c r="AH67" s="84" t="b">
        <v>0</v>
      </c>
      <c r="AI67" s="84" t="s">
        <v>1456</v>
      </c>
      <c r="AJ67" s="84"/>
      <c r="AK67" s="92" t="s">
        <v>1453</v>
      </c>
      <c r="AL67" s="84" t="b">
        <v>0</v>
      </c>
      <c r="AM67" s="84">
        <v>25</v>
      </c>
      <c r="AN67" s="92" t="s">
        <v>1248</v>
      </c>
      <c r="AO67" s="84" t="s">
        <v>1465</v>
      </c>
      <c r="AP67" s="84" t="b">
        <v>0</v>
      </c>
      <c r="AQ67" s="92" t="s">
        <v>1248</v>
      </c>
      <c r="AR67" s="84" t="s">
        <v>187</v>
      </c>
      <c r="AS67" s="84">
        <v>0</v>
      </c>
      <c r="AT67" s="84">
        <v>0</v>
      </c>
      <c r="AU67" s="84"/>
      <c r="AV67" s="84"/>
      <c r="AW67" s="84"/>
      <c r="AX67" s="84"/>
      <c r="AY67" s="84"/>
      <c r="AZ67" s="84"/>
      <c r="BA67" s="84"/>
      <c r="BB67" s="84"/>
      <c r="BC67">
        <v>1</v>
      </c>
      <c r="BD67" s="83" t="str">
        <f>REPLACE(INDEX(GroupVertices[Group],MATCH(Edges[[#This Row],[Vertex 1]],GroupVertices[Vertex],0)),1,1,"")</f>
        <v>4</v>
      </c>
      <c r="BE67" s="83" t="str">
        <f>REPLACE(INDEX(GroupVertices[Group],MATCH(Edges[[#This Row],[Vertex 2]],GroupVertices[Vertex],0)),1,1,"")</f>
        <v>4</v>
      </c>
      <c r="BF67" s="49"/>
      <c r="BG67" s="50"/>
      <c r="BH67" s="49"/>
      <c r="BI67" s="50"/>
      <c r="BJ67" s="49"/>
      <c r="BK67" s="50"/>
      <c r="BL67" s="49"/>
      <c r="BM67" s="50"/>
      <c r="BN67" s="49"/>
    </row>
    <row r="68" spans="1:66" ht="15">
      <c r="A68" s="68" t="s">
        <v>237</v>
      </c>
      <c r="B68" s="68" t="s">
        <v>380</v>
      </c>
      <c r="C68" s="69" t="s">
        <v>5208</v>
      </c>
      <c r="D68" s="70">
        <v>1</v>
      </c>
      <c r="E68" s="71" t="s">
        <v>132</v>
      </c>
      <c r="F68" s="72">
        <v>32</v>
      </c>
      <c r="G68" s="69" t="s">
        <v>51</v>
      </c>
      <c r="H68" s="73"/>
      <c r="I68" s="74"/>
      <c r="J68" s="74"/>
      <c r="K68" s="35" t="s">
        <v>65</v>
      </c>
      <c r="L68" s="82">
        <v>68</v>
      </c>
      <c r="M68" s="82"/>
      <c r="N68" s="76"/>
      <c r="O68" s="84" t="s">
        <v>440</v>
      </c>
      <c r="P68" s="86">
        <v>44081.91355324074</v>
      </c>
      <c r="Q68" s="84" t="s">
        <v>448</v>
      </c>
      <c r="R68" s="87" t="str">
        <f>HYPERLINK("https://www.peoplematters.in/news/technology/job-searches-in-artificial-intelligence-rise-106-in-one-year-report-26898")</f>
        <v>https://www.peoplematters.in/news/technology/job-searches-in-artificial-intelligence-rise-106-in-one-year-report-26898</v>
      </c>
      <c r="S68" s="84" t="s">
        <v>532</v>
      </c>
      <c r="T68" s="84" t="s">
        <v>568</v>
      </c>
      <c r="U68" s="87" t="str">
        <f>HYPERLINK("https://pbs.twimg.com/media/EhVAOmdWoAAOQiY.jpg")</f>
        <v>https://pbs.twimg.com/media/EhVAOmdWoAAOQiY.jpg</v>
      </c>
      <c r="V68" s="87" t="str">
        <f>HYPERLINK("https://pbs.twimg.com/media/EhVAOmdWoAAOQiY.jpg")</f>
        <v>https://pbs.twimg.com/media/EhVAOmdWoAAOQiY.jpg</v>
      </c>
      <c r="W68" s="86">
        <v>44081.91355324074</v>
      </c>
      <c r="X68" s="90">
        <v>44081</v>
      </c>
      <c r="Y68" s="92" t="s">
        <v>651</v>
      </c>
      <c r="Z68" s="87" t="str">
        <f>HYPERLINK("https://twitter.com/silentseawolf/status/1303089542786809856")</f>
        <v>https://twitter.com/silentseawolf/status/1303089542786809856</v>
      </c>
      <c r="AA68" s="84"/>
      <c r="AB68" s="84"/>
      <c r="AC68" s="92" t="s">
        <v>1045</v>
      </c>
      <c r="AD68" s="84"/>
      <c r="AE68" s="84" t="b">
        <v>0</v>
      </c>
      <c r="AF68" s="84">
        <v>0</v>
      </c>
      <c r="AG68" s="92" t="s">
        <v>1453</v>
      </c>
      <c r="AH68" s="84" t="b">
        <v>0</v>
      </c>
      <c r="AI68" s="84" t="s">
        <v>1456</v>
      </c>
      <c r="AJ68" s="84"/>
      <c r="AK68" s="92" t="s">
        <v>1453</v>
      </c>
      <c r="AL68" s="84" t="b">
        <v>0</v>
      </c>
      <c r="AM68" s="84">
        <v>25</v>
      </c>
      <c r="AN68" s="92" t="s">
        <v>1248</v>
      </c>
      <c r="AO68" s="84" t="s">
        <v>1465</v>
      </c>
      <c r="AP68" s="84" t="b">
        <v>0</v>
      </c>
      <c r="AQ68" s="92" t="s">
        <v>1248</v>
      </c>
      <c r="AR68" s="84" t="s">
        <v>187</v>
      </c>
      <c r="AS68" s="84">
        <v>0</v>
      </c>
      <c r="AT68" s="84">
        <v>0</v>
      </c>
      <c r="AU68" s="84"/>
      <c r="AV68" s="84"/>
      <c r="AW68" s="84"/>
      <c r="AX68" s="84"/>
      <c r="AY68" s="84"/>
      <c r="AZ68" s="84"/>
      <c r="BA68" s="84"/>
      <c r="BB68" s="84"/>
      <c r="BC68">
        <v>1</v>
      </c>
      <c r="BD68" s="83" t="str">
        <f>REPLACE(INDEX(GroupVertices[Group],MATCH(Edges[[#This Row],[Vertex 1]],GroupVertices[Vertex],0)),1,1,"")</f>
        <v>4</v>
      </c>
      <c r="BE68" s="83" t="str">
        <f>REPLACE(INDEX(GroupVertices[Group],MATCH(Edges[[#This Row],[Vertex 2]],GroupVertices[Vertex],0)),1,1,"")</f>
        <v>4</v>
      </c>
      <c r="BF68" s="49"/>
      <c r="BG68" s="50"/>
      <c r="BH68" s="49"/>
      <c r="BI68" s="50"/>
      <c r="BJ68" s="49"/>
      <c r="BK68" s="50"/>
      <c r="BL68" s="49"/>
      <c r="BM68" s="50"/>
      <c r="BN68" s="49"/>
    </row>
    <row r="69" spans="1:66" ht="15">
      <c r="A69" s="68" t="s">
        <v>237</v>
      </c>
      <c r="B69" s="68" t="s">
        <v>381</v>
      </c>
      <c r="C69" s="69" t="s">
        <v>5208</v>
      </c>
      <c r="D69" s="70">
        <v>1</v>
      </c>
      <c r="E69" s="71" t="s">
        <v>132</v>
      </c>
      <c r="F69" s="72">
        <v>32</v>
      </c>
      <c r="G69" s="69" t="s">
        <v>51</v>
      </c>
      <c r="H69" s="73"/>
      <c r="I69" s="74"/>
      <c r="J69" s="74"/>
      <c r="K69" s="35" t="s">
        <v>65</v>
      </c>
      <c r="L69" s="82">
        <v>69</v>
      </c>
      <c r="M69" s="82"/>
      <c r="N69" s="76"/>
      <c r="O69" s="84" t="s">
        <v>440</v>
      </c>
      <c r="P69" s="86">
        <v>44081.91355324074</v>
      </c>
      <c r="Q69" s="84" t="s">
        <v>448</v>
      </c>
      <c r="R69" s="87" t="str">
        <f>HYPERLINK("https://www.peoplematters.in/news/technology/job-searches-in-artificial-intelligence-rise-106-in-one-year-report-26898")</f>
        <v>https://www.peoplematters.in/news/technology/job-searches-in-artificial-intelligence-rise-106-in-one-year-report-26898</v>
      </c>
      <c r="S69" s="84" t="s">
        <v>532</v>
      </c>
      <c r="T69" s="84" t="s">
        <v>568</v>
      </c>
      <c r="U69" s="87" t="str">
        <f>HYPERLINK("https://pbs.twimg.com/media/EhVAOmdWoAAOQiY.jpg")</f>
        <v>https://pbs.twimg.com/media/EhVAOmdWoAAOQiY.jpg</v>
      </c>
      <c r="V69" s="87" t="str">
        <f>HYPERLINK("https://pbs.twimg.com/media/EhVAOmdWoAAOQiY.jpg")</f>
        <v>https://pbs.twimg.com/media/EhVAOmdWoAAOQiY.jpg</v>
      </c>
      <c r="W69" s="86">
        <v>44081.91355324074</v>
      </c>
      <c r="X69" s="90">
        <v>44081</v>
      </c>
      <c r="Y69" s="92" t="s">
        <v>651</v>
      </c>
      <c r="Z69" s="87" t="str">
        <f>HYPERLINK("https://twitter.com/silentseawolf/status/1303089542786809856")</f>
        <v>https://twitter.com/silentseawolf/status/1303089542786809856</v>
      </c>
      <c r="AA69" s="84"/>
      <c r="AB69" s="84"/>
      <c r="AC69" s="92" t="s">
        <v>1045</v>
      </c>
      <c r="AD69" s="84"/>
      <c r="AE69" s="84" t="b">
        <v>0</v>
      </c>
      <c r="AF69" s="84">
        <v>0</v>
      </c>
      <c r="AG69" s="92" t="s">
        <v>1453</v>
      </c>
      <c r="AH69" s="84" t="b">
        <v>0</v>
      </c>
      <c r="AI69" s="84" t="s">
        <v>1456</v>
      </c>
      <c r="AJ69" s="84"/>
      <c r="AK69" s="92" t="s">
        <v>1453</v>
      </c>
      <c r="AL69" s="84" t="b">
        <v>0</v>
      </c>
      <c r="AM69" s="84">
        <v>25</v>
      </c>
      <c r="AN69" s="92" t="s">
        <v>1248</v>
      </c>
      <c r="AO69" s="84" t="s">
        <v>1465</v>
      </c>
      <c r="AP69" s="84" t="b">
        <v>0</v>
      </c>
      <c r="AQ69" s="92" t="s">
        <v>1248</v>
      </c>
      <c r="AR69" s="84" t="s">
        <v>187</v>
      </c>
      <c r="AS69" s="84">
        <v>0</v>
      </c>
      <c r="AT69" s="84">
        <v>0</v>
      </c>
      <c r="AU69" s="84"/>
      <c r="AV69" s="84"/>
      <c r="AW69" s="84"/>
      <c r="AX69" s="84"/>
      <c r="AY69" s="84"/>
      <c r="AZ69" s="84"/>
      <c r="BA69" s="84"/>
      <c r="BB69" s="84"/>
      <c r="BC69">
        <v>1</v>
      </c>
      <c r="BD69" s="83" t="str">
        <f>REPLACE(INDEX(GroupVertices[Group],MATCH(Edges[[#This Row],[Vertex 1]],GroupVertices[Vertex],0)),1,1,"")</f>
        <v>4</v>
      </c>
      <c r="BE69" s="83" t="str">
        <f>REPLACE(INDEX(GroupVertices[Group],MATCH(Edges[[#This Row],[Vertex 2]],GroupVertices[Vertex],0)),1,1,"")</f>
        <v>4</v>
      </c>
      <c r="BF69" s="49"/>
      <c r="BG69" s="50"/>
      <c r="BH69" s="49"/>
      <c r="BI69" s="50"/>
      <c r="BJ69" s="49"/>
      <c r="BK69" s="50"/>
      <c r="BL69" s="49"/>
      <c r="BM69" s="50"/>
      <c r="BN69" s="49"/>
    </row>
    <row r="70" spans="1:66" ht="15">
      <c r="A70" s="68" t="s">
        <v>237</v>
      </c>
      <c r="B70" s="68" t="s">
        <v>431</v>
      </c>
      <c r="C70" s="69" t="s">
        <v>5208</v>
      </c>
      <c r="D70" s="70">
        <v>1</v>
      </c>
      <c r="E70" s="71" t="s">
        <v>132</v>
      </c>
      <c r="F70" s="72">
        <v>32</v>
      </c>
      <c r="G70" s="69" t="s">
        <v>51</v>
      </c>
      <c r="H70" s="73"/>
      <c r="I70" s="74"/>
      <c r="J70" s="74"/>
      <c r="K70" s="35" t="s">
        <v>65</v>
      </c>
      <c r="L70" s="82">
        <v>70</v>
      </c>
      <c r="M70" s="82"/>
      <c r="N70" s="76"/>
      <c r="O70" s="84" t="s">
        <v>440</v>
      </c>
      <c r="P70" s="86">
        <v>44081.91355324074</v>
      </c>
      <c r="Q70" s="84" t="s">
        <v>448</v>
      </c>
      <c r="R70" s="87" t="str">
        <f>HYPERLINK("https://www.peoplematters.in/news/technology/job-searches-in-artificial-intelligence-rise-106-in-one-year-report-26898")</f>
        <v>https://www.peoplematters.in/news/technology/job-searches-in-artificial-intelligence-rise-106-in-one-year-report-26898</v>
      </c>
      <c r="S70" s="84" t="s">
        <v>532</v>
      </c>
      <c r="T70" s="84" t="s">
        <v>568</v>
      </c>
      <c r="U70" s="87" t="str">
        <f>HYPERLINK("https://pbs.twimg.com/media/EhVAOmdWoAAOQiY.jpg")</f>
        <v>https://pbs.twimg.com/media/EhVAOmdWoAAOQiY.jpg</v>
      </c>
      <c r="V70" s="87" t="str">
        <f>HYPERLINK("https://pbs.twimg.com/media/EhVAOmdWoAAOQiY.jpg")</f>
        <v>https://pbs.twimg.com/media/EhVAOmdWoAAOQiY.jpg</v>
      </c>
      <c r="W70" s="86">
        <v>44081.91355324074</v>
      </c>
      <c r="X70" s="90">
        <v>44081</v>
      </c>
      <c r="Y70" s="92" t="s">
        <v>651</v>
      </c>
      <c r="Z70" s="87" t="str">
        <f>HYPERLINK("https://twitter.com/silentseawolf/status/1303089542786809856")</f>
        <v>https://twitter.com/silentseawolf/status/1303089542786809856</v>
      </c>
      <c r="AA70" s="84"/>
      <c r="AB70" s="84"/>
      <c r="AC70" s="92" t="s">
        <v>1045</v>
      </c>
      <c r="AD70" s="84"/>
      <c r="AE70" s="84" t="b">
        <v>0</v>
      </c>
      <c r="AF70" s="84">
        <v>0</v>
      </c>
      <c r="AG70" s="92" t="s">
        <v>1453</v>
      </c>
      <c r="AH70" s="84" t="b">
        <v>0</v>
      </c>
      <c r="AI70" s="84" t="s">
        <v>1456</v>
      </c>
      <c r="AJ70" s="84"/>
      <c r="AK70" s="92" t="s">
        <v>1453</v>
      </c>
      <c r="AL70" s="84" t="b">
        <v>0</v>
      </c>
      <c r="AM70" s="84">
        <v>25</v>
      </c>
      <c r="AN70" s="92" t="s">
        <v>1248</v>
      </c>
      <c r="AO70" s="84" t="s">
        <v>1465</v>
      </c>
      <c r="AP70" s="84" t="b">
        <v>0</v>
      </c>
      <c r="AQ70" s="92" t="s">
        <v>1248</v>
      </c>
      <c r="AR70" s="84" t="s">
        <v>187</v>
      </c>
      <c r="AS70" s="84">
        <v>0</v>
      </c>
      <c r="AT70" s="84">
        <v>0</v>
      </c>
      <c r="AU70" s="84"/>
      <c r="AV70" s="84"/>
      <c r="AW70" s="84"/>
      <c r="AX70" s="84"/>
      <c r="AY70" s="84"/>
      <c r="AZ70" s="84"/>
      <c r="BA70" s="84"/>
      <c r="BB70" s="84"/>
      <c r="BC70">
        <v>1</v>
      </c>
      <c r="BD70" s="83" t="str">
        <f>REPLACE(INDEX(GroupVertices[Group],MATCH(Edges[[#This Row],[Vertex 1]],GroupVertices[Vertex],0)),1,1,"")</f>
        <v>4</v>
      </c>
      <c r="BE70" s="83" t="str">
        <f>REPLACE(INDEX(GroupVertices[Group],MATCH(Edges[[#This Row],[Vertex 2]],GroupVertices[Vertex],0)),1,1,"")</f>
        <v>4</v>
      </c>
      <c r="BF70" s="49"/>
      <c r="BG70" s="50"/>
      <c r="BH70" s="49"/>
      <c r="BI70" s="50"/>
      <c r="BJ70" s="49"/>
      <c r="BK70" s="50"/>
      <c r="BL70" s="49"/>
      <c r="BM70" s="50"/>
      <c r="BN70" s="49"/>
    </row>
    <row r="71" spans="1:66" ht="15">
      <c r="A71" s="68" t="s">
        <v>237</v>
      </c>
      <c r="B71" s="68" t="s">
        <v>432</v>
      </c>
      <c r="C71" s="69" t="s">
        <v>5208</v>
      </c>
      <c r="D71" s="70">
        <v>1</v>
      </c>
      <c r="E71" s="71" t="s">
        <v>132</v>
      </c>
      <c r="F71" s="72">
        <v>32</v>
      </c>
      <c r="G71" s="69" t="s">
        <v>51</v>
      </c>
      <c r="H71" s="73"/>
      <c r="I71" s="74"/>
      <c r="J71" s="74"/>
      <c r="K71" s="35" t="s">
        <v>65</v>
      </c>
      <c r="L71" s="82">
        <v>71</v>
      </c>
      <c r="M71" s="82"/>
      <c r="N71" s="76"/>
      <c r="O71" s="84" t="s">
        <v>440</v>
      </c>
      <c r="P71" s="86">
        <v>44081.91355324074</v>
      </c>
      <c r="Q71" s="84" t="s">
        <v>448</v>
      </c>
      <c r="R71" s="87" t="str">
        <f>HYPERLINK("https://www.peoplematters.in/news/technology/job-searches-in-artificial-intelligence-rise-106-in-one-year-report-26898")</f>
        <v>https://www.peoplematters.in/news/technology/job-searches-in-artificial-intelligence-rise-106-in-one-year-report-26898</v>
      </c>
      <c r="S71" s="84" t="s">
        <v>532</v>
      </c>
      <c r="T71" s="84" t="s">
        <v>568</v>
      </c>
      <c r="U71" s="87" t="str">
        <f>HYPERLINK("https://pbs.twimg.com/media/EhVAOmdWoAAOQiY.jpg")</f>
        <v>https://pbs.twimg.com/media/EhVAOmdWoAAOQiY.jpg</v>
      </c>
      <c r="V71" s="87" t="str">
        <f>HYPERLINK("https://pbs.twimg.com/media/EhVAOmdWoAAOQiY.jpg")</f>
        <v>https://pbs.twimg.com/media/EhVAOmdWoAAOQiY.jpg</v>
      </c>
      <c r="W71" s="86">
        <v>44081.91355324074</v>
      </c>
      <c r="X71" s="90">
        <v>44081</v>
      </c>
      <c r="Y71" s="92" t="s">
        <v>651</v>
      </c>
      <c r="Z71" s="87" t="str">
        <f>HYPERLINK("https://twitter.com/silentseawolf/status/1303089542786809856")</f>
        <v>https://twitter.com/silentseawolf/status/1303089542786809856</v>
      </c>
      <c r="AA71" s="84"/>
      <c r="AB71" s="84"/>
      <c r="AC71" s="92" t="s">
        <v>1045</v>
      </c>
      <c r="AD71" s="84"/>
      <c r="AE71" s="84" t="b">
        <v>0</v>
      </c>
      <c r="AF71" s="84">
        <v>0</v>
      </c>
      <c r="AG71" s="92" t="s">
        <v>1453</v>
      </c>
      <c r="AH71" s="84" t="b">
        <v>0</v>
      </c>
      <c r="AI71" s="84" t="s">
        <v>1456</v>
      </c>
      <c r="AJ71" s="84"/>
      <c r="AK71" s="92" t="s">
        <v>1453</v>
      </c>
      <c r="AL71" s="84" t="b">
        <v>0</v>
      </c>
      <c r="AM71" s="84">
        <v>25</v>
      </c>
      <c r="AN71" s="92" t="s">
        <v>1248</v>
      </c>
      <c r="AO71" s="84" t="s">
        <v>1465</v>
      </c>
      <c r="AP71" s="84" t="b">
        <v>0</v>
      </c>
      <c r="AQ71" s="92" t="s">
        <v>1248</v>
      </c>
      <c r="AR71" s="84" t="s">
        <v>187</v>
      </c>
      <c r="AS71" s="84">
        <v>0</v>
      </c>
      <c r="AT71" s="84">
        <v>0</v>
      </c>
      <c r="AU71" s="84"/>
      <c r="AV71" s="84"/>
      <c r="AW71" s="84"/>
      <c r="AX71" s="84"/>
      <c r="AY71" s="84"/>
      <c r="AZ71" s="84"/>
      <c r="BA71" s="84"/>
      <c r="BB71" s="84"/>
      <c r="BC71">
        <v>1</v>
      </c>
      <c r="BD71" s="83" t="str">
        <f>REPLACE(INDEX(GroupVertices[Group],MATCH(Edges[[#This Row],[Vertex 1]],GroupVertices[Vertex],0)),1,1,"")</f>
        <v>4</v>
      </c>
      <c r="BE71" s="83" t="str">
        <f>REPLACE(INDEX(GroupVertices[Group],MATCH(Edges[[#This Row],[Vertex 2]],GroupVertices[Vertex],0)),1,1,"")</f>
        <v>4</v>
      </c>
      <c r="BF71" s="49"/>
      <c r="BG71" s="50"/>
      <c r="BH71" s="49"/>
      <c r="BI71" s="50"/>
      <c r="BJ71" s="49"/>
      <c r="BK71" s="50"/>
      <c r="BL71" s="49"/>
      <c r="BM71" s="50"/>
      <c r="BN71" s="49"/>
    </row>
    <row r="72" spans="1:66" ht="15">
      <c r="A72" s="68" t="s">
        <v>237</v>
      </c>
      <c r="B72" s="68" t="s">
        <v>384</v>
      </c>
      <c r="C72" s="69" t="s">
        <v>5208</v>
      </c>
      <c r="D72" s="70">
        <v>1</v>
      </c>
      <c r="E72" s="71" t="s">
        <v>132</v>
      </c>
      <c r="F72" s="72">
        <v>32</v>
      </c>
      <c r="G72" s="69" t="s">
        <v>51</v>
      </c>
      <c r="H72" s="73"/>
      <c r="I72" s="74"/>
      <c r="J72" s="74"/>
      <c r="K72" s="35" t="s">
        <v>65</v>
      </c>
      <c r="L72" s="82">
        <v>72</v>
      </c>
      <c r="M72" s="82"/>
      <c r="N72" s="76"/>
      <c r="O72" s="84" t="s">
        <v>439</v>
      </c>
      <c r="P72" s="86">
        <v>44081.91355324074</v>
      </c>
      <c r="Q72" s="84" t="s">
        <v>448</v>
      </c>
      <c r="R72" s="87" t="str">
        <f>HYPERLINK("https://www.peoplematters.in/news/technology/job-searches-in-artificial-intelligence-rise-106-in-one-year-report-26898")</f>
        <v>https://www.peoplematters.in/news/technology/job-searches-in-artificial-intelligence-rise-106-in-one-year-report-26898</v>
      </c>
      <c r="S72" s="84" t="s">
        <v>532</v>
      </c>
      <c r="T72" s="84" t="s">
        <v>568</v>
      </c>
      <c r="U72" s="87" t="str">
        <f>HYPERLINK("https://pbs.twimg.com/media/EhVAOmdWoAAOQiY.jpg")</f>
        <v>https://pbs.twimg.com/media/EhVAOmdWoAAOQiY.jpg</v>
      </c>
      <c r="V72" s="87" t="str">
        <f>HYPERLINK("https://pbs.twimg.com/media/EhVAOmdWoAAOQiY.jpg")</f>
        <v>https://pbs.twimg.com/media/EhVAOmdWoAAOQiY.jpg</v>
      </c>
      <c r="W72" s="86">
        <v>44081.91355324074</v>
      </c>
      <c r="X72" s="90">
        <v>44081</v>
      </c>
      <c r="Y72" s="92" t="s">
        <v>651</v>
      </c>
      <c r="Z72" s="87" t="str">
        <f>HYPERLINK("https://twitter.com/silentseawolf/status/1303089542786809856")</f>
        <v>https://twitter.com/silentseawolf/status/1303089542786809856</v>
      </c>
      <c r="AA72" s="84"/>
      <c r="AB72" s="84"/>
      <c r="AC72" s="92" t="s">
        <v>1045</v>
      </c>
      <c r="AD72" s="84"/>
      <c r="AE72" s="84" t="b">
        <v>0</v>
      </c>
      <c r="AF72" s="84">
        <v>0</v>
      </c>
      <c r="AG72" s="92" t="s">
        <v>1453</v>
      </c>
      <c r="AH72" s="84" t="b">
        <v>0</v>
      </c>
      <c r="AI72" s="84" t="s">
        <v>1456</v>
      </c>
      <c r="AJ72" s="84"/>
      <c r="AK72" s="92" t="s">
        <v>1453</v>
      </c>
      <c r="AL72" s="84" t="b">
        <v>0</v>
      </c>
      <c r="AM72" s="84">
        <v>25</v>
      </c>
      <c r="AN72" s="92" t="s">
        <v>1248</v>
      </c>
      <c r="AO72" s="84" t="s">
        <v>1465</v>
      </c>
      <c r="AP72" s="84" t="b">
        <v>0</v>
      </c>
      <c r="AQ72" s="92" t="s">
        <v>1248</v>
      </c>
      <c r="AR72" s="84" t="s">
        <v>187</v>
      </c>
      <c r="AS72" s="84">
        <v>0</v>
      </c>
      <c r="AT72" s="84">
        <v>0</v>
      </c>
      <c r="AU72" s="84"/>
      <c r="AV72" s="84"/>
      <c r="AW72" s="84"/>
      <c r="AX72" s="84"/>
      <c r="AY72" s="84"/>
      <c r="AZ72" s="84"/>
      <c r="BA72" s="84"/>
      <c r="BB72" s="84"/>
      <c r="BC72">
        <v>1</v>
      </c>
      <c r="BD72" s="83" t="str">
        <f>REPLACE(INDEX(GroupVertices[Group],MATCH(Edges[[#This Row],[Vertex 1]],GroupVertices[Vertex],0)),1,1,"")</f>
        <v>4</v>
      </c>
      <c r="BE72" s="83" t="str">
        <f>REPLACE(INDEX(GroupVertices[Group],MATCH(Edges[[#This Row],[Vertex 2]],GroupVertices[Vertex],0)),1,1,"")</f>
        <v>4</v>
      </c>
      <c r="BF72" s="49">
        <v>0</v>
      </c>
      <c r="BG72" s="50">
        <v>0</v>
      </c>
      <c r="BH72" s="49">
        <v>0</v>
      </c>
      <c r="BI72" s="50">
        <v>0</v>
      </c>
      <c r="BJ72" s="49">
        <v>0</v>
      </c>
      <c r="BK72" s="50">
        <v>0</v>
      </c>
      <c r="BL72" s="49">
        <v>28</v>
      </c>
      <c r="BM72" s="50">
        <v>100</v>
      </c>
      <c r="BN72" s="49">
        <v>28</v>
      </c>
    </row>
    <row r="73" spans="1:66" ht="15">
      <c r="A73" s="68" t="s">
        <v>238</v>
      </c>
      <c r="B73" s="68" t="s">
        <v>417</v>
      </c>
      <c r="C73" s="69" t="s">
        <v>5208</v>
      </c>
      <c r="D73" s="70">
        <v>1</v>
      </c>
      <c r="E73" s="71" t="s">
        <v>132</v>
      </c>
      <c r="F73" s="72">
        <v>32</v>
      </c>
      <c r="G73" s="69" t="s">
        <v>51</v>
      </c>
      <c r="H73" s="73"/>
      <c r="I73" s="74"/>
      <c r="J73" s="74"/>
      <c r="K73" s="35" t="s">
        <v>65</v>
      </c>
      <c r="L73" s="82">
        <v>73</v>
      </c>
      <c r="M73" s="82"/>
      <c r="N73" s="76"/>
      <c r="O73" s="84" t="s">
        <v>439</v>
      </c>
      <c r="P73" s="86">
        <v>44081.95715277778</v>
      </c>
      <c r="Q73" s="84" t="s">
        <v>450</v>
      </c>
      <c r="R73"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73" s="84" t="s">
        <v>533</v>
      </c>
      <c r="T73" s="84"/>
      <c r="U73" s="84"/>
      <c r="V73" s="87" t="str">
        <f>HYPERLINK("http://pbs.twimg.com/profile_images/1204063138938793986/GdXfiuuh_normal.jpg")</f>
        <v>http://pbs.twimg.com/profile_images/1204063138938793986/GdXfiuuh_normal.jpg</v>
      </c>
      <c r="W73" s="86">
        <v>44081.95715277778</v>
      </c>
      <c r="X73" s="90">
        <v>44081</v>
      </c>
      <c r="Y73" s="92" t="s">
        <v>652</v>
      </c>
      <c r="Z73" s="87" t="str">
        <f>HYPERLINK("https://twitter.com/greentechdon/status/1303105339135528962")</f>
        <v>https://twitter.com/greentechdon/status/1303105339135528962</v>
      </c>
      <c r="AA73" s="84"/>
      <c r="AB73" s="84"/>
      <c r="AC73" s="92" t="s">
        <v>1046</v>
      </c>
      <c r="AD73" s="84"/>
      <c r="AE73" s="84" t="b">
        <v>0</v>
      </c>
      <c r="AF73" s="84">
        <v>0</v>
      </c>
      <c r="AG73" s="92" t="s">
        <v>1453</v>
      </c>
      <c r="AH73" s="84" t="b">
        <v>0</v>
      </c>
      <c r="AI73" s="84" t="s">
        <v>1456</v>
      </c>
      <c r="AJ73" s="84"/>
      <c r="AK73" s="92" t="s">
        <v>1453</v>
      </c>
      <c r="AL73" s="84" t="b">
        <v>0</v>
      </c>
      <c r="AM73" s="84">
        <v>31</v>
      </c>
      <c r="AN73" s="92" t="s">
        <v>1396</v>
      </c>
      <c r="AO73" s="84" t="s">
        <v>1469</v>
      </c>
      <c r="AP73" s="84" t="b">
        <v>0</v>
      </c>
      <c r="AQ73" s="92" t="s">
        <v>1396</v>
      </c>
      <c r="AR73" s="84" t="s">
        <v>187</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2</v>
      </c>
      <c r="BF73" s="49">
        <v>0</v>
      </c>
      <c r="BG73" s="50">
        <v>0</v>
      </c>
      <c r="BH73" s="49">
        <v>0</v>
      </c>
      <c r="BI73" s="50">
        <v>0</v>
      </c>
      <c r="BJ73" s="49">
        <v>0</v>
      </c>
      <c r="BK73" s="50">
        <v>0</v>
      </c>
      <c r="BL73" s="49">
        <v>26</v>
      </c>
      <c r="BM73" s="50">
        <v>100</v>
      </c>
      <c r="BN73" s="49">
        <v>26</v>
      </c>
    </row>
    <row r="74" spans="1:66" ht="15">
      <c r="A74" s="68" t="s">
        <v>239</v>
      </c>
      <c r="B74" s="68" t="s">
        <v>417</v>
      </c>
      <c r="C74" s="69" t="s">
        <v>5208</v>
      </c>
      <c r="D74" s="70">
        <v>1</v>
      </c>
      <c r="E74" s="71" t="s">
        <v>132</v>
      </c>
      <c r="F74" s="72">
        <v>32</v>
      </c>
      <c r="G74" s="69" t="s">
        <v>51</v>
      </c>
      <c r="H74" s="73"/>
      <c r="I74" s="74"/>
      <c r="J74" s="74"/>
      <c r="K74" s="35" t="s">
        <v>65</v>
      </c>
      <c r="L74" s="82">
        <v>74</v>
      </c>
      <c r="M74" s="82"/>
      <c r="N74" s="76"/>
      <c r="O74" s="84" t="s">
        <v>439</v>
      </c>
      <c r="P74" s="86">
        <v>44081.96152777778</v>
      </c>
      <c r="Q74" s="84" t="s">
        <v>450</v>
      </c>
      <c r="R74"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74" s="84" t="s">
        <v>533</v>
      </c>
      <c r="T74" s="84"/>
      <c r="U74" s="84"/>
      <c r="V74" s="87" t="str">
        <f>HYPERLINK("http://pbs.twimg.com/profile_images/1275308140930781186/A0tQPARh_normal.jpg")</f>
        <v>http://pbs.twimg.com/profile_images/1275308140930781186/A0tQPARh_normal.jpg</v>
      </c>
      <c r="W74" s="86">
        <v>44081.96152777778</v>
      </c>
      <c r="X74" s="90">
        <v>44081</v>
      </c>
      <c r="Y74" s="92" t="s">
        <v>653</v>
      </c>
      <c r="Z74" s="87" t="str">
        <f>HYPERLINK("https://twitter.com/afrodevs/status/1303106926700572674")</f>
        <v>https://twitter.com/afrodevs/status/1303106926700572674</v>
      </c>
      <c r="AA74" s="84"/>
      <c r="AB74" s="84"/>
      <c r="AC74" s="92" t="s">
        <v>1047</v>
      </c>
      <c r="AD74" s="84"/>
      <c r="AE74" s="84" t="b">
        <v>0</v>
      </c>
      <c r="AF74" s="84">
        <v>0</v>
      </c>
      <c r="AG74" s="92" t="s">
        <v>1453</v>
      </c>
      <c r="AH74" s="84" t="b">
        <v>0</v>
      </c>
      <c r="AI74" s="84" t="s">
        <v>1456</v>
      </c>
      <c r="AJ74" s="84"/>
      <c r="AK74" s="92" t="s">
        <v>1453</v>
      </c>
      <c r="AL74" s="84" t="b">
        <v>0</v>
      </c>
      <c r="AM74" s="84">
        <v>31</v>
      </c>
      <c r="AN74" s="92" t="s">
        <v>1396</v>
      </c>
      <c r="AO74" s="84"/>
      <c r="AP74" s="84" t="b">
        <v>0</v>
      </c>
      <c r="AQ74" s="92" t="s">
        <v>1396</v>
      </c>
      <c r="AR74" s="84" t="s">
        <v>187</v>
      </c>
      <c r="AS74" s="84">
        <v>0</v>
      </c>
      <c r="AT74" s="84">
        <v>0</v>
      </c>
      <c r="AU74" s="84"/>
      <c r="AV74" s="84"/>
      <c r="AW74" s="84"/>
      <c r="AX74" s="84"/>
      <c r="AY74" s="84"/>
      <c r="AZ74" s="84"/>
      <c r="BA74" s="84"/>
      <c r="BB74" s="84"/>
      <c r="BC74">
        <v>1</v>
      </c>
      <c r="BD74" s="83" t="str">
        <f>REPLACE(INDEX(GroupVertices[Group],MATCH(Edges[[#This Row],[Vertex 1]],GroupVertices[Vertex],0)),1,1,"")</f>
        <v>2</v>
      </c>
      <c r="BE74" s="83" t="str">
        <f>REPLACE(INDEX(GroupVertices[Group],MATCH(Edges[[#This Row],[Vertex 2]],GroupVertices[Vertex],0)),1,1,"")</f>
        <v>2</v>
      </c>
      <c r="BF74" s="49">
        <v>0</v>
      </c>
      <c r="BG74" s="50">
        <v>0</v>
      </c>
      <c r="BH74" s="49">
        <v>0</v>
      </c>
      <c r="BI74" s="50">
        <v>0</v>
      </c>
      <c r="BJ74" s="49">
        <v>0</v>
      </c>
      <c r="BK74" s="50">
        <v>0</v>
      </c>
      <c r="BL74" s="49">
        <v>26</v>
      </c>
      <c r="BM74" s="50">
        <v>100</v>
      </c>
      <c r="BN74" s="49">
        <v>26</v>
      </c>
    </row>
    <row r="75" spans="1:66" ht="15">
      <c r="A75" s="68" t="s">
        <v>240</v>
      </c>
      <c r="B75" s="68" t="s">
        <v>264</v>
      </c>
      <c r="C75" s="69" t="s">
        <v>5208</v>
      </c>
      <c r="D75" s="70">
        <v>1</v>
      </c>
      <c r="E75" s="71" t="s">
        <v>132</v>
      </c>
      <c r="F75" s="72">
        <v>32</v>
      </c>
      <c r="G75" s="69" t="s">
        <v>51</v>
      </c>
      <c r="H75" s="73"/>
      <c r="I75" s="74"/>
      <c r="J75" s="74"/>
      <c r="K75" s="35" t="s">
        <v>65</v>
      </c>
      <c r="L75" s="82">
        <v>75</v>
      </c>
      <c r="M75" s="82"/>
      <c r="N75" s="76"/>
      <c r="O75" s="84" t="s">
        <v>439</v>
      </c>
      <c r="P75" s="86">
        <v>44081.98148148148</v>
      </c>
      <c r="Q75" s="84" t="s">
        <v>449</v>
      </c>
      <c r="R75" s="84"/>
      <c r="S75" s="84"/>
      <c r="T75" s="84" t="s">
        <v>569</v>
      </c>
      <c r="U75" s="84"/>
      <c r="V75" s="87" t="str">
        <f>HYPERLINK("http://pbs.twimg.com/profile_images/939804876514533376/sEb4CbaU_normal.jpg")</f>
        <v>http://pbs.twimg.com/profile_images/939804876514533376/sEb4CbaU_normal.jpg</v>
      </c>
      <c r="W75" s="86">
        <v>44081.98148148148</v>
      </c>
      <c r="X75" s="90">
        <v>44081</v>
      </c>
      <c r="Y75" s="92" t="s">
        <v>654</v>
      </c>
      <c r="Z75" s="87" t="str">
        <f>HYPERLINK("https://twitter.com/s_akrati/status/1303114157336608769")</f>
        <v>https://twitter.com/s_akrati/status/1303114157336608769</v>
      </c>
      <c r="AA75" s="84"/>
      <c r="AB75" s="84"/>
      <c r="AC75" s="92" t="s">
        <v>1048</v>
      </c>
      <c r="AD75" s="84"/>
      <c r="AE75" s="84" t="b">
        <v>0</v>
      </c>
      <c r="AF75" s="84">
        <v>0</v>
      </c>
      <c r="AG75" s="92" t="s">
        <v>1453</v>
      </c>
      <c r="AH75" s="84" t="b">
        <v>0</v>
      </c>
      <c r="AI75" s="84" t="s">
        <v>1456</v>
      </c>
      <c r="AJ75" s="84"/>
      <c r="AK75" s="92" t="s">
        <v>1453</v>
      </c>
      <c r="AL75" s="84" t="b">
        <v>0</v>
      </c>
      <c r="AM75" s="84">
        <v>4</v>
      </c>
      <c r="AN75" s="92" t="s">
        <v>1072</v>
      </c>
      <c r="AO75" s="84" t="s">
        <v>1470</v>
      </c>
      <c r="AP75" s="84" t="b">
        <v>0</v>
      </c>
      <c r="AQ75" s="92" t="s">
        <v>1072</v>
      </c>
      <c r="AR75" s="84" t="s">
        <v>187</v>
      </c>
      <c r="AS75" s="84">
        <v>0</v>
      </c>
      <c r="AT75" s="84">
        <v>0</v>
      </c>
      <c r="AU75" s="84"/>
      <c r="AV75" s="84"/>
      <c r="AW75" s="84"/>
      <c r="AX75" s="84"/>
      <c r="AY75" s="84"/>
      <c r="AZ75" s="84"/>
      <c r="BA75" s="84"/>
      <c r="BB75" s="84"/>
      <c r="BC75">
        <v>1</v>
      </c>
      <c r="BD75" s="83" t="str">
        <f>REPLACE(INDEX(GroupVertices[Group],MATCH(Edges[[#This Row],[Vertex 1]],GroupVertices[Vertex],0)),1,1,"")</f>
        <v>7</v>
      </c>
      <c r="BE75" s="83" t="str">
        <f>REPLACE(INDEX(GroupVertices[Group],MATCH(Edges[[#This Row],[Vertex 2]],GroupVertices[Vertex],0)),1,1,"")</f>
        <v>7</v>
      </c>
      <c r="BF75" s="49">
        <v>0</v>
      </c>
      <c r="BG75" s="50">
        <v>0</v>
      </c>
      <c r="BH75" s="49">
        <v>0</v>
      </c>
      <c r="BI75" s="50">
        <v>0</v>
      </c>
      <c r="BJ75" s="49">
        <v>0</v>
      </c>
      <c r="BK75" s="50">
        <v>0</v>
      </c>
      <c r="BL75" s="49">
        <v>28</v>
      </c>
      <c r="BM75" s="50">
        <v>100</v>
      </c>
      <c r="BN75" s="49">
        <v>28</v>
      </c>
    </row>
    <row r="76" spans="1:66" ht="15">
      <c r="A76" s="68" t="s">
        <v>241</v>
      </c>
      <c r="B76" s="68" t="s">
        <v>417</v>
      </c>
      <c r="C76" s="69" t="s">
        <v>5208</v>
      </c>
      <c r="D76" s="70">
        <v>1</v>
      </c>
      <c r="E76" s="71" t="s">
        <v>132</v>
      </c>
      <c r="F76" s="72">
        <v>32</v>
      </c>
      <c r="G76" s="69" t="s">
        <v>51</v>
      </c>
      <c r="H76" s="73"/>
      <c r="I76" s="74"/>
      <c r="J76" s="74"/>
      <c r="K76" s="35" t="s">
        <v>65</v>
      </c>
      <c r="L76" s="82">
        <v>76</v>
      </c>
      <c r="M76" s="82"/>
      <c r="N76" s="76"/>
      <c r="O76" s="84" t="s">
        <v>439</v>
      </c>
      <c r="P76" s="86">
        <v>44081.995</v>
      </c>
      <c r="Q76" s="84" t="s">
        <v>450</v>
      </c>
      <c r="R76"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76" s="84" t="s">
        <v>533</v>
      </c>
      <c r="T76" s="84"/>
      <c r="U76" s="84"/>
      <c r="V76" s="87" t="str">
        <f>HYPERLINK("http://pbs.twimg.com/profile_images/1265943626464538629/9DWNQMcy_normal.jpg")</f>
        <v>http://pbs.twimg.com/profile_images/1265943626464538629/9DWNQMcy_normal.jpg</v>
      </c>
      <c r="W76" s="86">
        <v>44081.995</v>
      </c>
      <c r="X76" s="90">
        <v>44081</v>
      </c>
      <c r="Y76" s="92" t="s">
        <v>655</v>
      </c>
      <c r="Z76" s="87" t="str">
        <f>HYPERLINK("https://twitter.com/benemmerich/status/1303119055688216578")</f>
        <v>https://twitter.com/benemmerich/status/1303119055688216578</v>
      </c>
      <c r="AA76" s="84"/>
      <c r="AB76" s="84"/>
      <c r="AC76" s="92" t="s">
        <v>1049</v>
      </c>
      <c r="AD76" s="84"/>
      <c r="AE76" s="84" t="b">
        <v>0</v>
      </c>
      <c r="AF76" s="84">
        <v>0</v>
      </c>
      <c r="AG76" s="92" t="s">
        <v>1453</v>
      </c>
      <c r="AH76" s="84" t="b">
        <v>0</v>
      </c>
      <c r="AI76" s="84" t="s">
        <v>1456</v>
      </c>
      <c r="AJ76" s="84"/>
      <c r="AK76" s="92" t="s">
        <v>1453</v>
      </c>
      <c r="AL76" s="84" t="b">
        <v>0</v>
      </c>
      <c r="AM76" s="84">
        <v>31</v>
      </c>
      <c r="AN76" s="92" t="s">
        <v>1396</v>
      </c>
      <c r="AO76" s="84" t="s">
        <v>1464</v>
      </c>
      <c r="AP76" s="84" t="b">
        <v>0</v>
      </c>
      <c r="AQ76" s="92" t="s">
        <v>1396</v>
      </c>
      <c r="AR76" s="84" t="s">
        <v>187</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2</v>
      </c>
      <c r="BF76" s="49">
        <v>0</v>
      </c>
      <c r="BG76" s="50">
        <v>0</v>
      </c>
      <c r="BH76" s="49">
        <v>0</v>
      </c>
      <c r="BI76" s="50">
        <v>0</v>
      </c>
      <c r="BJ76" s="49">
        <v>0</v>
      </c>
      <c r="BK76" s="50">
        <v>0</v>
      </c>
      <c r="BL76" s="49">
        <v>26</v>
      </c>
      <c r="BM76" s="50">
        <v>100</v>
      </c>
      <c r="BN76" s="49">
        <v>26</v>
      </c>
    </row>
    <row r="77" spans="1:66" ht="15">
      <c r="A77" s="68" t="s">
        <v>242</v>
      </c>
      <c r="B77" s="68" t="s">
        <v>242</v>
      </c>
      <c r="C77" s="69" t="s">
        <v>5208</v>
      </c>
      <c r="D77" s="70">
        <v>1</v>
      </c>
      <c r="E77" s="71" t="s">
        <v>132</v>
      </c>
      <c r="F77" s="72">
        <v>32</v>
      </c>
      <c r="G77" s="69" t="s">
        <v>51</v>
      </c>
      <c r="H77" s="73"/>
      <c r="I77" s="74"/>
      <c r="J77" s="74"/>
      <c r="K77" s="35" t="s">
        <v>65</v>
      </c>
      <c r="L77" s="82">
        <v>77</v>
      </c>
      <c r="M77" s="82"/>
      <c r="N77" s="76"/>
      <c r="O77" s="84" t="s">
        <v>187</v>
      </c>
      <c r="P77" s="86">
        <v>44082.00052083333</v>
      </c>
      <c r="Q77" s="84" t="s">
        <v>451</v>
      </c>
      <c r="R77" s="87" t="str">
        <f>HYPERLINK("https://www.thestar.com/business/personal_finance/2020/09/07/this-26-year-old-toronto-data-scientist-makes-120000-a-year-but-recently-moved-back-home-due-to-covid-19-uncertainty-can-he-buy-a-home-in-the-gta-within-the-year.html")</f>
        <v>https://www.thestar.com/business/personal_finance/2020/09/07/this-26-year-old-toronto-data-scientist-makes-120000-a-year-but-recently-moved-back-home-due-to-covid-19-uncertainty-can-he-buy-a-home-in-the-gta-within-the-year.html</v>
      </c>
      <c r="S77" s="84" t="s">
        <v>534</v>
      </c>
      <c r="T77" s="84" t="s">
        <v>570</v>
      </c>
      <c r="U77" s="84"/>
      <c r="V77" s="87" t="str">
        <f>HYPERLINK("http://pbs.twimg.com/profile_images/1124783676825452544/00jrf5zQ_normal.png")</f>
        <v>http://pbs.twimg.com/profile_images/1124783676825452544/00jrf5zQ_normal.png</v>
      </c>
      <c r="W77" s="86">
        <v>44082.00052083333</v>
      </c>
      <c r="X77" s="90">
        <v>44082</v>
      </c>
      <c r="Y77" s="92" t="s">
        <v>656</v>
      </c>
      <c r="Z77" s="87" t="str">
        <f>HYPERLINK("https://twitter.com/webkarobar/status/1303121058560643074")</f>
        <v>https://twitter.com/webkarobar/status/1303121058560643074</v>
      </c>
      <c r="AA77" s="84"/>
      <c r="AB77" s="84"/>
      <c r="AC77" s="92" t="s">
        <v>1050</v>
      </c>
      <c r="AD77" s="84"/>
      <c r="AE77" s="84" t="b">
        <v>0</v>
      </c>
      <c r="AF77" s="84">
        <v>0</v>
      </c>
      <c r="AG77" s="92" t="s">
        <v>1453</v>
      </c>
      <c r="AH77" s="84" t="b">
        <v>0</v>
      </c>
      <c r="AI77" s="84" t="s">
        <v>1457</v>
      </c>
      <c r="AJ77" s="84"/>
      <c r="AK77" s="92" t="s">
        <v>1453</v>
      </c>
      <c r="AL77" s="84" t="b">
        <v>0</v>
      </c>
      <c r="AM77" s="84">
        <v>0</v>
      </c>
      <c r="AN77" s="92" t="s">
        <v>1453</v>
      </c>
      <c r="AO77" s="84" t="s">
        <v>1464</v>
      </c>
      <c r="AP77" s="84" t="b">
        <v>0</v>
      </c>
      <c r="AQ77" s="92" t="s">
        <v>1050</v>
      </c>
      <c r="AR77" s="84" t="s">
        <v>187</v>
      </c>
      <c r="AS77" s="84">
        <v>0</v>
      </c>
      <c r="AT77" s="84">
        <v>0</v>
      </c>
      <c r="AU77" s="84"/>
      <c r="AV77" s="84"/>
      <c r="AW77" s="84"/>
      <c r="AX77" s="84"/>
      <c r="AY77" s="84"/>
      <c r="AZ77" s="84"/>
      <c r="BA77" s="84"/>
      <c r="BB77" s="84"/>
      <c r="BC77">
        <v>1</v>
      </c>
      <c r="BD77" s="83" t="str">
        <f>REPLACE(INDEX(GroupVertices[Group],MATCH(Edges[[#This Row],[Vertex 1]],GroupVertices[Vertex],0)),1,1,"")</f>
        <v>6</v>
      </c>
      <c r="BE77" s="83" t="str">
        <f>REPLACE(INDEX(GroupVertices[Group],MATCH(Edges[[#This Row],[Vertex 2]],GroupVertices[Vertex],0)),1,1,"")</f>
        <v>6</v>
      </c>
      <c r="BF77" s="49">
        <v>0</v>
      </c>
      <c r="BG77" s="50">
        <v>0</v>
      </c>
      <c r="BH77" s="49">
        <v>0</v>
      </c>
      <c r="BI77" s="50">
        <v>0</v>
      </c>
      <c r="BJ77" s="49">
        <v>0</v>
      </c>
      <c r="BK77" s="50">
        <v>0</v>
      </c>
      <c r="BL77" s="49">
        <v>8</v>
      </c>
      <c r="BM77" s="50">
        <v>100</v>
      </c>
      <c r="BN77" s="49">
        <v>8</v>
      </c>
    </row>
    <row r="78" spans="1:66" ht="15">
      <c r="A78" s="68" t="s">
        <v>243</v>
      </c>
      <c r="B78" s="68" t="s">
        <v>417</v>
      </c>
      <c r="C78" s="69" t="s">
        <v>5208</v>
      </c>
      <c r="D78" s="70">
        <v>1</v>
      </c>
      <c r="E78" s="71" t="s">
        <v>132</v>
      </c>
      <c r="F78" s="72">
        <v>32</v>
      </c>
      <c r="G78" s="69" t="s">
        <v>51</v>
      </c>
      <c r="H78" s="73"/>
      <c r="I78" s="74"/>
      <c r="J78" s="74"/>
      <c r="K78" s="35" t="s">
        <v>65</v>
      </c>
      <c r="L78" s="82">
        <v>78</v>
      </c>
      <c r="M78" s="82"/>
      <c r="N78" s="76"/>
      <c r="O78" s="84" t="s">
        <v>439</v>
      </c>
      <c r="P78" s="86">
        <v>44082.00077546296</v>
      </c>
      <c r="Q78" s="84" t="s">
        <v>450</v>
      </c>
      <c r="R78"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78" s="84" t="s">
        <v>533</v>
      </c>
      <c r="T78" s="84"/>
      <c r="U78" s="84"/>
      <c r="V78" s="87" t="str">
        <f>HYPERLINK("http://pbs.twimg.com/profile_images/1055318341349298176/PPTXxONc_normal.jpg")</f>
        <v>http://pbs.twimg.com/profile_images/1055318341349298176/PPTXxONc_normal.jpg</v>
      </c>
      <c r="W78" s="86">
        <v>44082.00077546296</v>
      </c>
      <c r="X78" s="90">
        <v>44082</v>
      </c>
      <c r="Y78" s="92" t="s">
        <v>657</v>
      </c>
      <c r="Z78" s="87" t="str">
        <f>HYPERLINK("https://twitter.com/sanchezivan787/status/1303121151271546881")</f>
        <v>https://twitter.com/sanchezivan787/status/1303121151271546881</v>
      </c>
      <c r="AA78" s="84"/>
      <c r="AB78" s="84"/>
      <c r="AC78" s="92" t="s">
        <v>1051</v>
      </c>
      <c r="AD78" s="84"/>
      <c r="AE78" s="84" t="b">
        <v>0</v>
      </c>
      <c r="AF78" s="84">
        <v>0</v>
      </c>
      <c r="AG78" s="92" t="s">
        <v>1453</v>
      </c>
      <c r="AH78" s="84" t="b">
        <v>0</v>
      </c>
      <c r="AI78" s="84" t="s">
        <v>1456</v>
      </c>
      <c r="AJ78" s="84"/>
      <c r="AK78" s="92" t="s">
        <v>1453</v>
      </c>
      <c r="AL78" s="84" t="b">
        <v>0</v>
      </c>
      <c r="AM78" s="84">
        <v>31</v>
      </c>
      <c r="AN78" s="92" t="s">
        <v>1396</v>
      </c>
      <c r="AO78" s="84" t="s">
        <v>1467</v>
      </c>
      <c r="AP78" s="84" t="b">
        <v>0</v>
      </c>
      <c r="AQ78" s="92" t="s">
        <v>1396</v>
      </c>
      <c r="AR78" s="84" t="s">
        <v>187</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2</v>
      </c>
      <c r="BF78" s="49">
        <v>0</v>
      </c>
      <c r="BG78" s="50">
        <v>0</v>
      </c>
      <c r="BH78" s="49">
        <v>0</v>
      </c>
      <c r="BI78" s="50">
        <v>0</v>
      </c>
      <c r="BJ78" s="49">
        <v>0</v>
      </c>
      <c r="BK78" s="50">
        <v>0</v>
      </c>
      <c r="BL78" s="49">
        <v>26</v>
      </c>
      <c r="BM78" s="50">
        <v>100</v>
      </c>
      <c r="BN78" s="49">
        <v>26</v>
      </c>
    </row>
    <row r="79" spans="1:66" ht="15">
      <c r="A79" s="68" t="s">
        <v>244</v>
      </c>
      <c r="B79" s="68" t="s">
        <v>417</v>
      </c>
      <c r="C79" s="69" t="s">
        <v>5208</v>
      </c>
      <c r="D79" s="70">
        <v>1</v>
      </c>
      <c r="E79" s="71" t="s">
        <v>132</v>
      </c>
      <c r="F79" s="72">
        <v>32</v>
      </c>
      <c r="G79" s="69" t="s">
        <v>51</v>
      </c>
      <c r="H79" s="73"/>
      <c r="I79" s="74"/>
      <c r="J79" s="74"/>
      <c r="K79" s="35" t="s">
        <v>65</v>
      </c>
      <c r="L79" s="82">
        <v>79</v>
      </c>
      <c r="M79" s="82"/>
      <c r="N79" s="76"/>
      <c r="O79" s="84" t="s">
        <v>439</v>
      </c>
      <c r="P79" s="86">
        <v>44082.009722222225</v>
      </c>
      <c r="Q79" s="84" t="s">
        <v>450</v>
      </c>
      <c r="R79"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79" s="84" t="s">
        <v>533</v>
      </c>
      <c r="T79" s="84"/>
      <c r="U79" s="84"/>
      <c r="V79" s="87" t="str">
        <f>HYPERLINK("http://pbs.twimg.com/profile_images/879901950355156993/K7yMyDgh_normal.jpg")</f>
        <v>http://pbs.twimg.com/profile_images/879901950355156993/K7yMyDgh_normal.jpg</v>
      </c>
      <c r="W79" s="86">
        <v>44082.009722222225</v>
      </c>
      <c r="X79" s="90">
        <v>44082</v>
      </c>
      <c r="Y79" s="92" t="s">
        <v>658</v>
      </c>
      <c r="Z79" s="87" t="str">
        <f>HYPERLINK("https://twitter.com/qualystat/status/1303124390482194438")</f>
        <v>https://twitter.com/qualystat/status/1303124390482194438</v>
      </c>
      <c r="AA79" s="84"/>
      <c r="AB79" s="84"/>
      <c r="AC79" s="92" t="s">
        <v>1052</v>
      </c>
      <c r="AD79" s="84"/>
      <c r="AE79" s="84" t="b">
        <v>0</v>
      </c>
      <c r="AF79" s="84">
        <v>0</v>
      </c>
      <c r="AG79" s="92" t="s">
        <v>1453</v>
      </c>
      <c r="AH79" s="84" t="b">
        <v>0</v>
      </c>
      <c r="AI79" s="84" t="s">
        <v>1456</v>
      </c>
      <c r="AJ79" s="84"/>
      <c r="AK79" s="92" t="s">
        <v>1453</v>
      </c>
      <c r="AL79" s="84" t="b">
        <v>0</v>
      </c>
      <c r="AM79" s="84">
        <v>31</v>
      </c>
      <c r="AN79" s="92" t="s">
        <v>1396</v>
      </c>
      <c r="AO79" s="84" t="s">
        <v>1471</v>
      </c>
      <c r="AP79" s="84" t="b">
        <v>0</v>
      </c>
      <c r="AQ79" s="92" t="s">
        <v>1396</v>
      </c>
      <c r="AR79" s="84" t="s">
        <v>187</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49">
        <v>0</v>
      </c>
      <c r="BG79" s="50">
        <v>0</v>
      </c>
      <c r="BH79" s="49">
        <v>0</v>
      </c>
      <c r="BI79" s="50">
        <v>0</v>
      </c>
      <c r="BJ79" s="49">
        <v>0</v>
      </c>
      <c r="BK79" s="50">
        <v>0</v>
      </c>
      <c r="BL79" s="49">
        <v>26</v>
      </c>
      <c r="BM79" s="50">
        <v>100</v>
      </c>
      <c r="BN79" s="49">
        <v>26</v>
      </c>
    </row>
    <row r="80" spans="1:66" ht="15">
      <c r="A80" s="68" t="s">
        <v>245</v>
      </c>
      <c r="B80" s="68" t="s">
        <v>417</v>
      </c>
      <c r="C80" s="69" t="s">
        <v>5208</v>
      </c>
      <c r="D80" s="70">
        <v>1</v>
      </c>
      <c r="E80" s="71" t="s">
        <v>132</v>
      </c>
      <c r="F80" s="72">
        <v>32</v>
      </c>
      <c r="G80" s="69" t="s">
        <v>51</v>
      </c>
      <c r="H80" s="73"/>
      <c r="I80" s="74"/>
      <c r="J80" s="74"/>
      <c r="K80" s="35" t="s">
        <v>65</v>
      </c>
      <c r="L80" s="82">
        <v>80</v>
      </c>
      <c r="M80" s="82"/>
      <c r="N80" s="76"/>
      <c r="O80" s="84" t="s">
        <v>439</v>
      </c>
      <c r="P80" s="86">
        <v>44082.02164351852</v>
      </c>
      <c r="Q80" s="84" t="s">
        <v>450</v>
      </c>
      <c r="R80"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80" s="84" t="s">
        <v>533</v>
      </c>
      <c r="T80" s="84"/>
      <c r="U80" s="84"/>
      <c r="V80" s="87" t="str">
        <f>HYPERLINK("http://pbs.twimg.com/profile_images/1275968101314629632/UqJ6qysu_normal.jpg")</f>
        <v>http://pbs.twimg.com/profile_images/1275968101314629632/UqJ6qysu_normal.jpg</v>
      </c>
      <c r="W80" s="86">
        <v>44082.02164351852</v>
      </c>
      <c r="X80" s="90">
        <v>44082</v>
      </c>
      <c r="Y80" s="92" t="s">
        <v>659</v>
      </c>
      <c r="Z80" s="87" t="str">
        <f>HYPERLINK("https://twitter.com/borishuaman/status/1303128713090019329")</f>
        <v>https://twitter.com/borishuaman/status/1303128713090019329</v>
      </c>
      <c r="AA80" s="84"/>
      <c r="AB80" s="84"/>
      <c r="AC80" s="92" t="s">
        <v>1053</v>
      </c>
      <c r="AD80" s="84"/>
      <c r="AE80" s="84" t="b">
        <v>0</v>
      </c>
      <c r="AF80" s="84">
        <v>0</v>
      </c>
      <c r="AG80" s="92" t="s">
        <v>1453</v>
      </c>
      <c r="AH80" s="84" t="b">
        <v>0</v>
      </c>
      <c r="AI80" s="84" t="s">
        <v>1456</v>
      </c>
      <c r="AJ80" s="84"/>
      <c r="AK80" s="92" t="s">
        <v>1453</v>
      </c>
      <c r="AL80" s="84" t="b">
        <v>0</v>
      </c>
      <c r="AM80" s="84">
        <v>31</v>
      </c>
      <c r="AN80" s="92" t="s">
        <v>1396</v>
      </c>
      <c r="AO80" s="84" t="s">
        <v>1465</v>
      </c>
      <c r="AP80" s="84" t="b">
        <v>0</v>
      </c>
      <c r="AQ80" s="92" t="s">
        <v>1396</v>
      </c>
      <c r="AR80" s="84" t="s">
        <v>187</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49">
        <v>0</v>
      </c>
      <c r="BG80" s="50">
        <v>0</v>
      </c>
      <c r="BH80" s="49">
        <v>0</v>
      </c>
      <c r="BI80" s="50">
        <v>0</v>
      </c>
      <c r="BJ80" s="49">
        <v>0</v>
      </c>
      <c r="BK80" s="50">
        <v>0</v>
      </c>
      <c r="BL80" s="49">
        <v>26</v>
      </c>
      <c r="BM80" s="50">
        <v>100</v>
      </c>
      <c r="BN80" s="49">
        <v>26</v>
      </c>
    </row>
    <row r="81" spans="1:66" ht="15">
      <c r="A81" s="68" t="s">
        <v>246</v>
      </c>
      <c r="B81" s="68" t="s">
        <v>382</v>
      </c>
      <c r="C81" s="69" t="s">
        <v>5208</v>
      </c>
      <c r="D81" s="70">
        <v>1</v>
      </c>
      <c r="E81" s="71" t="s">
        <v>132</v>
      </c>
      <c r="F81" s="72">
        <v>32</v>
      </c>
      <c r="G81" s="69" t="s">
        <v>51</v>
      </c>
      <c r="H81" s="73"/>
      <c r="I81" s="74"/>
      <c r="J81" s="74"/>
      <c r="K81" s="35" t="s">
        <v>65</v>
      </c>
      <c r="L81" s="82">
        <v>81</v>
      </c>
      <c r="M81" s="82"/>
      <c r="N81" s="76"/>
      <c r="O81" s="84" t="s">
        <v>440</v>
      </c>
      <c r="P81" s="86">
        <v>44082.162986111114</v>
      </c>
      <c r="Q81" s="84" t="s">
        <v>448</v>
      </c>
      <c r="R81" s="87" t="str">
        <f>HYPERLINK("https://www.peoplematters.in/news/technology/job-searches-in-artificial-intelligence-rise-106-in-one-year-report-26898")</f>
        <v>https://www.peoplematters.in/news/technology/job-searches-in-artificial-intelligence-rise-106-in-one-year-report-26898</v>
      </c>
      <c r="S81" s="84" t="s">
        <v>532</v>
      </c>
      <c r="T81" s="84" t="s">
        <v>568</v>
      </c>
      <c r="U81" s="87" t="str">
        <f>HYPERLINK("https://pbs.twimg.com/media/EhVAOmdWoAAOQiY.jpg")</f>
        <v>https://pbs.twimg.com/media/EhVAOmdWoAAOQiY.jpg</v>
      </c>
      <c r="V81" s="87" t="str">
        <f>HYPERLINK("https://pbs.twimg.com/media/EhVAOmdWoAAOQiY.jpg")</f>
        <v>https://pbs.twimg.com/media/EhVAOmdWoAAOQiY.jpg</v>
      </c>
      <c r="W81" s="86">
        <v>44082.162986111114</v>
      </c>
      <c r="X81" s="90">
        <v>44082</v>
      </c>
      <c r="Y81" s="92" t="s">
        <v>660</v>
      </c>
      <c r="Z81" s="87" t="str">
        <f>HYPERLINK("https://twitter.com/subhankarp/status/1303179934605615105")</f>
        <v>https://twitter.com/subhankarp/status/1303179934605615105</v>
      </c>
      <c r="AA81" s="84"/>
      <c r="AB81" s="84"/>
      <c r="AC81" s="92" t="s">
        <v>1054</v>
      </c>
      <c r="AD81" s="84"/>
      <c r="AE81" s="84" t="b">
        <v>0</v>
      </c>
      <c r="AF81" s="84">
        <v>0</v>
      </c>
      <c r="AG81" s="92" t="s">
        <v>1453</v>
      </c>
      <c r="AH81" s="84" t="b">
        <v>0</v>
      </c>
      <c r="AI81" s="84" t="s">
        <v>1456</v>
      </c>
      <c r="AJ81" s="84"/>
      <c r="AK81" s="92" t="s">
        <v>1453</v>
      </c>
      <c r="AL81" s="84" t="b">
        <v>0</v>
      </c>
      <c r="AM81" s="84">
        <v>25</v>
      </c>
      <c r="AN81" s="92" t="s">
        <v>1248</v>
      </c>
      <c r="AO81" s="84" t="s">
        <v>1467</v>
      </c>
      <c r="AP81" s="84" t="b">
        <v>0</v>
      </c>
      <c r="AQ81" s="92" t="s">
        <v>1248</v>
      </c>
      <c r="AR81" s="84" t="s">
        <v>187</v>
      </c>
      <c r="AS81" s="84">
        <v>0</v>
      </c>
      <c r="AT81" s="84">
        <v>0</v>
      </c>
      <c r="AU81" s="84"/>
      <c r="AV81" s="84"/>
      <c r="AW81" s="84"/>
      <c r="AX81" s="84"/>
      <c r="AY81" s="84"/>
      <c r="AZ81" s="84"/>
      <c r="BA81" s="84"/>
      <c r="BB81" s="84"/>
      <c r="BC81">
        <v>1</v>
      </c>
      <c r="BD81" s="83" t="str">
        <f>REPLACE(INDEX(GroupVertices[Group],MATCH(Edges[[#This Row],[Vertex 1]],GroupVertices[Vertex],0)),1,1,"")</f>
        <v>4</v>
      </c>
      <c r="BE81" s="83" t="str">
        <f>REPLACE(INDEX(GroupVertices[Group],MATCH(Edges[[#This Row],[Vertex 2]],GroupVertices[Vertex],0)),1,1,"")</f>
        <v>4</v>
      </c>
      <c r="BF81" s="49"/>
      <c r="BG81" s="50"/>
      <c r="BH81" s="49"/>
      <c r="BI81" s="50"/>
      <c r="BJ81" s="49"/>
      <c r="BK81" s="50"/>
      <c r="BL81" s="49"/>
      <c r="BM81" s="50"/>
      <c r="BN81" s="49"/>
    </row>
    <row r="82" spans="1:66" ht="15">
      <c r="A82" s="68" t="s">
        <v>246</v>
      </c>
      <c r="B82" s="68" t="s">
        <v>385</v>
      </c>
      <c r="C82" s="69" t="s">
        <v>5208</v>
      </c>
      <c r="D82" s="70">
        <v>1</v>
      </c>
      <c r="E82" s="71" t="s">
        <v>132</v>
      </c>
      <c r="F82" s="72">
        <v>32</v>
      </c>
      <c r="G82" s="69" t="s">
        <v>51</v>
      </c>
      <c r="H82" s="73"/>
      <c r="I82" s="74"/>
      <c r="J82" s="74"/>
      <c r="K82" s="35" t="s">
        <v>65</v>
      </c>
      <c r="L82" s="82">
        <v>82</v>
      </c>
      <c r="M82" s="82"/>
      <c r="N82" s="76"/>
      <c r="O82" s="84" t="s">
        <v>440</v>
      </c>
      <c r="P82" s="86">
        <v>44082.162986111114</v>
      </c>
      <c r="Q82" s="84" t="s">
        <v>448</v>
      </c>
      <c r="R82" s="87" t="str">
        <f>HYPERLINK("https://www.peoplematters.in/news/technology/job-searches-in-artificial-intelligence-rise-106-in-one-year-report-26898")</f>
        <v>https://www.peoplematters.in/news/technology/job-searches-in-artificial-intelligence-rise-106-in-one-year-report-26898</v>
      </c>
      <c r="S82" s="84" t="s">
        <v>532</v>
      </c>
      <c r="T82" s="84" t="s">
        <v>568</v>
      </c>
      <c r="U82" s="87" t="str">
        <f>HYPERLINK("https://pbs.twimg.com/media/EhVAOmdWoAAOQiY.jpg")</f>
        <v>https://pbs.twimg.com/media/EhVAOmdWoAAOQiY.jpg</v>
      </c>
      <c r="V82" s="87" t="str">
        <f>HYPERLINK("https://pbs.twimg.com/media/EhVAOmdWoAAOQiY.jpg")</f>
        <v>https://pbs.twimg.com/media/EhVAOmdWoAAOQiY.jpg</v>
      </c>
      <c r="W82" s="86">
        <v>44082.162986111114</v>
      </c>
      <c r="X82" s="90">
        <v>44082</v>
      </c>
      <c r="Y82" s="92" t="s">
        <v>660</v>
      </c>
      <c r="Z82" s="87" t="str">
        <f>HYPERLINK("https://twitter.com/subhankarp/status/1303179934605615105")</f>
        <v>https://twitter.com/subhankarp/status/1303179934605615105</v>
      </c>
      <c r="AA82" s="84"/>
      <c r="AB82" s="84"/>
      <c r="AC82" s="92" t="s">
        <v>1054</v>
      </c>
      <c r="AD82" s="84"/>
      <c r="AE82" s="84" t="b">
        <v>0</v>
      </c>
      <c r="AF82" s="84">
        <v>0</v>
      </c>
      <c r="AG82" s="92" t="s">
        <v>1453</v>
      </c>
      <c r="AH82" s="84" t="b">
        <v>0</v>
      </c>
      <c r="AI82" s="84" t="s">
        <v>1456</v>
      </c>
      <c r="AJ82" s="84"/>
      <c r="AK82" s="92" t="s">
        <v>1453</v>
      </c>
      <c r="AL82" s="84" t="b">
        <v>0</v>
      </c>
      <c r="AM82" s="84">
        <v>25</v>
      </c>
      <c r="AN82" s="92" t="s">
        <v>1248</v>
      </c>
      <c r="AO82" s="84" t="s">
        <v>1467</v>
      </c>
      <c r="AP82" s="84" t="b">
        <v>0</v>
      </c>
      <c r="AQ82" s="92" t="s">
        <v>1248</v>
      </c>
      <c r="AR82" s="84" t="s">
        <v>187</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4</v>
      </c>
      <c r="BF82" s="49"/>
      <c r="BG82" s="50"/>
      <c r="BH82" s="49"/>
      <c r="BI82" s="50"/>
      <c r="BJ82" s="49"/>
      <c r="BK82" s="50"/>
      <c r="BL82" s="49"/>
      <c r="BM82" s="50"/>
      <c r="BN82" s="49"/>
    </row>
    <row r="83" spans="1:66" ht="15">
      <c r="A83" s="68" t="s">
        <v>246</v>
      </c>
      <c r="B83" s="68" t="s">
        <v>430</v>
      </c>
      <c r="C83" s="69" t="s">
        <v>5208</v>
      </c>
      <c r="D83" s="70">
        <v>1</v>
      </c>
      <c r="E83" s="71" t="s">
        <v>132</v>
      </c>
      <c r="F83" s="72">
        <v>32</v>
      </c>
      <c r="G83" s="69" t="s">
        <v>51</v>
      </c>
      <c r="H83" s="73"/>
      <c r="I83" s="74"/>
      <c r="J83" s="74"/>
      <c r="K83" s="35" t="s">
        <v>65</v>
      </c>
      <c r="L83" s="82">
        <v>83</v>
      </c>
      <c r="M83" s="82"/>
      <c r="N83" s="76"/>
      <c r="O83" s="84" t="s">
        <v>440</v>
      </c>
      <c r="P83" s="86">
        <v>44082.162986111114</v>
      </c>
      <c r="Q83" s="84" t="s">
        <v>448</v>
      </c>
      <c r="R83" s="87" t="str">
        <f>HYPERLINK("https://www.peoplematters.in/news/technology/job-searches-in-artificial-intelligence-rise-106-in-one-year-report-26898")</f>
        <v>https://www.peoplematters.in/news/technology/job-searches-in-artificial-intelligence-rise-106-in-one-year-report-26898</v>
      </c>
      <c r="S83" s="84" t="s">
        <v>532</v>
      </c>
      <c r="T83" s="84" t="s">
        <v>568</v>
      </c>
      <c r="U83" s="87" t="str">
        <f>HYPERLINK("https://pbs.twimg.com/media/EhVAOmdWoAAOQiY.jpg")</f>
        <v>https://pbs.twimg.com/media/EhVAOmdWoAAOQiY.jpg</v>
      </c>
      <c r="V83" s="87" t="str">
        <f>HYPERLINK("https://pbs.twimg.com/media/EhVAOmdWoAAOQiY.jpg")</f>
        <v>https://pbs.twimg.com/media/EhVAOmdWoAAOQiY.jpg</v>
      </c>
      <c r="W83" s="86">
        <v>44082.162986111114</v>
      </c>
      <c r="X83" s="90">
        <v>44082</v>
      </c>
      <c r="Y83" s="92" t="s">
        <v>660</v>
      </c>
      <c r="Z83" s="87" t="str">
        <f>HYPERLINK("https://twitter.com/subhankarp/status/1303179934605615105")</f>
        <v>https://twitter.com/subhankarp/status/1303179934605615105</v>
      </c>
      <c r="AA83" s="84"/>
      <c r="AB83" s="84"/>
      <c r="AC83" s="92" t="s">
        <v>1054</v>
      </c>
      <c r="AD83" s="84"/>
      <c r="AE83" s="84" t="b">
        <v>0</v>
      </c>
      <c r="AF83" s="84">
        <v>0</v>
      </c>
      <c r="AG83" s="92" t="s">
        <v>1453</v>
      </c>
      <c r="AH83" s="84" t="b">
        <v>0</v>
      </c>
      <c r="AI83" s="84" t="s">
        <v>1456</v>
      </c>
      <c r="AJ83" s="84"/>
      <c r="AK83" s="92" t="s">
        <v>1453</v>
      </c>
      <c r="AL83" s="84" t="b">
        <v>0</v>
      </c>
      <c r="AM83" s="84">
        <v>25</v>
      </c>
      <c r="AN83" s="92" t="s">
        <v>1248</v>
      </c>
      <c r="AO83" s="84" t="s">
        <v>1467</v>
      </c>
      <c r="AP83" s="84" t="b">
        <v>0</v>
      </c>
      <c r="AQ83" s="92" t="s">
        <v>1248</v>
      </c>
      <c r="AR83" s="84" t="s">
        <v>187</v>
      </c>
      <c r="AS83" s="84">
        <v>0</v>
      </c>
      <c r="AT83" s="84">
        <v>0</v>
      </c>
      <c r="AU83" s="84"/>
      <c r="AV83" s="84"/>
      <c r="AW83" s="84"/>
      <c r="AX83" s="84"/>
      <c r="AY83" s="84"/>
      <c r="AZ83" s="84"/>
      <c r="BA83" s="84"/>
      <c r="BB83" s="84"/>
      <c r="BC83">
        <v>1</v>
      </c>
      <c r="BD83" s="83" t="str">
        <f>REPLACE(INDEX(GroupVertices[Group],MATCH(Edges[[#This Row],[Vertex 1]],GroupVertices[Vertex],0)),1,1,"")</f>
        <v>4</v>
      </c>
      <c r="BE83" s="83" t="str">
        <f>REPLACE(INDEX(GroupVertices[Group],MATCH(Edges[[#This Row],[Vertex 2]],GroupVertices[Vertex],0)),1,1,"")</f>
        <v>4</v>
      </c>
      <c r="BF83" s="49"/>
      <c r="BG83" s="50"/>
      <c r="BH83" s="49"/>
      <c r="BI83" s="50"/>
      <c r="BJ83" s="49"/>
      <c r="BK83" s="50"/>
      <c r="BL83" s="49"/>
      <c r="BM83" s="50"/>
      <c r="BN83" s="49"/>
    </row>
    <row r="84" spans="1:66" ht="15">
      <c r="A84" s="68" t="s">
        <v>246</v>
      </c>
      <c r="B84" s="68" t="s">
        <v>383</v>
      </c>
      <c r="C84" s="69" t="s">
        <v>5208</v>
      </c>
      <c r="D84" s="70">
        <v>1</v>
      </c>
      <c r="E84" s="71" t="s">
        <v>132</v>
      </c>
      <c r="F84" s="72">
        <v>32</v>
      </c>
      <c r="G84" s="69" t="s">
        <v>51</v>
      </c>
      <c r="H84" s="73"/>
      <c r="I84" s="74"/>
      <c r="J84" s="74"/>
      <c r="K84" s="35" t="s">
        <v>65</v>
      </c>
      <c r="L84" s="82">
        <v>84</v>
      </c>
      <c r="M84" s="82"/>
      <c r="N84" s="76"/>
      <c r="O84" s="84" t="s">
        <v>440</v>
      </c>
      <c r="P84" s="86">
        <v>44082.162986111114</v>
      </c>
      <c r="Q84" s="84" t="s">
        <v>448</v>
      </c>
      <c r="R84" s="87" t="str">
        <f>HYPERLINK("https://www.peoplematters.in/news/technology/job-searches-in-artificial-intelligence-rise-106-in-one-year-report-26898")</f>
        <v>https://www.peoplematters.in/news/technology/job-searches-in-artificial-intelligence-rise-106-in-one-year-report-26898</v>
      </c>
      <c r="S84" s="84" t="s">
        <v>532</v>
      </c>
      <c r="T84" s="84" t="s">
        <v>568</v>
      </c>
      <c r="U84" s="87" t="str">
        <f>HYPERLINK("https://pbs.twimg.com/media/EhVAOmdWoAAOQiY.jpg")</f>
        <v>https://pbs.twimg.com/media/EhVAOmdWoAAOQiY.jpg</v>
      </c>
      <c r="V84" s="87" t="str">
        <f>HYPERLINK("https://pbs.twimg.com/media/EhVAOmdWoAAOQiY.jpg")</f>
        <v>https://pbs.twimg.com/media/EhVAOmdWoAAOQiY.jpg</v>
      </c>
      <c r="W84" s="86">
        <v>44082.162986111114</v>
      </c>
      <c r="X84" s="90">
        <v>44082</v>
      </c>
      <c r="Y84" s="92" t="s">
        <v>660</v>
      </c>
      <c r="Z84" s="87" t="str">
        <f>HYPERLINK("https://twitter.com/subhankarp/status/1303179934605615105")</f>
        <v>https://twitter.com/subhankarp/status/1303179934605615105</v>
      </c>
      <c r="AA84" s="84"/>
      <c r="AB84" s="84"/>
      <c r="AC84" s="92" t="s">
        <v>1054</v>
      </c>
      <c r="AD84" s="84"/>
      <c r="AE84" s="84" t="b">
        <v>0</v>
      </c>
      <c r="AF84" s="84">
        <v>0</v>
      </c>
      <c r="AG84" s="92" t="s">
        <v>1453</v>
      </c>
      <c r="AH84" s="84" t="b">
        <v>0</v>
      </c>
      <c r="AI84" s="84" t="s">
        <v>1456</v>
      </c>
      <c r="AJ84" s="84"/>
      <c r="AK84" s="92" t="s">
        <v>1453</v>
      </c>
      <c r="AL84" s="84" t="b">
        <v>0</v>
      </c>
      <c r="AM84" s="84">
        <v>25</v>
      </c>
      <c r="AN84" s="92" t="s">
        <v>1248</v>
      </c>
      <c r="AO84" s="84" t="s">
        <v>1467</v>
      </c>
      <c r="AP84" s="84" t="b">
        <v>0</v>
      </c>
      <c r="AQ84" s="92" t="s">
        <v>1248</v>
      </c>
      <c r="AR84" s="84" t="s">
        <v>187</v>
      </c>
      <c r="AS84" s="84">
        <v>0</v>
      </c>
      <c r="AT84" s="84">
        <v>0</v>
      </c>
      <c r="AU84" s="84"/>
      <c r="AV84" s="84"/>
      <c r="AW84" s="84"/>
      <c r="AX84" s="84"/>
      <c r="AY84" s="84"/>
      <c r="AZ84" s="84"/>
      <c r="BA84" s="84"/>
      <c r="BB84" s="84"/>
      <c r="BC84">
        <v>1</v>
      </c>
      <c r="BD84" s="83" t="str">
        <f>REPLACE(INDEX(GroupVertices[Group],MATCH(Edges[[#This Row],[Vertex 1]],GroupVertices[Vertex],0)),1,1,"")</f>
        <v>4</v>
      </c>
      <c r="BE84" s="83" t="str">
        <f>REPLACE(INDEX(GroupVertices[Group],MATCH(Edges[[#This Row],[Vertex 2]],GroupVertices[Vertex],0)),1,1,"")</f>
        <v>4</v>
      </c>
      <c r="BF84" s="49"/>
      <c r="BG84" s="50"/>
      <c r="BH84" s="49"/>
      <c r="BI84" s="50"/>
      <c r="BJ84" s="49"/>
      <c r="BK84" s="50"/>
      <c r="BL84" s="49"/>
      <c r="BM84" s="50"/>
      <c r="BN84" s="49"/>
    </row>
    <row r="85" spans="1:66" ht="15">
      <c r="A85" s="68" t="s">
        <v>246</v>
      </c>
      <c r="B85" s="68" t="s">
        <v>380</v>
      </c>
      <c r="C85" s="69" t="s">
        <v>5208</v>
      </c>
      <c r="D85" s="70">
        <v>1</v>
      </c>
      <c r="E85" s="71" t="s">
        <v>132</v>
      </c>
      <c r="F85" s="72">
        <v>32</v>
      </c>
      <c r="G85" s="69" t="s">
        <v>51</v>
      </c>
      <c r="H85" s="73"/>
      <c r="I85" s="74"/>
      <c r="J85" s="74"/>
      <c r="K85" s="35" t="s">
        <v>65</v>
      </c>
      <c r="L85" s="82">
        <v>85</v>
      </c>
      <c r="M85" s="82"/>
      <c r="N85" s="76"/>
      <c r="O85" s="84" t="s">
        <v>440</v>
      </c>
      <c r="P85" s="86">
        <v>44082.162986111114</v>
      </c>
      <c r="Q85" s="84" t="s">
        <v>448</v>
      </c>
      <c r="R85" s="87" t="str">
        <f>HYPERLINK("https://www.peoplematters.in/news/technology/job-searches-in-artificial-intelligence-rise-106-in-one-year-report-26898")</f>
        <v>https://www.peoplematters.in/news/technology/job-searches-in-artificial-intelligence-rise-106-in-one-year-report-26898</v>
      </c>
      <c r="S85" s="84" t="s">
        <v>532</v>
      </c>
      <c r="T85" s="84" t="s">
        <v>568</v>
      </c>
      <c r="U85" s="87" t="str">
        <f>HYPERLINK("https://pbs.twimg.com/media/EhVAOmdWoAAOQiY.jpg")</f>
        <v>https://pbs.twimg.com/media/EhVAOmdWoAAOQiY.jpg</v>
      </c>
      <c r="V85" s="87" t="str">
        <f>HYPERLINK("https://pbs.twimg.com/media/EhVAOmdWoAAOQiY.jpg")</f>
        <v>https://pbs.twimg.com/media/EhVAOmdWoAAOQiY.jpg</v>
      </c>
      <c r="W85" s="86">
        <v>44082.162986111114</v>
      </c>
      <c r="X85" s="90">
        <v>44082</v>
      </c>
      <c r="Y85" s="92" t="s">
        <v>660</v>
      </c>
      <c r="Z85" s="87" t="str">
        <f>HYPERLINK("https://twitter.com/subhankarp/status/1303179934605615105")</f>
        <v>https://twitter.com/subhankarp/status/1303179934605615105</v>
      </c>
      <c r="AA85" s="84"/>
      <c r="AB85" s="84"/>
      <c r="AC85" s="92" t="s">
        <v>1054</v>
      </c>
      <c r="AD85" s="84"/>
      <c r="AE85" s="84" t="b">
        <v>0</v>
      </c>
      <c r="AF85" s="84">
        <v>0</v>
      </c>
      <c r="AG85" s="92" t="s">
        <v>1453</v>
      </c>
      <c r="AH85" s="84" t="b">
        <v>0</v>
      </c>
      <c r="AI85" s="84" t="s">
        <v>1456</v>
      </c>
      <c r="AJ85" s="84"/>
      <c r="AK85" s="92" t="s">
        <v>1453</v>
      </c>
      <c r="AL85" s="84" t="b">
        <v>0</v>
      </c>
      <c r="AM85" s="84">
        <v>25</v>
      </c>
      <c r="AN85" s="92" t="s">
        <v>1248</v>
      </c>
      <c r="AO85" s="84" t="s">
        <v>1467</v>
      </c>
      <c r="AP85" s="84" t="b">
        <v>0</v>
      </c>
      <c r="AQ85" s="92" t="s">
        <v>1248</v>
      </c>
      <c r="AR85" s="84" t="s">
        <v>187</v>
      </c>
      <c r="AS85" s="84">
        <v>0</v>
      </c>
      <c r="AT85" s="84">
        <v>0</v>
      </c>
      <c r="AU85" s="84"/>
      <c r="AV85" s="84"/>
      <c r="AW85" s="84"/>
      <c r="AX85" s="84"/>
      <c r="AY85" s="84"/>
      <c r="AZ85" s="84"/>
      <c r="BA85" s="84"/>
      <c r="BB85" s="84"/>
      <c r="BC85">
        <v>1</v>
      </c>
      <c r="BD85" s="83" t="str">
        <f>REPLACE(INDEX(GroupVertices[Group],MATCH(Edges[[#This Row],[Vertex 1]],GroupVertices[Vertex],0)),1,1,"")</f>
        <v>4</v>
      </c>
      <c r="BE85" s="83" t="str">
        <f>REPLACE(INDEX(GroupVertices[Group],MATCH(Edges[[#This Row],[Vertex 2]],GroupVertices[Vertex],0)),1,1,"")</f>
        <v>4</v>
      </c>
      <c r="BF85" s="49"/>
      <c r="BG85" s="50"/>
      <c r="BH85" s="49"/>
      <c r="BI85" s="50"/>
      <c r="BJ85" s="49"/>
      <c r="BK85" s="50"/>
      <c r="BL85" s="49"/>
      <c r="BM85" s="50"/>
      <c r="BN85" s="49"/>
    </row>
    <row r="86" spans="1:66" ht="15">
      <c r="A86" s="68" t="s">
        <v>246</v>
      </c>
      <c r="B86" s="68" t="s">
        <v>381</v>
      </c>
      <c r="C86" s="69" t="s">
        <v>5208</v>
      </c>
      <c r="D86" s="70">
        <v>1</v>
      </c>
      <c r="E86" s="71" t="s">
        <v>132</v>
      </c>
      <c r="F86" s="72">
        <v>32</v>
      </c>
      <c r="G86" s="69" t="s">
        <v>51</v>
      </c>
      <c r="H86" s="73"/>
      <c r="I86" s="74"/>
      <c r="J86" s="74"/>
      <c r="K86" s="35" t="s">
        <v>65</v>
      </c>
      <c r="L86" s="82">
        <v>86</v>
      </c>
      <c r="M86" s="82"/>
      <c r="N86" s="76"/>
      <c r="O86" s="84" t="s">
        <v>440</v>
      </c>
      <c r="P86" s="86">
        <v>44082.162986111114</v>
      </c>
      <c r="Q86" s="84" t="s">
        <v>448</v>
      </c>
      <c r="R86" s="87" t="str">
        <f>HYPERLINK("https://www.peoplematters.in/news/technology/job-searches-in-artificial-intelligence-rise-106-in-one-year-report-26898")</f>
        <v>https://www.peoplematters.in/news/technology/job-searches-in-artificial-intelligence-rise-106-in-one-year-report-26898</v>
      </c>
      <c r="S86" s="84" t="s">
        <v>532</v>
      </c>
      <c r="T86" s="84" t="s">
        <v>568</v>
      </c>
      <c r="U86" s="87" t="str">
        <f>HYPERLINK("https://pbs.twimg.com/media/EhVAOmdWoAAOQiY.jpg")</f>
        <v>https://pbs.twimg.com/media/EhVAOmdWoAAOQiY.jpg</v>
      </c>
      <c r="V86" s="87" t="str">
        <f>HYPERLINK("https://pbs.twimg.com/media/EhVAOmdWoAAOQiY.jpg")</f>
        <v>https://pbs.twimg.com/media/EhVAOmdWoAAOQiY.jpg</v>
      </c>
      <c r="W86" s="86">
        <v>44082.162986111114</v>
      </c>
      <c r="X86" s="90">
        <v>44082</v>
      </c>
      <c r="Y86" s="92" t="s">
        <v>660</v>
      </c>
      <c r="Z86" s="87" t="str">
        <f>HYPERLINK("https://twitter.com/subhankarp/status/1303179934605615105")</f>
        <v>https://twitter.com/subhankarp/status/1303179934605615105</v>
      </c>
      <c r="AA86" s="84"/>
      <c r="AB86" s="84"/>
      <c r="AC86" s="92" t="s">
        <v>1054</v>
      </c>
      <c r="AD86" s="84"/>
      <c r="AE86" s="84" t="b">
        <v>0</v>
      </c>
      <c r="AF86" s="84">
        <v>0</v>
      </c>
      <c r="AG86" s="92" t="s">
        <v>1453</v>
      </c>
      <c r="AH86" s="84" t="b">
        <v>0</v>
      </c>
      <c r="AI86" s="84" t="s">
        <v>1456</v>
      </c>
      <c r="AJ86" s="84"/>
      <c r="AK86" s="92" t="s">
        <v>1453</v>
      </c>
      <c r="AL86" s="84" t="b">
        <v>0</v>
      </c>
      <c r="AM86" s="84">
        <v>25</v>
      </c>
      <c r="AN86" s="92" t="s">
        <v>1248</v>
      </c>
      <c r="AO86" s="84" t="s">
        <v>1467</v>
      </c>
      <c r="AP86" s="84" t="b">
        <v>0</v>
      </c>
      <c r="AQ86" s="92" t="s">
        <v>1248</v>
      </c>
      <c r="AR86" s="84" t="s">
        <v>187</v>
      </c>
      <c r="AS86" s="84">
        <v>0</v>
      </c>
      <c r="AT86" s="84">
        <v>0</v>
      </c>
      <c r="AU86" s="84"/>
      <c r="AV86" s="84"/>
      <c r="AW86" s="84"/>
      <c r="AX86" s="84"/>
      <c r="AY86" s="84"/>
      <c r="AZ86" s="84"/>
      <c r="BA86" s="84"/>
      <c r="BB86" s="84"/>
      <c r="BC86">
        <v>1</v>
      </c>
      <c r="BD86" s="83" t="str">
        <f>REPLACE(INDEX(GroupVertices[Group],MATCH(Edges[[#This Row],[Vertex 1]],GroupVertices[Vertex],0)),1,1,"")</f>
        <v>4</v>
      </c>
      <c r="BE86" s="83" t="str">
        <f>REPLACE(INDEX(GroupVertices[Group],MATCH(Edges[[#This Row],[Vertex 2]],GroupVertices[Vertex],0)),1,1,"")</f>
        <v>4</v>
      </c>
      <c r="BF86" s="49"/>
      <c r="BG86" s="50"/>
      <c r="BH86" s="49"/>
      <c r="BI86" s="50"/>
      <c r="BJ86" s="49"/>
      <c r="BK86" s="50"/>
      <c r="BL86" s="49"/>
      <c r="BM86" s="50"/>
      <c r="BN86" s="49"/>
    </row>
    <row r="87" spans="1:66" ht="15">
      <c r="A87" s="68" t="s">
        <v>246</v>
      </c>
      <c r="B87" s="68" t="s">
        <v>431</v>
      </c>
      <c r="C87" s="69" t="s">
        <v>5208</v>
      </c>
      <c r="D87" s="70">
        <v>1</v>
      </c>
      <c r="E87" s="71" t="s">
        <v>132</v>
      </c>
      <c r="F87" s="72">
        <v>32</v>
      </c>
      <c r="G87" s="69" t="s">
        <v>51</v>
      </c>
      <c r="H87" s="73"/>
      <c r="I87" s="74"/>
      <c r="J87" s="74"/>
      <c r="K87" s="35" t="s">
        <v>65</v>
      </c>
      <c r="L87" s="82">
        <v>87</v>
      </c>
      <c r="M87" s="82"/>
      <c r="N87" s="76"/>
      <c r="O87" s="84" t="s">
        <v>440</v>
      </c>
      <c r="P87" s="86">
        <v>44082.162986111114</v>
      </c>
      <c r="Q87" s="84" t="s">
        <v>448</v>
      </c>
      <c r="R87" s="87" t="str">
        <f>HYPERLINK("https://www.peoplematters.in/news/technology/job-searches-in-artificial-intelligence-rise-106-in-one-year-report-26898")</f>
        <v>https://www.peoplematters.in/news/technology/job-searches-in-artificial-intelligence-rise-106-in-one-year-report-26898</v>
      </c>
      <c r="S87" s="84" t="s">
        <v>532</v>
      </c>
      <c r="T87" s="84" t="s">
        <v>568</v>
      </c>
      <c r="U87" s="87" t="str">
        <f>HYPERLINK("https://pbs.twimg.com/media/EhVAOmdWoAAOQiY.jpg")</f>
        <v>https://pbs.twimg.com/media/EhVAOmdWoAAOQiY.jpg</v>
      </c>
      <c r="V87" s="87" t="str">
        <f>HYPERLINK("https://pbs.twimg.com/media/EhVAOmdWoAAOQiY.jpg")</f>
        <v>https://pbs.twimg.com/media/EhVAOmdWoAAOQiY.jpg</v>
      </c>
      <c r="W87" s="86">
        <v>44082.162986111114</v>
      </c>
      <c r="X87" s="90">
        <v>44082</v>
      </c>
      <c r="Y87" s="92" t="s">
        <v>660</v>
      </c>
      <c r="Z87" s="87" t="str">
        <f>HYPERLINK("https://twitter.com/subhankarp/status/1303179934605615105")</f>
        <v>https://twitter.com/subhankarp/status/1303179934605615105</v>
      </c>
      <c r="AA87" s="84"/>
      <c r="AB87" s="84"/>
      <c r="AC87" s="92" t="s">
        <v>1054</v>
      </c>
      <c r="AD87" s="84"/>
      <c r="AE87" s="84" t="b">
        <v>0</v>
      </c>
      <c r="AF87" s="84">
        <v>0</v>
      </c>
      <c r="AG87" s="92" t="s">
        <v>1453</v>
      </c>
      <c r="AH87" s="84" t="b">
        <v>0</v>
      </c>
      <c r="AI87" s="84" t="s">
        <v>1456</v>
      </c>
      <c r="AJ87" s="84"/>
      <c r="AK87" s="92" t="s">
        <v>1453</v>
      </c>
      <c r="AL87" s="84" t="b">
        <v>0</v>
      </c>
      <c r="AM87" s="84">
        <v>25</v>
      </c>
      <c r="AN87" s="92" t="s">
        <v>1248</v>
      </c>
      <c r="AO87" s="84" t="s">
        <v>1467</v>
      </c>
      <c r="AP87" s="84" t="b">
        <v>0</v>
      </c>
      <c r="AQ87" s="92" t="s">
        <v>1248</v>
      </c>
      <c r="AR87" s="84" t="s">
        <v>187</v>
      </c>
      <c r="AS87" s="84">
        <v>0</v>
      </c>
      <c r="AT87" s="84">
        <v>0</v>
      </c>
      <c r="AU87" s="84"/>
      <c r="AV87" s="84"/>
      <c r="AW87" s="84"/>
      <c r="AX87" s="84"/>
      <c r="AY87" s="84"/>
      <c r="AZ87" s="84"/>
      <c r="BA87" s="84"/>
      <c r="BB87" s="84"/>
      <c r="BC87">
        <v>1</v>
      </c>
      <c r="BD87" s="83" t="str">
        <f>REPLACE(INDEX(GroupVertices[Group],MATCH(Edges[[#This Row],[Vertex 1]],GroupVertices[Vertex],0)),1,1,"")</f>
        <v>4</v>
      </c>
      <c r="BE87" s="83" t="str">
        <f>REPLACE(INDEX(GroupVertices[Group],MATCH(Edges[[#This Row],[Vertex 2]],GroupVertices[Vertex],0)),1,1,"")</f>
        <v>4</v>
      </c>
      <c r="BF87" s="49"/>
      <c r="BG87" s="50"/>
      <c r="BH87" s="49"/>
      <c r="BI87" s="50"/>
      <c r="BJ87" s="49"/>
      <c r="BK87" s="50"/>
      <c r="BL87" s="49"/>
      <c r="BM87" s="50"/>
      <c r="BN87" s="49"/>
    </row>
    <row r="88" spans="1:66" ht="15">
      <c r="A88" s="68" t="s">
        <v>246</v>
      </c>
      <c r="B88" s="68" t="s">
        <v>432</v>
      </c>
      <c r="C88" s="69" t="s">
        <v>5208</v>
      </c>
      <c r="D88" s="70">
        <v>1</v>
      </c>
      <c r="E88" s="71" t="s">
        <v>132</v>
      </c>
      <c r="F88" s="72">
        <v>32</v>
      </c>
      <c r="G88" s="69" t="s">
        <v>51</v>
      </c>
      <c r="H88" s="73"/>
      <c r="I88" s="74"/>
      <c r="J88" s="74"/>
      <c r="K88" s="35" t="s">
        <v>65</v>
      </c>
      <c r="L88" s="82">
        <v>88</v>
      </c>
      <c r="M88" s="82"/>
      <c r="N88" s="76"/>
      <c r="O88" s="84" t="s">
        <v>440</v>
      </c>
      <c r="P88" s="86">
        <v>44082.162986111114</v>
      </c>
      <c r="Q88" s="84" t="s">
        <v>448</v>
      </c>
      <c r="R88" s="87" t="str">
        <f>HYPERLINK("https://www.peoplematters.in/news/technology/job-searches-in-artificial-intelligence-rise-106-in-one-year-report-26898")</f>
        <v>https://www.peoplematters.in/news/technology/job-searches-in-artificial-intelligence-rise-106-in-one-year-report-26898</v>
      </c>
      <c r="S88" s="84" t="s">
        <v>532</v>
      </c>
      <c r="T88" s="84" t="s">
        <v>568</v>
      </c>
      <c r="U88" s="87" t="str">
        <f>HYPERLINK("https://pbs.twimg.com/media/EhVAOmdWoAAOQiY.jpg")</f>
        <v>https://pbs.twimg.com/media/EhVAOmdWoAAOQiY.jpg</v>
      </c>
      <c r="V88" s="87" t="str">
        <f>HYPERLINK("https://pbs.twimg.com/media/EhVAOmdWoAAOQiY.jpg")</f>
        <v>https://pbs.twimg.com/media/EhVAOmdWoAAOQiY.jpg</v>
      </c>
      <c r="W88" s="86">
        <v>44082.162986111114</v>
      </c>
      <c r="X88" s="90">
        <v>44082</v>
      </c>
      <c r="Y88" s="92" t="s">
        <v>660</v>
      </c>
      <c r="Z88" s="87" t="str">
        <f>HYPERLINK("https://twitter.com/subhankarp/status/1303179934605615105")</f>
        <v>https://twitter.com/subhankarp/status/1303179934605615105</v>
      </c>
      <c r="AA88" s="84"/>
      <c r="AB88" s="84"/>
      <c r="AC88" s="92" t="s">
        <v>1054</v>
      </c>
      <c r="AD88" s="84"/>
      <c r="AE88" s="84" t="b">
        <v>0</v>
      </c>
      <c r="AF88" s="84">
        <v>0</v>
      </c>
      <c r="AG88" s="92" t="s">
        <v>1453</v>
      </c>
      <c r="AH88" s="84" t="b">
        <v>0</v>
      </c>
      <c r="AI88" s="84" t="s">
        <v>1456</v>
      </c>
      <c r="AJ88" s="84"/>
      <c r="AK88" s="92" t="s">
        <v>1453</v>
      </c>
      <c r="AL88" s="84" t="b">
        <v>0</v>
      </c>
      <c r="AM88" s="84">
        <v>25</v>
      </c>
      <c r="AN88" s="92" t="s">
        <v>1248</v>
      </c>
      <c r="AO88" s="84" t="s">
        <v>1467</v>
      </c>
      <c r="AP88" s="84" t="b">
        <v>0</v>
      </c>
      <c r="AQ88" s="92" t="s">
        <v>1248</v>
      </c>
      <c r="AR88" s="84" t="s">
        <v>187</v>
      </c>
      <c r="AS88" s="84">
        <v>0</v>
      </c>
      <c r="AT88" s="84">
        <v>0</v>
      </c>
      <c r="AU88" s="84"/>
      <c r="AV88" s="84"/>
      <c r="AW88" s="84"/>
      <c r="AX88" s="84"/>
      <c r="AY88" s="84"/>
      <c r="AZ88" s="84"/>
      <c r="BA88" s="84"/>
      <c r="BB88" s="84"/>
      <c r="BC88">
        <v>1</v>
      </c>
      <c r="BD88" s="83" t="str">
        <f>REPLACE(INDEX(GroupVertices[Group],MATCH(Edges[[#This Row],[Vertex 1]],GroupVertices[Vertex],0)),1,1,"")</f>
        <v>4</v>
      </c>
      <c r="BE88" s="83" t="str">
        <f>REPLACE(INDEX(GroupVertices[Group],MATCH(Edges[[#This Row],[Vertex 2]],GroupVertices[Vertex],0)),1,1,"")</f>
        <v>4</v>
      </c>
      <c r="BF88" s="49"/>
      <c r="BG88" s="50"/>
      <c r="BH88" s="49"/>
      <c r="BI88" s="50"/>
      <c r="BJ88" s="49"/>
      <c r="BK88" s="50"/>
      <c r="BL88" s="49"/>
      <c r="BM88" s="50"/>
      <c r="BN88" s="49"/>
    </row>
    <row r="89" spans="1:66" ht="15">
      <c r="A89" s="68" t="s">
        <v>246</v>
      </c>
      <c r="B89" s="68" t="s">
        <v>384</v>
      </c>
      <c r="C89" s="69" t="s">
        <v>5208</v>
      </c>
      <c r="D89" s="70">
        <v>1</v>
      </c>
      <c r="E89" s="71" t="s">
        <v>132</v>
      </c>
      <c r="F89" s="72">
        <v>32</v>
      </c>
      <c r="G89" s="69" t="s">
        <v>51</v>
      </c>
      <c r="H89" s="73"/>
      <c r="I89" s="74"/>
      <c r="J89" s="74"/>
      <c r="K89" s="35" t="s">
        <v>65</v>
      </c>
      <c r="L89" s="82">
        <v>89</v>
      </c>
      <c r="M89" s="82"/>
      <c r="N89" s="76"/>
      <c r="O89" s="84" t="s">
        <v>439</v>
      </c>
      <c r="P89" s="86">
        <v>44082.162986111114</v>
      </c>
      <c r="Q89" s="84" t="s">
        <v>448</v>
      </c>
      <c r="R89" s="87" t="str">
        <f>HYPERLINK("https://www.peoplematters.in/news/technology/job-searches-in-artificial-intelligence-rise-106-in-one-year-report-26898")</f>
        <v>https://www.peoplematters.in/news/technology/job-searches-in-artificial-intelligence-rise-106-in-one-year-report-26898</v>
      </c>
      <c r="S89" s="84" t="s">
        <v>532</v>
      </c>
      <c r="T89" s="84" t="s">
        <v>568</v>
      </c>
      <c r="U89" s="87" t="str">
        <f>HYPERLINK("https://pbs.twimg.com/media/EhVAOmdWoAAOQiY.jpg")</f>
        <v>https://pbs.twimg.com/media/EhVAOmdWoAAOQiY.jpg</v>
      </c>
      <c r="V89" s="87" t="str">
        <f>HYPERLINK("https://pbs.twimg.com/media/EhVAOmdWoAAOQiY.jpg")</f>
        <v>https://pbs.twimg.com/media/EhVAOmdWoAAOQiY.jpg</v>
      </c>
      <c r="W89" s="86">
        <v>44082.162986111114</v>
      </c>
      <c r="X89" s="90">
        <v>44082</v>
      </c>
      <c r="Y89" s="92" t="s">
        <v>660</v>
      </c>
      <c r="Z89" s="87" t="str">
        <f>HYPERLINK("https://twitter.com/subhankarp/status/1303179934605615105")</f>
        <v>https://twitter.com/subhankarp/status/1303179934605615105</v>
      </c>
      <c r="AA89" s="84"/>
      <c r="AB89" s="84"/>
      <c r="AC89" s="92" t="s">
        <v>1054</v>
      </c>
      <c r="AD89" s="84"/>
      <c r="AE89" s="84" t="b">
        <v>0</v>
      </c>
      <c r="AF89" s="84">
        <v>0</v>
      </c>
      <c r="AG89" s="92" t="s">
        <v>1453</v>
      </c>
      <c r="AH89" s="84" t="b">
        <v>0</v>
      </c>
      <c r="AI89" s="84" t="s">
        <v>1456</v>
      </c>
      <c r="AJ89" s="84"/>
      <c r="AK89" s="92" t="s">
        <v>1453</v>
      </c>
      <c r="AL89" s="84" t="b">
        <v>0</v>
      </c>
      <c r="AM89" s="84">
        <v>25</v>
      </c>
      <c r="AN89" s="92" t="s">
        <v>1248</v>
      </c>
      <c r="AO89" s="84" t="s">
        <v>1467</v>
      </c>
      <c r="AP89" s="84" t="b">
        <v>0</v>
      </c>
      <c r="AQ89" s="92" t="s">
        <v>1248</v>
      </c>
      <c r="AR89" s="84" t="s">
        <v>187</v>
      </c>
      <c r="AS89" s="84">
        <v>0</v>
      </c>
      <c r="AT89" s="84">
        <v>0</v>
      </c>
      <c r="AU89" s="84"/>
      <c r="AV89" s="84"/>
      <c r="AW89" s="84"/>
      <c r="AX89" s="84"/>
      <c r="AY89" s="84"/>
      <c r="AZ89" s="84"/>
      <c r="BA89" s="84"/>
      <c r="BB89" s="84"/>
      <c r="BC89">
        <v>1</v>
      </c>
      <c r="BD89" s="83" t="str">
        <f>REPLACE(INDEX(GroupVertices[Group],MATCH(Edges[[#This Row],[Vertex 1]],GroupVertices[Vertex],0)),1,1,"")</f>
        <v>4</v>
      </c>
      <c r="BE89" s="83" t="str">
        <f>REPLACE(INDEX(GroupVertices[Group],MATCH(Edges[[#This Row],[Vertex 2]],GroupVertices[Vertex],0)),1,1,"")</f>
        <v>4</v>
      </c>
      <c r="BF89" s="49">
        <v>0</v>
      </c>
      <c r="BG89" s="50">
        <v>0</v>
      </c>
      <c r="BH89" s="49">
        <v>0</v>
      </c>
      <c r="BI89" s="50">
        <v>0</v>
      </c>
      <c r="BJ89" s="49">
        <v>0</v>
      </c>
      <c r="BK89" s="50">
        <v>0</v>
      </c>
      <c r="BL89" s="49">
        <v>28</v>
      </c>
      <c r="BM89" s="50">
        <v>100</v>
      </c>
      <c r="BN89" s="49">
        <v>28</v>
      </c>
    </row>
    <row r="90" spans="1:66" ht="15">
      <c r="A90" s="68" t="s">
        <v>247</v>
      </c>
      <c r="B90" s="68" t="s">
        <v>417</v>
      </c>
      <c r="C90" s="69" t="s">
        <v>5208</v>
      </c>
      <c r="D90" s="70">
        <v>1</v>
      </c>
      <c r="E90" s="71" t="s">
        <v>132</v>
      </c>
      <c r="F90" s="72">
        <v>32</v>
      </c>
      <c r="G90" s="69" t="s">
        <v>51</v>
      </c>
      <c r="H90" s="73"/>
      <c r="I90" s="74"/>
      <c r="J90" s="74"/>
      <c r="K90" s="35" t="s">
        <v>65</v>
      </c>
      <c r="L90" s="82">
        <v>90</v>
      </c>
      <c r="M90" s="82"/>
      <c r="N90" s="76"/>
      <c r="O90" s="84" t="s">
        <v>439</v>
      </c>
      <c r="P90" s="86">
        <v>44082.23944444444</v>
      </c>
      <c r="Q90" s="84" t="s">
        <v>450</v>
      </c>
      <c r="R90"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90" s="84" t="s">
        <v>533</v>
      </c>
      <c r="T90" s="84"/>
      <c r="U90" s="84"/>
      <c r="V90" s="87" t="str">
        <f>HYPERLINK("http://pbs.twimg.com/profile_images/1301214382852943872/1PuWhzTe_normal.jpg")</f>
        <v>http://pbs.twimg.com/profile_images/1301214382852943872/1PuWhzTe_normal.jpg</v>
      </c>
      <c r="W90" s="86">
        <v>44082.23944444444</v>
      </c>
      <c r="X90" s="90">
        <v>44082</v>
      </c>
      <c r="Y90" s="92" t="s">
        <v>661</v>
      </c>
      <c r="Z90" s="87" t="str">
        <f>HYPERLINK("https://twitter.com/_paulo_lopez_/status/1303207641724809216")</f>
        <v>https://twitter.com/_paulo_lopez_/status/1303207641724809216</v>
      </c>
      <c r="AA90" s="84"/>
      <c r="AB90" s="84"/>
      <c r="AC90" s="92" t="s">
        <v>1055</v>
      </c>
      <c r="AD90" s="84"/>
      <c r="AE90" s="84" t="b">
        <v>0</v>
      </c>
      <c r="AF90" s="84">
        <v>0</v>
      </c>
      <c r="AG90" s="92" t="s">
        <v>1453</v>
      </c>
      <c r="AH90" s="84" t="b">
        <v>0</v>
      </c>
      <c r="AI90" s="84" t="s">
        <v>1456</v>
      </c>
      <c r="AJ90" s="84"/>
      <c r="AK90" s="92" t="s">
        <v>1453</v>
      </c>
      <c r="AL90" s="84" t="b">
        <v>0</v>
      </c>
      <c r="AM90" s="84">
        <v>31</v>
      </c>
      <c r="AN90" s="92" t="s">
        <v>1396</v>
      </c>
      <c r="AO90" s="84" t="s">
        <v>1464</v>
      </c>
      <c r="AP90" s="84" t="b">
        <v>0</v>
      </c>
      <c r="AQ90" s="92" t="s">
        <v>1396</v>
      </c>
      <c r="AR90" s="84" t="s">
        <v>187</v>
      </c>
      <c r="AS90" s="84">
        <v>0</v>
      </c>
      <c r="AT90" s="84">
        <v>0</v>
      </c>
      <c r="AU90" s="84"/>
      <c r="AV90" s="84"/>
      <c r="AW90" s="84"/>
      <c r="AX90" s="84"/>
      <c r="AY90" s="84"/>
      <c r="AZ90" s="84"/>
      <c r="BA90" s="84"/>
      <c r="BB90" s="84"/>
      <c r="BC90">
        <v>1</v>
      </c>
      <c r="BD90" s="83" t="str">
        <f>REPLACE(INDEX(GroupVertices[Group],MATCH(Edges[[#This Row],[Vertex 1]],GroupVertices[Vertex],0)),1,1,"")</f>
        <v>2</v>
      </c>
      <c r="BE90" s="83" t="str">
        <f>REPLACE(INDEX(GroupVertices[Group],MATCH(Edges[[#This Row],[Vertex 2]],GroupVertices[Vertex],0)),1,1,"")</f>
        <v>2</v>
      </c>
      <c r="BF90" s="49">
        <v>0</v>
      </c>
      <c r="BG90" s="50">
        <v>0</v>
      </c>
      <c r="BH90" s="49">
        <v>0</v>
      </c>
      <c r="BI90" s="50">
        <v>0</v>
      </c>
      <c r="BJ90" s="49">
        <v>0</v>
      </c>
      <c r="BK90" s="50">
        <v>0</v>
      </c>
      <c r="BL90" s="49">
        <v>26</v>
      </c>
      <c r="BM90" s="50">
        <v>100</v>
      </c>
      <c r="BN90" s="49">
        <v>26</v>
      </c>
    </row>
    <row r="91" spans="1:66" ht="15">
      <c r="A91" s="68" t="s">
        <v>248</v>
      </c>
      <c r="B91" s="68" t="s">
        <v>382</v>
      </c>
      <c r="C91" s="69" t="s">
        <v>5208</v>
      </c>
      <c r="D91" s="70">
        <v>1</v>
      </c>
      <c r="E91" s="71" t="s">
        <v>132</v>
      </c>
      <c r="F91" s="72">
        <v>32</v>
      </c>
      <c r="G91" s="69" t="s">
        <v>51</v>
      </c>
      <c r="H91" s="73"/>
      <c r="I91" s="74"/>
      <c r="J91" s="74"/>
      <c r="K91" s="35" t="s">
        <v>65</v>
      </c>
      <c r="L91" s="82">
        <v>91</v>
      </c>
      <c r="M91" s="82"/>
      <c r="N91" s="76"/>
      <c r="O91" s="84" t="s">
        <v>440</v>
      </c>
      <c r="P91" s="86">
        <v>44082.24398148148</v>
      </c>
      <c r="Q91" s="84" t="s">
        <v>448</v>
      </c>
      <c r="R91" s="87" t="str">
        <f>HYPERLINK("https://www.peoplematters.in/news/technology/job-searches-in-artificial-intelligence-rise-106-in-one-year-report-26898")</f>
        <v>https://www.peoplematters.in/news/technology/job-searches-in-artificial-intelligence-rise-106-in-one-year-report-26898</v>
      </c>
      <c r="S91" s="84" t="s">
        <v>532</v>
      </c>
      <c r="T91" s="84" t="s">
        <v>568</v>
      </c>
      <c r="U91" s="87" t="str">
        <f>HYPERLINK("https://pbs.twimg.com/media/EhVAOmdWoAAOQiY.jpg")</f>
        <v>https://pbs.twimg.com/media/EhVAOmdWoAAOQiY.jpg</v>
      </c>
      <c r="V91" s="87" t="str">
        <f>HYPERLINK("https://pbs.twimg.com/media/EhVAOmdWoAAOQiY.jpg")</f>
        <v>https://pbs.twimg.com/media/EhVAOmdWoAAOQiY.jpg</v>
      </c>
      <c r="W91" s="86">
        <v>44082.24398148148</v>
      </c>
      <c r="X91" s="90">
        <v>44082</v>
      </c>
      <c r="Y91" s="92" t="s">
        <v>662</v>
      </c>
      <c r="Z91" s="87" t="str">
        <f>HYPERLINK("https://twitter.com/enricofrasca3/status/1303209284474482688")</f>
        <v>https://twitter.com/enricofrasca3/status/1303209284474482688</v>
      </c>
      <c r="AA91" s="84"/>
      <c r="AB91" s="84"/>
      <c r="AC91" s="92" t="s">
        <v>1056</v>
      </c>
      <c r="AD91" s="84"/>
      <c r="AE91" s="84" t="b">
        <v>0</v>
      </c>
      <c r="AF91" s="84">
        <v>0</v>
      </c>
      <c r="AG91" s="92" t="s">
        <v>1453</v>
      </c>
      <c r="AH91" s="84" t="b">
        <v>0</v>
      </c>
      <c r="AI91" s="84" t="s">
        <v>1456</v>
      </c>
      <c r="AJ91" s="84"/>
      <c r="AK91" s="92" t="s">
        <v>1453</v>
      </c>
      <c r="AL91" s="84" t="b">
        <v>0</v>
      </c>
      <c r="AM91" s="84">
        <v>25</v>
      </c>
      <c r="AN91" s="92" t="s">
        <v>1248</v>
      </c>
      <c r="AO91" s="84" t="s">
        <v>1465</v>
      </c>
      <c r="AP91" s="84" t="b">
        <v>0</v>
      </c>
      <c r="AQ91" s="92" t="s">
        <v>1248</v>
      </c>
      <c r="AR91" s="84" t="s">
        <v>187</v>
      </c>
      <c r="AS91" s="84">
        <v>0</v>
      </c>
      <c r="AT91" s="84">
        <v>0</v>
      </c>
      <c r="AU91" s="84"/>
      <c r="AV91" s="84"/>
      <c r="AW91" s="84"/>
      <c r="AX91" s="84"/>
      <c r="AY91" s="84"/>
      <c r="AZ91" s="84"/>
      <c r="BA91" s="84"/>
      <c r="BB91" s="84"/>
      <c r="BC91">
        <v>1</v>
      </c>
      <c r="BD91" s="83" t="str">
        <f>REPLACE(INDEX(GroupVertices[Group],MATCH(Edges[[#This Row],[Vertex 1]],GroupVertices[Vertex],0)),1,1,"")</f>
        <v>4</v>
      </c>
      <c r="BE91" s="83" t="str">
        <f>REPLACE(INDEX(GroupVertices[Group],MATCH(Edges[[#This Row],[Vertex 2]],GroupVertices[Vertex],0)),1,1,"")</f>
        <v>4</v>
      </c>
      <c r="BF91" s="49"/>
      <c r="BG91" s="50"/>
      <c r="BH91" s="49"/>
      <c r="BI91" s="50"/>
      <c r="BJ91" s="49"/>
      <c r="BK91" s="50"/>
      <c r="BL91" s="49"/>
      <c r="BM91" s="50"/>
      <c r="BN91" s="49"/>
    </row>
    <row r="92" spans="1:66" ht="15">
      <c r="A92" s="68" t="s">
        <v>248</v>
      </c>
      <c r="B92" s="68" t="s">
        <v>385</v>
      </c>
      <c r="C92" s="69" t="s">
        <v>5208</v>
      </c>
      <c r="D92" s="70">
        <v>1</v>
      </c>
      <c r="E92" s="71" t="s">
        <v>132</v>
      </c>
      <c r="F92" s="72">
        <v>32</v>
      </c>
      <c r="G92" s="69" t="s">
        <v>51</v>
      </c>
      <c r="H92" s="73"/>
      <c r="I92" s="74"/>
      <c r="J92" s="74"/>
      <c r="K92" s="35" t="s">
        <v>65</v>
      </c>
      <c r="L92" s="82">
        <v>92</v>
      </c>
      <c r="M92" s="82"/>
      <c r="N92" s="76"/>
      <c r="O92" s="84" t="s">
        <v>440</v>
      </c>
      <c r="P92" s="86">
        <v>44082.24398148148</v>
      </c>
      <c r="Q92" s="84" t="s">
        <v>448</v>
      </c>
      <c r="R92" s="87" t="str">
        <f>HYPERLINK("https://www.peoplematters.in/news/technology/job-searches-in-artificial-intelligence-rise-106-in-one-year-report-26898")</f>
        <v>https://www.peoplematters.in/news/technology/job-searches-in-artificial-intelligence-rise-106-in-one-year-report-26898</v>
      </c>
      <c r="S92" s="84" t="s">
        <v>532</v>
      </c>
      <c r="T92" s="84" t="s">
        <v>568</v>
      </c>
      <c r="U92" s="87" t="str">
        <f>HYPERLINK("https://pbs.twimg.com/media/EhVAOmdWoAAOQiY.jpg")</f>
        <v>https://pbs.twimg.com/media/EhVAOmdWoAAOQiY.jpg</v>
      </c>
      <c r="V92" s="87" t="str">
        <f>HYPERLINK("https://pbs.twimg.com/media/EhVAOmdWoAAOQiY.jpg")</f>
        <v>https://pbs.twimg.com/media/EhVAOmdWoAAOQiY.jpg</v>
      </c>
      <c r="W92" s="86">
        <v>44082.24398148148</v>
      </c>
      <c r="X92" s="90">
        <v>44082</v>
      </c>
      <c r="Y92" s="92" t="s">
        <v>662</v>
      </c>
      <c r="Z92" s="87" t="str">
        <f>HYPERLINK("https://twitter.com/enricofrasca3/status/1303209284474482688")</f>
        <v>https://twitter.com/enricofrasca3/status/1303209284474482688</v>
      </c>
      <c r="AA92" s="84"/>
      <c r="AB92" s="84"/>
      <c r="AC92" s="92" t="s">
        <v>1056</v>
      </c>
      <c r="AD92" s="84"/>
      <c r="AE92" s="84" t="b">
        <v>0</v>
      </c>
      <c r="AF92" s="84">
        <v>0</v>
      </c>
      <c r="AG92" s="92" t="s">
        <v>1453</v>
      </c>
      <c r="AH92" s="84" t="b">
        <v>0</v>
      </c>
      <c r="AI92" s="84" t="s">
        <v>1456</v>
      </c>
      <c r="AJ92" s="84"/>
      <c r="AK92" s="92" t="s">
        <v>1453</v>
      </c>
      <c r="AL92" s="84" t="b">
        <v>0</v>
      </c>
      <c r="AM92" s="84">
        <v>25</v>
      </c>
      <c r="AN92" s="92" t="s">
        <v>1248</v>
      </c>
      <c r="AO92" s="84" t="s">
        <v>1465</v>
      </c>
      <c r="AP92" s="84" t="b">
        <v>0</v>
      </c>
      <c r="AQ92" s="92" t="s">
        <v>1248</v>
      </c>
      <c r="AR92" s="84" t="s">
        <v>187</v>
      </c>
      <c r="AS92" s="84">
        <v>0</v>
      </c>
      <c r="AT92" s="84">
        <v>0</v>
      </c>
      <c r="AU92" s="84"/>
      <c r="AV92" s="84"/>
      <c r="AW92" s="84"/>
      <c r="AX92" s="84"/>
      <c r="AY92" s="84"/>
      <c r="AZ92" s="84"/>
      <c r="BA92" s="84"/>
      <c r="BB92" s="84"/>
      <c r="BC92">
        <v>1</v>
      </c>
      <c r="BD92" s="83" t="str">
        <f>REPLACE(INDEX(GroupVertices[Group],MATCH(Edges[[#This Row],[Vertex 1]],GroupVertices[Vertex],0)),1,1,"")</f>
        <v>4</v>
      </c>
      <c r="BE92" s="83" t="str">
        <f>REPLACE(INDEX(GroupVertices[Group],MATCH(Edges[[#This Row],[Vertex 2]],GroupVertices[Vertex],0)),1,1,"")</f>
        <v>4</v>
      </c>
      <c r="BF92" s="49"/>
      <c r="BG92" s="50"/>
      <c r="BH92" s="49"/>
      <c r="BI92" s="50"/>
      <c r="BJ92" s="49"/>
      <c r="BK92" s="50"/>
      <c r="BL92" s="49"/>
      <c r="BM92" s="50"/>
      <c r="BN92" s="49"/>
    </row>
    <row r="93" spans="1:66" ht="15">
      <c r="A93" s="68" t="s">
        <v>248</v>
      </c>
      <c r="B93" s="68" t="s">
        <v>430</v>
      </c>
      <c r="C93" s="69" t="s">
        <v>5208</v>
      </c>
      <c r="D93" s="70">
        <v>1</v>
      </c>
      <c r="E93" s="71" t="s">
        <v>132</v>
      </c>
      <c r="F93" s="72">
        <v>32</v>
      </c>
      <c r="G93" s="69" t="s">
        <v>51</v>
      </c>
      <c r="H93" s="73"/>
      <c r="I93" s="74"/>
      <c r="J93" s="74"/>
      <c r="K93" s="35" t="s">
        <v>65</v>
      </c>
      <c r="L93" s="82">
        <v>93</v>
      </c>
      <c r="M93" s="82"/>
      <c r="N93" s="76"/>
      <c r="O93" s="84" t="s">
        <v>440</v>
      </c>
      <c r="P93" s="86">
        <v>44082.24398148148</v>
      </c>
      <c r="Q93" s="84" t="s">
        <v>448</v>
      </c>
      <c r="R93" s="87" t="str">
        <f>HYPERLINK("https://www.peoplematters.in/news/technology/job-searches-in-artificial-intelligence-rise-106-in-one-year-report-26898")</f>
        <v>https://www.peoplematters.in/news/technology/job-searches-in-artificial-intelligence-rise-106-in-one-year-report-26898</v>
      </c>
      <c r="S93" s="84" t="s">
        <v>532</v>
      </c>
      <c r="T93" s="84" t="s">
        <v>568</v>
      </c>
      <c r="U93" s="87" t="str">
        <f>HYPERLINK("https://pbs.twimg.com/media/EhVAOmdWoAAOQiY.jpg")</f>
        <v>https://pbs.twimg.com/media/EhVAOmdWoAAOQiY.jpg</v>
      </c>
      <c r="V93" s="87" t="str">
        <f>HYPERLINK("https://pbs.twimg.com/media/EhVAOmdWoAAOQiY.jpg")</f>
        <v>https://pbs.twimg.com/media/EhVAOmdWoAAOQiY.jpg</v>
      </c>
      <c r="W93" s="86">
        <v>44082.24398148148</v>
      </c>
      <c r="X93" s="90">
        <v>44082</v>
      </c>
      <c r="Y93" s="92" t="s">
        <v>662</v>
      </c>
      <c r="Z93" s="87" t="str">
        <f>HYPERLINK("https://twitter.com/enricofrasca3/status/1303209284474482688")</f>
        <v>https://twitter.com/enricofrasca3/status/1303209284474482688</v>
      </c>
      <c r="AA93" s="84"/>
      <c r="AB93" s="84"/>
      <c r="AC93" s="92" t="s">
        <v>1056</v>
      </c>
      <c r="AD93" s="84"/>
      <c r="AE93" s="84" t="b">
        <v>0</v>
      </c>
      <c r="AF93" s="84">
        <v>0</v>
      </c>
      <c r="AG93" s="92" t="s">
        <v>1453</v>
      </c>
      <c r="AH93" s="84" t="b">
        <v>0</v>
      </c>
      <c r="AI93" s="84" t="s">
        <v>1456</v>
      </c>
      <c r="AJ93" s="84"/>
      <c r="AK93" s="92" t="s">
        <v>1453</v>
      </c>
      <c r="AL93" s="84" t="b">
        <v>0</v>
      </c>
      <c r="AM93" s="84">
        <v>25</v>
      </c>
      <c r="AN93" s="92" t="s">
        <v>1248</v>
      </c>
      <c r="AO93" s="84" t="s">
        <v>1465</v>
      </c>
      <c r="AP93" s="84" t="b">
        <v>0</v>
      </c>
      <c r="AQ93" s="92" t="s">
        <v>1248</v>
      </c>
      <c r="AR93" s="84" t="s">
        <v>187</v>
      </c>
      <c r="AS93" s="84">
        <v>0</v>
      </c>
      <c r="AT93" s="84">
        <v>0</v>
      </c>
      <c r="AU93" s="84"/>
      <c r="AV93" s="84"/>
      <c r="AW93" s="84"/>
      <c r="AX93" s="84"/>
      <c r="AY93" s="84"/>
      <c r="AZ93" s="84"/>
      <c r="BA93" s="84"/>
      <c r="BB93" s="84"/>
      <c r="BC93">
        <v>1</v>
      </c>
      <c r="BD93" s="83" t="str">
        <f>REPLACE(INDEX(GroupVertices[Group],MATCH(Edges[[#This Row],[Vertex 1]],GroupVertices[Vertex],0)),1,1,"")</f>
        <v>4</v>
      </c>
      <c r="BE93" s="83" t="str">
        <f>REPLACE(INDEX(GroupVertices[Group],MATCH(Edges[[#This Row],[Vertex 2]],GroupVertices[Vertex],0)),1,1,"")</f>
        <v>4</v>
      </c>
      <c r="BF93" s="49"/>
      <c r="BG93" s="50"/>
      <c r="BH93" s="49"/>
      <c r="BI93" s="50"/>
      <c r="BJ93" s="49"/>
      <c r="BK93" s="50"/>
      <c r="BL93" s="49"/>
      <c r="BM93" s="50"/>
      <c r="BN93" s="49"/>
    </row>
    <row r="94" spans="1:66" ht="15">
      <c r="A94" s="68" t="s">
        <v>248</v>
      </c>
      <c r="B94" s="68" t="s">
        <v>383</v>
      </c>
      <c r="C94" s="69" t="s">
        <v>5208</v>
      </c>
      <c r="D94" s="70">
        <v>1</v>
      </c>
      <c r="E94" s="71" t="s">
        <v>132</v>
      </c>
      <c r="F94" s="72">
        <v>32</v>
      </c>
      <c r="G94" s="69" t="s">
        <v>51</v>
      </c>
      <c r="H94" s="73"/>
      <c r="I94" s="74"/>
      <c r="J94" s="74"/>
      <c r="K94" s="35" t="s">
        <v>65</v>
      </c>
      <c r="L94" s="82">
        <v>94</v>
      </c>
      <c r="M94" s="82"/>
      <c r="N94" s="76"/>
      <c r="O94" s="84" t="s">
        <v>440</v>
      </c>
      <c r="P94" s="86">
        <v>44082.24398148148</v>
      </c>
      <c r="Q94" s="84" t="s">
        <v>448</v>
      </c>
      <c r="R94" s="87" t="str">
        <f>HYPERLINK("https://www.peoplematters.in/news/technology/job-searches-in-artificial-intelligence-rise-106-in-one-year-report-26898")</f>
        <v>https://www.peoplematters.in/news/technology/job-searches-in-artificial-intelligence-rise-106-in-one-year-report-26898</v>
      </c>
      <c r="S94" s="84" t="s">
        <v>532</v>
      </c>
      <c r="T94" s="84" t="s">
        <v>568</v>
      </c>
      <c r="U94" s="87" t="str">
        <f>HYPERLINK("https://pbs.twimg.com/media/EhVAOmdWoAAOQiY.jpg")</f>
        <v>https://pbs.twimg.com/media/EhVAOmdWoAAOQiY.jpg</v>
      </c>
      <c r="V94" s="87" t="str">
        <f>HYPERLINK("https://pbs.twimg.com/media/EhVAOmdWoAAOQiY.jpg")</f>
        <v>https://pbs.twimg.com/media/EhVAOmdWoAAOQiY.jpg</v>
      </c>
      <c r="W94" s="86">
        <v>44082.24398148148</v>
      </c>
      <c r="X94" s="90">
        <v>44082</v>
      </c>
      <c r="Y94" s="92" t="s">
        <v>662</v>
      </c>
      <c r="Z94" s="87" t="str">
        <f>HYPERLINK("https://twitter.com/enricofrasca3/status/1303209284474482688")</f>
        <v>https://twitter.com/enricofrasca3/status/1303209284474482688</v>
      </c>
      <c r="AA94" s="84"/>
      <c r="AB94" s="84"/>
      <c r="AC94" s="92" t="s">
        <v>1056</v>
      </c>
      <c r="AD94" s="84"/>
      <c r="AE94" s="84" t="b">
        <v>0</v>
      </c>
      <c r="AF94" s="84">
        <v>0</v>
      </c>
      <c r="AG94" s="92" t="s">
        <v>1453</v>
      </c>
      <c r="AH94" s="84" t="b">
        <v>0</v>
      </c>
      <c r="AI94" s="84" t="s">
        <v>1456</v>
      </c>
      <c r="AJ94" s="84"/>
      <c r="AK94" s="92" t="s">
        <v>1453</v>
      </c>
      <c r="AL94" s="84" t="b">
        <v>0</v>
      </c>
      <c r="AM94" s="84">
        <v>25</v>
      </c>
      <c r="AN94" s="92" t="s">
        <v>1248</v>
      </c>
      <c r="AO94" s="84" t="s">
        <v>1465</v>
      </c>
      <c r="AP94" s="84" t="b">
        <v>0</v>
      </c>
      <c r="AQ94" s="92" t="s">
        <v>1248</v>
      </c>
      <c r="AR94" s="84" t="s">
        <v>187</v>
      </c>
      <c r="AS94" s="84">
        <v>0</v>
      </c>
      <c r="AT94" s="84">
        <v>0</v>
      </c>
      <c r="AU94" s="84"/>
      <c r="AV94" s="84"/>
      <c r="AW94" s="84"/>
      <c r="AX94" s="84"/>
      <c r="AY94" s="84"/>
      <c r="AZ94" s="84"/>
      <c r="BA94" s="84"/>
      <c r="BB94" s="84"/>
      <c r="BC94">
        <v>1</v>
      </c>
      <c r="BD94" s="83" t="str">
        <f>REPLACE(INDEX(GroupVertices[Group],MATCH(Edges[[#This Row],[Vertex 1]],GroupVertices[Vertex],0)),1,1,"")</f>
        <v>4</v>
      </c>
      <c r="BE94" s="83" t="str">
        <f>REPLACE(INDEX(GroupVertices[Group],MATCH(Edges[[#This Row],[Vertex 2]],GroupVertices[Vertex],0)),1,1,"")</f>
        <v>4</v>
      </c>
      <c r="BF94" s="49"/>
      <c r="BG94" s="50"/>
      <c r="BH94" s="49"/>
      <c r="BI94" s="50"/>
      <c r="BJ94" s="49"/>
      <c r="BK94" s="50"/>
      <c r="BL94" s="49"/>
      <c r="BM94" s="50"/>
      <c r="BN94" s="49"/>
    </row>
    <row r="95" spans="1:66" ht="15">
      <c r="A95" s="68" t="s">
        <v>248</v>
      </c>
      <c r="B95" s="68" t="s">
        <v>380</v>
      </c>
      <c r="C95" s="69" t="s">
        <v>5208</v>
      </c>
      <c r="D95" s="70">
        <v>1</v>
      </c>
      <c r="E95" s="71" t="s">
        <v>132</v>
      </c>
      <c r="F95" s="72">
        <v>32</v>
      </c>
      <c r="G95" s="69" t="s">
        <v>51</v>
      </c>
      <c r="H95" s="73"/>
      <c r="I95" s="74"/>
      <c r="J95" s="74"/>
      <c r="K95" s="35" t="s">
        <v>65</v>
      </c>
      <c r="L95" s="82">
        <v>95</v>
      </c>
      <c r="M95" s="82"/>
      <c r="N95" s="76"/>
      <c r="O95" s="84" t="s">
        <v>440</v>
      </c>
      <c r="P95" s="86">
        <v>44082.24398148148</v>
      </c>
      <c r="Q95" s="84" t="s">
        <v>448</v>
      </c>
      <c r="R95" s="87" t="str">
        <f>HYPERLINK("https://www.peoplematters.in/news/technology/job-searches-in-artificial-intelligence-rise-106-in-one-year-report-26898")</f>
        <v>https://www.peoplematters.in/news/technology/job-searches-in-artificial-intelligence-rise-106-in-one-year-report-26898</v>
      </c>
      <c r="S95" s="84" t="s">
        <v>532</v>
      </c>
      <c r="T95" s="84" t="s">
        <v>568</v>
      </c>
      <c r="U95" s="87" t="str">
        <f>HYPERLINK("https://pbs.twimg.com/media/EhVAOmdWoAAOQiY.jpg")</f>
        <v>https://pbs.twimg.com/media/EhVAOmdWoAAOQiY.jpg</v>
      </c>
      <c r="V95" s="87" t="str">
        <f>HYPERLINK("https://pbs.twimg.com/media/EhVAOmdWoAAOQiY.jpg")</f>
        <v>https://pbs.twimg.com/media/EhVAOmdWoAAOQiY.jpg</v>
      </c>
      <c r="W95" s="86">
        <v>44082.24398148148</v>
      </c>
      <c r="X95" s="90">
        <v>44082</v>
      </c>
      <c r="Y95" s="92" t="s">
        <v>662</v>
      </c>
      <c r="Z95" s="87" t="str">
        <f>HYPERLINK("https://twitter.com/enricofrasca3/status/1303209284474482688")</f>
        <v>https://twitter.com/enricofrasca3/status/1303209284474482688</v>
      </c>
      <c r="AA95" s="84"/>
      <c r="AB95" s="84"/>
      <c r="AC95" s="92" t="s">
        <v>1056</v>
      </c>
      <c r="AD95" s="84"/>
      <c r="AE95" s="84" t="b">
        <v>0</v>
      </c>
      <c r="AF95" s="84">
        <v>0</v>
      </c>
      <c r="AG95" s="92" t="s">
        <v>1453</v>
      </c>
      <c r="AH95" s="84" t="b">
        <v>0</v>
      </c>
      <c r="AI95" s="84" t="s">
        <v>1456</v>
      </c>
      <c r="AJ95" s="84"/>
      <c r="AK95" s="92" t="s">
        <v>1453</v>
      </c>
      <c r="AL95" s="84" t="b">
        <v>0</v>
      </c>
      <c r="AM95" s="84">
        <v>25</v>
      </c>
      <c r="AN95" s="92" t="s">
        <v>1248</v>
      </c>
      <c r="AO95" s="84" t="s">
        <v>1465</v>
      </c>
      <c r="AP95" s="84" t="b">
        <v>0</v>
      </c>
      <c r="AQ95" s="92" t="s">
        <v>1248</v>
      </c>
      <c r="AR95" s="84" t="s">
        <v>187</v>
      </c>
      <c r="AS95" s="84">
        <v>0</v>
      </c>
      <c r="AT95" s="84">
        <v>0</v>
      </c>
      <c r="AU95" s="84"/>
      <c r="AV95" s="84"/>
      <c r="AW95" s="84"/>
      <c r="AX95" s="84"/>
      <c r="AY95" s="84"/>
      <c r="AZ95" s="84"/>
      <c r="BA95" s="84"/>
      <c r="BB95" s="84"/>
      <c r="BC95">
        <v>1</v>
      </c>
      <c r="BD95" s="83" t="str">
        <f>REPLACE(INDEX(GroupVertices[Group],MATCH(Edges[[#This Row],[Vertex 1]],GroupVertices[Vertex],0)),1,1,"")</f>
        <v>4</v>
      </c>
      <c r="BE95" s="83" t="str">
        <f>REPLACE(INDEX(GroupVertices[Group],MATCH(Edges[[#This Row],[Vertex 2]],GroupVertices[Vertex],0)),1,1,"")</f>
        <v>4</v>
      </c>
      <c r="BF95" s="49"/>
      <c r="BG95" s="50"/>
      <c r="BH95" s="49"/>
      <c r="BI95" s="50"/>
      <c r="BJ95" s="49"/>
      <c r="BK95" s="50"/>
      <c r="BL95" s="49"/>
      <c r="BM95" s="50"/>
      <c r="BN95" s="49"/>
    </row>
    <row r="96" spans="1:66" ht="15">
      <c r="A96" s="68" t="s">
        <v>248</v>
      </c>
      <c r="B96" s="68" t="s">
        <v>381</v>
      </c>
      <c r="C96" s="69" t="s">
        <v>5208</v>
      </c>
      <c r="D96" s="70">
        <v>1</v>
      </c>
      <c r="E96" s="71" t="s">
        <v>132</v>
      </c>
      <c r="F96" s="72">
        <v>32</v>
      </c>
      <c r="G96" s="69" t="s">
        <v>51</v>
      </c>
      <c r="H96" s="73"/>
      <c r="I96" s="74"/>
      <c r="J96" s="74"/>
      <c r="K96" s="35" t="s">
        <v>65</v>
      </c>
      <c r="L96" s="82">
        <v>96</v>
      </c>
      <c r="M96" s="82"/>
      <c r="N96" s="76"/>
      <c r="O96" s="84" t="s">
        <v>440</v>
      </c>
      <c r="P96" s="86">
        <v>44082.24398148148</v>
      </c>
      <c r="Q96" s="84" t="s">
        <v>448</v>
      </c>
      <c r="R96" s="87" t="str">
        <f>HYPERLINK("https://www.peoplematters.in/news/technology/job-searches-in-artificial-intelligence-rise-106-in-one-year-report-26898")</f>
        <v>https://www.peoplematters.in/news/technology/job-searches-in-artificial-intelligence-rise-106-in-one-year-report-26898</v>
      </c>
      <c r="S96" s="84" t="s">
        <v>532</v>
      </c>
      <c r="T96" s="84" t="s">
        <v>568</v>
      </c>
      <c r="U96" s="87" t="str">
        <f>HYPERLINK("https://pbs.twimg.com/media/EhVAOmdWoAAOQiY.jpg")</f>
        <v>https://pbs.twimg.com/media/EhVAOmdWoAAOQiY.jpg</v>
      </c>
      <c r="V96" s="87" t="str">
        <f>HYPERLINK("https://pbs.twimg.com/media/EhVAOmdWoAAOQiY.jpg")</f>
        <v>https://pbs.twimg.com/media/EhVAOmdWoAAOQiY.jpg</v>
      </c>
      <c r="W96" s="86">
        <v>44082.24398148148</v>
      </c>
      <c r="X96" s="90">
        <v>44082</v>
      </c>
      <c r="Y96" s="92" t="s">
        <v>662</v>
      </c>
      <c r="Z96" s="87" t="str">
        <f>HYPERLINK("https://twitter.com/enricofrasca3/status/1303209284474482688")</f>
        <v>https://twitter.com/enricofrasca3/status/1303209284474482688</v>
      </c>
      <c r="AA96" s="84"/>
      <c r="AB96" s="84"/>
      <c r="AC96" s="92" t="s">
        <v>1056</v>
      </c>
      <c r="AD96" s="84"/>
      <c r="AE96" s="84" t="b">
        <v>0</v>
      </c>
      <c r="AF96" s="84">
        <v>0</v>
      </c>
      <c r="AG96" s="92" t="s">
        <v>1453</v>
      </c>
      <c r="AH96" s="84" t="b">
        <v>0</v>
      </c>
      <c r="AI96" s="84" t="s">
        <v>1456</v>
      </c>
      <c r="AJ96" s="84"/>
      <c r="AK96" s="92" t="s">
        <v>1453</v>
      </c>
      <c r="AL96" s="84" t="b">
        <v>0</v>
      </c>
      <c r="AM96" s="84">
        <v>25</v>
      </c>
      <c r="AN96" s="92" t="s">
        <v>1248</v>
      </c>
      <c r="AO96" s="84" t="s">
        <v>1465</v>
      </c>
      <c r="AP96" s="84" t="b">
        <v>0</v>
      </c>
      <c r="AQ96" s="92" t="s">
        <v>1248</v>
      </c>
      <c r="AR96" s="84" t="s">
        <v>187</v>
      </c>
      <c r="AS96" s="84">
        <v>0</v>
      </c>
      <c r="AT96" s="84">
        <v>0</v>
      </c>
      <c r="AU96" s="84"/>
      <c r="AV96" s="84"/>
      <c r="AW96" s="84"/>
      <c r="AX96" s="84"/>
      <c r="AY96" s="84"/>
      <c r="AZ96" s="84"/>
      <c r="BA96" s="84"/>
      <c r="BB96" s="84"/>
      <c r="BC96">
        <v>1</v>
      </c>
      <c r="BD96" s="83" t="str">
        <f>REPLACE(INDEX(GroupVertices[Group],MATCH(Edges[[#This Row],[Vertex 1]],GroupVertices[Vertex],0)),1,1,"")</f>
        <v>4</v>
      </c>
      <c r="BE96" s="83" t="str">
        <f>REPLACE(INDEX(GroupVertices[Group],MATCH(Edges[[#This Row],[Vertex 2]],GroupVertices[Vertex],0)),1,1,"")</f>
        <v>4</v>
      </c>
      <c r="BF96" s="49"/>
      <c r="BG96" s="50"/>
      <c r="BH96" s="49"/>
      <c r="BI96" s="50"/>
      <c r="BJ96" s="49"/>
      <c r="BK96" s="50"/>
      <c r="BL96" s="49"/>
      <c r="BM96" s="50"/>
      <c r="BN96" s="49"/>
    </row>
    <row r="97" spans="1:66" ht="15">
      <c r="A97" s="68" t="s">
        <v>248</v>
      </c>
      <c r="B97" s="68" t="s">
        <v>431</v>
      </c>
      <c r="C97" s="69" t="s">
        <v>5208</v>
      </c>
      <c r="D97" s="70">
        <v>1</v>
      </c>
      <c r="E97" s="71" t="s">
        <v>132</v>
      </c>
      <c r="F97" s="72">
        <v>32</v>
      </c>
      <c r="G97" s="69" t="s">
        <v>51</v>
      </c>
      <c r="H97" s="73"/>
      <c r="I97" s="74"/>
      <c r="J97" s="74"/>
      <c r="K97" s="35" t="s">
        <v>65</v>
      </c>
      <c r="L97" s="82">
        <v>97</v>
      </c>
      <c r="M97" s="82"/>
      <c r="N97" s="76"/>
      <c r="O97" s="84" t="s">
        <v>440</v>
      </c>
      <c r="P97" s="86">
        <v>44082.24398148148</v>
      </c>
      <c r="Q97" s="84" t="s">
        <v>448</v>
      </c>
      <c r="R97" s="87" t="str">
        <f>HYPERLINK("https://www.peoplematters.in/news/technology/job-searches-in-artificial-intelligence-rise-106-in-one-year-report-26898")</f>
        <v>https://www.peoplematters.in/news/technology/job-searches-in-artificial-intelligence-rise-106-in-one-year-report-26898</v>
      </c>
      <c r="S97" s="84" t="s">
        <v>532</v>
      </c>
      <c r="T97" s="84" t="s">
        <v>568</v>
      </c>
      <c r="U97" s="87" t="str">
        <f>HYPERLINK("https://pbs.twimg.com/media/EhVAOmdWoAAOQiY.jpg")</f>
        <v>https://pbs.twimg.com/media/EhVAOmdWoAAOQiY.jpg</v>
      </c>
      <c r="V97" s="87" t="str">
        <f>HYPERLINK("https://pbs.twimg.com/media/EhVAOmdWoAAOQiY.jpg")</f>
        <v>https://pbs.twimg.com/media/EhVAOmdWoAAOQiY.jpg</v>
      </c>
      <c r="W97" s="86">
        <v>44082.24398148148</v>
      </c>
      <c r="X97" s="90">
        <v>44082</v>
      </c>
      <c r="Y97" s="92" t="s">
        <v>662</v>
      </c>
      <c r="Z97" s="87" t="str">
        <f>HYPERLINK("https://twitter.com/enricofrasca3/status/1303209284474482688")</f>
        <v>https://twitter.com/enricofrasca3/status/1303209284474482688</v>
      </c>
      <c r="AA97" s="84"/>
      <c r="AB97" s="84"/>
      <c r="AC97" s="92" t="s">
        <v>1056</v>
      </c>
      <c r="AD97" s="84"/>
      <c r="AE97" s="84" t="b">
        <v>0</v>
      </c>
      <c r="AF97" s="84">
        <v>0</v>
      </c>
      <c r="AG97" s="92" t="s">
        <v>1453</v>
      </c>
      <c r="AH97" s="84" t="b">
        <v>0</v>
      </c>
      <c r="AI97" s="84" t="s">
        <v>1456</v>
      </c>
      <c r="AJ97" s="84"/>
      <c r="AK97" s="92" t="s">
        <v>1453</v>
      </c>
      <c r="AL97" s="84" t="b">
        <v>0</v>
      </c>
      <c r="AM97" s="84">
        <v>25</v>
      </c>
      <c r="AN97" s="92" t="s">
        <v>1248</v>
      </c>
      <c r="AO97" s="84" t="s">
        <v>1465</v>
      </c>
      <c r="AP97" s="84" t="b">
        <v>0</v>
      </c>
      <c r="AQ97" s="92" t="s">
        <v>1248</v>
      </c>
      <c r="AR97" s="84" t="s">
        <v>187</v>
      </c>
      <c r="AS97" s="84">
        <v>0</v>
      </c>
      <c r="AT97" s="84">
        <v>0</v>
      </c>
      <c r="AU97" s="84"/>
      <c r="AV97" s="84"/>
      <c r="AW97" s="84"/>
      <c r="AX97" s="84"/>
      <c r="AY97" s="84"/>
      <c r="AZ97" s="84"/>
      <c r="BA97" s="84"/>
      <c r="BB97" s="84"/>
      <c r="BC97">
        <v>1</v>
      </c>
      <c r="BD97" s="83" t="str">
        <f>REPLACE(INDEX(GroupVertices[Group],MATCH(Edges[[#This Row],[Vertex 1]],GroupVertices[Vertex],0)),1,1,"")</f>
        <v>4</v>
      </c>
      <c r="BE97" s="83" t="str">
        <f>REPLACE(INDEX(GroupVertices[Group],MATCH(Edges[[#This Row],[Vertex 2]],GroupVertices[Vertex],0)),1,1,"")</f>
        <v>4</v>
      </c>
      <c r="BF97" s="49"/>
      <c r="BG97" s="50"/>
      <c r="BH97" s="49"/>
      <c r="BI97" s="50"/>
      <c r="BJ97" s="49"/>
      <c r="BK97" s="50"/>
      <c r="BL97" s="49"/>
      <c r="BM97" s="50"/>
      <c r="BN97" s="49"/>
    </row>
    <row r="98" spans="1:66" ht="15">
      <c r="A98" s="68" t="s">
        <v>248</v>
      </c>
      <c r="B98" s="68" t="s">
        <v>432</v>
      </c>
      <c r="C98" s="69" t="s">
        <v>5208</v>
      </c>
      <c r="D98" s="70">
        <v>1</v>
      </c>
      <c r="E98" s="71" t="s">
        <v>132</v>
      </c>
      <c r="F98" s="72">
        <v>32</v>
      </c>
      <c r="G98" s="69" t="s">
        <v>51</v>
      </c>
      <c r="H98" s="73"/>
      <c r="I98" s="74"/>
      <c r="J98" s="74"/>
      <c r="K98" s="35" t="s">
        <v>65</v>
      </c>
      <c r="L98" s="82">
        <v>98</v>
      </c>
      <c r="M98" s="82"/>
      <c r="N98" s="76"/>
      <c r="O98" s="84" t="s">
        <v>440</v>
      </c>
      <c r="P98" s="86">
        <v>44082.24398148148</v>
      </c>
      <c r="Q98" s="84" t="s">
        <v>448</v>
      </c>
      <c r="R98" s="87" t="str">
        <f>HYPERLINK("https://www.peoplematters.in/news/technology/job-searches-in-artificial-intelligence-rise-106-in-one-year-report-26898")</f>
        <v>https://www.peoplematters.in/news/technology/job-searches-in-artificial-intelligence-rise-106-in-one-year-report-26898</v>
      </c>
      <c r="S98" s="84" t="s">
        <v>532</v>
      </c>
      <c r="T98" s="84" t="s">
        <v>568</v>
      </c>
      <c r="U98" s="87" t="str">
        <f>HYPERLINK("https://pbs.twimg.com/media/EhVAOmdWoAAOQiY.jpg")</f>
        <v>https://pbs.twimg.com/media/EhVAOmdWoAAOQiY.jpg</v>
      </c>
      <c r="V98" s="87" t="str">
        <f>HYPERLINK("https://pbs.twimg.com/media/EhVAOmdWoAAOQiY.jpg")</f>
        <v>https://pbs.twimg.com/media/EhVAOmdWoAAOQiY.jpg</v>
      </c>
      <c r="W98" s="86">
        <v>44082.24398148148</v>
      </c>
      <c r="X98" s="90">
        <v>44082</v>
      </c>
      <c r="Y98" s="92" t="s">
        <v>662</v>
      </c>
      <c r="Z98" s="87" t="str">
        <f>HYPERLINK("https://twitter.com/enricofrasca3/status/1303209284474482688")</f>
        <v>https://twitter.com/enricofrasca3/status/1303209284474482688</v>
      </c>
      <c r="AA98" s="84"/>
      <c r="AB98" s="84"/>
      <c r="AC98" s="92" t="s">
        <v>1056</v>
      </c>
      <c r="AD98" s="84"/>
      <c r="AE98" s="84" t="b">
        <v>0</v>
      </c>
      <c r="AF98" s="84">
        <v>0</v>
      </c>
      <c r="AG98" s="92" t="s">
        <v>1453</v>
      </c>
      <c r="AH98" s="84" t="b">
        <v>0</v>
      </c>
      <c r="AI98" s="84" t="s">
        <v>1456</v>
      </c>
      <c r="AJ98" s="84"/>
      <c r="AK98" s="92" t="s">
        <v>1453</v>
      </c>
      <c r="AL98" s="84" t="b">
        <v>0</v>
      </c>
      <c r="AM98" s="84">
        <v>25</v>
      </c>
      <c r="AN98" s="92" t="s">
        <v>1248</v>
      </c>
      <c r="AO98" s="84" t="s">
        <v>1465</v>
      </c>
      <c r="AP98" s="84" t="b">
        <v>0</v>
      </c>
      <c r="AQ98" s="92" t="s">
        <v>1248</v>
      </c>
      <c r="AR98" s="84" t="s">
        <v>187</v>
      </c>
      <c r="AS98" s="84">
        <v>0</v>
      </c>
      <c r="AT98" s="84">
        <v>0</v>
      </c>
      <c r="AU98" s="84"/>
      <c r="AV98" s="84"/>
      <c r="AW98" s="84"/>
      <c r="AX98" s="84"/>
      <c r="AY98" s="84"/>
      <c r="AZ98" s="84"/>
      <c r="BA98" s="84"/>
      <c r="BB98" s="84"/>
      <c r="BC98">
        <v>1</v>
      </c>
      <c r="BD98" s="83" t="str">
        <f>REPLACE(INDEX(GroupVertices[Group],MATCH(Edges[[#This Row],[Vertex 1]],GroupVertices[Vertex],0)),1,1,"")</f>
        <v>4</v>
      </c>
      <c r="BE98" s="83" t="str">
        <f>REPLACE(INDEX(GroupVertices[Group],MATCH(Edges[[#This Row],[Vertex 2]],GroupVertices[Vertex],0)),1,1,"")</f>
        <v>4</v>
      </c>
      <c r="BF98" s="49"/>
      <c r="BG98" s="50"/>
      <c r="BH98" s="49"/>
      <c r="BI98" s="50"/>
      <c r="BJ98" s="49"/>
      <c r="BK98" s="50"/>
      <c r="BL98" s="49"/>
      <c r="BM98" s="50"/>
      <c r="BN98" s="49"/>
    </row>
    <row r="99" spans="1:66" ht="15">
      <c r="A99" s="68" t="s">
        <v>248</v>
      </c>
      <c r="B99" s="68" t="s">
        <v>384</v>
      </c>
      <c r="C99" s="69" t="s">
        <v>5208</v>
      </c>
      <c r="D99" s="70">
        <v>1</v>
      </c>
      <c r="E99" s="71" t="s">
        <v>132</v>
      </c>
      <c r="F99" s="72">
        <v>32</v>
      </c>
      <c r="G99" s="69" t="s">
        <v>51</v>
      </c>
      <c r="H99" s="73"/>
      <c r="I99" s="74"/>
      <c r="J99" s="74"/>
      <c r="K99" s="35" t="s">
        <v>65</v>
      </c>
      <c r="L99" s="82">
        <v>99</v>
      </c>
      <c r="M99" s="82"/>
      <c r="N99" s="76"/>
      <c r="O99" s="84" t="s">
        <v>439</v>
      </c>
      <c r="P99" s="86">
        <v>44082.24398148148</v>
      </c>
      <c r="Q99" s="84" t="s">
        <v>448</v>
      </c>
      <c r="R99" s="87" t="str">
        <f>HYPERLINK("https://www.peoplematters.in/news/technology/job-searches-in-artificial-intelligence-rise-106-in-one-year-report-26898")</f>
        <v>https://www.peoplematters.in/news/technology/job-searches-in-artificial-intelligence-rise-106-in-one-year-report-26898</v>
      </c>
      <c r="S99" s="84" t="s">
        <v>532</v>
      </c>
      <c r="T99" s="84" t="s">
        <v>568</v>
      </c>
      <c r="U99" s="87" t="str">
        <f>HYPERLINK("https://pbs.twimg.com/media/EhVAOmdWoAAOQiY.jpg")</f>
        <v>https://pbs.twimg.com/media/EhVAOmdWoAAOQiY.jpg</v>
      </c>
      <c r="V99" s="87" t="str">
        <f>HYPERLINK("https://pbs.twimg.com/media/EhVAOmdWoAAOQiY.jpg")</f>
        <v>https://pbs.twimg.com/media/EhVAOmdWoAAOQiY.jpg</v>
      </c>
      <c r="W99" s="86">
        <v>44082.24398148148</v>
      </c>
      <c r="X99" s="90">
        <v>44082</v>
      </c>
      <c r="Y99" s="92" t="s">
        <v>662</v>
      </c>
      <c r="Z99" s="87" t="str">
        <f>HYPERLINK("https://twitter.com/enricofrasca3/status/1303209284474482688")</f>
        <v>https://twitter.com/enricofrasca3/status/1303209284474482688</v>
      </c>
      <c r="AA99" s="84"/>
      <c r="AB99" s="84"/>
      <c r="AC99" s="92" t="s">
        <v>1056</v>
      </c>
      <c r="AD99" s="84"/>
      <c r="AE99" s="84" t="b">
        <v>0</v>
      </c>
      <c r="AF99" s="84">
        <v>0</v>
      </c>
      <c r="AG99" s="92" t="s">
        <v>1453</v>
      </c>
      <c r="AH99" s="84" t="b">
        <v>0</v>
      </c>
      <c r="AI99" s="84" t="s">
        <v>1456</v>
      </c>
      <c r="AJ99" s="84"/>
      <c r="AK99" s="92" t="s">
        <v>1453</v>
      </c>
      <c r="AL99" s="84" t="b">
        <v>0</v>
      </c>
      <c r="AM99" s="84">
        <v>25</v>
      </c>
      <c r="AN99" s="92" t="s">
        <v>1248</v>
      </c>
      <c r="AO99" s="84" t="s">
        <v>1465</v>
      </c>
      <c r="AP99" s="84" t="b">
        <v>0</v>
      </c>
      <c r="AQ99" s="92" t="s">
        <v>1248</v>
      </c>
      <c r="AR99" s="84" t="s">
        <v>187</v>
      </c>
      <c r="AS99" s="84">
        <v>0</v>
      </c>
      <c r="AT99" s="84">
        <v>0</v>
      </c>
      <c r="AU99" s="84"/>
      <c r="AV99" s="84"/>
      <c r="AW99" s="84"/>
      <c r="AX99" s="84"/>
      <c r="AY99" s="84"/>
      <c r="AZ99" s="84"/>
      <c r="BA99" s="84"/>
      <c r="BB99" s="84"/>
      <c r="BC99">
        <v>1</v>
      </c>
      <c r="BD99" s="83" t="str">
        <f>REPLACE(INDEX(GroupVertices[Group],MATCH(Edges[[#This Row],[Vertex 1]],GroupVertices[Vertex],0)),1,1,"")</f>
        <v>4</v>
      </c>
      <c r="BE99" s="83" t="str">
        <f>REPLACE(INDEX(GroupVertices[Group],MATCH(Edges[[#This Row],[Vertex 2]],GroupVertices[Vertex],0)),1,1,"")</f>
        <v>4</v>
      </c>
      <c r="BF99" s="49">
        <v>0</v>
      </c>
      <c r="BG99" s="50">
        <v>0</v>
      </c>
      <c r="BH99" s="49">
        <v>0</v>
      </c>
      <c r="BI99" s="50">
        <v>0</v>
      </c>
      <c r="BJ99" s="49">
        <v>0</v>
      </c>
      <c r="BK99" s="50">
        <v>0</v>
      </c>
      <c r="BL99" s="49">
        <v>28</v>
      </c>
      <c r="BM99" s="50">
        <v>100</v>
      </c>
      <c r="BN99" s="49">
        <v>28</v>
      </c>
    </row>
    <row r="100" spans="1:66" ht="15">
      <c r="A100" s="68" t="s">
        <v>249</v>
      </c>
      <c r="B100" s="68" t="s">
        <v>382</v>
      </c>
      <c r="C100" s="69" t="s">
        <v>5208</v>
      </c>
      <c r="D100" s="70">
        <v>1</v>
      </c>
      <c r="E100" s="71" t="s">
        <v>132</v>
      </c>
      <c r="F100" s="72">
        <v>32</v>
      </c>
      <c r="G100" s="69" t="s">
        <v>51</v>
      </c>
      <c r="H100" s="73"/>
      <c r="I100" s="74"/>
      <c r="J100" s="74"/>
      <c r="K100" s="35" t="s">
        <v>65</v>
      </c>
      <c r="L100" s="82">
        <v>100</v>
      </c>
      <c r="M100" s="82"/>
      <c r="N100" s="76"/>
      <c r="O100" s="84" t="s">
        <v>440</v>
      </c>
      <c r="P100" s="86">
        <v>44082.318020833336</v>
      </c>
      <c r="Q100" s="84" t="s">
        <v>448</v>
      </c>
      <c r="R100" s="87" t="str">
        <f>HYPERLINK("https://www.peoplematters.in/news/technology/job-searches-in-artificial-intelligence-rise-106-in-one-year-report-26898")</f>
        <v>https://www.peoplematters.in/news/technology/job-searches-in-artificial-intelligence-rise-106-in-one-year-report-26898</v>
      </c>
      <c r="S100" s="84" t="s">
        <v>532</v>
      </c>
      <c r="T100" s="84" t="s">
        <v>568</v>
      </c>
      <c r="U100" s="87" t="str">
        <f>HYPERLINK("https://pbs.twimg.com/media/EhVAOmdWoAAOQiY.jpg")</f>
        <v>https://pbs.twimg.com/media/EhVAOmdWoAAOQiY.jpg</v>
      </c>
      <c r="V100" s="87" t="str">
        <f>HYPERLINK("https://pbs.twimg.com/media/EhVAOmdWoAAOQiY.jpg")</f>
        <v>https://pbs.twimg.com/media/EhVAOmdWoAAOQiY.jpg</v>
      </c>
      <c r="W100" s="86">
        <v>44082.318020833336</v>
      </c>
      <c r="X100" s="90">
        <v>44082</v>
      </c>
      <c r="Y100" s="92" t="s">
        <v>663</v>
      </c>
      <c r="Z100" s="87" t="str">
        <f>HYPERLINK("https://twitter.com/xzpwedvhhh37i3c/status/1303236116712103936")</f>
        <v>https://twitter.com/xzpwedvhhh37i3c/status/1303236116712103936</v>
      </c>
      <c r="AA100" s="84"/>
      <c r="AB100" s="84"/>
      <c r="AC100" s="92" t="s">
        <v>1057</v>
      </c>
      <c r="AD100" s="84"/>
      <c r="AE100" s="84" t="b">
        <v>0</v>
      </c>
      <c r="AF100" s="84">
        <v>0</v>
      </c>
      <c r="AG100" s="92" t="s">
        <v>1453</v>
      </c>
      <c r="AH100" s="84" t="b">
        <v>0</v>
      </c>
      <c r="AI100" s="84" t="s">
        <v>1456</v>
      </c>
      <c r="AJ100" s="84"/>
      <c r="AK100" s="92" t="s">
        <v>1453</v>
      </c>
      <c r="AL100" s="84" t="b">
        <v>0</v>
      </c>
      <c r="AM100" s="84">
        <v>25</v>
      </c>
      <c r="AN100" s="92" t="s">
        <v>1248</v>
      </c>
      <c r="AO100" s="84" t="s">
        <v>1465</v>
      </c>
      <c r="AP100" s="84" t="b">
        <v>0</v>
      </c>
      <c r="AQ100" s="92" t="s">
        <v>1248</v>
      </c>
      <c r="AR100" s="84" t="s">
        <v>187</v>
      </c>
      <c r="AS100" s="84">
        <v>0</v>
      </c>
      <c r="AT100" s="84">
        <v>0</v>
      </c>
      <c r="AU100" s="84"/>
      <c r="AV100" s="84"/>
      <c r="AW100" s="84"/>
      <c r="AX100" s="84"/>
      <c r="AY100" s="84"/>
      <c r="AZ100" s="84"/>
      <c r="BA100" s="84"/>
      <c r="BB100" s="84"/>
      <c r="BC100">
        <v>1</v>
      </c>
      <c r="BD100" s="83" t="str">
        <f>REPLACE(INDEX(GroupVertices[Group],MATCH(Edges[[#This Row],[Vertex 1]],GroupVertices[Vertex],0)),1,1,"")</f>
        <v>4</v>
      </c>
      <c r="BE100" s="83" t="str">
        <f>REPLACE(INDEX(GroupVertices[Group],MATCH(Edges[[#This Row],[Vertex 2]],GroupVertices[Vertex],0)),1,1,"")</f>
        <v>4</v>
      </c>
      <c r="BF100" s="49"/>
      <c r="BG100" s="50"/>
      <c r="BH100" s="49"/>
      <c r="BI100" s="50"/>
      <c r="BJ100" s="49"/>
      <c r="BK100" s="50"/>
      <c r="BL100" s="49"/>
      <c r="BM100" s="50"/>
      <c r="BN100" s="49"/>
    </row>
    <row r="101" spans="1:66" ht="15">
      <c r="A101" s="68" t="s">
        <v>249</v>
      </c>
      <c r="B101" s="68" t="s">
        <v>385</v>
      </c>
      <c r="C101" s="69" t="s">
        <v>5208</v>
      </c>
      <c r="D101" s="70">
        <v>1</v>
      </c>
      <c r="E101" s="71" t="s">
        <v>132</v>
      </c>
      <c r="F101" s="72">
        <v>32</v>
      </c>
      <c r="G101" s="69" t="s">
        <v>51</v>
      </c>
      <c r="H101" s="73"/>
      <c r="I101" s="74"/>
      <c r="J101" s="74"/>
      <c r="K101" s="35" t="s">
        <v>65</v>
      </c>
      <c r="L101" s="82">
        <v>101</v>
      </c>
      <c r="M101" s="82"/>
      <c r="N101" s="76"/>
      <c r="O101" s="84" t="s">
        <v>440</v>
      </c>
      <c r="P101" s="86">
        <v>44082.318020833336</v>
      </c>
      <c r="Q101" s="84" t="s">
        <v>448</v>
      </c>
      <c r="R101" s="87" t="str">
        <f>HYPERLINK("https://www.peoplematters.in/news/technology/job-searches-in-artificial-intelligence-rise-106-in-one-year-report-26898")</f>
        <v>https://www.peoplematters.in/news/technology/job-searches-in-artificial-intelligence-rise-106-in-one-year-report-26898</v>
      </c>
      <c r="S101" s="84" t="s">
        <v>532</v>
      </c>
      <c r="T101" s="84" t="s">
        <v>568</v>
      </c>
      <c r="U101" s="87" t="str">
        <f>HYPERLINK("https://pbs.twimg.com/media/EhVAOmdWoAAOQiY.jpg")</f>
        <v>https://pbs.twimg.com/media/EhVAOmdWoAAOQiY.jpg</v>
      </c>
      <c r="V101" s="87" t="str">
        <f>HYPERLINK("https://pbs.twimg.com/media/EhVAOmdWoAAOQiY.jpg")</f>
        <v>https://pbs.twimg.com/media/EhVAOmdWoAAOQiY.jpg</v>
      </c>
      <c r="W101" s="86">
        <v>44082.318020833336</v>
      </c>
      <c r="X101" s="90">
        <v>44082</v>
      </c>
      <c r="Y101" s="92" t="s">
        <v>663</v>
      </c>
      <c r="Z101" s="87" t="str">
        <f>HYPERLINK("https://twitter.com/xzpwedvhhh37i3c/status/1303236116712103936")</f>
        <v>https://twitter.com/xzpwedvhhh37i3c/status/1303236116712103936</v>
      </c>
      <c r="AA101" s="84"/>
      <c r="AB101" s="84"/>
      <c r="AC101" s="92" t="s">
        <v>1057</v>
      </c>
      <c r="AD101" s="84"/>
      <c r="AE101" s="84" t="b">
        <v>0</v>
      </c>
      <c r="AF101" s="84">
        <v>0</v>
      </c>
      <c r="AG101" s="92" t="s">
        <v>1453</v>
      </c>
      <c r="AH101" s="84" t="b">
        <v>0</v>
      </c>
      <c r="AI101" s="84" t="s">
        <v>1456</v>
      </c>
      <c r="AJ101" s="84"/>
      <c r="AK101" s="92" t="s">
        <v>1453</v>
      </c>
      <c r="AL101" s="84" t="b">
        <v>0</v>
      </c>
      <c r="AM101" s="84">
        <v>25</v>
      </c>
      <c r="AN101" s="92" t="s">
        <v>1248</v>
      </c>
      <c r="AO101" s="84" t="s">
        <v>1465</v>
      </c>
      <c r="AP101" s="84" t="b">
        <v>0</v>
      </c>
      <c r="AQ101" s="92" t="s">
        <v>1248</v>
      </c>
      <c r="AR101" s="84" t="s">
        <v>187</v>
      </c>
      <c r="AS101" s="84">
        <v>0</v>
      </c>
      <c r="AT101" s="84">
        <v>0</v>
      </c>
      <c r="AU101" s="84"/>
      <c r="AV101" s="84"/>
      <c r="AW101" s="84"/>
      <c r="AX101" s="84"/>
      <c r="AY101" s="84"/>
      <c r="AZ101" s="84"/>
      <c r="BA101" s="84"/>
      <c r="BB101" s="84"/>
      <c r="BC101">
        <v>1</v>
      </c>
      <c r="BD101" s="83" t="str">
        <f>REPLACE(INDEX(GroupVertices[Group],MATCH(Edges[[#This Row],[Vertex 1]],GroupVertices[Vertex],0)),1,1,"")</f>
        <v>4</v>
      </c>
      <c r="BE101" s="83" t="str">
        <f>REPLACE(INDEX(GroupVertices[Group],MATCH(Edges[[#This Row],[Vertex 2]],GroupVertices[Vertex],0)),1,1,"")</f>
        <v>4</v>
      </c>
      <c r="BF101" s="49"/>
      <c r="BG101" s="50"/>
      <c r="BH101" s="49"/>
      <c r="BI101" s="50"/>
      <c r="BJ101" s="49"/>
      <c r="BK101" s="50"/>
      <c r="BL101" s="49"/>
      <c r="BM101" s="50"/>
      <c r="BN101" s="49"/>
    </row>
    <row r="102" spans="1:66" ht="15">
      <c r="A102" s="68" t="s">
        <v>249</v>
      </c>
      <c r="B102" s="68" t="s">
        <v>430</v>
      </c>
      <c r="C102" s="69" t="s">
        <v>5208</v>
      </c>
      <c r="D102" s="70">
        <v>1</v>
      </c>
      <c r="E102" s="71" t="s">
        <v>132</v>
      </c>
      <c r="F102" s="72">
        <v>32</v>
      </c>
      <c r="G102" s="69" t="s">
        <v>51</v>
      </c>
      <c r="H102" s="73"/>
      <c r="I102" s="74"/>
      <c r="J102" s="74"/>
      <c r="K102" s="35" t="s">
        <v>65</v>
      </c>
      <c r="L102" s="82">
        <v>102</v>
      </c>
      <c r="M102" s="82"/>
      <c r="N102" s="76"/>
      <c r="O102" s="84" t="s">
        <v>440</v>
      </c>
      <c r="P102" s="86">
        <v>44082.318020833336</v>
      </c>
      <c r="Q102" s="84" t="s">
        <v>448</v>
      </c>
      <c r="R102" s="87" t="str">
        <f>HYPERLINK("https://www.peoplematters.in/news/technology/job-searches-in-artificial-intelligence-rise-106-in-one-year-report-26898")</f>
        <v>https://www.peoplematters.in/news/technology/job-searches-in-artificial-intelligence-rise-106-in-one-year-report-26898</v>
      </c>
      <c r="S102" s="84" t="s">
        <v>532</v>
      </c>
      <c r="T102" s="84" t="s">
        <v>568</v>
      </c>
      <c r="U102" s="87" t="str">
        <f>HYPERLINK("https://pbs.twimg.com/media/EhVAOmdWoAAOQiY.jpg")</f>
        <v>https://pbs.twimg.com/media/EhVAOmdWoAAOQiY.jpg</v>
      </c>
      <c r="V102" s="87" t="str">
        <f>HYPERLINK("https://pbs.twimg.com/media/EhVAOmdWoAAOQiY.jpg")</f>
        <v>https://pbs.twimg.com/media/EhVAOmdWoAAOQiY.jpg</v>
      </c>
      <c r="W102" s="86">
        <v>44082.318020833336</v>
      </c>
      <c r="X102" s="90">
        <v>44082</v>
      </c>
      <c r="Y102" s="92" t="s">
        <v>663</v>
      </c>
      <c r="Z102" s="87" t="str">
        <f>HYPERLINK("https://twitter.com/xzpwedvhhh37i3c/status/1303236116712103936")</f>
        <v>https://twitter.com/xzpwedvhhh37i3c/status/1303236116712103936</v>
      </c>
      <c r="AA102" s="84"/>
      <c r="AB102" s="84"/>
      <c r="AC102" s="92" t="s">
        <v>1057</v>
      </c>
      <c r="AD102" s="84"/>
      <c r="AE102" s="84" t="b">
        <v>0</v>
      </c>
      <c r="AF102" s="84">
        <v>0</v>
      </c>
      <c r="AG102" s="92" t="s">
        <v>1453</v>
      </c>
      <c r="AH102" s="84" t="b">
        <v>0</v>
      </c>
      <c r="AI102" s="84" t="s">
        <v>1456</v>
      </c>
      <c r="AJ102" s="84"/>
      <c r="AK102" s="92" t="s">
        <v>1453</v>
      </c>
      <c r="AL102" s="84" t="b">
        <v>0</v>
      </c>
      <c r="AM102" s="84">
        <v>25</v>
      </c>
      <c r="AN102" s="92" t="s">
        <v>1248</v>
      </c>
      <c r="AO102" s="84" t="s">
        <v>1465</v>
      </c>
      <c r="AP102" s="84" t="b">
        <v>0</v>
      </c>
      <c r="AQ102" s="92" t="s">
        <v>1248</v>
      </c>
      <c r="AR102" s="84" t="s">
        <v>187</v>
      </c>
      <c r="AS102" s="84">
        <v>0</v>
      </c>
      <c r="AT102" s="84">
        <v>0</v>
      </c>
      <c r="AU102" s="84"/>
      <c r="AV102" s="84"/>
      <c r="AW102" s="84"/>
      <c r="AX102" s="84"/>
      <c r="AY102" s="84"/>
      <c r="AZ102" s="84"/>
      <c r="BA102" s="84"/>
      <c r="BB102" s="84"/>
      <c r="BC102">
        <v>1</v>
      </c>
      <c r="BD102" s="83" t="str">
        <f>REPLACE(INDEX(GroupVertices[Group],MATCH(Edges[[#This Row],[Vertex 1]],GroupVertices[Vertex],0)),1,1,"")</f>
        <v>4</v>
      </c>
      <c r="BE102" s="83" t="str">
        <f>REPLACE(INDEX(GroupVertices[Group],MATCH(Edges[[#This Row],[Vertex 2]],GroupVertices[Vertex],0)),1,1,"")</f>
        <v>4</v>
      </c>
      <c r="BF102" s="49"/>
      <c r="BG102" s="50"/>
      <c r="BH102" s="49"/>
      <c r="BI102" s="50"/>
      <c r="BJ102" s="49"/>
      <c r="BK102" s="50"/>
      <c r="BL102" s="49"/>
      <c r="BM102" s="50"/>
      <c r="BN102" s="49"/>
    </row>
    <row r="103" spans="1:66" ht="15">
      <c r="A103" s="68" t="s">
        <v>249</v>
      </c>
      <c r="B103" s="68" t="s">
        <v>383</v>
      </c>
      <c r="C103" s="69" t="s">
        <v>5208</v>
      </c>
      <c r="D103" s="70">
        <v>1</v>
      </c>
      <c r="E103" s="71" t="s">
        <v>132</v>
      </c>
      <c r="F103" s="72">
        <v>32</v>
      </c>
      <c r="G103" s="69" t="s">
        <v>51</v>
      </c>
      <c r="H103" s="73"/>
      <c r="I103" s="74"/>
      <c r="J103" s="74"/>
      <c r="K103" s="35" t="s">
        <v>65</v>
      </c>
      <c r="L103" s="82">
        <v>103</v>
      </c>
      <c r="M103" s="82"/>
      <c r="N103" s="76"/>
      <c r="O103" s="84" t="s">
        <v>440</v>
      </c>
      <c r="P103" s="86">
        <v>44082.318020833336</v>
      </c>
      <c r="Q103" s="84" t="s">
        <v>448</v>
      </c>
      <c r="R103" s="87" t="str">
        <f>HYPERLINK("https://www.peoplematters.in/news/technology/job-searches-in-artificial-intelligence-rise-106-in-one-year-report-26898")</f>
        <v>https://www.peoplematters.in/news/technology/job-searches-in-artificial-intelligence-rise-106-in-one-year-report-26898</v>
      </c>
      <c r="S103" s="84" t="s">
        <v>532</v>
      </c>
      <c r="T103" s="84" t="s">
        <v>568</v>
      </c>
      <c r="U103" s="87" t="str">
        <f>HYPERLINK("https://pbs.twimg.com/media/EhVAOmdWoAAOQiY.jpg")</f>
        <v>https://pbs.twimg.com/media/EhVAOmdWoAAOQiY.jpg</v>
      </c>
      <c r="V103" s="87" t="str">
        <f>HYPERLINK("https://pbs.twimg.com/media/EhVAOmdWoAAOQiY.jpg")</f>
        <v>https://pbs.twimg.com/media/EhVAOmdWoAAOQiY.jpg</v>
      </c>
      <c r="W103" s="86">
        <v>44082.318020833336</v>
      </c>
      <c r="X103" s="90">
        <v>44082</v>
      </c>
      <c r="Y103" s="92" t="s">
        <v>663</v>
      </c>
      <c r="Z103" s="87" t="str">
        <f>HYPERLINK("https://twitter.com/xzpwedvhhh37i3c/status/1303236116712103936")</f>
        <v>https://twitter.com/xzpwedvhhh37i3c/status/1303236116712103936</v>
      </c>
      <c r="AA103" s="84"/>
      <c r="AB103" s="84"/>
      <c r="AC103" s="92" t="s">
        <v>1057</v>
      </c>
      <c r="AD103" s="84"/>
      <c r="AE103" s="84" t="b">
        <v>0</v>
      </c>
      <c r="AF103" s="84">
        <v>0</v>
      </c>
      <c r="AG103" s="92" t="s">
        <v>1453</v>
      </c>
      <c r="AH103" s="84" t="b">
        <v>0</v>
      </c>
      <c r="AI103" s="84" t="s">
        <v>1456</v>
      </c>
      <c r="AJ103" s="84"/>
      <c r="AK103" s="92" t="s">
        <v>1453</v>
      </c>
      <c r="AL103" s="84" t="b">
        <v>0</v>
      </c>
      <c r="AM103" s="84">
        <v>25</v>
      </c>
      <c r="AN103" s="92" t="s">
        <v>1248</v>
      </c>
      <c r="AO103" s="84" t="s">
        <v>1465</v>
      </c>
      <c r="AP103" s="84" t="b">
        <v>0</v>
      </c>
      <c r="AQ103" s="92" t="s">
        <v>1248</v>
      </c>
      <c r="AR103" s="84" t="s">
        <v>187</v>
      </c>
      <c r="AS103" s="84">
        <v>0</v>
      </c>
      <c r="AT103" s="84">
        <v>0</v>
      </c>
      <c r="AU103" s="84"/>
      <c r="AV103" s="84"/>
      <c r="AW103" s="84"/>
      <c r="AX103" s="84"/>
      <c r="AY103" s="84"/>
      <c r="AZ103" s="84"/>
      <c r="BA103" s="84"/>
      <c r="BB103" s="84"/>
      <c r="BC103">
        <v>1</v>
      </c>
      <c r="BD103" s="83" t="str">
        <f>REPLACE(INDEX(GroupVertices[Group],MATCH(Edges[[#This Row],[Vertex 1]],GroupVertices[Vertex],0)),1,1,"")</f>
        <v>4</v>
      </c>
      <c r="BE103" s="83" t="str">
        <f>REPLACE(INDEX(GroupVertices[Group],MATCH(Edges[[#This Row],[Vertex 2]],GroupVertices[Vertex],0)),1,1,"")</f>
        <v>4</v>
      </c>
      <c r="BF103" s="49"/>
      <c r="BG103" s="50"/>
      <c r="BH103" s="49"/>
      <c r="BI103" s="50"/>
      <c r="BJ103" s="49"/>
      <c r="BK103" s="50"/>
      <c r="BL103" s="49"/>
      <c r="BM103" s="50"/>
      <c r="BN103" s="49"/>
    </row>
    <row r="104" spans="1:66" ht="15">
      <c r="A104" s="68" t="s">
        <v>249</v>
      </c>
      <c r="B104" s="68" t="s">
        <v>380</v>
      </c>
      <c r="C104" s="69" t="s">
        <v>5208</v>
      </c>
      <c r="D104" s="70">
        <v>1</v>
      </c>
      <c r="E104" s="71" t="s">
        <v>132</v>
      </c>
      <c r="F104" s="72">
        <v>32</v>
      </c>
      <c r="G104" s="69" t="s">
        <v>51</v>
      </c>
      <c r="H104" s="73"/>
      <c r="I104" s="74"/>
      <c r="J104" s="74"/>
      <c r="K104" s="35" t="s">
        <v>65</v>
      </c>
      <c r="L104" s="82">
        <v>104</v>
      </c>
      <c r="M104" s="82"/>
      <c r="N104" s="76"/>
      <c r="O104" s="84" t="s">
        <v>440</v>
      </c>
      <c r="P104" s="86">
        <v>44082.318020833336</v>
      </c>
      <c r="Q104" s="84" t="s">
        <v>448</v>
      </c>
      <c r="R104" s="87" t="str">
        <f>HYPERLINK("https://www.peoplematters.in/news/technology/job-searches-in-artificial-intelligence-rise-106-in-one-year-report-26898")</f>
        <v>https://www.peoplematters.in/news/technology/job-searches-in-artificial-intelligence-rise-106-in-one-year-report-26898</v>
      </c>
      <c r="S104" s="84" t="s">
        <v>532</v>
      </c>
      <c r="T104" s="84" t="s">
        <v>568</v>
      </c>
      <c r="U104" s="87" t="str">
        <f>HYPERLINK("https://pbs.twimg.com/media/EhVAOmdWoAAOQiY.jpg")</f>
        <v>https://pbs.twimg.com/media/EhVAOmdWoAAOQiY.jpg</v>
      </c>
      <c r="V104" s="87" t="str">
        <f>HYPERLINK("https://pbs.twimg.com/media/EhVAOmdWoAAOQiY.jpg")</f>
        <v>https://pbs.twimg.com/media/EhVAOmdWoAAOQiY.jpg</v>
      </c>
      <c r="W104" s="86">
        <v>44082.318020833336</v>
      </c>
      <c r="X104" s="90">
        <v>44082</v>
      </c>
      <c r="Y104" s="92" t="s">
        <v>663</v>
      </c>
      <c r="Z104" s="87" t="str">
        <f>HYPERLINK("https://twitter.com/xzpwedvhhh37i3c/status/1303236116712103936")</f>
        <v>https://twitter.com/xzpwedvhhh37i3c/status/1303236116712103936</v>
      </c>
      <c r="AA104" s="84"/>
      <c r="AB104" s="84"/>
      <c r="AC104" s="92" t="s">
        <v>1057</v>
      </c>
      <c r="AD104" s="84"/>
      <c r="AE104" s="84" t="b">
        <v>0</v>
      </c>
      <c r="AF104" s="84">
        <v>0</v>
      </c>
      <c r="AG104" s="92" t="s">
        <v>1453</v>
      </c>
      <c r="AH104" s="84" t="b">
        <v>0</v>
      </c>
      <c r="AI104" s="84" t="s">
        <v>1456</v>
      </c>
      <c r="AJ104" s="84"/>
      <c r="AK104" s="92" t="s">
        <v>1453</v>
      </c>
      <c r="AL104" s="84" t="b">
        <v>0</v>
      </c>
      <c r="AM104" s="84">
        <v>25</v>
      </c>
      <c r="AN104" s="92" t="s">
        <v>1248</v>
      </c>
      <c r="AO104" s="84" t="s">
        <v>1465</v>
      </c>
      <c r="AP104" s="84" t="b">
        <v>0</v>
      </c>
      <c r="AQ104" s="92" t="s">
        <v>1248</v>
      </c>
      <c r="AR104" s="84" t="s">
        <v>187</v>
      </c>
      <c r="AS104" s="84">
        <v>0</v>
      </c>
      <c r="AT104" s="84">
        <v>0</v>
      </c>
      <c r="AU104" s="84"/>
      <c r="AV104" s="84"/>
      <c r="AW104" s="84"/>
      <c r="AX104" s="84"/>
      <c r="AY104" s="84"/>
      <c r="AZ104" s="84"/>
      <c r="BA104" s="84"/>
      <c r="BB104" s="84"/>
      <c r="BC104">
        <v>1</v>
      </c>
      <c r="BD104" s="83" t="str">
        <f>REPLACE(INDEX(GroupVertices[Group],MATCH(Edges[[#This Row],[Vertex 1]],GroupVertices[Vertex],0)),1,1,"")</f>
        <v>4</v>
      </c>
      <c r="BE104" s="83" t="str">
        <f>REPLACE(INDEX(GroupVertices[Group],MATCH(Edges[[#This Row],[Vertex 2]],GroupVertices[Vertex],0)),1,1,"")</f>
        <v>4</v>
      </c>
      <c r="BF104" s="49"/>
      <c r="BG104" s="50"/>
      <c r="BH104" s="49"/>
      <c r="BI104" s="50"/>
      <c r="BJ104" s="49"/>
      <c r="BK104" s="50"/>
      <c r="BL104" s="49"/>
      <c r="BM104" s="50"/>
      <c r="BN104" s="49"/>
    </row>
    <row r="105" spans="1:66" ht="15">
      <c r="A105" s="68" t="s">
        <v>249</v>
      </c>
      <c r="B105" s="68" t="s">
        <v>381</v>
      </c>
      <c r="C105" s="69" t="s">
        <v>5208</v>
      </c>
      <c r="D105" s="70">
        <v>1</v>
      </c>
      <c r="E105" s="71" t="s">
        <v>132</v>
      </c>
      <c r="F105" s="72">
        <v>32</v>
      </c>
      <c r="G105" s="69" t="s">
        <v>51</v>
      </c>
      <c r="H105" s="73"/>
      <c r="I105" s="74"/>
      <c r="J105" s="74"/>
      <c r="K105" s="35" t="s">
        <v>65</v>
      </c>
      <c r="L105" s="82">
        <v>105</v>
      </c>
      <c r="M105" s="82"/>
      <c r="N105" s="76"/>
      <c r="O105" s="84" t="s">
        <v>440</v>
      </c>
      <c r="P105" s="86">
        <v>44082.318020833336</v>
      </c>
      <c r="Q105" s="84" t="s">
        <v>448</v>
      </c>
      <c r="R105" s="87" t="str">
        <f>HYPERLINK("https://www.peoplematters.in/news/technology/job-searches-in-artificial-intelligence-rise-106-in-one-year-report-26898")</f>
        <v>https://www.peoplematters.in/news/technology/job-searches-in-artificial-intelligence-rise-106-in-one-year-report-26898</v>
      </c>
      <c r="S105" s="84" t="s">
        <v>532</v>
      </c>
      <c r="T105" s="84" t="s">
        <v>568</v>
      </c>
      <c r="U105" s="87" t="str">
        <f>HYPERLINK("https://pbs.twimg.com/media/EhVAOmdWoAAOQiY.jpg")</f>
        <v>https://pbs.twimg.com/media/EhVAOmdWoAAOQiY.jpg</v>
      </c>
      <c r="V105" s="87" t="str">
        <f>HYPERLINK("https://pbs.twimg.com/media/EhVAOmdWoAAOQiY.jpg")</f>
        <v>https://pbs.twimg.com/media/EhVAOmdWoAAOQiY.jpg</v>
      </c>
      <c r="W105" s="86">
        <v>44082.318020833336</v>
      </c>
      <c r="X105" s="90">
        <v>44082</v>
      </c>
      <c r="Y105" s="92" t="s">
        <v>663</v>
      </c>
      <c r="Z105" s="87" t="str">
        <f>HYPERLINK("https://twitter.com/xzpwedvhhh37i3c/status/1303236116712103936")</f>
        <v>https://twitter.com/xzpwedvhhh37i3c/status/1303236116712103936</v>
      </c>
      <c r="AA105" s="84"/>
      <c r="AB105" s="84"/>
      <c r="AC105" s="92" t="s">
        <v>1057</v>
      </c>
      <c r="AD105" s="84"/>
      <c r="AE105" s="84" t="b">
        <v>0</v>
      </c>
      <c r="AF105" s="84">
        <v>0</v>
      </c>
      <c r="AG105" s="92" t="s">
        <v>1453</v>
      </c>
      <c r="AH105" s="84" t="b">
        <v>0</v>
      </c>
      <c r="AI105" s="84" t="s">
        <v>1456</v>
      </c>
      <c r="AJ105" s="84"/>
      <c r="AK105" s="92" t="s">
        <v>1453</v>
      </c>
      <c r="AL105" s="84" t="b">
        <v>0</v>
      </c>
      <c r="AM105" s="84">
        <v>25</v>
      </c>
      <c r="AN105" s="92" t="s">
        <v>1248</v>
      </c>
      <c r="AO105" s="84" t="s">
        <v>1465</v>
      </c>
      <c r="AP105" s="84" t="b">
        <v>0</v>
      </c>
      <c r="AQ105" s="92" t="s">
        <v>1248</v>
      </c>
      <c r="AR105" s="84" t="s">
        <v>187</v>
      </c>
      <c r="AS105" s="84">
        <v>0</v>
      </c>
      <c r="AT105" s="84">
        <v>0</v>
      </c>
      <c r="AU105" s="84"/>
      <c r="AV105" s="84"/>
      <c r="AW105" s="84"/>
      <c r="AX105" s="84"/>
      <c r="AY105" s="84"/>
      <c r="AZ105" s="84"/>
      <c r="BA105" s="84"/>
      <c r="BB105" s="84"/>
      <c r="BC105">
        <v>1</v>
      </c>
      <c r="BD105" s="83" t="str">
        <f>REPLACE(INDEX(GroupVertices[Group],MATCH(Edges[[#This Row],[Vertex 1]],GroupVertices[Vertex],0)),1,1,"")</f>
        <v>4</v>
      </c>
      <c r="BE105" s="83" t="str">
        <f>REPLACE(INDEX(GroupVertices[Group],MATCH(Edges[[#This Row],[Vertex 2]],GroupVertices[Vertex],0)),1,1,"")</f>
        <v>4</v>
      </c>
      <c r="BF105" s="49"/>
      <c r="BG105" s="50"/>
      <c r="BH105" s="49"/>
      <c r="BI105" s="50"/>
      <c r="BJ105" s="49"/>
      <c r="BK105" s="50"/>
      <c r="BL105" s="49"/>
      <c r="BM105" s="50"/>
      <c r="BN105" s="49"/>
    </row>
    <row r="106" spans="1:66" ht="15">
      <c r="A106" s="68" t="s">
        <v>249</v>
      </c>
      <c r="B106" s="68" t="s">
        <v>431</v>
      </c>
      <c r="C106" s="69" t="s">
        <v>5208</v>
      </c>
      <c r="D106" s="70">
        <v>1</v>
      </c>
      <c r="E106" s="71" t="s">
        <v>132</v>
      </c>
      <c r="F106" s="72">
        <v>32</v>
      </c>
      <c r="G106" s="69" t="s">
        <v>51</v>
      </c>
      <c r="H106" s="73"/>
      <c r="I106" s="74"/>
      <c r="J106" s="74"/>
      <c r="K106" s="35" t="s">
        <v>65</v>
      </c>
      <c r="L106" s="82">
        <v>106</v>
      </c>
      <c r="M106" s="82"/>
      <c r="N106" s="76"/>
      <c r="O106" s="84" t="s">
        <v>440</v>
      </c>
      <c r="P106" s="86">
        <v>44082.318020833336</v>
      </c>
      <c r="Q106" s="84" t="s">
        <v>448</v>
      </c>
      <c r="R106" s="87" t="str">
        <f>HYPERLINK("https://www.peoplematters.in/news/technology/job-searches-in-artificial-intelligence-rise-106-in-one-year-report-26898")</f>
        <v>https://www.peoplematters.in/news/technology/job-searches-in-artificial-intelligence-rise-106-in-one-year-report-26898</v>
      </c>
      <c r="S106" s="84" t="s">
        <v>532</v>
      </c>
      <c r="T106" s="84" t="s">
        <v>568</v>
      </c>
      <c r="U106" s="87" t="str">
        <f>HYPERLINK("https://pbs.twimg.com/media/EhVAOmdWoAAOQiY.jpg")</f>
        <v>https://pbs.twimg.com/media/EhVAOmdWoAAOQiY.jpg</v>
      </c>
      <c r="V106" s="87" t="str">
        <f>HYPERLINK("https://pbs.twimg.com/media/EhVAOmdWoAAOQiY.jpg")</f>
        <v>https://pbs.twimg.com/media/EhVAOmdWoAAOQiY.jpg</v>
      </c>
      <c r="W106" s="86">
        <v>44082.318020833336</v>
      </c>
      <c r="X106" s="90">
        <v>44082</v>
      </c>
      <c r="Y106" s="92" t="s">
        <v>663</v>
      </c>
      <c r="Z106" s="87" t="str">
        <f>HYPERLINK("https://twitter.com/xzpwedvhhh37i3c/status/1303236116712103936")</f>
        <v>https://twitter.com/xzpwedvhhh37i3c/status/1303236116712103936</v>
      </c>
      <c r="AA106" s="84"/>
      <c r="AB106" s="84"/>
      <c r="AC106" s="92" t="s">
        <v>1057</v>
      </c>
      <c r="AD106" s="84"/>
      <c r="AE106" s="84" t="b">
        <v>0</v>
      </c>
      <c r="AF106" s="84">
        <v>0</v>
      </c>
      <c r="AG106" s="92" t="s">
        <v>1453</v>
      </c>
      <c r="AH106" s="84" t="b">
        <v>0</v>
      </c>
      <c r="AI106" s="84" t="s">
        <v>1456</v>
      </c>
      <c r="AJ106" s="84"/>
      <c r="AK106" s="92" t="s">
        <v>1453</v>
      </c>
      <c r="AL106" s="84" t="b">
        <v>0</v>
      </c>
      <c r="AM106" s="84">
        <v>25</v>
      </c>
      <c r="AN106" s="92" t="s">
        <v>1248</v>
      </c>
      <c r="AO106" s="84" t="s">
        <v>1465</v>
      </c>
      <c r="AP106" s="84" t="b">
        <v>0</v>
      </c>
      <c r="AQ106" s="92" t="s">
        <v>1248</v>
      </c>
      <c r="AR106" s="84" t="s">
        <v>187</v>
      </c>
      <c r="AS106" s="84">
        <v>0</v>
      </c>
      <c r="AT106" s="84">
        <v>0</v>
      </c>
      <c r="AU106" s="84"/>
      <c r="AV106" s="84"/>
      <c r="AW106" s="84"/>
      <c r="AX106" s="84"/>
      <c r="AY106" s="84"/>
      <c r="AZ106" s="84"/>
      <c r="BA106" s="84"/>
      <c r="BB106" s="84"/>
      <c r="BC106">
        <v>1</v>
      </c>
      <c r="BD106" s="83" t="str">
        <f>REPLACE(INDEX(GroupVertices[Group],MATCH(Edges[[#This Row],[Vertex 1]],GroupVertices[Vertex],0)),1,1,"")</f>
        <v>4</v>
      </c>
      <c r="BE106" s="83" t="str">
        <f>REPLACE(INDEX(GroupVertices[Group],MATCH(Edges[[#This Row],[Vertex 2]],GroupVertices[Vertex],0)),1,1,"")</f>
        <v>4</v>
      </c>
      <c r="BF106" s="49"/>
      <c r="BG106" s="50"/>
      <c r="BH106" s="49"/>
      <c r="BI106" s="50"/>
      <c r="BJ106" s="49"/>
      <c r="BK106" s="50"/>
      <c r="BL106" s="49"/>
      <c r="BM106" s="50"/>
      <c r="BN106" s="49"/>
    </row>
    <row r="107" spans="1:66" ht="15">
      <c r="A107" s="68" t="s">
        <v>249</v>
      </c>
      <c r="B107" s="68" t="s">
        <v>432</v>
      </c>
      <c r="C107" s="69" t="s">
        <v>5208</v>
      </c>
      <c r="D107" s="70">
        <v>1</v>
      </c>
      <c r="E107" s="71" t="s">
        <v>132</v>
      </c>
      <c r="F107" s="72">
        <v>32</v>
      </c>
      <c r="G107" s="69" t="s">
        <v>51</v>
      </c>
      <c r="H107" s="73"/>
      <c r="I107" s="74"/>
      <c r="J107" s="74"/>
      <c r="K107" s="35" t="s">
        <v>65</v>
      </c>
      <c r="L107" s="82">
        <v>107</v>
      </c>
      <c r="M107" s="82"/>
      <c r="N107" s="76"/>
      <c r="O107" s="84" t="s">
        <v>440</v>
      </c>
      <c r="P107" s="86">
        <v>44082.318020833336</v>
      </c>
      <c r="Q107" s="84" t="s">
        <v>448</v>
      </c>
      <c r="R107" s="87" t="str">
        <f>HYPERLINK("https://www.peoplematters.in/news/technology/job-searches-in-artificial-intelligence-rise-106-in-one-year-report-26898")</f>
        <v>https://www.peoplematters.in/news/technology/job-searches-in-artificial-intelligence-rise-106-in-one-year-report-26898</v>
      </c>
      <c r="S107" s="84" t="s">
        <v>532</v>
      </c>
      <c r="T107" s="84" t="s">
        <v>568</v>
      </c>
      <c r="U107" s="87" t="str">
        <f>HYPERLINK("https://pbs.twimg.com/media/EhVAOmdWoAAOQiY.jpg")</f>
        <v>https://pbs.twimg.com/media/EhVAOmdWoAAOQiY.jpg</v>
      </c>
      <c r="V107" s="87" t="str">
        <f>HYPERLINK("https://pbs.twimg.com/media/EhVAOmdWoAAOQiY.jpg")</f>
        <v>https://pbs.twimg.com/media/EhVAOmdWoAAOQiY.jpg</v>
      </c>
      <c r="W107" s="86">
        <v>44082.318020833336</v>
      </c>
      <c r="X107" s="90">
        <v>44082</v>
      </c>
      <c r="Y107" s="92" t="s">
        <v>663</v>
      </c>
      <c r="Z107" s="87" t="str">
        <f>HYPERLINK("https://twitter.com/xzpwedvhhh37i3c/status/1303236116712103936")</f>
        <v>https://twitter.com/xzpwedvhhh37i3c/status/1303236116712103936</v>
      </c>
      <c r="AA107" s="84"/>
      <c r="AB107" s="84"/>
      <c r="AC107" s="92" t="s">
        <v>1057</v>
      </c>
      <c r="AD107" s="84"/>
      <c r="AE107" s="84" t="b">
        <v>0</v>
      </c>
      <c r="AF107" s="84">
        <v>0</v>
      </c>
      <c r="AG107" s="92" t="s">
        <v>1453</v>
      </c>
      <c r="AH107" s="84" t="b">
        <v>0</v>
      </c>
      <c r="AI107" s="84" t="s">
        <v>1456</v>
      </c>
      <c r="AJ107" s="84"/>
      <c r="AK107" s="92" t="s">
        <v>1453</v>
      </c>
      <c r="AL107" s="84" t="b">
        <v>0</v>
      </c>
      <c r="AM107" s="84">
        <v>25</v>
      </c>
      <c r="AN107" s="92" t="s">
        <v>1248</v>
      </c>
      <c r="AO107" s="84" t="s">
        <v>1465</v>
      </c>
      <c r="AP107" s="84" t="b">
        <v>0</v>
      </c>
      <c r="AQ107" s="92" t="s">
        <v>1248</v>
      </c>
      <c r="AR107" s="84" t="s">
        <v>187</v>
      </c>
      <c r="AS107" s="84">
        <v>0</v>
      </c>
      <c r="AT107" s="84">
        <v>0</v>
      </c>
      <c r="AU107" s="84"/>
      <c r="AV107" s="84"/>
      <c r="AW107" s="84"/>
      <c r="AX107" s="84"/>
      <c r="AY107" s="84"/>
      <c r="AZ107" s="84"/>
      <c r="BA107" s="84"/>
      <c r="BB107" s="84"/>
      <c r="BC107">
        <v>1</v>
      </c>
      <c r="BD107" s="83" t="str">
        <f>REPLACE(INDEX(GroupVertices[Group],MATCH(Edges[[#This Row],[Vertex 1]],GroupVertices[Vertex],0)),1,1,"")</f>
        <v>4</v>
      </c>
      <c r="BE107" s="83" t="str">
        <f>REPLACE(INDEX(GroupVertices[Group],MATCH(Edges[[#This Row],[Vertex 2]],GroupVertices[Vertex],0)),1,1,"")</f>
        <v>4</v>
      </c>
      <c r="BF107" s="49"/>
      <c r="BG107" s="50"/>
      <c r="BH107" s="49"/>
      <c r="BI107" s="50"/>
      <c r="BJ107" s="49"/>
      <c r="BK107" s="50"/>
      <c r="BL107" s="49"/>
      <c r="BM107" s="50"/>
      <c r="BN107" s="49"/>
    </row>
    <row r="108" spans="1:66" ht="15">
      <c r="A108" s="68" t="s">
        <v>249</v>
      </c>
      <c r="B108" s="68" t="s">
        <v>384</v>
      </c>
      <c r="C108" s="69" t="s">
        <v>5208</v>
      </c>
      <c r="D108" s="70">
        <v>1</v>
      </c>
      <c r="E108" s="71" t="s">
        <v>132</v>
      </c>
      <c r="F108" s="72">
        <v>32</v>
      </c>
      <c r="G108" s="69" t="s">
        <v>51</v>
      </c>
      <c r="H108" s="73"/>
      <c r="I108" s="74"/>
      <c r="J108" s="74"/>
      <c r="K108" s="35" t="s">
        <v>65</v>
      </c>
      <c r="L108" s="82">
        <v>108</v>
      </c>
      <c r="M108" s="82"/>
      <c r="N108" s="76"/>
      <c r="O108" s="84" t="s">
        <v>439</v>
      </c>
      <c r="P108" s="86">
        <v>44082.318020833336</v>
      </c>
      <c r="Q108" s="84" t="s">
        <v>448</v>
      </c>
      <c r="R108" s="87" t="str">
        <f>HYPERLINK("https://www.peoplematters.in/news/technology/job-searches-in-artificial-intelligence-rise-106-in-one-year-report-26898")</f>
        <v>https://www.peoplematters.in/news/technology/job-searches-in-artificial-intelligence-rise-106-in-one-year-report-26898</v>
      </c>
      <c r="S108" s="84" t="s">
        <v>532</v>
      </c>
      <c r="T108" s="84" t="s">
        <v>568</v>
      </c>
      <c r="U108" s="87" t="str">
        <f>HYPERLINK("https://pbs.twimg.com/media/EhVAOmdWoAAOQiY.jpg")</f>
        <v>https://pbs.twimg.com/media/EhVAOmdWoAAOQiY.jpg</v>
      </c>
      <c r="V108" s="87" t="str">
        <f>HYPERLINK("https://pbs.twimg.com/media/EhVAOmdWoAAOQiY.jpg")</f>
        <v>https://pbs.twimg.com/media/EhVAOmdWoAAOQiY.jpg</v>
      </c>
      <c r="W108" s="86">
        <v>44082.318020833336</v>
      </c>
      <c r="X108" s="90">
        <v>44082</v>
      </c>
      <c r="Y108" s="92" t="s">
        <v>663</v>
      </c>
      <c r="Z108" s="87" t="str">
        <f>HYPERLINK("https://twitter.com/xzpwedvhhh37i3c/status/1303236116712103936")</f>
        <v>https://twitter.com/xzpwedvhhh37i3c/status/1303236116712103936</v>
      </c>
      <c r="AA108" s="84"/>
      <c r="AB108" s="84"/>
      <c r="AC108" s="92" t="s">
        <v>1057</v>
      </c>
      <c r="AD108" s="84"/>
      <c r="AE108" s="84" t="b">
        <v>0</v>
      </c>
      <c r="AF108" s="84">
        <v>0</v>
      </c>
      <c r="AG108" s="92" t="s">
        <v>1453</v>
      </c>
      <c r="AH108" s="84" t="b">
        <v>0</v>
      </c>
      <c r="AI108" s="84" t="s">
        <v>1456</v>
      </c>
      <c r="AJ108" s="84"/>
      <c r="AK108" s="92" t="s">
        <v>1453</v>
      </c>
      <c r="AL108" s="84" t="b">
        <v>0</v>
      </c>
      <c r="AM108" s="84">
        <v>25</v>
      </c>
      <c r="AN108" s="92" t="s">
        <v>1248</v>
      </c>
      <c r="AO108" s="84" t="s">
        <v>1465</v>
      </c>
      <c r="AP108" s="84" t="b">
        <v>0</v>
      </c>
      <c r="AQ108" s="92" t="s">
        <v>1248</v>
      </c>
      <c r="AR108" s="84" t="s">
        <v>187</v>
      </c>
      <c r="AS108" s="84">
        <v>0</v>
      </c>
      <c r="AT108" s="84">
        <v>0</v>
      </c>
      <c r="AU108" s="84"/>
      <c r="AV108" s="84"/>
      <c r="AW108" s="84"/>
      <c r="AX108" s="84"/>
      <c r="AY108" s="84"/>
      <c r="AZ108" s="84"/>
      <c r="BA108" s="84"/>
      <c r="BB108" s="84"/>
      <c r="BC108">
        <v>1</v>
      </c>
      <c r="BD108" s="83" t="str">
        <f>REPLACE(INDEX(GroupVertices[Group],MATCH(Edges[[#This Row],[Vertex 1]],GroupVertices[Vertex],0)),1,1,"")</f>
        <v>4</v>
      </c>
      <c r="BE108" s="83" t="str">
        <f>REPLACE(INDEX(GroupVertices[Group],MATCH(Edges[[#This Row],[Vertex 2]],GroupVertices[Vertex],0)),1,1,"")</f>
        <v>4</v>
      </c>
      <c r="BF108" s="49">
        <v>0</v>
      </c>
      <c r="BG108" s="50">
        <v>0</v>
      </c>
      <c r="BH108" s="49">
        <v>0</v>
      </c>
      <c r="BI108" s="50">
        <v>0</v>
      </c>
      <c r="BJ108" s="49">
        <v>0</v>
      </c>
      <c r="BK108" s="50">
        <v>0</v>
      </c>
      <c r="BL108" s="49">
        <v>28</v>
      </c>
      <c r="BM108" s="50">
        <v>100</v>
      </c>
      <c r="BN108" s="49">
        <v>28</v>
      </c>
    </row>
    <row r="109" spans="1:66" ht="15">
      <c r="A109" s="68" t="s">
        <v>250</v>
      </c>
      <c r="B109" s="68" t="s">
        <v>264</v>
      </c>
      <c r="C109" s="69" t="s">
        <v>5208</v>
      </c>
      <c r="D109" s="70">
        <v>1</v>
      </c>
      <c r="E109" s="71" t="s">
        <v>132</v>
      </c>
      <c r="F109" s="72">
        <v>32</v>
      </c>
      <c r="G109" s="69" t="s">
        <v>51</v>
      </c>
      <c r="H109" s="73"/>
      <c r="I109" s="74"/>
      <c r="J109" s="74"/>
      <c r="K109" s="35" t="s">
        <v>65</v>
      </c>
      <c r="L109" s="82">
        <v>109</v>
      </c>
      <c r="M109" s="82"/>
      <c r="N109" s="76"/>
      <c r="O109" s="84" t="s">
        <v>439</v>
      </c>
      <c r="P109" s="86">
        <v>44082.33047453704</v>
      </c>
      <c r="Q109" s="84" t="s">
        <v>449</v>
      </c>
      <c r="R109" s="84"/>
      <c r="S109" s="84"/>
      <c r="T109" s="84" t="s">
        <v>569</v>
      </c>
      <c r="U109" s="84"/>
      <c r="V109" s="87" t="str">
        <f>HYPERLINK("http://pbs.twimg.com/profile_images/1101061061153878017/l_5iEngb_normal.png")</f>
        <v>http://pbs.twimg.com/profile_images/1101061061153878017/l_5iEngb_normal.png</v>
      </c>
      <c r="W109" s="86">
        <v>44082.33047453704</v>
      </c>
      <c r="X109" s="90">
        <v>44082</v>
      </c>
      <c r="Y109" s="92" t="s">
        <v>664</v>
      </c>
      <c r="Z109" s="87" t="str">
        <f>HYPERLINK("https://twitter.com/mangothecat/status/1303240628730462208")</f>
        <v>https://twitter.com/mangothecat/status/1303240628730462208</v>
      </c>
      <c r="AA109" s="84"/>
      <c r="AB109" s="84"/>
      <c r="AC109" s="92" t="s">
        <v>1058</v>
      </c>
      <c r="AD109" s="84"/>
      <c r="AE109" s="84" t="b">
        <v>0</v>
      </c>
      <c r="AF109" s="84">
        <v>0</v>
      </c>
      <c r="AG109" s="92" t="s">
        <v>1453</v>
      </c>
      <c r="AH109" s="84" t="b">
        <v>0</v>
      </c>
      <c r="AI109" s="84" t="s">
        <v>1456</v>
      </c>
      <c r="AJ109" s="84"/>
      <c r="AK109" s="92" t="s">
        <v>1453</v>
      </c>
      <c r="AL109" s="84" t="b">
        <v>0</v>
      </c>
      <c r="AM109" s="84">
        <v>4</v>
      </c>
      <c r="AN109" s="92" t="s">
        <v>1072</v>
      </c>
      <c r="AO109" s="84" t="s">
        <v>1465</v>
      </c>
      <c r="AP109" s="84" t="b">
        <v>0</v>
      </c>
      <c r="AQ109" s="92" t="s">
        <v>1072</v>
      </c>
      <c r="AR109" s="84" t="s">
        <v>187</v>
      </c>
      <c r="AS109" s="84">
        <v>0</v>
      </c>
      <c r="AT109" s="84">
        <v>0</v>
      </c>
      <c r="AU109" s="84"/>
      <c r="AV109" s="84"/>
      <c r="AW109" s="84"/>
      <c r="AX109" s="84"/>
      <c r="AY109" s="84"/>
      <c r="AZ109" s="84"/>
      <c r="BA109" s="84"/>
      <c r="BB109" s="84"/>
      <c r="BC109">
        <v>1</v>
      </c>
      <c r="BD109" s="83" t="str">
        <f>REPLACE(INDEX(GroupVertices[Group],MATCH(Edges[[#This Row],[Vertex 1]],GroupVertices[Vertex],0)),1,1,"")</f>
        <v>7</v>
      </c>
      <c r="BE109" s="83" t="str">
        <f>REPLACE(INDEX(GroupVertices[Group],MATCH(Edges[[#This Row],[Vertex 2]],GroupVertices[Vertex],0)),1,1,"")</f>
        <v>7</v>
      </c>
      <c r="BF109" s="49">
        <v>0</v>
      </c>
      <c r="BG109" s="50">
        <v>0</v>
      </c>
      <c r="BH109" s="49">
        <v>0</v>
      </c>
      <c r="BI109" s="50">
        <v>0</v>
      </c>
      <c r="BJ109" s="49">
        <v>0</v>
      </c>
      <c r="BK109" s="50">
        <v>0</v>
      </c>
      <c r="BL109" s="49">
        <v>28</v>
      </c>
      <c r="BM109" s="50">
        <v>100</v>
      </c>
      <c r="BN109" s="49">
        <v>28</v>
      </c>
    </row>
    <row r="110" spans="1:66" ht="15">
      <c r="A110" s="68" t="s">
        <v>251</v>
      </c>
      <c r="B110" s="68" t="s">
        <v>372</v>
      </c>
      <c r="C110" s="69" t="s">
        <v>5208</v>
      </c>
      <c r="D110" s="70">
        <v>1</v>
      </c>
      <c r="E110" s="71" t="s">
        <v>132</v>
      </c>
      <c r="F110" s="72">
        <v>32</v>
      </c>
      <c r="G110" s="69" t="s">
        <v>51</v>
      </c>
      <c r="H110" s="73"/>
      <c r="I110" s="74"/>
      <c r="J110" s="74"/>
      <c r="K110" s="35" t="s">
        <v>65</v>
      </c>
      <c r="L110" s="82">
        <v>110</v>
      </c>
      <c r="M110" s="82"/>
      <c r="N110" s="76"/>
      <c r="O110" s="84" t="s">
        <v>439</v>
      </c>
      <c r="P110" s="86">
        <v>44082.37056712963</v>
      </c>
      <c r="Q110" s="84" t="s">
        <v>452</v>
      </c>
      <c r="R110" s="84"/>
      <c r="S110" s="84"/>
      <c r="T110" s="84" t="s">
        <v>571</v>
      </c>
      <c r="U110" s="87" t="str">
        <f>HYPERLINK("https://pbs.twimg.com/media/EhYM46pUYAAagXV.jpg")</f>
        <v>https://pbs.twimg.com/media/EhYM46pUYAAagXV.jpg</v>
      </c>
      <c r="V110" s="87" t="str">
        <f>HYPERLINK("https://pbs.twimg.com/media/EhYM46pUYAAagXV.jpg")</f>
        <v>https://pbs.twimg.com/media/EhYM46pUYAAagXV.jpg</v>
      </c>
      <c r="W110" s="86">
        <v>44082.37056712963</v>
      </c>
      <c r="X110" s="90">
        <v>44082</v>
      </c>
      <c r="Y110" s="92" t="s">
        <v>665</v>
      </c>
      <c r="Z110" s="87" t="str">
        <f>HYPERLINK("https://twitter.com/distancelrnbot/status/1303255158713876481")</f>
        <v>https://twitter.com/distancelrnbot/status/1303255158713876481</v>
      </c>
      <c r="AA110" s="84"/>
      <c r="AB110" s="84"/>
      <c r="AC110" s="92" t="s">
        <v>1059</v>
      </c>
      <c r="AD110" s="84"/>
      <c r="AE110" s="84" t="b">
        <v>0</v>
      </c>
      <c r="AF110" s="84">
        <v>0</v>
      </c>
      <c r="AG110" s="92" t="s">
        <v>1453</v>
      </c>
      <c r="AH110" s="84" t="b">
        <v>0</v>
      </c>
      <c r="AI110" s="84" t="s">
        <v>1458</v>
      </c>
      <c r="AJ110" s="84"/>
      <c r="AK110" s="92" t="s">
        <v>1453</v>
      </c>
      <c r="AL110" s="84" t="b">
        <v>0</v>
      </c>
      <c r="AM110" s="84">
        <v>3</v>
      </c>
      <c r="AN110" s="92" t="s">
        <v>1223</v>
      </c>
      <c r="AO110" s="84" t="s">
        <v>1472</v>
      </c>
      <c r="AP110" s="84" t="b">
        <v>0</v>
      </c>
      <c r="AQ110" s="92" t="s">
        <v>1223</v>
      </c>
      <c r="AR110" s="84" t="s">
        <v>187</v>
      </c>
      <c r="AS110" s="84">
        <v>0</v>
      </c>
      <c r="AT110" s="84">
        <v>0</v>
      </c>
      <c r="AU110" s="84"/>
      <c r="AV110" s="84"/>
      <c r="AW110" s="84"/>
      <c r="AX110" s="84"/>
      <c r="AY110" s="84"/>
      <c r="AZ110" s="84"/>
      <c r="BA110" s="84"/>
      <c r="BB110" s="84"/>
      <c r="BC110">
        <v>1</v>
      </c>
      <c r="BD110" s="83" t="str">
        <f>REPLACE(INDEX(GroupVertices[Group],MATCH(Edges[[#This Row],[Vertex 1]],GroupVertices[Vertex],0)),1,1,"")</f>
        <v>2</v>
      </c>
      <c r="BE110" s="83" t="str">
        <f>REPLACE(INDEX(GroupVertices[Group],MATCH(Edges[[#This Row],[Vertex 2]],GroupVertices[Vertex],0)),1,1,"")</f>
        <v>2</v>
      </c>
      <c r="BF110" s="49">
        <v>0</v>
      </c>
      <c r="BG110" s="50">
        <v>0</v>
      </c>
      <c r="BH110" s="49">
        <v>0</v>
      </c>
      <c r="BI110" s="50">
        <v>0</v>
      </c>
      <c r="BJ110" s="49">
        <v>0</v>
      </c>
      <c r="BK110" s="50">
        <v>0</v>
      </c>
      <c r="BL110" s="49">
        <v>30</v>
      </c>
      <c r="BM110" s="50">
        <v>100</v>
      </c>
      <c r="BN110" s="49">
        <v>30</v>
      </c>
    </row>
    <row r="111" spans="1:66" ht="15">
      <c r="A111" s="68" t="s">
        <v>252</v>
      </c>
      <c r="B111" s="68" t="s">
        <v>387</v>
      </c>
      <c r="C111" s="69" t="s">
        <v>5208</v>
      </c>
      <c r="D111" s="70">
        <v>1</v>
      </c>
      <c r="E111" s="71" t="s">
        <v>132</v>
      </c>
      <c r="F111" s="72">
        <v>32</v>
      </c>
      <c r="G111" s="69" t="s">
        <v>51</v>
      </c>
      <c r="H111" s="73"/>
      <c r="I111" s="74"/>
      <c r="J111" s="74"/>
      <c r="K111" s="35" t="s">
        <v>65</v>
      </c>
      <c r="L111" s="82">
        <v>111</v>
      </c>
      <c r="M111" s="82"/>
      <c r="N111" s="76"/>
      <c r="O111" s="84" t="s">
        <v>439</v>
      </c>
      <c r="P111" s="86">
        <v>44082.38203703704</v>
      </c>
      <c r="Q111" s="84" t="s">
        <v>453</v>
      </c>
      <c r="R111" s="87" t="str">
        <f>HYPERLINK("https://www.youtube.com/watch?v=b2mLDkMSyn4&amp;feature=youtu.be&amp;t=510")</f>
        <v>https://www.youtube.com/watch?v=b2mLDkMSyn4&amp;feature=youtu.be&amp;t=510</v>
      </c>
      <c r="S111" s="84" t="s">
        <v>535</v>
      </c>
      <c r="T111" s="84" t="s">
        <v>572</v>
      </c>
      <c r="U111" s="84"/>
      <c r="V111" s="87" t="str">
        <f>HYPERLINK("http://pbs.twimg.com/profile_images/992945204918288390/1X6yiCkn_normal.jpg")</f>
        <v>http://pbs.twimg.com/profile_images/992945204918288390/1X6yiCkn_normal.jpg</v>
      </c>
      <c r="W111" s="86">
        <v>44082.38203703704</v>
      </c>
      <c r="X111" s="90">
        <v>44082</v>
      </c>
      <c r="Y111" s="92" t="s">
        <v>666</v>
      </c>
      <c r="Z111" s="87" t="str">
        <f>HYPERLINK("https://twitter.com/ricardo_ik_ahau/status/1303259315495731200")</f>
        <v>https://twitter.com/ricardo_ik_ahau/status/1303259315495731200</v>
      </c>
      <c r="AA111" s="84"/>
      <c r="AB111" s="84"/>
      <c r="AC111" s="92" t="s">
        <v>1060</v>
      </c>
      <c r="AD111" s="84"/>
      <c r="AE111" s="84" t="b">
        <v>0</v>
      </c>
      <c r="AF111" s="84">
        <v>0</v>
      </c>
      <c r="AG111" s="92" t="s">
        <v>1453</v>
      </c>
      <c r="AH111" s="84" t="b">
        <v>0</v>
      </c>
      <c r="AI111" s="84" t="s">
        <v>1456</v>
      </c>
      <c r="AJ111" s="84"/>
      <c r="AK111" s="92" t="s">
        <v>1453</v>
      </c>
      <c r="AL111" s="84" t="b">
        <v>0</v>
      </c>
      <c r="AM111" s="84">
        <v>10</v>
      </c>
      <c r="AN111" s="92" t="s">
        <v>1253</v>
      </c>
      <c r="AO111" s="84" t="s">
        <v>1465</v>
      </c>
      <c r="AP111" s="84" t="b">
        <v>0</v>
      </c>
      <c r="AQ111" s="92" t="s">
        <v>1253</v>
      </c>
      <c r="AR111" s="84" t="s">
        <v>187</v>
      </c>
      <c r="AS111" s="84">
        <v>0</v>
      </c>
      <c r="AT111" s="84">
        <v>0</v>
      </c>
      <c r="AU111" s="84"/>
      <c r="AV111" s="84"/>
      <c r="AW111" s="84"/>
      <c r="AX111" s="84"/>
      <c r="AY111" s="84"/>
      <c r="AZ111" s="84"/>
      <c r="BA111" s="84"/>
      <c r="BB111" s="84"/>
      <c r="BC111">
        <v>1</v>
      </c>
      <c r="BD111" s="83" t="str">
        <f>REPLACE(INDEX(GroupVertices[Group],MATCH(Edges[[#This Row],[Vertex 1]],GroupVertices[Vertex],0)),1,1,"")</f>
        <v>5</v>
      </c>
      <c r="BE111" s="83" t="str">
        <f>REPLACE(INDEX(GroupVertices[Group],MATCH(Edges[[#This Row],[Vertex 2]],GroupVertices[Vertex],0)),1,1,"")</f>
        <v>5</v>
      </c>
      <c r="BF111" s="49">
        <v>0</v>
      </c>
      <c r="BG111" s="50">
        <v>0</v>
      </c>
      <c r="BH111" s="49">
        <v>0</v>
      </c>
      <c r="BI111" s="50">
        <v>0</v>
      </c>
      <c r="BJ111" s="49">
        <v>0</v>
      </c>
      <c r="BK111" s="50">
        <v>0</v>
      </c>
      <c r="BL111" s="49">
        <v>20</v>
      </c>
      <c r="BM111" s="50">
        <v>100</v>
      </c>
      <c r="BN111" s="49">
        <v>20</v>
      </c>
    </row>
    <row r="112" spans="1:66" ht="15">
      <c r="A112" s="68" t="s">
        <v>253</v>
      </c>
      <c r="B112" s="68" t="s">
        <v>398</v>
      </c>
      <c r="C112" s="69" t="s">
        <v>5208</v>
      </c>
      <c r="D112" s="70">
        <v>1</v>
      </c>
      <c r="E112" s="71" t="s">
        <v>132</v>
      </c>
      <c r="F112" s="72">
        <v>32</v>
      </c>
      <c r="G112" s="69" t="s">
        <v>51</v>
      </c>
      <c r="H112" s="73"/>
      <c r="I112" s="74"/>
      <c r="J112" s="74"/>
      <c r="K112" s="35" t="s">
        <v>65</v>
      </c>
      <c r="L112" s="82">
        <v>112</v>
      </c>
      <c r="M112" s="82"/>
      <c r="N112" s="76"/>
      <c r="O112" s="84" t="s">
        <v>439</v>
      </c>
      <c r="P112" s="86">
        <v>44082.45584490741</v>
      </c>
      <c r="Q112" s="84" t="s">
        <v>454</v>
      </c>
      <c r="R112" s="87" t="str">
        <f>HYPERLINK("https://nobrowser.com/")</f>
        <v>https://nobrowser.com/</v>
      </c>
      <c r="S112" s="84" t="s">
        <v>536</v>
      </c>
      <c r="T112" s="84" t="s">
        <v>573</v>
      </c>
      <c r="U112" s="87" t="str">
        <f>HYPERLINK("https://pbs.twimg.com/media/EhYzm1cVoAAotrW.jpg")</f>
        <v>https://pbs.twimg.com/media/EhYzm1cVoAAotrW.jpg</v>
      </c>
      <c r="V112" s="87" t="str">
        <f>HYPERLINK("https://pbs.twimg.com/media/EhYzm1cVoAAotrW.jpg")</f>
        <v>https://pbs.twimg.com/media/EhYzm1cVoAAotrW.jpg</v>
      </c>
      <c r="W112" s="86">
        <v>44082.45584490741</v>
      </c>
      <c r="X112" s="90">
        <v>44082</v>
      </c>
      <c r="Y112" s="92" t="s">
        <v>667</v>
      </c>
      <c r="Z112" s="87" t="str">
        <f>HYPERLINK("https://twitter.com/biconnections/status/1303286062123495425")</f>
        <v>https://twitter.com/biconnections/status/1303286062123495425</v>
      </c>
      <c r="AA112" s="84"/>
      <c r="AB112" s="84"/>
      <c r="AC112" s="92" t="s">
        <v>1061</v>
      </c>
      <c r="AD112" s="84"/>
      <c r="AE112" s="84" t="b">
        <v>0</v>
      </c>
      <c r="AF112" s="84">
        <v>0</v>
      </c>
      <c r="AG112" s="92" t="s">
        <v>1453</v>
      </c>
      <c r="AH112" s="84" t="b">
        <v>0</v>
      </c>
      <c r="AI112" s="84" t="s">
        <v>1456</v>
      </c>
      <c r="AJ112" s="84"/>
      <c r="AK112" s="92" t="s">
        <v>1453</v>
      </c>
      <c r="AL112" s="84" t="b">
        <v>0</v>
      </c>
      <c r="AM112" s="84">
        <v>8</v>
      </c>
      <c r="AN112" s="92" t="s">
        <v>1325</v>
      </c>
      <c r="AO112" s="84" t="s">
        <v>1465</v>
      </c>
      <c r="AP112" s="84" t="b">
        <v>0</v>
      </c>
      <c r="AQ112" s="92" t="s">
        <v>1325</v>
      </c>
      <c r="AR112" s="84" t="s">
        <v>187</v>
      </c>
      <c r="AS112" s="84">
        <v>0</v>
      </c>
      <c r="AT112" s="84">
        <v>0</v>
      </c>
      <c r="AU112" s="84"/>
      <c r="AV112" s="84"/>
      <c r="AW112" s="84"/>
      <c r="AX112" s="84"/>
      <c r="AY112" s="84"/>
      <c r="AZ112" s="84"/>
      <c r="BA112" s="84"/>
      <c r="BB112" s="84"/>
      <c r="BC112">
        <v>1</v>
      </c>
      <c r="BD112" s="83" t="str">
        <f>REPLACE(INDEX(GroupVertices[Group],MATCH(Edges[[#This Row],[Vertex 1]],GroupVertices[Vertex],0)),1,1,"")</f>
        <v>10</v>
      </c>
      <c r="BE112" s="83" t="str">
        <f>REPLACE(INDEX(GroupVertices[Group],MATCH(Edges[[#This Row],[Vertex 2]],GroupVertices[Vertex],0)),1,1,"")</f>
        <v>10</v>
      </c>
      <c r="BF112" s="49">
        <v>0</v>
      </c>
      <c r="BG112" s="50">
        <v>0</v>
      </c>
      <c r="BH112" s="49">
        <v>0</v>
      </c>
      <c r="BI112" s="50">
        <v>0</v>
      </c>
      <c r="BJ112" s="49">
        <v>0</v>
      </c>
      <c r="BK112" s="50">
        <v>0</v>
      </c>
      <c r="BL112" s="49">
        <v>34</v>
      </c>
      <c r="BM112" s="50">
        <v>100</v>
      </c>
      <c r="BN112" s="49">
        <v>34</v>
      </c>
    </row>
    <row r="113" spans="1:66" ht="15">
      <c r="A113" s="68" t="s">
        <v>254</v>
      </c>
      <c r="B113" s="68" t="s">
        <v>433</v>
      </c>
      <c r="C113" s="69" t="s">
        <v>5208</v>
      </c>
      <c r="D113" s="70">
        <v>1</v>
      </c>
      <c r="E113" s="71" t="s">
        <v>132</v>
      </c>
      <c r="F113" s="72">
        <v>32</v>
      </c>
      <c r="G113" s="69" t="s">
        <v>51</v>
      </c>
      <c r="H113" s="73"/>
      <c r="I113" s="74"/>
      <c r="J113" s="74"/>
      <c r="K113" s="35" t="s">
        <v>65</v>
      </c>
      <c r="L113" s="82">
        <v>113</v>
      </c>
      <c r="M113" s="82"/>
      <c r="N113" s="76"/>
      <c r="O113" s="84" t="s">
        <v>441</v>
      </c>
      <c r="P113" s="86">
        <v>44082.485497685186</v>
      </c>
      <c r="Q113" s="84" t="s">
        <v>455</v>
      </c>
      <c r="R113" s="87" t="str">
        <f>HYPERLINK("https://www.cnbc.com/2020/09/05/cyber-security-workers-in-demand.html")</f>
        <v>https://www.cnbc.com/2020/09/05/cyber-security-workers-in-demand.html</v>
      </c>
      <c r="S113" s="84" t="s">
        <v>537</v>
      </c>
      <c r="T113" s="84" t="s">
        <v>574</v>
      </c>
      <c r="U113" s="84"/>
      <c r="V113" s="87" t="str">
        <f>HYPERLINK("http://pbs.twimg.com/profile_images/1014190656976293890/imIN3uug_normal.jpg")</f>
        <v>http://pbs.twimg.com/profile_images/1014190656976293890/imIN3uug_normal.jpg</v>
      </c>
      <c r="W113" s="86">
        <v>44082.485497685186</v>
      </c>
      <c r="X113" s="90">
        <v>44082</v>
      </c>
      <c r="Y113" s="92" t="s">
        <v>668</v>
      </c>
      <c r="Z113" s="87" t="str">
        <f>HYPERLINK("https://twitter.com/bugbounty18/status/1303296806751797248")</f>
        <v>https://twitter.com/bugbounty18/status/1303296806751797248</v>
      </c>
      <c r="AA113" s="84"/>
      <c r="AB113" s="84"/>
      <c r="AC113" s="92" t="s">
        <v>1062</v>
      </c>
      <c r="AD113" s="84"/>
      <c r="AE113" s="84" t="b">
        <v>0</v>
      </c>
      <c r="AF113" s="84">
        <v>1</v>
      </c>
      <c r="AG113" s="92" t="s">
        <v>1453</v>
      </c>
      <c r="AH113" s="84" t="b">
        <v>0</v>
      </c>
      <c r="AI113" s="84" t="s">
        <v>1456</v>
      </c>
      <c r="AJ113" s="84"/>
      <c r="AK113" s="92" t="s">
        <v>1453</v>
      </c>
      <c r="AL113" s="84" t="b">
        <v>0</v>
      </c>
      <c r="AM113" s="84">
        <v>1</v>
      </c>
      <c r="AN113" s="92" t="s">
        <v>1453</v>
      </c>
      <c r="AO113" s="84" t="s">
        <v>1473</v>
      </c>
      <c r="AP113" s="84" t="b">
        <v>0</v>
      </c>
      <c r="AQ113" s="92" t="s">
        <v>1062</v>
      </c>
      <c r="AR113" s="84" t="s">
        <v>187</v>
      </c>
      <c r="AS113" s="84">
        <v>0</v>
      </c>
      <c r="AT113" s="84">
        <v>0</v>
      </c>
      <c r="AU113" s="84"/>
      <c r="AV113" s="84"/>
      <c r="AW113" s="84"/>
      <c r="AX113" s="84"/>
      <c r="AY113" s="84"/>
      <c r="AZ113" s="84"/>
      <c r="BA113" s="84"/>
      <c r="BB113" s="84"/>
      <c r="BC113">
        <v>1</v>
      </c>
      <c r="BD113" s="83" t="str">
        <f>REPLACE(INDEX(GroupVertices[Group],MATCH(Edges[[#This Row],[Vertex 1]],GroupVertices[Vertex],0)),1,1,"")</f>
        <v>20</v>
      </c>
      <c r="BE113" s="83" t="str">
        <f>REPLACE(INDEX(GroupVertices[Group],MATCH(Edges[[#This Row],[Vertex 2]],GroupVertices[Vertex],0)),1,1,"")</f>
        <v>20</v>
      </c>
      <c r="BF113" s="49">
        <v>0</v>
      </c>
      <c r="BG113" s="50">
        <v>0</v>
      </c>
      <c r="BH113" s="49">
        <v>0</v>
      </c>
      <c r="BI113" s="50">
        <v>0</v>
      </c>
      <c r="BJ113" s="49">
        <v>0</v>
      </c>
      <c r="BK113" s="50">
        <v>0</v>
      </c>
      <c r="BL113" s="49">
        <v>15</v>
      </c>
      <c r="BM113" s="50">
        <v>100</v>
      </c>
      <c r="BN113" s="49">
        <v>15</v>
      </c>
    </row>
    <row r="114" spans="1:66" ht="15">
      <c r="A114" s="68" t="s">
        <v>255</v>
      </c>
      <c r="B114" s="68" t="s">
        <v>392</v>
      </c>
      <c r="C114" s="69" t="s">
        <v>5208</v>
      </c>
      <c r="D114" s="70">
        <v>1</v>
      </c>
      <c r="E114" s="71" t="s">
        <v>132</v>
      </c>
      <c r="F114" s="72">
        <v>32</v>
      </c>
      <c r="G114" s="69" t="s">
        <v>51</v>
      </c>
      <c r="H114" s="73"/>
      <c r="I114" s="74"/>
      <c r="J114" s="74"/>
      <c r="K114" s="35" t="s">
        <v>65</v>
      </c>
      <c r="L114" s="82">
        <v>114</v>
      </c>
      <c r="M114" s="82"/>
      <c r="N114" s="76"/>
      <c r="O114" s="84" t="s">
        <v>439</v>
      </c>
      <c r="P114" s="86">
        <v>44082.511921296296</v>
      </c>
      <c r="Q114" s="84" t="s">
        <v>456</v>
      </c>
      <c r="R114" s="87" t="str">
        <f>HYPERLINK("https://www.ituneed.com/post/working-from-home-top-5-cybersecurity-threats-businesses-should-be-aware-of-during-covid-19")</f>
        <v>https://www.ituneed.com/post/working-from-home-top-5-cybersecurity-threats-businesses-should-be-aware-of-during-covid-19</v>
      </c>
      <c r="S114" s="84" t="s">
        <v>538</v>
      </c>
      <c r="T114" s="84" t="s">
        <v>575</v>
      </c>
      <c r="U114" s="87" t="str">
        <f>HYPERLINK("https://pbs.twimg.com/media/EhZGFTvXYAAT_YE.jpg")</f>
        <v>https://pbs.twimg.com/media/EhZGFTvXYAAT_YE.jpg</v>
      </c>
      <c r="V114" s="87" t="str">
        <f>HYPERLINK("https://pbs.twimg.com/media/EhZGFTvXYAAT_YE.jpg")</f>
        <v>https://pbs.twimg.com/media/EhZGFTvXYAAT_YE.jpg</v>
      </c>
      <c r="W114" s="86">
        <v>44082.511921296296</v>
      </c>
      <c r="X114" s="90">
        <v>44082</v>
      </c>
      <c r="Y114" s="92" t="s">
        <v>669</v>
      </c>
      <c r="Z114" s="87" t="str">
        <f>HYPERLINK("https://twitter.com/securebot1000/status/1303306384419807233")</f>
        <v>https://twitter.com/securebot1000/status/1303306384419807233</v>
      </c>
      <c r="AA114" s="84"/>
      <c r="AB114" s="84"/>
      <c r="AC114" s="92" t="s">
        <v>1063</v>
      </c>
      <c r="AD114" s="84"/>
      <c r="AE114" s="84" t="b">
        <v>0</v>
      </c>
      <c r="AF114" s="84">
        <v>0</v>
      </c>
      <c r="AG114" s="92" t="s">
        <v>1453</v>
      </c>
      <c r="AH114" s="84" t="b">
        <v>0</v>
      </c>
      <c r="AI114" s="84" t="s">
        <v>1456</v>
      </c>
      <c r="AJ114" s="84"/>
      <c r="AK114" s="92" t="s">
        <v>1453</v>
      </c>
      <c r="AL114" s="84" t="b">
        <v>0</v>
      </c>
      <c r="AM114" s="84">
        <v>10</v>
      </c>
      <c r="AN114" s="92" t="s">
        <v>1293</v>
      </c>
      <c r="AO114" s="84" t="s">
        <v>1474</v>
      </c>
      <c r="AP114" s="84" t="b">
        <v>0</v>
      </c>
      <c r="AQ114" s="92" t="s">
        <v>1293</v>
      </c>
      <c r="AR114" s="84" t="s">
        <v>187</v>
      </c>
      <c r="AS114" s="84">
        <v>0</v>
      </c>
      <c r="AT114" s="84">
        <v>0</v>
      </c>
      <c r="AU114" s="84"/>
      <c r="AV114" s="84"/>
      <c r="AW114" s="84"/>
      <c r="AX114" s="84"/>
      <c r="AY114" s="84"/>
      <c r="AZ114" s="84"/>
      <c r="BA114" s="84"/>
      <c r="BB114" s="84"/>
      <c r="BC114">
        <v>1</v>
      </c>
      <c r="BD114" s="83" t="str">
        <f>REPLACE(INDEX(GroupVertices[Group],MATCH(Edges[[#This Row],[Vertex 1]],GroupVertices[Vertex],0)),1,1,"")</f>
        <v>2</v>
      </c>
      <c r="BE114" s="83" t="str">
        <f>REPLACE(INDEX(GroupVertices[Group],MATCH(Edges[[#This Row],[Vertex 2]],GroupVertices[Vertex],0)),1,1,"")</f>
        <v>2</v>
      </c>
      <c r="BF114" s="49">
        <v>0</v>
      </c>
      <c r="BG114" s="50">
        <v>0</v>
      </c>
      <c r="BH114" s="49">
        <v>0</v>
      </c>
      <c r="BI114" s="50">
        <v>0</v>
      </c>
      <c r="BJ114" s="49">
        <v>0</v>
      </c>
      <c r="BK114" s="50">
        <v>0</v>
      </c>
      <c r="BL114" s="49">
        <v>30</v>
      </c>
      <c r="BM114" s="50">
        <v>100</v>
      </c>
      <c r="BN114" s="49">
        <v>30</v>
      </c>
    </row>
    <row r="115" spans="1:66" ht="15">
      <c r="A115" s="68" t="s">
        <v>256</v>
      </c>
      <c r="B115" s="68" t="s">
        <v>392</v>
      </c>
      <c r="C115" s="69" t="s">
        <v>5208</v>
      </c>
      <c r="D115" s="70">
        <v>1</v>
      </c>
      <c r="E115" s="71" t="s">
        <v>132</v>
      </c>
      <c r="F115" s="72">
        <v>32</v>
      </c>
      <c r="G115" s="69" t="s">
        <v>51</v>
      </c>
      <c r="H115" s="73"/>
      <c r="I115" s="74"/>
      <c r="J115" s="74"/>
      <c r="K115" s="35" t="s">
        <v>65</v>
      </c>
      <c r="L115" s="82">
        <v>115</v>
      </c>
      <c r="M115" s="82"/>
      <c r="N115" s="76"/>
      <c r="O115" s="84" t="s">
        <v>439</v>
      </c>
      <c r="P115" s="86">
        <v>44082.51263888889</v>
      </c>
      <c r="Q115" s="84" t="s">
        <v>456</v>
      </c>
      <c r="R115" s="87" t="str">
        <f>HYPERLINK("https://www.ituneed.com/post/working-from-home-top-5-cybersecurity-threats-businesses-should-be-aware-of-during-covid-19")</f>
        <v>https://www.ituneed.com/post/working-from-home-top-5-cybersecurity-threats-businesses-should-be-aware-of-during-covid-19</v>
      </c>
      <c r="S115" s="84" t="s">
        <v>538</v>
      </c>
      <c r="T115" s="84" t="s">
        <v>575</v>
      </c>
      <c r="U115" s="87" t="str">
        <f>HYPERLINK("https://pbs.twimg.com/media/EhZGFTvXYAAT_YE.jpg")</f>
        <v>https://pbs.twimg.com/media/EhZGFTvXYAAT_YE.jpg</v>
      </c>
      <c r="V115" s="87" t="str">
        <f>HYPERLINK("https://pbs.twimg.com/media/EhZGFTvXYAAT_YE.jpg")</f>
        <v>https://pbs.twimg.com/media/EhZGFTvXYAAT_YE.jpg</v>
      </c>
      <c r="W115" s="86">
        <v>44082.51263888889</v>
      </c>
      <c r="X115" s="90">
        <v>44082</v>
      </c>
      <c r="Y115" s="92" t="s">
        <v>670</v>
      </c>
      <c r="Z115" s="87" t="str">
        <f>HYPERLINK("https://twitter.com/yixuantu1/status/1303306642650521601")</f>
        <v>https://twitter.com/yixuantu1/status/1303306642650521601</v>
      </c>
      <c r="AA115" s="84"/>
      <c r="AB115" s="84"/>
      <c r="AC115" s="92" t="s">
        <v>1064</v>
      </c>
      <c r="AD115" s="84"/>
      <c r="AE115" s="84" t="b">
        <v>0</v>
      </c>
      <c r="AF115" s="84">
        <v>0</v>
      </c>
      <c r="AG115" s="92" t="s">
        <v>1453</v>
      </c>
      <c r="AH115" s="84" t="b">
        <v>0</v>
      </c>
      <c r="AI115" s="84" t="s">
        <v>1456</v>
      </c>
      <c r="AJ115" s="84"/>
      <c r="AK115" s="92" t="s">
        <v>1453</v>
      </c>
      <c r="AL115" s="84" t="b">
        <v>0</v>
      </c>
      <c r="AM115" s="84">
        <v>10</v>
      </c>
      <c r="AN115" s="92" t="s">
        <v>1293</v>
      </c>
      <c r="AO115" s="84" t="s">
        <v>1475</v>
      </c>
      <c r="AP115" s="84" t="b">
        <v>0</v>
      </c>
      <c r="AQ115" s="92" t="s">
        <v>1293</v>
      </c>
      <c r="AR115" s="84" t="s">
        <v>187</v>
      </c>
      <c r="AS115" s="84">
        <v>0</v>
      </c>
      <c r="AT115" s="84">
        <v>0</v>
      </c>
      <c r="AU115" s="84"/>
      <c r="AV115" s="84"/>
      <c r="AW115" s="84"/>
      <c r="AX115" s="84"/>
      <c r="AY115" s="84"/>
      <c r="AZ115" s="84"/>
      <c r="BA115" s="84"/>
      <c r="BB115" s="84"/>
      <c r="BC115">
        <v>1</v>
      </c>
      <c r="BD115" s="83" t="str">
        <f>REPLACE(INDEX(GroupVertices[Group],MATCH(Edges[[#This Row],[Vertex 1]],GroupVertices[Vertex],0)),1,1,"")</f>
        <v>2</v>
      </c>
      <c r="BE115" s="83" t="str">
        <f>REPLACE(INDEX(GroupVertices[Group],MATCH(Edges[[#This Row],[Vertex 2]],GroupVertices[Vertex],0)),1,1,"")</f>
        <v>2</v>
      </c>
      <c r="BF115" s="49">
        <v>0</v>
      </c>
      <c r="BG115" s="50">
        <v>0</v>
      </c>
      <c r="BH115" s="49">
        <v>0</v>
      </c>
      <c r="BI115" s="50">
        <v>0</v>
      </c>
      <c r="BJ115" s="49">
        <v>0</v>
      </c>
      <c r="BK115" s="50">
        <v>0</v>
      </c>
      <c r="BL115" s="49">
        <v>30</v>
      </c>
      <c r="BM115" s="50">
        <v>100</v>
      </c>
      <c r="BN115" s="49">
        <v>30</v>
      </c>
    </row>
    <row r="116" spans="1:66" ht="15">
      <c r="A116" s="68" t="s">
        <v>257</v>
      </c>
      <c r="B116" s="68" t="s">
        <v>423</v>
      </c>
      <c r="C116" s="69" t="s">
        <v>5208</v>
      </c>
      <c r="D116" s="70">
        <v>1</v>
      </c>
      <c r="E116" s="71" t="s">
        <v>132</v>
      </c>
      <c r="F116" s="72">
        <v>32</v>
      </c>
      <c r="G116" s="69" t="s">
        <v>51</v>
      </c>
      <c r="H116" s="73"/>
      <c r="I116" s="74"/>
      <c r="J116" s="74"/>
      <c r="K116" s="35" t="s">
        <v>65</v>
      </c>
      <c r="L116" s="82">
        <v>116</v>
      </c>
      <c r="M116" s="82"/>
      <c r="N116" s="76"/>
      <c r="O116" s="84" t="s">
        <v>439</v>
      </c>
      <c r="P116" s="86">
        <v>44082.518900462965</v>
      </c>
      <c r="Q116" s="84" t="s">
        <v>457</v>
      </c>
      <c r="R116" s="84"/>
      <c r="S116" s="84"/>
      <c r="T116" s="84" t="s">
        <v>576</v>
      </c>
      <c r="U116" s="87" t="str">
        <f>HYPERLINK("https://pbs.twimg.com/media/Eg6GGrgXgAIxG2X.jpg")</f>
        <v>https://pbs.twimg.com/media/Eg6GGrgXgAIxG2X.jpg</v>
      </c>
      <c r="V116" s="87" t="str">
        <f>HYPERLINK("https://pbs.twimg.com/media/Eg6GGrgXgAIxG2X.jpg")</f>
        <v>https://pbs.twimg.com/media/Eg6GGrgXgAIxG2X.jpg</v>
      </c>
      <c r="W116" s="86">
        <v>44082.518900462965</v>
      </c>
      <c r="X116" s="90">
        <v>44082</v>
      </c>
      <c r="Y116" s="92" t="s">
        <v>671</v>
      </c>
      <c r="Z116" s="87" t="str">
        <f>HYPERLINK("https://twitter.com/passarelliallan/status/1303308912821559302")</f>
        <v>https://twitter.com/passarelliallan/status/1303308912821559302</v>
      </c>
      <c r="AA116" s="84"/>
      <c r="AB116" s="84"/>
      <c r="AC116" s="92" t="s">
        <v>1065</v>
      </c>
      <c r="AD116" s="84"/>
      <c r="AE116" s="84" t="b">
        <v>0</v>
      </c>
      <c r="AF116" s="84">
        <v>0</v>
      </c>
      <c r="AG116" s="92" t="s">
        <v>1453</v>
      </c>
      <c r="AH116" s="84" t="b">
        <v>0</v>
      </c>
      <c r="AI116" s="84" t="s">
        <v>1456</v>
      </c>
      <c r="AJ116" s="84"/>
      <c r="AK116" s="92" t="s">
        <v>1453</v>
      </c>
      <c r="AL116" s="84" t="b">
        <v>0</v>
      </c>
      <c r="AM116" s="84">
        <v>51</v>
      </c>
      <c r="AN116" s="92" t="s">
        <v>1425</v>
      </c>
      <c r="AO116" s="84" t="s">
        <v>1467</v>
      </c>
      <c r="AP116" s="84" t="b">
        <v>0</v>
      </c>
      <c r="AQ116" s="92" t="s">
        <v>1425</v>
      </c>
      <c r="AR116" s="84" t="s">
        <v>187</v>
      </c>
      <c r="AS116" s="84">
        <v>0</v>
      </c>
      <c r="AT116" s="84">
        <v>0</v>
      </c>
      <c r="AU116" s="84"/>
      <c r="AV116" s="84"/>
      <c r="AW116" s="84"/>
      <c r="AX116" s="84"/>
      <c r="AY116" s="84"/>
      <c r="AZ116" s="84"/>
      <c r="BA116" s="84"/>
      <c r="BB116" s="84"/>
      <c r="BC116">
        <v>1</v>
      </c>
      <c r="BD116" s="83" t="str">
        <f>REPLACE(INDEX(GroupVertices[Group],MATCH(Edges[[#This Row],[Vertex 1]],GroupVertices[Vertex],0)),1,1,"")</f>
        <v>1</v>
      </c>
      <c r="BE116" s="83" t="str">
        <f>REPLACE(INDEX(GroupVertices[Group],MATCH(Edges[[#This Row],[Vertex 2]],GroupVertices[Vertex],0)),1,1,"")</f>
        <v>1</v>
      </c>
      <c r="BF116" s="49">
        <v>0</v>
      </c>
      <c r="BG116" s="50">
        <v>0</v>
      </c>
      <c r="BH116" s="49">
        <v>0</v>
      </c>
      <c r="BI116" s="50">
        <v>0</v>
      </c>
      <c r="BJ116" s="49">
        <v>0</v>
      </c>
      <c r="BK116" s="50">
        <v>0</v>
      </c>
      <c r="BL116" s="49">
        <v>34</v>
      </c>
      <c r="BM116" s="50">
        <v>100</v>
      </c>
      <c r="BN116" s="49">
        <v>34</v>
      </c>
    </row>
    <row r="117" spans="1:66" ht="15">
      <c r="A117" s="68" t="s">
        <v>258</v>
      </c>
      <c r="B117" s="68" t="s">
        <v>423</v>
      </c>
      <c r="C117" s="69" t="s">
        <v>5208</v>
      </c>
      <c r="D117" s="70">
        <v>1</v>
      </c>
      <c r="E117" s="71" t="s">
        <v>132</v>
      </c>
      <c r="F117" s="72">
        <v>32</v>
      </c>
      <c r="G117" s="69" t="s">
        <v>51</v>
      </c>
      <c r="H117" s="73"/>
      <c r="I117" s="74"/>
      <c r="J117" s="74"/>
      <c r="K117" s="35" t="s">
        <v>65</v>
      </c>
      <c r="L117" s="82">
        <v>117</v>
      </c>
      <c r="M117" s="82"/>
      <c r="N117" s="76"/>
      <c r="O117" s="84" t="s">
        <v>439</v>
      </c>
      <c r="P117" s="86">
        <v>44082.519733796296</v>
      </c>
      <c r="Q117" s="84" t="s">
        <v>457</v>
      </c>
      <c r="R117" s="84"/>
      <c r="S117" s="84"/>
      <c r="T117" s="84" t="s">
        <v>576</v>
      </c>
      <c r="U117" s="87" t="str">
        <f>HYPERLINK("https://pbs.twimg.com/media/Eg6GGrgXgAIxG2X.jpg")</f>
        <v>https://pbs.twimg.com/media/Eg6GGrgXgAIxG2X.jpg</v>
      </c>
      <c r="V117" s="87" t="str">
        <f>HYPERLINK("https://pbs.twimg.com/media/Eg6GGrgXgAIxG2X.jpg")</f>
        <v>https://pbs.twimg.com/media/Eg6GGrgXgAIxG2X.jpg</v>
      </c>
      <c r="W117" s="86">
        <v>44082.519733796296</v>
      </c>
      <c r="X117" s="90">
        <v>44082</v>
      </c>
      <c r="Y117" s="92" t="s">
        <v>672</v>
      </c>
      <c r="Z117" s="87" t="str">
        <f>HYPERLINK("https://twitter.com/dggonzalez2015/status/1303309211791654912")</f>
        <v>https://twitter.com/dggonzalez2015/status/1303309211791654912</v>
      </c>
      <c r="AA117" s="84"/>
      <c r="AB117" s="84"/>
      <c r="AC117" s="92" t="s">
        <v>1066</v>
      </c>
      <c r="AD117" s="84"/>
      <c r="AE117" s="84" t="b">
        <v>0</v>
      </c>
      <c r="AF117" s="84">
        <v>0</v>
      </c>
      <c r="AG117" s="92" t="s">
        <v>1453</v>
      </c>
      <c r="AH117" s="84" t="b">
        <v>0</v>
      </c>
      <c r="AI117" s="84" t="s">
        <v>1456</v>
      </c>
      <c r="AJ117" s="84"/>
      <c r="AK117" s="92" t="s">
        <v>1453</v>
      </c>
      <c r="AL117" s="84" t="b">
        <v>0</v>
      </c>
      <c r="AM117" s="84">
        <v>51</v>
      </c>
      <c r="AN117" s="92" t="s">
        <v>1425</v>
      </c>
      <c r="AO117" s="84" t="s">
        <v>1476</v>
      </c>
      <c r="AP117" s="84" t="b">
        <v>0</v>
      </c>
      <c r="AQ117" s="92" t="s">
        <v>1425</v>
      </c>
      <c r="AR117" s="84" t="s">
        <v>187</v>
      </c>
      <c r="AS117" s="84">
        <v>0</v>
      </c>
      <c r="AT117" s="84">
        <v>0</v>
      </c>
      <c r="AU117" s="84"/>
      <c r="AV117" s="84"/>
      <c r="AW117" s="84"/>
      <c r="AX117" s="84"/>
      <c r="AY117" s="84"/>
      <c r="AZ117" s="84"/>
      <c r="BA117" s="84"/>
      <c r="BB117" s="84"/>
      <c r="BC117">
        <v>1</v>
      </c>
      <c r="BD117" s="83" t="str">
        <f>REPLACE(INDEX(GroupVertices[Group],MATCH(Edges[[#This Row],[Vertex 1]],GroupVertices[Vertex],0)),1,1,"")</f>
        <v>1</v>
      </c>
      <c r="BE117" s="83" t="str">
        <f>REPLACE(INDEX(GroupVertices[Group],MATCH(Edges[[#This Row],[Vertex 2]],GroupVertices[Vertex],0)),1,1,"")</f>
        <v>1</v>
      </c>
      <c r="BF117" s="49">
        <v>0</v>
      </c>
      <c r="BG117" s="50">
        <v>0</v>
      </c>
      <c r="BH117" s="49">
        <v>0</v>
      </c>
      <c r="BI117" s="50">
        <v>0</v>
      </c>
      <c r="BJ117" s="49">
        <v>0</v>
      </c>
      <c r="BK117" s="50">
        <v>0</v>
      </c>
      <c r="BL117" s="49">
        <v>34</v>
      </c>
      <c r="BM117" s="50">
        <v>100</v>
      </c>
      <c r="BN117" s="49">
        <v>34</v>
      </c>
    </row>
    <row r="118" spans="1:66" ht="15">
      <c r="A118" s="68" t="s">
        <v>259</v>
      </c>
      <c r="B118" s="68" t="s">
        <v>387</v>
      </c>
      <c r="C118" s="69" t="s">
        <v>5208</v>
      </c>
      <c r="D118" s="70">
        <v>1</v>
      </c>
      <c r="E118" s="71" t="s">
        <v>132</v>
      </c>
      <c r="F118" s="72">
        <v>32</v>
      </c>
      <c r="G118" s="69" t="s">
        <v>51</v>
      </c>
      <c r="H118" s="73"/>
      <c r="I118" s="74"/>
      <c r="J118" s="74"/>
      <c r="K118" s="35" t="s">
        <v>65</v>
      </c>
      <c r="L118" s="82">
        <v>118</v>
      </c>
      <c r="M118" s="82"/>
      <c r="N118" s="76"/>
      <c r="O118" s="84" t="s">
        <v>439</v>
      </c>
      <c r="P118" s="86">
        <v>44082.53329861111</v>
      </c>
      <c r="Q118" s="84" t="s">
        <v>453</v>
      </c>
      <c r="R118" s="87" t="str">
        <f>HYPERLINK("https://www.youtube.com/watch?v=b2mLDkMSyn4&amp;feature=youtu.be&amp;t=510")</f>
        <v>https://www.youtube.com/watch?v=b2mLDkMSyn4&amp;feature=youtu.be&amp;t=510</v>
      </c>
      <c r="S118" s="84" t="s">
        <v>535</v>
      </c>
      <c r="T118" s="84" t="s">
        <v>572</v>
      </c>
      <c r="U118" s="84"/>
      <c r="V118" s="87" t="str">
        <f>HYPERLINK("http://pbs.twimg.com/profile_images/1245684407912062977/KFlnZs5e_normal.jpg")</f>
        <v>http://pbs.twimg.com/profile_images/1245684407912062977/KFlnZs5e_normal.jpg</v>
      </c>
      <c r="W118" s="86">
        <v>44082.53329861111</v>
      </c>
      <c r="X118" s="90">
        <v>44082</v>
      </c>
      <c r="Y118" s="92" t="s">
        <v>673</v>
      </c>
      <c r="Z118" s="87" t="str">
        <f>HYPERLINK("https://twitter.com/rickymacharm/status/1303314127583162369")</f>
        <v>https://twitter.com/rickymacharm/status/1303314127583162369</v>
      </c>
      <c r="AA118" s="84"/>
      <c r="AB118" s="84"/>
      <c r="AC118" s="92" t="s">
        <v>1067</v>
      </c>
      <c r="AD118" s="84"/>
      <c r="AE118" s="84" t="b">
        <v>0</v>
      </c>
      <c r="AF118" s="84">
        <v>0</v>
      </c>
      <c r="AG118" s="92" t="s">
        <v>1453</v>
      </c>
      <c r="AH118" s="84" t="b">
        <v>0</v>
      </c>
      <c r="AI118" s="84" t="s">
        <v>1456</v>
      </c>
      <c r="AJ118" s="84"/>
      <c r="AK118" s="92" t="s">
        <v>1453</v>
      </c>
      <c r="AL118" s="84" t="b">
        <v>0</v>
      </c>
      <c r="AM118" s="84">
        <v>10</v>
      </c>
      <c r="AN118" s="92" t="s">
        <v>1253</v>
      </c>
      <c r="AO118" s="84" t="s">
        <v>1464</v>
      </c>
      <c r="AP118" s="84" t="b">
        <v>0</v>
      </c>
      <c r="AQ118" s="92" t="s">
        <v>1253</v>
      </c>
      <c r="AR118" s="84" t="s">
        <v>187</v>
      </c>
      <c r="AS118" s="84">
        <v>0</v>
      </c>
      <c r="AT118" s="84">
        <v>0</v>
      </c>
      <c r="AU118" s="84"/>
      <c r="AV118" s="84"/>
      <c r="AW118" s="84"/>
      <c r="AX118" s="84"/>
      <c r="AY118" s="84"/>
      <c r="AZ118" s="84"/>
      <c r="BA118" s="84"/>
      <c r="BB118" s="84"/>
      <c r="BC118">
        <v>1</v>
      </c>
      <c r="BD118" s="83" t="str">
        <f>REPLACE(INDEX(GroupVertices[Group],MATCH(Edges[[#This Row],[Vertex 1]],GroupVertices[Vertex],0)),1,1,"")</f>
        <v>5</v>
      </c>
      <c r="BE118" s="83" t="str">
        <f>REPLACE(INDEX(GroupVertices[Group],MATCH(Edges[[#This Row],[Vertex 2]],GroupVertices[Vertex],0)),1,1,"")</f>
        <v>5</v>
      </c>
      <c r="BF118" s="49">
        <v>0</v>
      </c>
      <c r="BG118" s="50">
        <v>0</v>
      </c>
      <c r="BH118" s="49">
        <v>0</v>
      </c>
      <c r="BI118" s="50">
        <v>0</v>
      </c>
      <c r="BJ118" s="49">
        <v>0</v>
      </c>
      <c r="BK118" s="50">
        <v>0</v>
      </c>
      <c r="BL118" s="49">
        <v>20</v>
      </c>
      <c r="BM118" s="50">
        <v>100</v>
      </c>
      <c r="BN118" s="49">
        <v>20</v>
      </c>
    </row>
    <row r="119" spans="1:66" ht="15">
      <c r="A119" s="68" t="s">
        <v>260</v>
      </c>
      <c r="B119" s="68" t="s">
        <v>269</v>
      </c>
      <c r="C119" s="69" t="s">
        <v>5208</v>
      </c>
      <c r="D119" s="70">
        <v>1</v>
      </c>
      <c r="E119" s="71" t="s">
        <v>132</v>
      </c>
      <c r="F119" s="72">
        <v>32</v>
      </c>
      <c r="G119" s="69" t="s">
        <v>51</v>
      </c>
      <c r="H119" s="73"/>
      <c r="I119" s="74"/>
      <c r="J119" s="74"/>
      <c r="K119" s="35" t="s">
        <v>65</v>
      </c>
      <c r="L119" s="82">
        <v>119</v>
      </c>
      <c r="M119" s="82"/>
      <c r="N119" s="76"/>
      <c r="O119" s="84" t="s">
        <v>439</v>
      </c>
      <c r="P119" s="86">
        <v>44082.54479166667</v>
      </c>
      <c r="Q119" s="84" t="s">
        <v>458</v>
      </c>
      <c r="R119" s="87" t="str">
        <f>HYPERLINK("http://www.ineditweb.es/miedo-a-lo-tecnologico-art837")</f>
        <v>http://www.ineditweb.es/miedo-a-lo-tecnologico-art837</v>
      </c>
      <c r="S119" s="84" t="s">
        <v>539</v>
      </c>
      <c r="T119" s="84" t="s">
        <v>577</v>
      </c>
      <c r="U119" s="87" t="str">
        <f>HYPERLINK("https://pbs.twimg.com/media/EhYrAACXcAEK-eg.jpg")</f>
        <v>https://pbs.twimg.com/media/EhYrAACXcAEK-eg.jpg</v>
      </c>
      <c r="V119" s="87" t="str">
        <f>HYPERLINK("https://pbs.twimg.com/media/EhYrAACXcAEK-eg.jpg")</f>
        <v>https://pbs.twimg.com/media/EhYrAACXcAEK-eg.jpg</v>
      </c>
      <c r="W119" s="86">
        <v>44082.54479166667</v>
      </c>
      <c r="X119" s="90">
        <v>44082</v>
      </c>
      <c r="Y119" s="92" t="s">
        <v>674</v>
      </c>
      <c r="Z119" s="87" t="str">
        <f>HYPERLINK("https://twitter.com/sumtic_edtech/status/1303318292350881793")</f>
        <v>https://twitter.com/sumtic_edtech/status/1303318292350881793</v>
      </c>
      <c r="AA119" s="84"/>
      <c r="AB119" s="84"/>
      <c r="AC119" s="92" t="s">
        <v>1068</v>
      </c>
      <c r="AD119" s="84"/>
      <c r="AE119" s="84" t="b">
        <v>0</v>
      </c>
      <c r="AF119" s="84">
        <v>0</v>
      </c>
      <c r="AG119" s="92" t="s">
        <v>1453</v>
      </c>
      <c r="AH119" s="84" t="b">
        <v>0</v>
      </c>
      <c r="AI119" s="84" t="s">
        <v>1459</v>
      </c>
      <c r="AJ119" s="84"/>
      <c r="AK119" s="92" t="s">
        <v>1453</v>
      </c>
      <c r="AL119" s="84" t="b">
        <v>0</v>
      </c>
      <c r="AM119" s="84">
        <v>3</v>
      </c>
      <c r="AN119" s="92" t="s">
        <v>1081</v>
      </c>
      <c r="AO119" s="84" t="s">
        <v>1465</v>
      </c>
      <c r="AP119" s="84" t="b">
        <v>0</v>
      </c>
      <c r="AQ119" s="92" t="s">
        <v>1081</v>
      </c>
      <c r="AR119" s="84" t="s">
        <v>187</v>
      </c>
      <c r="AS119" s="84">
        <v>0</v>
      </c>
      <c r="AT119" s="84">
        <v>0</v>
      </c>
      <c r="AU119" s="84"/>
      <c r="AV119" s="84"/>
      <c r="AW119" s="84"/>
      <c r="AX119" s="84"/>
      <c r="AY119" s="84"/>
      <c r="AZ119" s="84"/>
      <c r="BA119" s="84"/>
      <c r="BB119" s="84"/>
      <c r="BC119">
        <v>1</v>
      </c>
      <c r="BD119" s="83" t="str">
        <f>REPLACE(INDEX(GroupVertices[Group],MATCH(Edges[[#This Row],[Vertex 1]],GroupVertices[Vertex],0)),1,1,"")</f>
        <v>7</v>
      </c>
      <c r="BE119" s="83" t="str">
        <f>REPLACE(INDEX(GroupVertices[Group],MATCH(Edges[[#This Row],[Vertex 2]],GroupVertices[Vertex],0)),1,1,"")</f>
        <v>7</v>
      </c>
      <c r="BF119" s="49">
        <v>0</v>
      </c>
      <c r="BG119" s="50">
        <v>0</v>
      </c>
      <c r="BH119" s="49">
        <v>0</v>
      </c>
      <c r="BI119" s="50">
        <v>0</v>
      </c>
      <c r="BJ119" s="49">
        <v>0</v>
      </c>
      <c r="BK119" s="50">
        <v>0</v>
      </c>
      <c r="BL119" s="49">
        <v>34</v>
      </c>
      <c r="BM119" s="50">
        <v>100</v>
      </c>
      <c r="BN119" s="49">
        <v>34</v>
      </c>
    </row>
    <row r="120" spans="1:66" ht="15">
      <c r="A120" s="68" t="s">
        <v>261</v>
      </c>
      <c r="B120" s="68" t="s">
        <v>423</v>
      </c>
      <c r="C120" s="69" t="s">
        <v>5208</v>
      </c>
      <c r="D120" s="70">
        <v>1</v>
      </c>
      <c r="E120" s="71" t="s">
        <v>132</v>
      </c>
      <c r="F120" s="72">
        <v>32</v>
      </c>
      <c r="G120" s="69" t="s">
        <v>51</v>
      </c>
      <c r="H120" s="73"/>
      <c r="I120" s="74"/>
      <c r="J120" s="74"/>
      <c r="K120" s="35" t="s">
        <v>65</v>
      </c>
      <c r="L120" s="82">
        <v>120</v>
      </c>
      <c r="M120" s="82"/>
      <c r="N120" s="76"/>
      <c r="O120" s="84" t="s">
        <v>439</v>
      </c>
      <c r="P120" s="86">
        <v>44082.5834375</v>
      </c>
      <c r="Q120" s="84" t="s">
        <v>459</v>
      </c>
      <c r="R120" s="84"/>
      <c r="S120" s="84"/>
      <c r="T120" s="84" t="s">
        <v>578</v>
      </c>
      <c r="U120" s="87" t="str">
        <f>HYPERLINK("https://pbs.twimg.com/media/EhZc5KGWoAIz_Wo.jpg")</f>
        <v>https://pbs.twimg.com/media/EhZc5KGWoAIz_Wo.jpg</v>
      </c>
      <c r="V120" s="87" t="str">
        <f>HYPERLINK("https://pbs.twimg.com/media/EhZc5KGWoAIz_Wo.jpg")</f>
        <v>https://pbs.twimg.com/media/EhZc5KGWoAIz_Wo.jpg</v>
      </c>
      <c r="W120" s="86">
        <v>44082.5834375</v>
      </c>
      <c r="X120" s="90">
        <v>44082</v>
      </c>
      <c r="Y120" s="92" t="s">
        <v>675</v>
      </c>
      <c r="Z120" s="87" t="str">
        <f>HYPERLINK("https://twitter.com/robotconsumer/status/1303332299073822722")</f>
        <v>https://twitter.com/robotconsumer/status/1303332299073822722</v>
      </c>
      <c r="AA120" s="84"/>
      <c r="AB120" s="84"/>
      <c r="AC120" s="92" t="s">
        <v>1069</v>
      </c>
      <c r="AD120" s="84"/>
      <c r="AE120" s="84" t="b">
        <v>0</v>
      </c>
      <c r="AF120" s="84">
        <v>0</v>
      </c>
      <c r="AG120" s="92" t="s">
        <v>1453</v>
      </c>
      <c r="AH120" s="84" t="b">
        <v>0</v>
      </c>
      <c r="AI120" s="84" t="s">
        <v>1456</v>
      </c>
      <c r="AJ120" s="84"/>
      <c r="AK120" s="92" t="s">
        <v>1453</v>
      </c>
      <c r="AL120" s="84" t="b">
        <v>0</v>
      </c>
      <c r="AM120" s="84">
        <v>44</v>
      </c>
      <c r="AN120" s="92" t="s">
        <v>1428</v>
      </c>
      <c r="AO120" s="84" t="s">
        <v>1477</v>
      </c>
      <c r="AP120" s="84" t="b">
        <v>0</v>
      </c>
      <c r="AQ120" s="92" t="s">
        <v>1428</v>
      </c>
      <c r="AR120" s="84" t="s">
        <v>187</v>
      </c>
      <c r="AS120" s="84">
        <v>0</v>
      </c>
      <c r="AT120" s="84">
        <v>0</v>
      </c>
      <c r="AU120" s="84"/>
      <c r="AV120" s="84"/>
      <c r="AW120" s="84"/>
      <c r="AX120" s="84"/>
      <c r="AY120" s="84"/>
      <c r="AZ120" s="84"/>
      <c r="BA120" s="84"/>
      <c r="BB120" s="84"/>
      <c r="BC120">
        <v>1</v>
      </c>
      <c r="BD120" s="83" t="str">
        <f>REPLACE(INDEX(GroupVertices[Group],MATCH(Edges[[#This Row],[Vertex 1]],GroupVertices[Vertex],0)),1,1,"")</f>
        <v>1</v>
      </c>
      <c r="BE120" s="83" t="str">
        <f>REPLACE(INDEX(GroupVertices[Group],MATCH(Edges[[#This Row],[Vertex 2]],GroupVertices[Vertex],0)),1,1,"")</f>
        <v>1</v>
      </c>
      <c r="BF120" s="49">
        <v>0</v>
      </c>
      <c r="BG120" s="50">
        <v>0</v>
      </c>
      <c r="BH120" s="49">
        <v>0</v>
      </c>
      <c r="BI120" s="50">
        <v>0</v>
      </c>
      <c r="BJ120" s="49">
        <v>0</v>
      </c>
      <c r="BK120" s="50">
        <v>0</v>
      </c>
      <c r="BL120" s="49">
        <v>30</v>
      </c>
      <c r="BM120" s="50">
        <v>100</v>
      </c>
      <c r="BN120" s="49">
        <v>30</v>
      </c>
    </row>
    <row r="121" spans="1:66" ht="15">
      <c r="A121" s="68" t="s">
        <v>262</v>
      </c>
      <c r="B121" s="68" t="s">
        <v>262</v>
      </c>
      <c r="C121" s="69" t="s">
        <v>5208</v>
      </c>
      <c r="D121" s="70">
        <v>1</v>
      </c>
      <c r="E121" s="71" t="s">
        <v>132</v>
      </c>
      <c r="F121" s="72">
        <v>32</v>
      </c>
      <c r="G121" s="69" t="s">
        <v>51</v>
      </c>
      <c r="H121" s="73"/>
      <c r="I121" s="74"/>
      <c r="J121" s="74"/>
      <c r="K121" s="35" t="s">
        <v>65</v>
      </c>
      <c r="L121" s="82">
        <v>121</v>
      </c>
      <c r="M121" s="82"/>
      <c r="N121" s="76"/>
      <c r="O121" s="84" t="s">
        <v>187</v>
      </c>
      <c r="P121" s="86">
        <v>44082.588900462964</v>
      </c>
      <c r="Q121" s="84" t="s">
        <v>460</v>
      </c>
      <c r="R121" s="87" t="str">
        <f>HYPERLINK("https://hackernoon.com/covid-happened-and-i-decided-to-stop-gaming-and-start-coding-goq3xqz")</f>
        <v>https://hackernoon.com/covid-happened-and-i-decided-to-stop-gaming-and-start-coding-goq3xqz</v>
      </c>
      <c r="S121" s="84" t="s">
        <v>540</v>
      </c>
      <c r="T121" s="84" t="s">
        <v>579</v>
      </c>
      <c r="U121" s="84"/>
      <c r="V121" s="87" t="str">
        <f>HYPERLINK("http://pbs.twimg.com/profile_images/1267491507981910017/hk1tgOFU_normal.jpg")</f>
        <v>http://pbs.twimg.com/profile_images/1267491507981910017/hk1tgOFU_normal.jpg</v>
      </c>
      <c r="W121" s="86">
        <v>44082.588900462964</v>
      </c>
      <c r="X121" s="90">
        <v>44082</v>
      </c>
      <c r="Y121" s="92" t="s">
        <v>676</v>
      </c>
      <c r="Z121" s="87" t="str">
        <f>HYPERLINK("https://twitter.com/hackernoon/status/1303334279859011585")</f>
        <v>https://twitter.com/hackernoon/status/1303334279859011585</v>
      </c>
      <c r="AA121" s="84"/>
      <c r="AB121" s="84"/>
      <c r="AC121" s="92" t="s">
        <v>1070</v>
      </c>
      <c r="AD121" s="84"/>
      <c r="AE121" s="84" t="b">
        <v>0</v>
      </c>
      <c r="AF121" s="84">
        <v>1</v>
      </c>
      <c r="AG121" s="92" t="s">
        <v>1453</v>
      </c>
      <c r="AH121" s="84" t="b">
        <v>0</v>
      </c>
      <c r="AI121" s="84" t="s">
        <v>1456</v>
      </c>
      <c r="AJ121" s="84"/>
      <c r="AK121" s="92" t="s">
        <v>1453</v>
      </c>
      <c r="AL121" s="84" t="b">
        <v>0</v>
      </c>
      <c r="AM121" s="84">
        <v>0</v>
      </c>
      <c r="AN121" s="92" t="s">
        <v>1453</v>
      </c>
      <c r="AO121" s="84" t="s">
        <v>1478</v>
      </c>
      <c r="AP121" s="84" t="b">
        <v>0</v>
      </c>
      <c r="AQ121" s="92" t="s">
        <v>1070</v>
      </c>
      <c r="AR121" s="84" t="s">
        <v>187</v>
      </c>
      <c r="AS121" s="84">
        <v>0</v>
      </c>
      <c r="AT121" s="84">
        <v>0</v>
      </c>
      <c r="AU121" s="84"/>
      <c r="AV121" s="84"/>
      <c r="AW121" s="84"/>
      <c r="AX121" s="84"/>
      <c r="AY121" s="84"/>
      <c r="AZ121" s="84"/>
      <c r="BA121" s="84"/>
      <c r="BB121" s="84"/>
      <c r="BC121">
        <v>1</v>
      </c>
      <c r="BD121" s="83" t="str">
        <f>REPLACE(INDEX(GroupVertices[Group],MATCH(Edges[[#This Row],[Vertex 1]],GroupVertices[Vertex],0)),1,1,"")</f>
        <v>6</v>
      </c>
      <c r="BE121" s="83" t="str">
        <f>REPLACE(INDEX(GroupVertices[Group],MATCH(Edges[[#This Row],[Vertex 2]],GroupVertices[Vertex],0)),1,1,"")</f>
        <v>6</v>
      </c>
      <c r="BF121" s="49">
        <v>0</v>
      </c>
      <c r="BG121" s="50">
        <v>0</v>
      </c>
      <c r="BH121" s="49">
        <v>0</v>
      </c>
      <c r="BI121" s="50">
        <v>0</v>
      </c>
      <c r="BJ121" s="49">
        <v>0</v>
      </c>
      <c r="BK121" s="50">
        <v>0</v>
      </c>
      <c r="BL121" s="49">
        <v>13</v>
      </c>
      <c r="BM121" s="50">
        <v>100</v>
      </c>
      <c r="BN121" s="49">
        <v>13</v>
      </c>
    </row>
    <row r="122" spans="1:66" ht="15">
      <c r="A122" s="68" t="s">
        <v>263</v>
      </c>
      <c r="B122" s="68" t="s">
        <v>423</v>
      </c>
      <c r="C122" s="69" t="s">
        <v>5208</v>
      </c>
      <c r="D122" s="70">
        <v>1</v>
      </c>
      <c r="E122" s="71" t="s">
        <v>132</v>
      </c>
      <c r="F122" s="72">
        <v>32</v>
      </c>
      <c r="G122" s="69" t="s">
        <v>51</v>
      </c>
      <c r="H122" s="73"/>
      <c r="I122" s="74"/>
      <c r="J122" s="74"/>
      <c r="K122" s="35" t="s">
        <v>65</v>
      </c>
      <c r="L122" s="82">
        <v>122</v>
      </c>
      <c r="M122" s="82"/>
      <c r="N122" s="76"/>
      <c r="O122" s="84" t="s">
        <v>439</v>
      </c>
      <c r="P122" s="86">
        <v>44082.59489583333</v>
      </c>
      <c r="Q122" s="84" t="s">
        <v>459</v>
      </c>
      <c r="R122" s="84"/>
      <c r="S122" s="84"/>
      <c r="T122" s="84" t="s">
        <v>578</v>
      </c>
      <c r="U122" s="87" t="str">
        <f>HYPERLINK("https://pbs.twimg.com/media/EhZc5KGWoAIz_Wo.jpg")</f>
        <v>https://pbs.twimg.com/media/EhZc5KGWoAIz_Wo.jpg</v>
      </c>
      <c r="V122" s="87" t="str">
        <f>HYPERLINK("https://pbs.twimg.com/media/EhZc5KGWoAIz_Wo.jpg")</f>
        <v>https://pbs.twimg.com/media/EhZc5KGWoAIz_Wo.jpg</v>
      </c>
      <c r="W122" s="86">
        <v>44082.59489583333</v>
      </c>
      <c r="X122" s="90">
        <v>44082</v>
      </c>
      <c r="Y122" s="92" t="s">
        <v>677</v>
      </c>
      <c r="Z122" s="87" t="str">
        <f>HYPERLINK("https://twitter.com/bellsailing/status/1303336451841683456")</f>
        <v>https://twitter.com/bellsailing/status/1303336451841683456</v>
      </c>
      <c r="AA122" s="84"/>
      <c r="AB122" s="84"/>
      <c r="AC122" s="92" t="s">
        <v>1071</v>
      </c>
      <c r="AD122" s="84"/>
      <c r="AE122" s="84" t="b">
        <v>0</v>
      </c>
      <c r="AF122" s="84">
        <v>0</v>
      </c>
      <c r="AG122" s="92" t="s">
        <v>1453</v>
      </c>
      <c r="AH122" s="84" t="b">
        <v>0</v>
      </c>
      <c r="AI122" s="84" t="s">
        <v>1456</v>
      </c>
      <c r="AJ122" s="84"/>
      <c r="AK122" s="92" t="s">
        <v>1453</v>
      </c>
      <c r="AL122" s="84" t="b">
        <v>0</v>
      </c>
      <c r="AM122" s="84">
        <v>44</v>
      </c>
      <c r="AN122" s="92" t="s">
        <v>1428</v>
      </c>
      <c r="AO122" s="84" t="s">
        <v>1479</v>
      </c>
      <c r="AP122" s="84" t="b">
        <v>0</v>
      </c>
      <c r="AQ122" s="92" t="s">
        <v>1428</v>
      </c>
      <c r="AR122" s="84" t="s">
        <v>187</v>
      </c>
      <c r="AS122" s="84">
        <v>0</v>
      </c>
      <c r="AT122" s="84">
        <v>0</v>
      </c>
      <c r="AU122" s="84"/>
      <c r="AV122" s="84"/>
      <c r="AW122" s="84"/>
      <c r="AX122" s="84"/>
      <c r="AY122" s="84"/>
      <c r="AZ122" s="84"/>
      <c r="BA122" s="84"/>
      <c r="BB122" s="84"/>
      <c r="BC122">
        <v>1</v>
      </c>
      <c r="BD122" s="83" t="str">
        <f>REPLACE(INDEX(GroupVertices[Group],MATCH(Edges[[#This Row],[Vertex 1]],GroupVertices[Vertex],0)),1,1,"")</f>
        <v>1</v>
      </c>
      <c r="BE122" s="83" t="str">
        <f>REPLACE(INDEX(GroupVertices[Group],MATCH(Edges[[#This Row],[Vertex 2]],GroupVertices[Vertex],0)),1,1,"")</f>
        <v>1</v>
      </c>
      <c r="BF122" s="49">
        <v>0</v>
      </c>
      <c r="BG122" s="50">
        <v>0</v>
      </c>
      <c r="BH122" s="49">
        <v>0</v>
      </c>
      <c r="BI122" s="50">
        <v>0</v>
      </c>
      <c r="BJ122" s="49">
        <v>0</v>
      </c>
      <c r="BK122" s="50">
        <v>0</v>
      </c>
      <c r="BL122" s="49">
        <v>30</v>
      </c>
      <c r="BM122" s="50">
        <v>100</v>
      </c>
      <c r="BN122" s="49">
        <v>30</v>
      </c>
    </row>
    <row r="123" spans="1:66" ht="15">
      <c r="A123" s="68" t="s">
        <v>264</v>
      </c>
      <c r="B123" s="68" t="s">
        <v>264</v>
      </c>
      <c r="C123" s="69" t="s">
        <v>5208</v>
      </c>
      <c r="D123" s="70">
        <v>1</v>
      </c>
      <c r="E123" s="71" t="s">
        <v>132</v>
      </c>
      <c r="F123" s="72">
        <v>32</v>
      </c>
      <c r="G123" s="69" t="s">
        <v>51</v>
      </c>
      <c r="H123" s="73"/>
      <c r="I123" s="74"/>
      <c r="J123" s="74"/>
      <c r="K123" s="35" t="s">
        <v>65</v>
      </c>
      <c r="L123" s="82">
        <v>123</v>
      </c>
      <c r="M123" s="82"/>
      <c r="N123" s="76"/>
      <c r="O123" s="84" t="s">
        <v>187</v>
      </c>
      <c r="P123" s="86">
        <v>44081.879594907405</v>
      </c>
      <c r="Q123" s="84" t="s">
        <v>449</v>
      </c>
      <c r="R123" s="84"/>
      <c r="S123" s="84"/>
      <c r="T123" s="84" t="s">
        <v>569</v>
      </c>
      <c r="U123" s="84"/>
      <c r="V123" s="87" t="str">
        <f>HYPERLINK("http://pbs.twimg.com/profile_images/890840272980062208/_2-gxU6R_normal.jpg")</f>
        <v>http://pbs.twimg.com/profile_images/890840272980062208/_2-gxU6R_normal.jpg</v>
      </c>
      <c r="W123" s="86">
        <v>44081.879594907405</v>
      </c>
      <c r="X123" s="90">
        <v>44081</v>
      </c>
      <c r="Y123" s="92" t="s">
        <v>678</v>
      </c>
      <c r="Z123" s="87" t="str">
        <f>HYPERLINK("https://twitter.com/vizmonkey/status/1303077236313120773")</f>
        <v>https://twitter.com/vizmonkey/status/1303077236313120773</v>
      </c>
      <c r="AA123" s="84"/>
      <c r="AB123" s="84"/>
      <c r="AC123" s="92" t="s">
        <v>1072</v>
      </c>
      <c r="AD123" s="84"/>
      <c r="AE123" s="84" t="b">
        <v>0</v>
      </c>
      <c r="AF123" s="84">
        <v>1</v>
      </c>
      <c r="AG123" s="92" t="s">
        <v>1453</v>
      </c>
      <c r="AH123" s="84" t="b">
        <v>0</v>
      </c>
      <c r="AI123" s="84" t="s">
        <v>1456</v>
      </c>
      <c r="AJ123" s="84"/>
      <c r="AK123" s="92" t="s">
        <v>1453</v>
      </c>
      <c r="AL123" s="84" t="b">
        <v>0</v>
      </c>
      <c r="AM123" s="84">
        <v>4</v>
      </c>
      <c r="AN123" s="92" t="s">
        <v>1453</v>
      </c>
      <c r="AO123" s="84" t="s">
        <v>1465</v>
      </c>
      <c r="AP123" s="84" t="b">
        <v>0</v>
      </c>
      <c r="AQ123" s="92" t="s">
        <v>1072</v>
      </c>
      <c r="AR123" s="84" t="s">
        <v>187</v>
      </c>
      <c r="AS123" s="84">
        <v>0</v>
      </c>
      <c r="AT123" s="84">
        <v>0</v>
      </c>
      <c r="AU123" s="84"/>
      <c r="AV123" s="84"/>
      <c r="AW123" s="84"/>
      <c r="AX123" s="84"/>
      <c r="AY123" s="84"/>
      <c r="AZ123" s="84"/>
      <c r="BA123" s="84"/>
      <c r="BB123" s="84"/>
      <c r="BC123">
        <v>1</v>
      </c>
      <c r="BD123" s="83" t="str">
        <f>REPLACE(INDEX(GroupVertices[Group],MATCH(Edges[[#This Row],[Vertex 1]],GroupVertices[Vertex],0)),1,1,"")</f>
        <v>7</v>
      </c>
      <c r="BE123" s="83" t="str">
        <f>REPLACE(INDEX(GroupVertices[Group],MATCH(Edges[[#This Row],[Vertex 2]],GroupVertices[Vertex],0)),1,1,"")</f>
        <v>7</v>
      </c>
      <c r="BF123" s="49">
        <v>0</v>
      </c>
      <c r="BG123" s="50">
        <v>0</v>
      </c>
      <c r="BH123" s="49">
        <v>0</v>
      </c>
      <c r="BI123" s="50">
        <v>0</v>
      </c>
      <c r="BJ123" s="49">
        <v>0</v>
      </c>
      <c r="BK123" s="50">
        <v>0</v>
      </c>
      <c r="BL123" s="49">
        <v>28</v>
      </c>
      <c r="BM123" s="50">
        <v>100</v>
      </c>
      <c r="BN123" s="49">
        <v>28</v>
      </c>
    </row>
    <row r="124" spans="1:66" ht="15">
      <c r="A124" s="68" t="s">
        <v>265</v>
      </c>
      <c r="B124" s="68" t="s">
        <v>264</v>
      </c>
      <c r="C124" s="69" t="s">
        <v>5208</v>
      </c>
      <c r="D124" s="70">
        <v>1</v>
      </c>
      <c r="E124" s="71" t="s">
        <v>132</v>
      </c>
      <c r="F124" s="72">
        <v>32</v>
      </c>
      <c r="G124" s="69" t="s">
        <v>51</v>
      </c>
      <c r="H124" s="73"/>
      <c r="I124" s="74"/>
      <c r="J124" s="74"/>
      <c r="K124" s="35" t="s">
        <v>65</v>
      </c>
      <c r="L124" s="82">
        <v>124</v>
      </c>
      <c r="M124" s="82"/>
      <c r="N124" s="76"/>
      <c r="O124" s="84" t="s">
        <v>439</v>
      </c>
      <c r="P124" s="86">
        <v>44081.938206018516</v>
      </c>
      <c r="Q124" s="84" t="s">
        <v>449</v>
      </c>
      <c r="R124" s="84"/>
      <c r="S124" s="84"/>
      <c r="T124" s="84" t="s">
        <v>569</v>
      </c>
      <c r="U124" s="84"/>
      <c r="V124" s="87" t="str">
        <f>HYPERLINK("http://pbs.twimg.com/profile_images/1282245016014880768/JDOoOVwI_normal.jpg")</f>
        <v>http://pbs.twimg.com/profile_images/1282245016014880768/JDOoOVwI_normal.jpg</v>
      </c>
      <c r="W124" s="86">
        <v>44081.938206018516</v>
      </c>
      <c r="X124" s="90">
        <v>44081</v>
      </c>
      <c r="Y124" s="92" t="s">
        <v>679</v>
      </c>
      <c r="Z124" s="87" t="str">
        <f>HYPERLINK("https://twitter.com/beakpeaklogic/status/1303098476004167680")</f>
        <v>https://twitter.com/beakpeaklogic/status/1303098476004167680</v>
      </c>
      <c r="AA124" s="84"/>
      <c r="AB124" s="84"/>
      <c r="AC124" s="92" t="s">
        <v>1073</v>
      </c>
      <c r="AD124" s="84"/>
      <c r="AE124" s="84" t="b">
        <v>0</v>
      </c>
      <c r="AF124" s="84">
        <v>0</v>
      </c>
      <c r="AG124" s="92" t="s">
        <v>1453</v>
      </c>
      <c r="AH124" s="84" t="b">
        <v>0</v>
      </c>
      <c r="AI124" s="84" t="s">
        <v>1456</v>
      </c>
      <c r="AJ124" s="84"/>
      <c r="AK124" s="92" t="s">
        <v>1453</v>
      </c>
      <c r="AL124" s="84" t="b">
        <v>0</v>
      </c>
      <c r="AM124" s="84">
        <v>4</v>
      </c>
      <c r="AN124" s="92" t="s">
        <v>1072</v>
      </c>
      <c r="AO124" s="84"/>
      <c r="AP124" s="84" t="b">
        <v>0</v>
      </c>
      <c r="AQ124" s="92" t="s">
        <v>1072</v>
      </c>
      <c r="AR124" s="84" t="s">
        <v>187</v>
      </c>
      <c r="AS124" s="84">
        <v>0</v>
      </c>
      <c r="AT124" s="84">
        <v>0</v>
      </c>
      <c r="AU124" s="84"/>
      <c r="AV124" s="84"/>
      <c r="AW124" s="84"/>
      <c r="AX124" s="84"/>
      <c r="AY124" s="84"/>
      <c r="AZ124" s="84"/>
      <c r="BA124" s="84"/>
      <c r="BB124" s="84"/>
      <c r="BC124">
        <v>1</v>
      </c>
      <c r="BD124" s="83" t="str">
        <f>REPLACE(INDEX(GroupVertices[Group],MATCH(Edges[[#This Row],[Vertex 1]],GroupVertices[Vertex],0)),1,1,"")</f>
        <v>7</v>
      </c>
      <c r="BE124" s="83" t="str">
        <f>REPLACE(INDEX(GroupVertices[Group],MATCH(Edges[[#This Row],[Vertex 2]],GroupVertices[Vertex],0)),1,1,"")</f>
        <v>7</v>
      </c>
      <c r="BF124" s="49">
        <v>0</v>
      </c>
      <c r="BG124" s="50">
        <v>0</v>
      </c>
      <c r="BH124" s="49">
        <v>0</v>
      </c>
      <c r="BI124" s="50">
        <v>0</v>
      </c>
      <c r="BJ124" s="49">
        <v>0</v>
      </c>
      <c r="BK124" s="50">
        <v>0</v>
      </c>
      <c r="BL124" s="49">
        <v>28</v>
      </c>
      <c r="BM124" s="50">
        <v>100</v>
      </c>
      <c r="BN124" s="49">
        <v>28</v>
      </c>
    </row>
    <row r="125" spans="1:66" ht="15">
      <c r="A125" s="68" t="s">
        <v>265</v>
      </c>
      <c r="B125" s="68" t="s">
        <v>426</v>
      </c>
      <c r="C125" s="69" t="s">
        <v>5208</v>
      </c>
      <c r="D125" s="70">
        <v>1</v>
      </c>
      <c r="E125" s="71" t="s">
        <v>132</v>
      </c>
      <c r="F125" s="72">
        <v>32</v>
      </c>
      <c r="G125" s="69" t="s">
        <v>51</v>
      </c>
      <c r="H125" s="73"/>
      <c r="I125" s="74"/>
      <c r="J125" s="74"/>
      <c r="K125" s="35" t="s">
        <v>65</v>
      </c>
      <c r="L125" s="82">
        <v>125</v>
      </c>
      <c r="M125" s="82"/>
      <c r="N125" s="76"/>
      <c r="O125" s="84" t="s">
        <v>439</v>
      </c>
      <c r="P125" s="86">
        <v>44081.66892361111</v>
      </c>
      <c r="Q125" s="84" t="s">
        <v>461</v>
      </c>
      <c r="R125" s="84"/>
      <c r="S125" s="84"/>
      <c r="T125" s="84" t="s">
        <v>566</v>
      </c>
      <c r="U125" s="87" t="str">
        <f>HYPERLINK("https://pbs.twimg.com/media/EhUvtbLWoAABTi7.png")</f>
        <v>https://pbs.twimg.com/media/EhUvtbLWoAABTi7.png</v>
      </c>
      <c r="V125" s="87" t="str">
        <f>HYPERLINK("https://pbs.twimg.com/media/EhUvtbLWoAABTi7.png")</f>
        <v>https://pbs.twimg.com/media/EhUvtbLWoAABTi7.png</v>
      </c>
      <c r="W125" s="86">
        <v>44081.66892361111</v>
      </c>
      <c r="X125" s="90">
        <v>44081</v>
      </c>
      <c r="Y125" s="92" t="s">
        <v>680</v>
      </c>
      <c r="Z125" s="87" t="str">
        <f>HYPERLINK("https://twitter.com/beakpeaklogic/status/1303000892178718722")</f>
        <v>https://twitter.com/beakpeaklogic/status/1303000892178718722</v>
      </c>
      <c r="AA125" s="84"/>
      <c r="AB125" s="84"/>
      <c r="AC125" s="92" t="s">
        <v>1074</v>
      </c>
      <c r="AD125" s="84"/>
      <c r="AE125" s="84" t="b">
        <v>0</v>
      </c>
      <c r="AF125" s="84">
        <v>0</v>
      </c>
      <c r="AG125" s="92" t="s">
        <v>1453</v>
      </c>
      <c r="AH125" s="84" t="b">
        <v>0</v>
      </c>
      <c r="AI125" s="84" t="s">
        <v>1456</v>
      </c>
      <c r="AJ125" s="84"/>
      <c r="AK125" s="92" t="s">
        <v>1453</v>
      </c>
      <c r="AL125" s="84" t="b">
        <v>0</v>
      </c>
      <c r="AM125" s="84">
        <v>2</v>
      </c>
      <c r="AN125" s="92" t="s">
        <v>1434</v>
      </c>
      <c r="AO125" s="84"/>
      <c r="AP125" s="84" t="b">
        <v>0</v>
      </c>
      <c r="AQ125" s="92" t="s">
        <v>1434</v>
      </c>
      <c r="AR125" s="84" t="s">
        <v>187</v>
      </c>
      <c r="AS125" s="84">
        <v>0</v>
      </c>
      <c r="AT125" s="84">
        <v>0</v>
      </c>
      <c r="AU125" s="84"/>
      <c r="AV125" s="84"/>
      <c r="AW125" s="84"/>
      <c r="AX125" s="84"/>
      <c r="AY125" s="84"/>
      <c r="AZ125" s="84"/>
      <c r="BA125" s="84"/>
      <c r="BB125" s="84"/>
      <c r="BC125">
        <v>1</v>
      </c>
      <c r="BD125" s="83" t="str">
        <f>REPLACE(INDEX(GroupVertices[Group],MATCH(Edges[[#This Row],[Vertex 1]],GroupVertices[Vertex],0)),1,1,"")</f>
        <v>7</v>
      </c>
      <c r="BE125" s="83" t="str">
        <f>REPLACE(INDEX(GroupVertices[Group],MATCH(Edges[[#This Row],[Vertex 2]],GroupVertices[Vertex],0)),1,1,"")</f>
        <v>7</v>
      </c>
      <c r="BF125" s="49">
        <v>0</v>
      </c>
      <c r="BG125" s="50">
        <v>0</v>
      </c>
      <c r="BH125" s="49">
        <v>0</v>
      </c>
      <c r="BI125" s="50">
        <v>0</v>
      </c>
      <c r="BJ125" s="49">
        <v>0</v>
      </c>
      <c r="BK125" s="50">
        <v>0</v>
      </c>
      <c r="BL125" s="49">
        <v>13</v>
      </c>
      <c r="BM125" s="50">
        <v>100</v>
      </c>
      <c r="BN125" s="49">
        <v>13</v>
      </c>
    </row>
    <row r="126" spans="1:66" ht="15">
      <c r="A126" s="68" t="s">
        <v>265</v>
      </c>
      <c r="B126" s="68" t="s">
        <v>389</v>
      </c>
      <c r="C126" s="69" t="s">
        <v>5208</v>
      </c>
      <c r="D126" s="70">
        <v>1</v>
      </c>
      <c r="E126" s="71" t="s">
        <v>132</v>
      </c>
      <c r="F126" s="72">
        <v>32</v>
      </c>
      <c r="G126" s="69" t="s">
        <v>51</v>
      </c>
      <c r="H126" s="73"/>
      <c r="I126" s="74"/>
      <c r="J126" s="74"/>
      <c r="K126" s="35" t="s">
        <v>65</v>
      </c>
      <c r="L126" s="82">
        <v>126</v>
      </c>
      <c r="M126" s="82"/>
      <c r="N126" s="76"/>
      <c r="O126" s="84" t="s">
        <v>439</v>
      </c>
      <c r="P126" s="86">
        <v>44082.12761574074</v>
      </c>
      <c r="Q126" s="84" t="s">
        <v>462</v>
      </c>
      <c r="R126" s="87" t="str">
        <f>HYPERLINK("http://www.globalbigdataconference.com/news/145693/bias-in-machine-learning-examples-policing-banking-covid-19.html")</f>
        <v>http://www.globalbigdataconference.com/news/145693/bias-in-machine-learning-examples-policing-banking-covid-19.html</v>
      </c>
      <c r="S126" s="84" t="s">
        <v>541</v>
      </c>
      <c r="T126" s="84" t="s">
        <v>580</v>
      </c>
      <c r="U126" s="84"/>
      <c r="V126" s="87" t="str">
        <f>HYPERLINK("http://pbs.twimg.com/profile_images/1282245016014880768/JDOoOVwI_normal.jpg")</f>
        <v>http://pbs.twimg.com/profile_images/1282245016014880768/JDOoOVwI_normal.jpg</v>
      </c>
      <c r="W126" s="86">
        <v>44082.12761574074</v>
      </c>
      <c r="X126" s="90">
        <v>44082</v>
      </c>
      <c r="Y126" s="92" t="s">
        <v>681</v>
      </c>
      <c r="Z126" s="87" t="str">
        <f>HYPERLINK("https://twitter.com/beakpeaklogic/status/1303167114266603521")</f>
        <v>https://twitter.com/beakpeaklogic/status/1303167114266603521</v>
      </c>
      <c r="AA126" s="84"/>
      <c r="AB126" s="84"/>
      <c r="AC126" s="92" t="s">
        <v>1075</v>
      </c>
      <c r="AD126" s="84"/>
      <c r="AE126" s="84" t="b">
        <v>0</v>
      </c>
      <c r="AF126" s="84">
        <v>0</v>
      </c>
      <c r="AG126" s="92" t="s">
        <v>1453</v>
      </c>
      <c r="AH126" s="84" t="b">
        <v>0</v>
      </c>
      <c r="AI126" s="84" t="s">
        <v>1456</v>
      </c>
      <c r="AJ126" s="84"/>
      <c r="AK126" s="92" t="s">
        <v>1453</v>
      </c>
      <c r="AL126" s="84" t="b">
        <v>0</v>
      </c>
      <c r="AM126" s="84">
        <v>28</v>
      </c>
      <c r="AN126" s="92" t="s">
        <v>1286</v>
      </c>
      <c r="AO126" s="84"/>
      <c r="AP126" s="84" t="b">
        <v>0</v>
      </c>
      <c r="AQ126" s="92" t="s">
        <v>1286</v>
      </c>
      <c r="AR126" s="84" t="s">
        <v>187</v>
      </c>
      <c r="AS126" s="84">
        <v>0</v>
      </c>
      <c r="AT126" s="84">
        <v>0</v>
      </c>
      <c r="AU126" s="84"/>
      <c r="AV126" s="84"/>
      <c r="AW126" s="84"/>
      <c r="AX126" s="84"/>
      <c r="AY126" s="84"/>
      <c r="AZ126" s="84"/>
      <c r="BA126" s="84"/>
      <c r="BB126" s="84"/>
      <c r="BC126">
        <v>1</v>
      </c>
      <c r="BD126" s="83" t="str">
        <f>REPLACE(INDEX(GroupVertices[Group],MATCH(Edges[[#This Row],[Vertex 1]],GroupVertices[Vertex],0)),1,1,"")</f>
        <v>7</v>
      </c>
      <c r="BE126" s="83" t="str">
        <f>REPLACE(INDEX(GroupVertices[Group],MATCH(Edges[[#This Row],[Vertex 2]],GroupVertices[Vertex],0)),1,1,"")</f>
        <v>3</v>
      </c>
      <c r="BF126" s="49">
        <v>0</v>
      </c>
      <c r="BG126" s="50">
        <v>0</v>
      </c>
      <c r="BH126" s="49">
        <v>0</v>
      </c>
      <c r="BI126" s="50">
        <v>0</v>
      </c>
      <c r="BJ126" s="49">
        <v>0</v>
      </c>
      <c r="BK126" s="50">
        <v>0</v>
      </c>
      <c r="BL126" s="49">
        <v>27</v>
      </c>
      <c r="BM126" s="50">
        <v>100</v>
      </c>
      <c r="BN126" s="49">
        <v>27</v>
      </c>
    </row>
    <row r="127" spans="1:66" ht="15">
      <c r="A127" s="68" t="s">
        <v>265</v>
      </c>
      <c r="B127" s="68" t="s">
        <v>269</v>
      </c>
      <c r="C127" s="69" t="s">
        <v>5208</v>
      </c>
      <c r="D127" s="70">
        <v>1</v>
      </c>
      <c r="E127" s="71" t="s">
        <v>132</v>
      </c>
      <c r="F127" s="72">
        <v>32</v>
      </c>
      <c r="G127" s="69" t="s">
        <v>51</v>
      </c>
      <c r="H127" s="73"/>
      <c r="I127" s="74"/>
      <c r="J127" s="74"/>
      <c r="K127" s="35" t="s">
        <v>65</v>
      </c>
      <c r="L127" s="82">
        <v>127</v>
      </c>
      <c r="M127" s="82"/>
      <c r="N127" s="76"/>
      <c r="O127" s="84" t="s">
        <v>439</v>
      </c>
      <c r="P127" s="86">
        <v>44082.574166666665</v>
      </c>
      <c r="Q127" s="84" t="s">
        <v>458</v>
      </c>
      <c r="R127" s="87" t="str">
        <f>HYPERLINK("http://www.ineditweb.es/miedo-a-lo-tecnologico-art837")</f>
        <v>http://www.ineditweb.es/miedo-a-lo-tecnologico-art837</v>
      </c>
      <c r="S127" s="84" t="s">
        <v>539</v>
      </c>
      <c r="T127" s="84" t="s">
        <v>577</v>
      </c>
      <c r="U127" s="87" t="str">
        <f>HYPERLINK("https://pbs.twimg.com/media/EhYrAACXcAEK-eg.jpg")</f>
        <v>https://pbs.twimg.com/media/EhYrAACXcAEK-eg.jpg</v>
      </c>
      <c r="V127" s="87" t="str">
        <f>HYPERLINK("https://pbs.twimg.com/media/EhYrAACXcAEK-eg.jpg")</f>
        <v>https://pbs.twimg.com/media/EhYrAACXcAEK-eg.jpg</v>
      </c>
      <c r="W127" s="86">
        <v>44082.574166666665</v>
      </c>
      <c r="X127" s="90">
        <v>44082</v>
      </c>
      <c r="Y127" s="92" t="s">
        <v>682</v>
      </c>
      <c r="Z127" s="87" t="str">
        <f>HYPERLINK("https://twitter.com/beakpeaklogic/status/1303328938735722496")</f>
        <v>https://twitter.com/beakpeaklogic/status/1303328938735722496</v>
      </c>
      <c r="AA127" s="84"/>
      <c r="AB127" s="84"/>
      <c r="AC127" s="92" t="s">
        <v>1076</v>
      </c>
      <c r="AD127" s="84"/>
      <c r="AE127" s="84" t="b">
        <v>0</v>
      </c>
      <c r="AF127" s="84">
        <v>0</v>
      </c>
      <c r="AG127" s="92" t="s">
        <v>1453</v>
      </c>
      <c r="AH127" s="84" t="b">
        <v>0</v>
      </c>
      <c r="AI127" s="84" t="s">
        <v>1459</v>
      </c>
      <c r="AJ127" s="84"/>
      <c r="AK127" s="92" t="s">
        <v>1453</v>
      </c>
      <c r="AL127" s="84" t="b">
        <v>0</v>
      </c>
      <c r="AM127" s="84">
        <v>3</v>
      </c>
      <c r="AN127" s="92" t="s">
        <v>1081</v>
      </c>
      <c r="AO127" s="84"/>
      <c r="AP127" s="84" t="b">
        <v>0</v>
      </c>
      <c r="AQ127" s="92" t="s">
        <v>1081</v>
      </c>
      <c r="AR127" s="84" t="s">
        <v>187</v>
      </c>
      <c r="AS127" s="84">
        <v>0</v>
      </c>
      <c r="AT127" s="84">
        <v>0</v>
      </c>
      <c r="AU127" s="84"/>
      <c r="AV127" s="84"/>
      <c r="AW127" s="84"/>
      <c r="AX127" s="84"/>
      <c r="AY127" s="84"/>
      <c r="AZ127" s="84"/>
      <c r="BA127" s="84"/>
      <c r="BB127" s="84"/>
      <c r="BC127">
        <v>1</v>
      </c>
      <c r="BD127" s="83" t="str">
        <f>REPLACE(INDEX(GroupVertices[Group],MATCH(Edges[[#This Row],[Vertex 1]],GroupVertices[Vertex],0)),1,1,"")</f>
        <v>7</v>
      </c>
      <c r="BE127" s="83" t="str">
        <f>REPLACE(INDEX(GroupVertices[Group],MATCH(Edges[[#This Row],[Vertex 2]],GroupVertices[Vertex],0)),1,1,"")</f>
        <v>7</v>
      </c>
      <c r="BF127" s="49">
        <v>0</v>
      </c>
      <c r="BG127" s="50">
        <v>0</v>
      </c>
      <c r="BH127" s="49">
        <v>0</v>
      </c>
      <c r="BI127" s="50">
        <v>0</v>
      </c>
      <c r="BJ127" s="49">
        <v>0</v>
      </c>
      <c r="BK127" s="50">
        <v>0</v>
      </c>
      <c r="BL127" s="49">
        <v>34</v>
      </c>
      <c r="BM127" s="50">
        <v>100</v>
      </c>
      <c r="BN127" s="49">
        <v>34</v>
      </c>
    </row>
    <row r="128" spans="1:66" ht="15">
      <c r="A128" s="68" t="s">
        <v>265</v>
      </c>
      <c r="B128" s="68" t="s">
        <v>423</v>
      </c>
      <c r="C128" s="69" t="s">
        <v>5208</v>
      </c>
      <c r="D128" s="70">
        <v>1</v>
      </c>
      <c r="E128" s="71" t="s">
        <v>132</v>
      </c>
      <c r="F128" s="72">
        <v>32</v>
      </c>
      <c r="G128" s="69" t="s">
        <v>51</v>
      </c>
      <c r="H128" s="73"/>
      <c r="I128" s="74"/>
      <c r="J128" s="74"/>
      <c r="K128" s="35" t="s">
        <v>65</v>
      </c>
      <c r="L128" s="82">
        <v>128</v>
      </c>
      <c r="M128" s="82"/>
      <c r="N128" s="76"/>
      <c r="O128" s="84" t="s">
        <v>439</v>
      </c>
      <c r="P128" s="86">
        <v>44082.59491898148</v>
      </c>
      <c r="Q128" s="84" t="s">
        <v>459</v>
      </c>
      <c r="R128" s="84"/>
      <c r="S128" s="84"/>
      <c r="T128" s="84" t="s">
        <v>578</v>
      </c>
      <c r="U128" s="87" t="str">
        <f>HYPERLINK("https://pbs.twimg.com/media/EhZc5KGWoAIz_Wo.jpg")</f>
        <v>https://pbs.twimg.com/media/EhZc5KGWoAIz_Wo.jpg</v>
      </c>
      <c r="V128" s="87" t="str">
        <f>HYPERLINK("https://pbs.twimg.com/media/EhZc5KGWoAIz_Wo.jpg")</f>
        <v>https://pbs.twimg.com/media/EhZc5KGWoAIz_Wo.jpg</v>
      </c>
      <c r="W128" s="86">
        <v>44082.59491898148</v>
      </c>
      <c r="X128" s="90">
        <v>44082</v>
      </c>
      <c r="Y128" s="92" t="s">
        <v>683</v>
      </c>
      <c r="Z128" s="87" t="str">
        <f>HYPERLINK("https://twitter.com/beakpeaklogic/status/1303336459617726465")</f>
        <v>https://twitter.com/beakpeaklogic/status/1303336459617726465</v>
      </c>
      <c r="AA128" s="84"/>
      <c r="AB128" s="84"/>
      <c r="AC128" s="92" t="s">
        <v>1077</v>
      </c>
      <c r="AD128" s="84"/>
      <c r="AE128" s="84" t="b">
        <v>0</v>
      </c>
      <c r="AF128" s="84">
        <v>0</v>
      </c>
      <c r="AG128" s="92" t="s">
        <v>1453</v>
      </c>
      <c r="AH128" s="84" t="b">
        <v>0</v>
      </c>
      <c r="AI128" s="84" t="s">
        <v>1456</v>
      </c>
      <c r="AJ128" s="84"/>
      <c r="AK128" s="92" t="s">
        <v>1453</v>
      </c>
      <c r="AL128" s="84" t="b">
        <v>0</v>
      </c>
      <c r="AM128" s="84">
        <v>44</v>
      </c>
      <c r="AN128" s="92" t="s">
        <v>1428</v>
      </c>
      <c r="AO128" s="84"/>
      <c r="AP128" s="84" t="b">
        <v>0</v>
      </c>
      <c r="AQ128" s="92" t="s">
        <v>1428</v>
      </c>
      <c r="AR128" s="84" t="s">
        <v>187</v>
      </c>
      <c r="AS128" s="84">
        <v>0</v>
      </c>
      <c r="AT128" s="84">
        <v>0</v>
      </c>
      <c r="AU128" s="84"/>
      <c r="AV128" s="84"/>
      <c r="AW128" s="84"/>
      <c r="AX128" s="84"/>
      <c r="AY128" s="84"/>
      <c r="AZ128" s="84"/>
      <c r="BA128" s="84"/>
      <c r="BB128" s="84"/>
      <c r="BC128">
        <v>1</v>
      </c>
      <c r="BD128" s="83" t="str">
        <f>REPLACE(INDEX(GroupVertices[Group],MATCH(Edges[[#This Row],[Vertex 1]],GroupVertices[Vertex],0)),1,1,"")</f>
        <v>7</v>
      </c>
      <c r="BE128" s="83" t="str">
        <f>REPLACE(INDEX(GroupVertices[Group],MATCH(Edges[[#This Row],[Vertex 2]],GroupVertices[Vertex],0)),1,1,"")</f>
        <v>1</v>
      </c>
      <c r="BF128" s="49">
        <v>0</v>
      </c>
      <c r="BG128" s="50">
        <v>0</v>
      </c>
      <c r="BH128" s="49">
        <v>0</v>
      </c>
      <c r="BI128" s="50">
        <v>0</v>
      </c>
      <c r="BJ128" s="49">
        <v>0</v>
      </c>
      <c r="BK128" s="50">
        <v>0</v>
      </c>
      <c r="BL128" s="49">
        <v>30</v>
      </c>
      <c r="BM128" s="50">
        <v>100</v>
      </c>
      <c r="BN128" s="49">
        <v>30</v>
      </c>
    </row>
    <row r="129" spans="1:66" ht="15">
      <c r="A129" s="68" t="s">
        <v>266</v>
      </c>
      <c r="B129" s="68" t="s">
        <v>423</v>
      </c>
      <c r="C129" s="69" t="s">
        <v>5208</v>
      </c>
      <c r="D129" s="70">
        <v>1</v>
      </c>
      <c r="E129" s="71" t="s">
        <v>132</v>
      </c>
      <c r="F129" s="72">
        <v>32</v>
      </c>
      <c r="G129" s="69" t="s">
        <v>51</v>
      </c>
      <c r="H129" s="73"/>
      <c r="I129" s="74"/>
      <c r="J129" s="74"/>
      <c r="K129" s="35" t="s">
        <v>65</v>
      </c>
      <c r="L129" s="82">
        <v>129</v>
      </c>
      <c r="M129" s="82"/>
      <c r="N129" s="76"/>
      <c r="O129" s="84" t="s">
        <v>439</v>
      </c>
      <c r="P129" s="86">
        <v>44082.60923611111</v>
      </c>
      <c r="Q129" s="84" t="s">
        <v>459</v>
      </c>
      <c r="R129" s="84"/>
      <c r="S129" s="84"/>
      <c r="T129" s="84" t="s">
        <v>578</v>
      </c>
      <c r="U129" s="87" t="str">
        <f>HYPERLINK("https://pbs.twimg.com/media/EhZc5KGWoAIz_Wo.jpg")</f>
        <v>https://pbs.twimg.com/media/EhZc5KGWoAIz_Wo.jpg</v>
      </c>
      <c r="V129" s="87" t="str">
        <f>HYPERLINK("https://pbs.twimg.com/media/EhZc5KGWoAIz_Wo.jpg")</f>
        <v>https://pbs.twimg.com/media/EhZc5KGWoAIz_Wo.jpg</v>
      </c>
      <c r="W129" s="86">
        <v>44082.60923611111</v>
      </c>
      <c r="X129" s="90">
        <v>44082</v>
      </c>
      <c r="Y129" s="92" t="s">
        <v>684</v>
      </c>
      <c r="Z129" s="87" t="str">
        <f>HYPERLINK("https://twitter.com/nexcomposite/status/1303341648844394498")</f>
        <v>https://twitter.com/nexcomposite/status/1303341648844394498</v>
      </c>
      <c r="AA129" s="84"/>
      <c r="AB129" s="84"/>
      <c r="AC129" s="92" t="s">
        <v>1078</v>
      </c>
      <c r="AD129" s="84"/>
      <c r="AE129" s="84" t="b">
        <v>0</v>
      </c>
      <c r="AF129" s="84">
        <v>0</v>
      </c>
      <c r="AG129" s="92" t="s">
        <v>1453</v>
      </c>
      <c r="AH129" s="84" t="b">
        <v>0</v>
      </c>
      <c r="AI129" s="84" t="s">
        <v>1456</v>
      </c>
      <c r="AJ129" s="84"/>
      <c r="AK129" s="92" t="s">
        <v>1453</v>
      </c>
      <c r="AL129" s="84" t="b">
        <v>0</v>
      </c>
      <c r="AM129" s="84">
        <v>44</v>
      </c>
      <c r="AN129" s="92" t="s">
        <v>1428</v>
      </c>
      <c r="AO129" s="84" t="s">
        <v>1465</v>
      </c>
      <c r="AP129" s="84" t="b">
        <v>0</v>
      </c>
      <c r="AQ129" s="92" t="s">
        <v>1428</v>
      </c>
      <c r="AR129" s="84" t="s">
        <v>187</v>
      </c>
      <c r="AS129" s="84">
        <v>0</v>
      </c>
      <c r="AT129" s="84">
        <v>0</v>
      </c>
      <c r="AU129" s="84"/>
      <c r="AV129" s="84"/>
      <c r="AW129" s="84"/>
      <c r="AX129" s="84"/>
      <c r="AY129" s="84"/>
      <c r="AZ129" s="84"/>
      <c r="BA129" s="84"/>
      <c r="BB129" s="84"/>
      <c r="BC129">
        <v>1</v>
      </c>
      <c r="BD129" s="83" t="str">
        <f>REPLACE(INDEX(GroupVertices[Group],MATCH(Edges[[#This Row],[Vertex 1]],GroupVertices[Vertex],0)),1,1,"")</f>
        <v>1</v>
      </c>
      <c r="BE129" s="83" t="str">
        <f>REPLACE(INDEX(GroupVertices[Group],MATCH(Edges[[#This Row],[Vertex 2]],GroupVertices[Vertex],0)),1,1,"")</f>
        <v>1</v>
      </c>
      <c r="BF129" s="49">
        <v>0</v>
      </c>
      <c r="BG129" s="50">
        <v>0</v>
      </c>
      <c r="BH129" s="49">
        <v>0</v>
      </c>
      <c r="BI129" s="50">
        <v>0</v>
      </c>
      <c r="BJ129" s="49">
        <v>0</v>
      </c>
      <c r="BK129" s="50">
        <v>0</v>
      </c>
      <c r="BL129" s="49">
        <v>30</v>
      </c>
      <c r="BM129" s="50">
        <v>100</v>
      </c>
      <c r="BN129" s="49">
        <v>30</v>
      </c>
    </row>
    <row r="130" spans="1:66" ht="15">
      <c r="A130" s="68" t="s">
        <v>267</v>
      </c>
      <c r="B130" s="68" t="s">
        <v>382</v>
      </c>
      <c r="C130" s="69" t="s">
        <v>5208</v>
      </c>
      <c r="D130" s="70">
        <v>1</v>
      </c>
      <c r="E130" s="71" t="s">
        <v>132</v>
      </c>
      <c r="F130" s="72">
        <v>32</v>
      </c>
      <c r="G130" s="69" t="s">
        <v>51</v>
      </c>
      <c r="H130" s="73"/>
      <c r="I130" s="74"/>
      <c r="J130" s="74"/>
      <c r="K130" s="35" t="s">
        <v>65</v>
      </c>
      <c r="L130" s="82">
        <v>130</v>
      </c>
      <c r="M130" s="82"/>
      <c r="N130" s="76"/>
      <c r="O130" s="84" t="s">
        <v>440</v>
      </c>
      <c r="P130" s="86">
        <v>44082.6231712963</v>
      </c>
      <c r="Q130" s="84" t="s">
        <v>448</v>
      </c>
      <c r="R130" s="87" t="str">
        <f>HYPERLINK("https://www.peoplematters.in/news/technology/job-searches-in-artificial-intelligence-rise-106-in-one-year-report-26898")</f>
        <v>https://www.peoplematters.in/news/technology/job-searches-in-artificial-intelligence-rise-106-in-one-year-report-26898</v>
      </c>
      <c r="S130" s="84" t="s">
        <v>532</v>
      </c>
      <c r="T130" s="84" t="s">
        <v>568</v>
      </c>
      <c r="U130" s="87" t="str">
        <f>HYPERLINK("https://pbs.twimg.com/media/EhVAOmdWoAAOQiY.jpg")</f>
        <v>https://pbs.twimg.com/media/EhVAOmdWoAAOQiY.jpg</v>
      </c>
      <c r="V130" s="87" t="str">
        <f>HYPERLINK("https://pbs.twimg.com/media/EhVAOmdWoAAOQiY.jpg")</f>
        <v>https://pbs.twimg.com/media/EhVAOmdWoAAOQiY.jpg</v>
      </c>
      <c r="W130" s="86">
        <v>44082.6231712963</v>
      </c>
      <c r="X130" s="90">
        <v>44082</v>
      </c>
      <c r="Y130" s="92" t="s">
        <v>685</v>
      </c>
      <c r="Z130" s="87" t="str">
        <f>HYPERLINK("https://twitter.com/jgrobicki/status/1303346699260383237")</f>
        <v>https://twitter.com/jgrobicki/status/1303346699260383237</v>
      </c>
      <c r="AA130" s="84"/>
      <c r="AB130" s="84"/>
      <c r="AC130" s="92" t="s">
        <v>1079</v>
      </c>
      <c r="AD130" s="84"/>
      <c r="AE130" s="84" t="b">
        <v>0</v>
      </c>
      <c r="AF130" s="84">
        <v>0</v>
      </c>
      <c r="AG130" s="92" t="s">
        <v>1453</v>
      </c>
      <c r="AH130" s="84" t="b">
        <v>0</v>
      </c>
      <c r="AI130" s="84" t="s">
        <v>1456</v>
      </c>
      <c r="AJ130" s="84"/>
      <c r="AK130" s="92" t="s">
        <v>1453</v>
      </c>
      <c r="AL130" s="84" t="b">
        <v>0</v>
      </c>
      <c r="AM130" s="84">
        <v>25</v>
      </c>
      <c r="AN130" s="92" t="s">
        <v>1248</v>
      </c>
      <c r="AO130" s="84" t="s">
        <v>1467</v>
      </c>
      <c r="AP130" s="84" t="b">
        <v>0</v>
      </c>
      <c r="AQ130" s="92" t="s">
        <v>1248</v>
      </c>
      <c r="AR130" s="84" t="s">
        <v>187</v>
      </c>
      <c r="AS130" s="84">
        <v>0</v>
      </c>
      <c r="AT130" s="84">
        <v>0</v>
      </c>
      <c r="AU130" s="84"/>
      <c r="AV130" s="84"/>
      <c r="AW130" s="84"/>
      <c r="AX130" s="84"/>
      <c r="AY130" s="84"/>
      <c r="AZ130" s="84"/>
      <c r="BA130" s="84"/>
      <c r="BB130" s="84"/>
      <c r="BC130">
        <v>1</v>
      </c>
      <c r="BD130" s="83" t="str">
        <f>REPLACE(INDEX(GroupVertices[Group],MATCH(Edges[[#This Row],[Vertex 1]],GroupVertices[Vertex],0)),1,1,"")</f>
        <v>4</v>
      </c>
      <c r="BE130" s="83" t="str">
        <f>REPLACE(INDEX(GroupVertices[Group],MATCH(Edges[[#This Row],[Vertex 2]],GroupVertices[Vertex],0)),1,1,"")</f>
        <v>4</v>
      </c>
      <c r="BF130" s="49"/>
      <c r="BG130" s="50"/>
      <c r="BH130" s="49"/>
      <c r="BI130" s="50"/>
      <c r="BJ130" s="49"/>
      <c r="BK130" s="50"/>
      <c r="BL130" s="49"/>
      <c r="BM130" s="50"/>
      <c r="BN130" s="49"/>
    </row>
    <row r="131" spans="1:66" ht="15">
      <c r="A131" s="68" t="s">
        <v>267</v>
      </c>
      <c r="B131" s="68" t="s">
        <v>385</v>
      </c>
      <c r="C131" s="69" t="s">
        <v>5208</v>
      </c>
      <c r="D131" s="70">
        <v>1</v>
      </c>
      <c r="E131" s="71" t="s">
        <v>132</v>
      </c>
      <c r="F131" s="72">
        <v>32</v>
      </c>
      <c r="G131" s="69" t="s">
        <v>51</v>
      </c>
      <c r="H131" s="73"/>
      <c r="I131" s="74"/>
      <c r="J131" s="74"/>
      <c r="K131" s="35" t="s">
        <v>65</v>
      </c>
      <c r="L131" s="82">
        <v>131</v>
      </c>
      <c r="M131" s="82"/>
      <c r="N131" s="76"/>
      <c r="O131" s="84" t="s">
        <v>440</v>
      </c>
      <c r="P131" s="86">
        <v>44082.6231712963</v>
      </c>
      <c r="Q131" s="84" t="s">
        <v>448</v>
      </c>
      <c r="R131" s="87" t="str">
        <f>HYPERLINK("https://www.peoplematters.in/news/technology/job-searches-in-artificial-intelligence-rise-106-in-one-year-report-26898")</f>
        <v>https://www.peoplematters.in/news/technology/job-searches-in-artificial-intelligence-rise-106-in-one-year-report-26898</v>
      </c>
      <c r="S131" s="84" t="s">
        <v>532</v>
      </c>
      <c r="T131" s="84" t="s">
        <v>568</v>
      </c>
      <c r="U131" s="87" t="str">
        <f>HYPERLINK("https://pbs.twimg.com/media/EhVAOmdWoAAOQiY.jpg")</f>
        <v>https://pbs.twimg.com/media/EhVAOmdWoAAOQiY.jpg</v>
      </c>
      <c r="V131" s="87" t="str">
        <f>HYPERLINK("https://pbs.twimg.com/media/EhVAOmdWoAAOQiY.jpg")</f>
        <v>https://pbs.twimg.com/media/EhVAOmdWoAAOQiY.jpg</v>
      </c>
      <c r="W131" s="86">
        <v>44082.6231712963</v>
      </c>
      <c r="X131" s="90">
        <v>44082</v>
      </c>
      <c r="Y131" s="92" t="s">
        <v>685</v>
      </c>
      <c r="Z131" s="87" t="str">
        <f>HYPERLINK("https://twitter.com/jgrobicki/status/1303346699260383237")</f>
        <v>https://twitter.com/jgrobicki/status/1303346699260383237</v>
      </c>
      <c r="AA131" s="84"/>
      <c r="AB131" s="84"/>
      <c r="AC131" s="92" t="s">
        <v>1079</v>
      </c>
      <c r="AD131" s="84"/>
      <c r="AE131" s="84" t="b">
        <v>0</v>
      </c>
      <c r="AF131" s="84">
        <v>0</v>
      </c>
      <c r="AG131" s="92" t="s">
        <v>1453</v>
      </c>
      <c r="AH131" s="84" t="b">
        <v>0</v>
      </c>
      <c r="AI131" s="84" t="s">
        <v>1456</v>
      </c>
      <c r="AJ131" s="84"/>
      <c r="AK131" s="92" t="s">
        <v>1453</v>
      </c>
      <c r="AL131" s="84" t="b">
        <v>0</v>
      </c>
      <c r="AM131" s="84">
        <v>25</v>
      </c>
      <c r="AN131" s="92" t="s">
        <v>1248</v>
      </c>
      <c r="AO131" s="84" t="s">
        <v>1467</v>
      </c>
      <c r="AP131" s="84" t="b">
        <v>0</v>
      </c>
      <c r="AQ131" s="92" t="s">
        <v>1248</v>
      </c>
      <c r="AR131" s="84" t="s">
        <v>187</v>
      </c>
      <c r="AS131" s="84">
        <v>0</v>
      </c>
      <c r="AT131" s="84">
        <v>0</v>
      </c>
      <c r="AU131" s="84"/>
      <c r="AV131" s="84"/>
      <c r="AW131" s="84"/>
      <c r="AX131" s="84"/>
      <c r="AY131" s="84"/>
      <c r="AZ131" s="84"/>
      <c r="BA131" s="84"/>
      <c r="BB131" s="84"/>
      <c r="BC131">
        <v>1</v>
      </c>
      <c r="BD131" s="83" t="str">
        <f>REPLACE(INDEX(GroupVertices[Group],MATCH(Edges[[#This Row],[Vertex 1]],GroupVertices[Vertex],0)),1,1,"")</f>
        <v>4</v>
      </c>
      <c r="BE131" s="83" t="str">
        <f>REPLACE(INDEX(GroupVertices[Group],MATCH(Edges[[#This Row],[Vertex 2]],GroupVertices[Vertex],0)),1,1,"")</f>
        <v>4</v>
      </c>
      <c r="BF131" s="49"/>
      <c r="BG131" s="50"/>
      <c r="BH131" s="49"/>
      <c r="BI131" s="50"/>
      <c r="BJ131" s="49"/>
      <c r="BK131" s="50"/>
      <c r="BL131" s="49"/>
      <c r="BM131" s="50"/>
      <c r="BN131" s="49"/>
    </row>
    <row r="132" spans="1:66" ht="15">
      <c r="A132" s="68" t="s">
        <v>267</v>
      </c>
      <c r="B132" s="68" t="s">
        <v>430</v>
      </c>
      <c r="C132" s="69" t="s">
        <v>5208</v>
      </c>
      <c r="D132" s="70">
        <v>1</v>
      </c>
      <c r="E132" s="71" t="s">
        <v>132</v>
      </c>
      <c r="F132" s="72">
        <v>32</v>
      </c>
      <c r="G132" s="69" t="s">
        <v>51</v>
      </c>
      <c r="H132" s="73"/>
      <c r="I132" s="74"/>
      <c r="J132" s="74"/>
      <c r="K132" s="35" t="s">
        <v>65</v>
      </c>
      <c r="L132" s="82">
        <v>132</v>
      </c>
      <c r="M132" s="82"/>
      <c r="N132" s="76"/>
      <c r="O132" s="84" t="s">
        <v>440</v>
      </c>
      <c r="P132" s="86">
        <v>44082.6231712963</v>
      </c>
      <c r="Q132" s="84" t="s">
        <v>448</v>
      </c>
      <c r="R132" s="87" t="str">
        <f>HYPERLINK("https://www.peoplematters.in/news/technology/job-searches-in-artificial-intelligence-rise-106-in-one-year-report-26898")</f>
        <v>https://www.peoplematters.in/news/technology/job-searches-in-artificial-intelligence-rise-106-in-one-year-report-26898</v>
      </c>
      <c r="S132" s="84" t="s">
        <v>532</v>
      </c>
      <c r="T132" s="84" t="s">
        <v>568</v>
      </c>
      <c r="U132" s="87" t="str">
        <f>HYPERLINK("https://pbs.twimg.com/media/EhVAOmdWoAAOQiY.jpg")</f>
        <v>https://pbs.twimg.com/media/EhVAOmdWoAAOQiY.jpg</v>
      </c>
      <c r="V132" s="87" t="str">
        <f>HYPERLINK("https://pbs.twimg.com/media/EhVAOmdWoAAOQiY.jpg")</f>
        <v>https://pbs.twimg.com/media/EhVAOmdWoAAOQiY.jpg</v>
      </c>
      <c r="W132" s="86">
        <v>44082.6231712963</v>
      </c>
      <c r="X132" s="90">
        <v>44082</v>
      </c>
      <c r="Y132" s="92" t="s">
        <v>685</v>
      </c>
      <c r="Z132" s="87" t="str">
        <f>HYPERLINK("https://twitter.com/jgrobicki/status/1303346699260383237")</f>
        <v>https://twitter.com/jgrobicki/status/1303346699260383237</v>
      </c>
      <c r="AA132" s="84"/>
      <c r="AB132" s="84"/>
      <c r="AC132" s="92" t="s">
        <v>1079</v>
      </c>
      <c r="AD132" s="84"/>
      <c r="AE132" s="84" t="b">
        <v>0</v>
      </c>
      <c r="AF132" s="84">
        <v>0</v>
      </c>
      <c r="AG132" s="92" t="s">
        <v>1453</v>
      </c>
      <c r="AH132" s="84" t="b">
        <v>0</v>
      </c>
      <c r="AI132" s="84" t="s">
        <v>1456</v>
      </c>
      <c r="AJ132" s="84"/>
      <c r="AK132" s="92" t="s">
        <v>1453</v>
      </c>
      <c r="AL132" s="84" t="b">
        <v>0</v>
      </c>
      <c r="AM132" s="84">
        <v>25</v>
      </c>
      <c r="AN132" s="92" t="s">
        <v>1248</v>
      </c>
      <c r="AO132" s="84" t="s">
        <v>1467</v>
      </c>
      <c r="AP132" s="84" t="b">
        <v>0</v>
      </c>
      <c r="AQ132" s="92" t="s">
        <v>1248</v>
      </c>
      <c r="AR132" s="84" t="s">
        <v>187</v>
      </c>
      <c r="AS132" s="84">
        <v>0</v>
      </c>
      <c r="AT132" s="84">
        <v>0</v>
      </c>
      <c r="AU132" s="84"/>
      <c r="AV132" s="84"/>
      <c r="AW132" s="84"/>
      <c r="AX132" s="84"/>
      <c r="AY132" s="84"/>
      <c r="AZ132" s="84"/>
      <c r="BA132" s="84"/>
      <c r="BB132" s="84"/>
      <c r="BC132">
        <v>1</v>
      </c>
      <c r="BD132" s="83" t="str">
        <f>REPLACE(INDEX(GroupVertices[Group],MATCH(Edges[[#This Row],[Vertex 1]],GroupVertices[Vertex],0)),1,1,"")</f>
        <v>4</v>
      </c>
      <c r="BE132" s="83" t="str">
        <f>REPLACE(INDEX(GroupVertices[Group],MATCH(Edges[[#This Row],[Vertex 2]],GroupVertices[Vertex],0)),1,1,"")</f>
        <v>4</v>
      </c>
      <c r="BF132" s="49"/>
      <c r="BG132" s="50"/>
      <c r="BH132" s="49"/>
      <c r="BI132" s="50"/>
      <c r="BJ132" s="49"/>
      <c r="BK132" s="50"/>
      <c r="BL132" s="49"/>
      <c r="BM132" s="50"/>
      <c r="BN132" s="49"/>
    </row>
    <row r="133" spans="1:66" ht="15">
      <c r="A133" s="68" t="s">
        <v>267</v>
      </c>
      <c r="B133" s="68" t="s">
        <v>383</v>
      </c>
      <c r="C133" s="69" t="s">
        <v>5208</v>
      </c>
      <c r="D133" s="70">
        <v>1</v>
      </c>
      <c r="E133" s="71" t="s">
        <v>132</v>
      </c>
      <c r="F133" s="72">
        <v>32</v>
      </c>
      <c r="G133" s="69" t="s">
        <v>51</v>
      </c>
      <c r="H133" s="73"/>
      <c r="I133" s="74"/>
      <c r="J133" s="74"/>
      <c r="K133" s="35" t="s">
        <v>65</v>
      </c>
      <c r="L133" s="82">
        <v>133</v>
      </c>
      <c r="M133" s="82"/>
      <c r="N133" s="76"/>
      <c r="O133" s="84" t="s">
        <v>440</v>
      </c>
      <c r="P133" s="86">
        <v>44082.6231712963</v>
      </c>
      <c r="Q133" s="84" t="s">
        <v>448</v>
      </c>
      <c r="R133" s="87" t="str">
        <f>HYPERLINK("https://www.peoplematters.in/news/technology/job-searches-in-artificial-intelligence-rise-106-in-one-year-report-26898")</f>
        <v>https://www.peoplematters.in/news/technology/job-searches-in-artificial-intelligence-rise-106-in-one-year-report-26898</v>
      </c>
      <c r="S133" s="84" t="s">
        <v>532</v>
      </c>
      <c r="T133" s="84" t="s">
        <v>568</v>
      </c>
      <c r="U133" s="87" t="str">
        <f>HYPERLINK("https://pbs.twimg.com/media/EhVAOmdWoAAOQiY.jpg")</f>
        <v>https://pbs.twimg.com/media/EhVAOmdWoAAOQiY.jpg</v>
      </c>
      <c r="V133" s="87" t="str">
        <f>HYPERLINK("https://pbs.twimg.com/media/EhVAOmdWoAAOQiY.jpg")</f>
        <v>https://pbs.twimg.com/media/EhVAOmdWoAAOQiY.jpg</v>
      </c>
      <c r="W133" s="86">
        <v>44082.6231712963</v>
      </c>
      <c r="X133" s="90">
        <v>44082</v>
      </c>
      <c r="Y133" s="92" t="s">
        <v>685</v>
      </c>
      <c r="Z133" s="87" t="str">
        <f>HYPERLINK("https://twitter.com/jgrobicki/status/1303346699260383237")</f>
        <v>https://twitter.com/jgrobicki/status/1303346699260383237</v>
      </c>
      <c r="AA133" s="84"/>
      <c r="AB133" s="84"/>
      <c r="AC133" s="92" t="s">
        <v>1079</v>
      </c>
      <c r="AD133" s="84"/>
      <c r="AE133" s="84" t="b">
        <v>0</v>
      </c>
      <c r="AF133" s="84">
        <v>0</v>
      </c>
      <c r="AG133" s="92" t="s">
        <v>1453</v>
      </c>
      <c r="AH133" s="84" t="b">
        <v>0</v>
      </c>
      <c r="AI133" s="84" t="s">
        <v>1456</v>
      </c>
      <c r="AJ133" s="84"/>
      <c r="AK133" s="92" t="s">
        <v>1453</v>
      </c>
      <c r="AL133" s="84" t="b">
        <v>0</v>
      </c>
      <c r="AM133" s="84">
        <v>25</v>
      </c>
      <c r="AN133" s="92" t="s">
        <v>1248</v>
      </c>
      <c r="AO133" s="84" t="s">
        <v>1467</v>
      </c>
      <c r="AP133" s="84" t="b">
        <v>0</v>
      </c>
      <c r="AQ133" s="92" t="s">
        <v>1248</v>
      </c>
      <c r="AR133" s="84" t="s">
        <v>187</v>
      </c>
      <c r="AS133" s="84">
        <v>0</v>
      </c>
      <c r="AT133" s="84">
        <v>0</v>
      </c>
      <c r="AU133" s="84"/>
      <c r="AV133" s="84"/>
      <c r="AW133" s="84"/>
      <c r="AX133" s="84"/>
      <c r="AY133" s="84"/>
      <c r="AZ133" s="84"/>
      <c r="BA133" s="84"/>
      <c r="BB133" s="84"/>
      <c r="BC133">
        <v>1</v>
      </c>
      <c r="BD133" s="83" t="str">
        <f>REPLACE(INDEX(GroupVertices[Group],MATCH(Edges[[#This Row],[Vertex 1]],GroupVertices[Vertex],0)),1,1,"")</f>
        <v>4</v>
      </c>
      <c r="BE133" s="83" t="str">
        <f>REPLACE(INDEX(GroupVertices[Group],MATCH(Edges[[#This Row],[Vertex 2]],GroupVertices[Vertex],0)),1,1,"")</f>
        <v>4</v>
      </c>
      <c r="BF133" s="49"/>
      <c r="BG133" s="50"/>
      <c r="BH133" s="49"/>
      <c r="BI133" s="50"/>
      <c r="BJ133" s="49"/>
      <c r="BK133" s="50"/>
      <c r="BL133" s="49"/>
      <c r="BM133" s="50"/>
      <c r="BN133" s="49"/>
    </row>
    <row r="134" spans="1:66" ht="15">
      <c r="A134" s="68" t="s">
        <v>267</v>
      </c>
      <c r="B134" s="68" t="s">
        <v>380</v>
      </c>
      <c r="C134" s="69" t="s">
        <v>5208</v>
      </c>
      <c r="D134" s="70">
        <v>1</v>
      </c>
      <c r="E134" s="71" t="s">
        <v>132</v>
      </c>
      <c r="F134" s="72">
        <v>32</v>
      </c>
      <c r="G134" s="69" t="s">
        <v>51</v>
      </c>
      <c r="H134" s="73"/>
      <c r="I134" s="74"/>
      <c r="J134" s="74"/>
      <c r="K134" s="35" t="s">
        <v>65</v>
      </c>
      <c r="L134" s="82">
        <v>134</v>
      </c>
      <c r="M134" s="82"/>
      <c r="N134" s="76"/>
      <c r="O134" s="84" t="s">
        <v>440</v>
      </c>
      <c r="P134" s="86">
        <v>44082.6231712963</v>
      </c>
      <c r="Q134" s="84" t="s">
        <v>448</v>
      </c>
      <c r="R134" s="87" t="str">
        <f>HYPERLINK("https://www.peoplematters.in/news/technology/job-searches-in-artificial-intelligence-rise-106-in-one-year-report-26898")</f>
        <v>https://www.peoplematters.in/news/technology/job-searches-in-artificial-intelligence-rise-106-in-one-year-report-26898</v>
      </c>
      <c r="S134" s="84" t="s">
        <v>532</v>
      </c>
      <c r="T134" s="84" t="s">
        <v>568</v>
      </c>
      <c r="U134" s="87" t="str">
        <f>HYPERLINK("https://pbs.twimg.com/media/EhVAOmdWoAAOQiY.jpg")</f>
        <v>https://pbs.twimg.com/media/EhVAOmdWoAAOQiY.jpg</v>
      </c>
      <c r="V134" s="87" t="str">
        <f>HYPERLINK("https://pbs.twimg.com/media/EhVAOmdWoAAOQiY.jpg")</f>
        <v>https://pbs.twimg.com/media/EhVAOmdWoAAOQiY.jpg</v>
      </c>
      <c r="W134" s="86">
        <v>44082.6231712963</v>
      </c>
      <c r="X134" s="90">
        <v>44082</v>
      </c>
      <c r="Y134" s="92" t="s">
        <v>685</v>
      </c>
      <c r="Z134" s="87" t="str">
        <f>HYPERLINK("https://twitter.com/jgrobicki/status/1303346699260383237")</f>
        <v>https://twitter.com/jgrobicki/status/1303346699260383237</v>
      </c>
      <c r="AA134" s="84"/>
      <c r="AB134" s="84"/>
      <c r="AC134" s="92" t="s">
        <v>1079</v>
      </c>
      <c r="AD134" s="84"/>
      <c r="AE134" s="84" t="b">
        <v>0</v>
      </c>
      <c r="AF134" s="84">
        <v>0</v>
      </c>
      <c r="AG134" s="92" t="s">
        <v>1453</v>
      </c>
      <c r="AH134" s="84" t="b">
        <v>0</v>
      </c>
      <c r="AI134" s="84" t="s">
        <v>1456</v>
      </c>
      <c r="AJ134" s="84"/>
      <c r="AK134" s="92" t="s">
        <v>1453</v>
      </c>
      <c r="AL134" s="84" t="b">
        <v>0</v>
      </c>
      <c r="AM134" s="84">
        <v>25</v>
      </c>
      <c r="AN134" s="92" t="s">
        <v>1248</v>
      </c>
      <c r="AO134" s="84" t="s">
        <v>1467</v>
      </c>
      <c r="AP134" s="84" t="b">
        <v>0</v>
      </c>
      <c r="AQ134" s="92" t="s">
        <v>1248</v>
      </c>
      <c r="AR134" s="84" t="s">
        <v>187</v>
      </c>
      <c r="AS134" s="84">
        <v>0</v>
      </c>
      <c r="AT134" s="84">
        <v>0</v>
      </c>
      <c r="AU134" s="84"/>
      <c r="AV134" s="84"/>
      <c r="AW134" s="84"/>
      <c r="AX134" s="84"/>
      <c r="AY134" s="84"/>
      <c r="AZ134" s="84"/>
      <c r="BA134" s="84"/>
      <c r="BB134" s="84"/>
      <c r="BC134">
        <v>1</v>
      </c>
      <c r="BD134" s="83" t="str">
        <f>REPLACE(INDEX(GroupVertices[Group],MATCH(Edges[[#This Row],[Vertex 1]],GroupVertices[Vertex],0)),1,1,"")</f>
        <v>4</v>
      </c>
      <c r="BE134" s="83" t="str">
        <f>REPLACE(INDEX(GroupVertices[Group],MATCH(Edges[[#This Row],[Vertex 2]],GroupVertices[Vertex],0)),1,1,"")</f>
        <v>4</v>
      </c>
      <c r="BF134" s="49"/>
      <c r="BG134" s="50"/>
      <c r="BH134" s="49"/>
      <c r="BI134" s="50"/>
      <c r="BJ134" s="49"/>
      <c r="BK134" s="50"/>
      <c r="BL134" s="49"/>
      <c r="BM134" s="50"/>
      <c r="BN134" s="49"/>
    </row>
    <row r="135" spans="1:66" ht="15">
      <c r="A135" s="68" t="s">
        <v>267</v>
      </c>
      <c r="B135" s="68" t="s">
        <v>381</v>
      </c>
      <c r="C135" s="69" t="s">
        <v>5208</v>
      </c>
      <c r="D135" s="70">
        <v>1</v>
      </c>
      <c r="E135" s="71" t="s">
        <v>132</v>
      </c>
      <c r="F135" s="72">
        <v>32</v>
      </c>
      <c r="G135" s="69" t="s">
        <v>51</v>
      </c>
      <c r="H135" s="73"/>
      <c r="I135" s="74"/>
      <c r="J135" s="74"/>
      <c r="K135" s="35" t="s">
        <v>65</v>
      </c>
      <c r="L135" s="82">
        <v>135</v>
      </c>
      <c r="M135" s="82"/>
      <c r="N135" s="76"/>
      <c r="O135" s="84" t="s">
        <v>440</v>
      </c>
      <c r="P135" s="86">
        <v>44082.6231712963</v>
      </c>
      <c r="Q135" s="84" t="s">
        <v>448</v>
      </c>
      <c r="R135" s="87" t="str">
        <f>HYPERLINK("https://www.peoplematters.in/news/technology/job-searches-in-artificial-intelligence-rise-106-in-one-year-report-26898")</f>
        <v>https://www.peoplematters.in/news/technology/job-searches-in-artificial-intelligence-rise-106-in-one-year-report-26898</v>
      </c>
      <c r="S135" s="84" t="s">
        <v>532</v>
      </c>
      <c r="T135" s="84" t="s">
        <v>568</v>
      </c>
      <c r="U135" s="87" t="str">
        <f>HYPERLINK("https://pbs.twimg.com/media/EhVAOmdWoAAOQiY.jpg")</f>
        <v>https://pbs.twimg.com/media/EhVAOmdWoAAOQiY.jpg</v>
      </c>
      <c r="V135" s="87" t="str">
        <f>HYPERLINK("https://pbs.twimg.com/media/EhVAOmdWoAAOQiY.jpg")</f>
        <v>https://pbs.twimg.com/media/EhVAOmdWoAAOQiY.jpg</v>
      </c>
      <c r="W135" s="86">
        <v>44082.6231712963</v>
      </c>
      <c r="X135" s="90">
        <v>44082</v>
      </c>
      <c r="Y135" s="92" t="s">
        <v>685</v>
      </c>
      <c r="Z135" s="87" t="str">
        <f>HYPERLINK("https://twitter.com/jgrobicki/status/1303346699260383237")</f>
        <v>https://twitter.com/jgrobicki/status/1303346699260383237</v>
      </c>
      <c r="AA135" s="84"/>
      <c r="AB135" s="84"/>
      <c r="AC135" s="92" t="s">
        <v>1079</v>
      </c>
      <c r="AD135" s="84"/>
      <c r="AE135" s="84" t="b">
        <v>0</v>
      </c>
      <c r="AF135" s="84">
        <v>0</v>
      </c>
      <c r="AG135" s="92" t="s">
        <v>1453</v>
      </c>
      <c r="AH135" s="84" t="b">
        <v>0</v>
      </c>
      <c r="AI135" s="84" t="s">
        <v>1456</v>
      </c>
      <c r="AJ135" s="84"/>
      <c r="AK135" s="92" t="s">
        <v>1453</v>
      </c>
      <c r="AL135" s="84" t="b">
        <v>0</v>
      </c>
      <c r="AM135" s="84">
        <v>25</v>
      </c>
      <c r="AN135" s="92" t="s">
        <v>1248</v>
      </c>
      <c r="AO135" s="84" t="s">
        <v>1467</v>
      </c>
      <c r="AP135" s="84" t="b">
        <v>0</v>
      </c>
      <c r="AQ135" s="92" t="s">
        <v>1248</v>
      </c>
      <c r="AR135" s="84" t="s">
        <v>187</v>
      </c>
      <c r="AS135" s="84">
        <v>0</v>
      </c>
      <c r="AT135" s="84">
        <v>0</v>
      </c>
      <c r="AU135" s="84"/>
      <c r="AV135" s="84"/>
      <c r="AW135" s="84"/>
      <c r="AX135" s="84"/>
      <c r="AY135" s="84"/>
      <c r="AZ135" s="84"/>
      <c r="BA135" s="84"/>
      <c r="BB135" s="84"/>
      <c r="BC135">
        <v>1</v>
      </c>
      <c r="BD135" s="83" t="str">
        <f>REPLACE(INDEX(GroupVertices[Group],MATCH(Edges[[#This Row],[Vertex 1]],GroupVertices[Vertex],0)),1,1,"")</f>
        <v>4</v>
      </c>
      <c r="BE135" s="83" t="str">
        <f>REPLACE(INDEX(GroupVertices[Group],MATCH(Edges[[#This Row],[Vertex 2]],GroupVertices[Vertex],0)),1,1,"")</f>
        <v>4</v>
      </c>
      <c r="BF135" s="49"/>
      <c r="BG135" s="50"/>
      <c r="BH135" s="49"/>
      <c r="BI135" s="50"/>
      <c r="BJ135" s="49"/>
      <c r="BK135" s="50"/>
      <c r="BL135" s="49"/>
      <c r="BM135" s="50"/>
      <c r="BN135" s="49"/>
    </row>
    <row r="136" spans="1:66" ht="15">
      <c r="A136" s="68" t="s">
        <v>267</v>
      </c>
      <c r="B136" s="68" t="s">
        <v>431</v>
      </c>
      <c r="C136" s="69" t="s">
        <v>5208</v>
      </c>
      <c r="D136" s="70">
        <v>1</v>
      </c>
      <c r="E136" s="71" t="s">
        <v>132</v>
      </c>
      <c r="F136" s="72">
        <v>32</v>
      </c>
      <c r="G136" s="69" t="s">
        <v>51</v>
      </c>
      <c r="H136" s="73"/>
      <c r="I136" s="74"/>
      <c r="J136" s="74"/>
      <c r="K136" s="35" t="s">
        <v>65</v>
      </c>
      <c r="L136" s="82">
        <v>136</v>
      </c>
      <c r="M136" s="82"/>
      <c r="N136" s="76"/>
      <c r="O136" s="84" t="s">
        <v>440</v>
      </c>
      <c r="P136" s="86">
        <v>44082.6231712963</v>
      </c>
      <c r="Q136" s="84" t="s">
        <v>448</v>
      </c>
      <c r="R136" s="87" t="str">
        <f>HYPERLINK("https://www.peoplematters.in/news/technology/job-searches-in-artificial-intelligence-rise-106-in-one-year-report-26898")</f>
        <v>https://www.peoplematters.in/news/technology/job-searches-in-artificial-intelligence-rise-106-in-one-year-report-26898</v>
      </c>
      <c r="S136" s="84" t="s">
        <v>532</v>
      </c>
      <c r="T136" s="84" t="s">
        <v>568</v>
      </c>
      <c r="U136" s="87" t="str">
        <f>HYPERLINK("https://pbs.twimg.com/media/EhVAOmdWoAAOQiY.jpg")</f>
        <v>https://pbs.twimg.com/media/EhVAOmdWoAAOQiY.jpg</v>
      </c>
      <c r="V136" s="87" t="str">
        <f>HYPERLINK("https://pbs.twimg.com/media/EhVAOmdWoAAOQiY.jpg")</f>
        <v>https://pbs.twimg.com/media/EhVAOmdWoAAOQiY.jpg</v>
      </c>
      <c r="W136" s="86">
        <v>44082.6231712963</v>
      </c>
      <c r="X136" s="90">
        <v>44082</v>
      </c>
      <c r="Y136" s="92" t="s">
        <v>685</v>
      </c>
      <c r="Z136" s="87" t="str">
        <f>HYPERLINK("https://twitter.com/jgrobicki/status/1303346699260383237")</f>
        <v>https://twitter.com/jgrobicki/status/1303346699260383237</v>
      </c>
      <c r="AA136" s="84"/>
      <c r="AB136" s="84"/>
      <c r="AC136" s="92" t="s">
        <v>1079</v>
      </c>
      <c r="AD136" s="84"/>
      <c r="AE136" s="84" t="b">
        <v>0</v>
      </c>
      <c r="AF136" s="84">
        <v>0</v>
      </c>
      <c r="AG136" s="92" t="s">
        <v>1453</v>
      </c>
      <c r="AH136" s="84" t="b">
        <v>0</v>
      </c>
      <c r="AI136" s="84" t="s">
        <v>1456</v>
      </c>
      <c r="AJ136" s="84"/>
      <c r="AK136" s="92" t="s">
        <v>1453</v>
      </c>
      <c r="AL136" s="84" t="b">
        <v>0</v>
      </c>
      <c r="AM136" s="84">
        <v>25</v>
      </c>
      <c r="AN136" s="92" t="s">
        <v>1248</v>
      </c>
      <c r="AO136" s="84" t="s">
        <v>1467</v>
      </c>
      <c r="AP136" s="84" t="b">
        <v>0</v>
      </c>
      <c r="AQ136" s="92" t="s">
        <v>1248</v>
      </c>
      <c r="AR136" s="84" t="s">
        <v>187</v>
      </c>
      <c r="AS136" s="84">
        <v>0</v>
      </c>
      <c r="AT136" s="84">
        <v>0</v>
      </c>
      <c r="AU136" s="84"/>
      <c r="AV136" s="84"/>
      <c r="AW136" s="84"/>
      <c r="AX136" s="84"/>
      <c r="AY136" s="84"/>
      <c r="AZ136" s="84"/>
      <c r="BA136" s="84"/>
      <c r="BB136" s="84"/>
      <c r="BC136">
        <v>1</v>
      </c>
      <c r="BD136" s="83" t="str">
        <f>REPLACE(INDEX(GroupVertices[Group],MATCH(Edges[[#This Row],[Vertex 1]],GroupVertices[Vertex],0)),1,1,"")</f>
        <v>4</v>
      </c>
      <c r="BE136" s="83" t="str">
        <f>REPLACE(INDEX(GroupVertices[Group],MATCH(Edges[[#This Row],[Vertex 2]],GroupVertices[Vertex],0)),1,1,"")</f>
        <v>4</v>
      </c>
      <c r="BF136" s="49"/>
      <c r="BG136" s="50"/>
      <c r="BH136" s="49"/>
      <c r="BI136" s="50"/>
      <c r="BJ136" s="49"/>
      <c r="BK136" s="50"/>
      <c r="BL136" s="49"/>
      <c r="BM136" s="50"/>
      <c r="BN136" s="49"/>
    </row>
    <row r="137" spans="1:66" ht="15">
      <c r="A137" s="68" t="s">
        <v>267</v>
      </c>
      <c r="B137" s="68" t="s">
        <v>432</v>
      </c>
      <c r="C137" s="69" t="s">
        <v>5208</v>
      </c>
      <c r="D137" s="70">
        <v>1</v>
      </c>
      <c r="E137" s="71" t="s">
        <v>132</v>
      </c>
      <c r="F137" s="72">
        <v>32</v>
      </c>
      <c r="G137" s="69" t="s">
        <v>51</v>
      </c>
      <c r="H137" s="73"/>
      <c r="I137" s="74"/>
      <c r="J137" s="74"/>
      <c r="K137" s="35" t="s">
        <v>65</v>
      </c>
      <c r="L137" s="82">
        <v>137</v>
      </c>
      <c r="M137" s="82"/>
      <c r="N137" s="76"/>
      <c r="O137" s="84" t="s">
        <v>440</v>
      </c>
      <c r="P137" s="86">
        <v>44082.6231712963</v>
      </c>
      <c r="Q137" s="84" t="s">
        <v>448</v>
      </c>
      <c r="R137" s="87" t="str">
        <f>HYPERLINK("https://www.peoplematters.in/news/technology/job-searches-in-artificial-intelligence-rise-106-in-one-year-report-26898")</f>
        <v>https://www.peoplematters.in/news/technology/job-searches-in-artificial-intelligence-rise-106-in-one-year-report-26898</v>
      </c>
      <c r="S137" s="84" t="s">
        <v>532</v>
      </c>
      <c r="T137" s="84" t="s">
        <v>568</v>
      </c>
      <c r="U137" s="87" t="str">
        <f>HYPERLINK("https://pbs.twimg.com/media/EhVAOmdWoAAOQiY.jpg")</f>
        <v>https://pbs.twimg.com/media/EhVAOmdWoAAOQiY.jpg</v>
      </c>
      <c r="V137" s="87" t="str">
        <f>HYPERLINK("https://pbs.twimg.com/media/EhVAOmdWoAAOQiY.jpg")</f>
        <v>https://pbs.twimg.com/media/EhVAOmdWoAAOQiY.jpg</v>
      </c>
      <c r="W137" s="86">
        <v>44082.6231712963</v>
      </c>
      <c r="X137" s="90">
        <v>44082</v>
      </c>
      <c r="Y137" s="92" t="s">
        <v>685</v>
      </c>
      <c r="Z137" s="87" t="str">
        <f>HYPERLINK("https://twitter.com/jgrobicki/status/1303346699260383237")</f>
        <v>https://twitter.com/jgrobicki/status/1303346699260383237</v>
      </c>
      <c r="AA137" s="84"/>
      <c r="AB137" s="84"/>
      <c r="AC137" s="92" t="s">
        <v>1079</v>
      </c>
      <c r="AD137" s="84"/>
      <c r="AE137" s="84" t="b">
        <v>0</v>
      </c>
      <c r="AF137" s="84">
        <v>0</v>
      </c>
      <c r="AG137" s="92" t="s">
        <v>1453</v>
      </c>
      <c r="AH137" s="84" t="b">
        <v>0</v>
      </c>
      <c r="AI137" s="84" t="s">
        <v>1456</v>
      </c>
      <c r="AJ137" s="84"/>
      <c r="AK137" s="92" t="s">
        <v>1453</v>
      </c>
      <c r="AL137" s="84" t="b">
        <v>0</v>
      </c>
      <c r="AM137" s="84">
        <v>25</v>
      </c>
      <c r="AN137" s="92" t="s">
        <v>1248</v>
      </c>
      <c r="AO137" s="84" t="s">
        <v>1467</v>
      </c>
      <c r="AP137" s="84" t="b">
        <v>0</v>
      </c>
      <c r="AQ137" s="92" t="s">
        <v>1248</v>
      </c>
      <c r="AR137" s="84" t="s">
        <v>187</v>
      </c>
      <c r="AS137" s="84">
        <v>0</v>
      </c>
      <c r="AT137" s="84">
        <v>0</v>
      </c>
      <c r="AU137" s="84"/>
      <c r="AV137" s="84"/>
      <c r="AW137" s="84"/>
      <c r="AX137" s="84"/>
      <c r="AY137" s="84"/>
      <c r="AZ137" s="84"/>
      <c r="BA137" s="84"/>
      <c r="BB137" s="84"/>
      <c r="BC137">
        <v>1</v>
      </c>
      <c r="BD137" s="83" t="str">
        <f>REPLACE(INDEX(GroupVertices[Group],MATCH(Edges[[#This Row],[Vertex 1]],GroupVertices[Vertex],0)),1,1,"")</f>
        <v>4</v>
      </c>
      <c r="BE137" s="83" t="str">
        <f>REPLACE(INDEX(GroupVertices[Group],MATCH(Edges[[#This Row],[Vertex 2]],GroupVertices[Vertex],0)),1,1,"")</f>
        <v>4</v>
      </c>
      <c r="BF137" s="49"/>
      <c r="BG137" s="50"/>
      <c r="BH137" s="49"/>
      <c r="BI137" s="50"/>
      <c r="BJ137" s="49"/>
      <c r="BK137" s="50"/>
      <c r="BL137" s="49"/>
      <c r="BM137" s="50"/>
      <c r="BN137" s="49"/>
    </row>
    <row r="138" spans="1:66" ht="15">
      <c r="A138" s="68" t="s">
        <v>267</v>
      </c>
      <c r="B138" s="68" t="s">
        <v>384</v>
      </c>
      <c r="C138" s="69" t="s">
        <v>5208</v>
      </c>
      <c r="D138" s="70">
        <v>1</v>
      </c>
      <c r="E138" s="71" t="s">
        <v>132</v>
      </c>
      <c r="F138" s="72">
        <v>32</v>
      </c>
      <c r="G138" s="69" t="s">
        <v>51</v>
      </c>
      <c r="H138" s="73"/>
      <c r="I138" s="74"/>
      <c r="J138" s="74"/>
      <c r="K138" s="35" t="s">
        <v>65</v>
      </c>
      <c r="L138" s="82">
        <v>138</v>
      </c>
      <c r="M138" s="82"/>
      <c r="N138" s="76"/>
      <c r="O138" s="84" t="s">
        <v>439</v>
      </c>
      <c r="P138" s="86">
        <v>44082.6231712963</v>
      </c>
      <c r="Q138" s="84" t="s">
        <v>448</v>
      </c>
      <c r="R138" s="87" t="str">
        <f>HYPERLINK("https://www.peoplematters.in/news/technology/job-searches-in-artificial-intelligence-rise-106-in-one-year-report-26898")</f>
        <v>https://www.peoplematters.in/news/technology/job-searches-in-artificial-intelligence-rise-106-in-one-year-report-26898</v>
      </c>
      <c r="S138" s="84" t="s">
        <v>532</v>
      </c>
      <c r="T138" s="84" t="s">
        <v>568</v>
      </c>
      <c r="U138" s="87" t="str">
        <f>HYPERLINK("https://pbs.twimg.com/media/EhVAOmdWoAAOQiY.jpg")</f>
        <v>https://pbs.twimg.com/media/EhVAOmdWoAAOQiY.jpg</v>
      </c>
      <c r="V138" s="87" t="str">
        <f>HYPERLINK("https://pbs.twimg.com/media/EhVAOmdWoAAOQiY.jpg")</f>
        <v>https://pbs.twimg.com/media/EhVAOmdWoAAOQiY.jpg</v>
      </c>
      <c r="W138" s="86">
        <v>44082.6231712963</v>
      </c>
      <c r="X138" s="90">
        <v>44082</v>
      </c>
      <c r="Y138" s="92" t="s">
        <v>685</v>
      </c>
      <c r="Z138" s="87" t="str">
        <f>HYPERLINK("https://twitter.com/jgrobicki/status/1303346699260383237")</f>
        <v>https://twitter.com/jgrobicki/status/1303346699260383237</v>
      </c>
      <c r="AA138" s="84"/>
      <c r="AB138" s="84"/>
      <c r="AC138" s="92" t="s">
        <v>1079</v>
      </c>
      <c r="AD138" s="84"/>
      <c r="AE138" s="84" t="b">
        <v>0</v>
      </c>
      <c r="AF138" s="84">
        <v>0</v>
      </c>
      <c r="AG138" s="92" t="s">
        <v>1453</v>
      </c>
      <c r="AH138" s="84" t="b">
        <v>0</v>
      </c>
      <c r="AI138" s="84" t="s">
        <v>1456</v>
      </c>
      <c r="AJ138" s="84"/>
      <c r="AK138" s="92" t="s">
        <v>1453</v>
      </c>
      <c r="AL138" s="84" t="b">
        <v>0</v>
      </c>
      <c r="AM138" s="84">
        <v>25</v>
      </c>
      <c r="AN138" s="92" t="s">
        <v>1248</v>
      </c>
      <c r="AO138" s="84" t="s">
        <v>1467</v>
      </c>
      <c r="AP138" s="84" t="b">
        <v>0</v>
      </c>
      <c r="AQ138" s="92" t="s">
        <v>1248</v>
      </c>
      <c r="AR138" s="84" t="s">
        <v>187</v>
      </c>
      <c r="AS138" s="84">
        <v>0</v>
      </c>
      <c r="AT138" s="84">
        <v>0</v>
      </c>
      <c r="AU138" s="84"/>
      <c r="AV138" s="84"/>
      <c r="AW138" s="84"/>
      <c r="AX138" s="84"/>
      <c r="AY138" s="84"/>
      <c r="AZ138" s="84"/>
      <c r="BA138" s="84"/>
      <c r="BB138" s="84"/>
      <c r="BC138">
        <v>1</v>
      </c>
      <c r="BD138" s="83" t="str">
        <f>REPLACE(INDEX(GroupVertices[Group],MATCH(Edges[[#This Row],[Vertex 1]],GroupVertices[Vertex],0)),1,1,"")</f>
        <v>4</v>
      </c>
      <c r="BE138" s="83" t="str">
        <f>REPLACE(INDEX(GroupVertices[Group],MATCH(Edges[[#This Row],[Vertex 2]],GroupVertices[Vertex],0)),1,1,"")</f>
        <v>4</v>
      </c>
      <c r="BF138" s="49">
        <v>0</v>
      </c>
      <c r="BG138" s="50">
        <v>0</v>
      </c>
      <c r="BH138" s="49">
        <v>0</v>
      </c>
      <c r="BI138" s="50">
        <v>0</v>
      </c>
      <c r="BJ138" s="49">
        <v>0</v>
      </c>
      <c r="BK138" s="50">
        <v>0</v>
      </c>
      <c r="BL138" s="49">
        <v>28</v>
      </c>
      <c r="BM138" s="50">
        <v>100</v>
      </c>
      <c r="BN138" s="49">
        <v>28</v>
      </c>
    </row>
    <row r="139" spans="1:66" ht="15">
      <c r="A139" s="68" t="s">
        <v>268</v>
      </c>
      <c r="B139" s="68" t="s">
        <v>268</v>
      </c>
      <c r="C139" s="69" t="s">
        <v>5208</v>
      </c>
      <c r="D139" s="70">
        <v>1</v>
      </c>
      <c r="E139" s="71" t="s">
        <v>132</v>
      </c>
      <c r="F139" s="72">
        <v>32</v>
      </c>
      <c r="G139" s="69" t="s">
        <v>51</v>
      </c>
      <c r="H139" s="73"/>
      <c r="I139" s="74"/>
      <c r="J139" s="74"/>
      <c r="K139" s="35" t="s">
        <v>65</v>
      </c>
      <c r="L139" s="82">
        <v>139</v>
      </c>
      <c r="M139" s="82"/>
      <c r="N139" s="76"/>
      <c r="O139" s="84" t="s">
        <v>187</v>
      </c>
      <c r="P139" s="86">
        <v>44082.624085648145</v>
      </c>
      <c r="Q139" s="84" t="s">
        <v>463</v>
      </c>
      <c r="R139" s="87" t="str">
        <f>HYPERLINK("https://www.forbes.com/sites/gilpress/2020/08/27/data-scientists-salaries-and-jobs-immune-to-covid-19-survey-finds/#3f8548ed5183")</f>
        <v>https://www.forbes.com/sites/gilpress/2020/08/27/data-scientists-salaries-and-jobs-immune-to-covid-19-survey-finds/#3f8548ed5183</v>
      </c>
      <c r="S139" s="84" t="s">
        <v>542</v>
      </c>
      <c r="T139" s="84" t="s">
        <v>581</v>
      </c>
      <c r="U139" s="87" t="str">
        <f>HYPERLINK("https://pbs.twimg.com/media/EhZrMljUwAEfkVF.jpg")</f>
        <v>https://pbs.twimg.com/media/EhZrMljUwAEfkVF.jpg</v>
      </c>
      <c r="V139" s="87" t="str">
        <f>HYPERLINK("https://pbs.twimg.com/media/EhZrMljUwAEfkVF.jpg")</f>
        <v>https://pbs.twimg.com/media/EhZrMljUwAEfkVF.jpg</v>
      </c>
      <c r="W139" s="86">
        <v>44082.624085648145</v>
      </c>
      <c r="X139" s="90">
        <v>44082</v>
      </c>
      <c r="Y139" s="92" t="s">
        <v>686</v>
      </c>
      <c r="Z139" s="87" t="str">
        <f>HYPERLINK("https://twitter.com/dasca_insights/status/1303347030270439424")</f>
        <v>https://twitter.com/dasca_insights/status/1303347030270439424</v>
      </c>
      <c r="AA139" s="84"/>
      <c r="AB139" s="84"/>
      <c r="AC139" s="92" t="s">
        <v>1080</v>
      </c>
      <c r="AD139" s="84"/>
      <c r="AE139" s="84" t="b">
        <v>0</v>
      </c>
      <c r="AF139" s="84">
        <v>2</v>
      </c>
      <c r="AG139" s="92" t="s">
        <v>1453</v>
      </c>
      <c r="AH139" s="84" t="b">
        <v>0</v>
      </c>
      <c r="AI139" s="84" t="s">
        <v>1456</v>
      </c>
      <c r="AJ139" s="84"/>
      <c r="AK139" s="92" t="s">
        <v>1453</v>
      </c>
      <c r="AL139" s="84" t="b">
        <v>0</v>
      </c>
      <c r="AM139" s="84">
        <v>0</v>
      </c>
      <c r="AN139" s="92" t="s">
        <v>1453</v>
      </c>
      <c r="AO139" s="84" t="s">
        <v>1465</v>
      </c>
      <c r="AP139" s="84" t="b">
        <v>0</v>
      </c>
      <c r="AQ139" s="92" t="s">
        <v>1080</v>
      </c>
      <c r="AR139" s="84" t="s">
        <v>187</v>
      </c>
      <c r="AS139" s="84">
        <v>0</v>
      </c>
      <c r="AT139" s="84">
        <v>0</v>
      </c>
      <c r="AU139" s="84"/>
      <c r="AV139" s="84"/>
      <c r="AW139" s="84"/>
      <c r="AX139" s="84"/>
      <c r="AY139" s="84"/>
      <c r="AZ139" s="84"/>
      <c r="BA139" s="84"/>
      <c r="BB139" s="84"/>
      <c r="BC139">
        <v>1</v>
      </c>
      <c r="BD139" s="83" t="str">
        <f>REPLACE(INDEX(GroupVertices[Group],MATCH(Edges[[#This Row],[Vertex 1]],GroupVertices[Vertex],0)),1,1,"")</f>
        <v>6</v>
      </c>
      <c r="BE139" s="83" t="str">
        <f>REPLACE(INDEX(GroupVertices[Group],MATCH(Edges[[#This Row],[Vertex 2]],GroupVertices[Vertex],0)),1,1,"")</f>
        <v>6</v>
      </c>
      <c r="BF139" s="49">
        <v>0</v>
      </c>
      <c r="BG139" s="50">
        <v>0</v>
      </c>
      <c r="BH139" s="49">
        <v>0</v>
      </c>
      <c r="BI139" s="50">
        <v>0</v>
      </c>
      <c r="BJ139" s="49">
        <v>0</v>
      </c>
      <c r="BK139" s="50">
        <v>0</v>
      </c>
      <c r="BL139" s="49">
        <v>33</v>
      </c>
      <c r="BM139" s="50">
        <v>100</v>
      </c>
      <c r="BN139" s="49">
        <v>33</v>
      </c>
    </row>
    <row r="140" spans="1:66" ht="15">
      <c r="A140" s="68" t="s">
        <v>269</v>
      </c>
      <c r="B140" s="68" t="s">
        <v>269</v>
      </c>
      <c r="C140" s="69" t="s">
        <v>5208</v>
      </c>
      <c r="D140" s="70">
        <v>1</v>
      </c>
      <c r="E140" s="71" t="s">
        <v>132</v>
      </c>
      <c r="F140" s="72">
        <v>32</v>
      </c>
      <c r="G140" s="69" t="s">
        <v>51</v>
      </c>
      <c r="H140" s="73"/>
      <c r="I140" s="74"/>
      <c r="J140" s="74"/>
      <c r="K140" s="35" t="s">
        <v>65</v>
      </c>
      <c r="L140" s="82">
        <v>140</v>
      </c>
      <c r="M140" s="82"/>
      <c r="N140" s="76"/>
      <c r="O140" s="84" t="s">
        <v>187</v>
      </c>
      <c r="P140" s="86">
        <v>44082.43247685185</v>
      </c>
      <c r="Q140" s="84" t="s">
        <v>458</v>
      </c>
      <c r="R140" s="87" t="str">
        <f>HYPERLINK("http://www.ineditweb.es/miedo-a-lo-tecnologico-art837")</f>
        <v>http://www.ineditweb.es/miedo-a-lo-tecnologico-art837</v>
      </c>
      <c r="S140" s="84" t="s">
        <v>539</v>
      </c>
      <c r="T140" s="84" t="s">
        <v>577</v>
      </c>
      <c r="U140" s="87" t="str">
        <f>HYPERLINK("https://pbs.twimg.com/media/EhYrAACXcAEK-eg.jpg")</f>
        <v>https://pbs.twimg.com/media/EhYrAACXcAEK-eg.jpg</v>
      </c>
      <c r="V140" s="87" t="str">
        <f>HYPERLINK("https://pbs.twimg.com/media/EhYrAACXcAEK-eg.jpg")</f>
        <v>https://pbs.twimg.com/media/EhYrAACXcAEK-eg.jpg</v>
      </c>
      <c r="W140" s="86">
        <v>44082.43247685185</v>
      </c>
      <c r="X140" s="90">
        <v>44082</v>
      </c>
      <c r="Y140" s="92" t="s">
        <v>687</v>
      </c>
      <c r="Z140" s="87" t="str">
        <f>HYPERLINK("https://twitter.com/ineditmagazine/status/1303277593932820481")</f>
        <v>https://twitter.com/ineditmagazine/status/1303277593932820481</v>
      </c>
      <c r="AA140" s="84"/>
      <c r="AB140" s="84"/>
      <c r="AC140" s="92" t="s">
        <v>1081</v>
      </c>
      <c r="AD140" s="84"/>
      <c r="AE140" s="84" t="b">
        <v>0</v>
      </c>
      <c r="AF140" s="84">
        <v>2</v>
      </c>
      <c r="AG140" s="92" t="s">
        <v>1453</v>
      </c>
      <c r="AH140" s="84" t="b">
        <v>0</v>
      </c>
      <c r="AI140" s="84" t="s">
        <v>1459</v>
      </c>
      <c r="AJ140" s="84"/>
      <c r="AK140" s="92" t="s">
        <v>1453</v>
      </c>
      <c r="AL140" s="84" t="b">
        <v>0</v>
      </c>
      <c r="AM140" s="84">
        <v>3</v>
      </c>
      <c r="AN140" s="92" t="s">
        <v>1453</v>
      </c>
      <c r="AO140" s="84" t="s">
        <v>1480</v>
      </c>
      <c r="AP140" s="84" t="b">
        <v>0</v>
      </c>
      <c r="AQ140" s="92" t="s">
        <v>1081</v>
      </c>
      <c r="AR140" s="84" t="s">
        <v>187</v>
      </c>
      <c r="AS140" s="84">
        <v>0</v>
      </c>
      <c r="AT140" s="84">
        <v>0</v>
      </c>
      <c r="AU140" s="84"/>
      <c r="AV140" s="84"/>
      <c r="AW140" s="84"/>
      <c r="AX140" s="84"/>
      <c r="AY140" s="84"/>
      <c r="AZ140" s="84"/>
      <c r="BA140" s="84"/>
      <c r="BB140" s="84"/>
      <c r="BC140">
        <v>1</v>
      </c>
      <c r="BD140" s="83" t="str">
        <f>REPLACE(INDEX(GroupVertices[Group],MATCH(Edges[[#This Row],[Vertex 1]],GroupVertices[Vertex],0)),1,1,"")</f>
        <v>7</v>
      </c>
      <c r="BE140" s="83" t="str">
        <f>REPLACE(INDEX(GroupVertices[Group],MATCH(Edges[[#This Row],[Vertex 2]],GroupVertices[Vertex],0)),1,1,"")</f>
        <v>7</v>
      </c>
      <c r="BF140" s="49">
        <v>0</v>
      </c>
      <c r="BG140" s="50">
        <v>0</v>
      </c>
      <c r="BH140" s="49">
        <v>0</v>
      </c>
      <c r="BI140" s="50">
        <v>0</v>
      </c>
      <c r="BJ140" s="49">
        <v>0</v>
      </c>
      <c r="BK140" s="50">
        <v>0</v>
      </c>
      <c r="BL140" s="49">
        <v>34</v>
      </c>
      <c r="BM140" s="50">
        <v>100</v>
      </c>
      <c r="BN140" s="49">
        <v>34</v>
      </c>
    </row>
    <row r="141" spans="1:66" ht="15">
      <c r="A141" s="68" t="s">
        <v>270</v>
      </c>
      <c r="B141" s="68" t="s">
        <v>269</v>
      </c>
      <c r="C141" s="69" t="s">
        <v>5208</v>
      </c>
      <c r="D141" s="70">
        <v>1</v>
      </c>
      <c r="E141" s="71" t="s">
        <v>132</v>
      </c>
      <c r="F141" s="72">
        <v>32</v>
      </c>
      <c r="G141" s="69" t="s">
        <v>51</v>
      </c>
      <c r="H141" s="73"/>
      <c r="I141" s="74"/>
      <c r="J141" s="74"/>
      <c r="K141" s="35" t="s">
        <v>65</v>
      </c>
      <c r="L141" s="82">
        <v>141</v>
      </c>
      <c r="M141" s="82"/>
      <c r="N141" s="76"/>
      <c r="O141" s="84" t="s">
        <v>439</v>
      </c>
      <c r="P141" s="86">
        <v>44082.714895833335</v>
      </c>
      <c r="Q141" s="84" t="s">
        <v>458</v>
      </c>
      <c r="R141" s="87" t="str">
        <f>HYPERLINK("http://www.ineditweb.es/miedo-a-lo-tecnologico-art837")</f>
        <v>http://www.ineditweb.es/miedo-a-lo-tecnologico-art837</v>
      </c>
      <c r="S141" s="84" t="s">
        <v>539</v>
      </c>
      <c r="T141" s="84" t="s">
        <v>577</v>
      </c>
      <c r="U141" s="87" t="str">
        <f>HYPERLINK("https://pbs.twimg.com/media/EhYrAACXcAEK-eg.jpg")</f>
        <v>https://pbs.twimg.com/media/EhYrAACXcAEK-eg.jpg</v>
      </c>
      <c r="V141" s="87" t="str">
        <f>HYPERLINK("https://pbs.twimg.com/media/EhYrAACXcAEK-eg.jpg")</f>
        <v>https://pbs.twimg.com/media/EhYrAACXcAEK-eg.jpg</v>
      </c>
      <c r="W141" s="86">
        <v>44082.714895833335</v>
      </c>
      <c r="X141" s="90">
        <v>44082</v>
      </c>
      <c r="Y141" s="92" t="s">
        <v>688</v>
      </c>
      <c r="Z141" s="87" t="str">
        <f>HYPERLINK("https://twitter.com/colorsofashadow/status/1303379935982170113")</f>
        <v>https://twitter.com/colorsofashadow/status/1303379935982170113</v>
      </c>
      <c r="AA141" s="84"/>
      <c r="AB141" s="84"/>
      <c r="AC141" s="92" t="s">
        <v>1082</v>
      </c>
      <c r="AD141" s="84"/>
      <c r="AE141" s="84" t="b">
        <v>0</v>
      </c>
      <c r="AF141" s="84">
        <v>0</v>
      </c>
      <c r="AG141" s="92" t="s">
        <v>1453</v>
      </c>
      <c r="AH141" s="84" t="b">
        <v>0</v>
      </c>
      <c r="AI141" s="84" t="s">
        <v>1459</v>
      </c>
      <c r="AJ141" s="84"/>
      <c r="AK141" s="92" t="s">
        <v>1453</v>
      </c>
      <c r="AL141" s="84" t="b">
        <v>0</v>
      </c>
      <c r="AM141" s="84">
        <v>3</v>
      </c>
      <c r="AN141" s="92" t="s">
        <v>1081</v>
      </c>
      <c r="AO141" s="84" t="s">
        <v>1465</v>
      </c>
      <c r="AP141" s="84" t="b">
        <v>0</v>
      </c>
      <c r="AQ141" s="92" t="s">
        <v>1081</v>
      </c>
      <c r="AR141" s="84" t="s">
        <v>187</v>
      </c>
      <c r="AS141" s="84">
        <v>0</v>
      </c>
      <c r="AT141" s="84">
        <v>0</v>
      </c>
      <c r="AU141" s="84"/>
      <c r="AV141" s="84"/>
      <c r="AW141" s="84"/>
      <c r="AX141" s="84"/>
      <c r="AY141" s="84"/>
      <c r="AZ141" s="84"/>
      <c r="BA141" s="84"/>
      <c r="BB141" s="84"/>
      <c r="BC141">
        <v>1</v>
      </c>
      <c r="BD141" s="83" t="str">
        <f>REPLACE(INDEX(GroupVertices[Group],MATCH(Edges[[#This Row],[Vertex 1]],GroupVertices[Vertex],0)),1,1,"")</f>
        <v>7</v>
      </c>
      <c r="BE141" s="83" t="str">
        <f>REPLACE(INDEX(GroupVertices[Group],MATCH(Edges[[#This Row],[Vertex 2]],GroupVertices[Vertex],0)),1,1,"")</f>
        <v>7</v>
      </c>
      <c r="BF141" s="49">
        <v>0</v>
      </c>
      <c r="BG141" s="50">
        <v>0</v>
      </c>
      <c r="BH141" s="49">
        <v>0</v>
      </c>
      <c r="BI141" s="50">
        <v>0</v>
      </c>
      <c r="BJ141" s="49">
        <v>0</v>
      </c>
      <c r="BK141" s="50">
        <v>0</v>
      </c>
      <c r="BL141" s="49">
        <v>34</v>
      </c>
      <c r="BM141" s="50">
        <v>100</v>
      </c>
      <c r="BN141" s="49">
        <v>34</v>
      </c>
    </row>
    <row r="142" spans="1:66" ht="15">
      <c r="A142" s="68" t="s">
        <v>271</v>
      </c>
      <c r="B142" s="68" t="s">
        <v>382</v>
      </c>
      <c r="C142" s="69" t="s">
        <v>5208</v>
      </c>
      <c r="D142" s="70">
        <v>1</v>
      </c>
      <c r="E142" s="71" t="s">
        <v>132</v>
      </c>
      <c r="F142" s="72">
        <v>32</v>
      </c>
      <c r="G142" s="69" t="s">
        <v>51</v>
      </c>
      <c r="H142" s="73"/>
      <c r="I142" s="74"/>
      <c r="J142" s="74"/>
      <c r="K142" s="35" t="s">
        <v>65</v>
      </c>
      <c r="L142" s="82">
        <v>142</v>
      </c>
      <c r="M142" s="82"/>
      <c r="N142" s="76"/>
      <c r="O142" s="84" t="s">
        <v>440</v>
      </c>
      <c r="P142" s="86">
        <v>44082.81350694445</v>
      </c>
      <c r="Q142" s="84" t="s">
        <v>448</v>
      </c>
      <c r="R142" s="87" t="str">
        <f>HYPERLINK("https://www.peoplematters.in/news/technology/job-searches-in-artificial-intelligence-rise-106-in-one-year-report-26898")</f>
        <v>https://www.peoplematters.in/news/technology/job-searches-in-artificial-intelligence-rise-106-in-one-year-report-26898</v>
      </c>
      <c r="S142" s="84" t="s">
        <v>532</v>
      </c>
      <c r="T142" s="84" t="s">
        <v>568</v>
      </c>
      <c r="U142" s="87" t="str">
        <f>HYPERLINK("https://pbs.twimg.com/media/EhVAOmdWoAAOQiY.jpg")</f>
        <v>https://pbs.twimg.com/media/EhVAOmdWoAAOQiY.jpg</v>
      </c>
      <c r="V142" s="87" t="str">
        <f>HYPERLINK("https://pbs.twimg.com/media/EhVAOmdWoAAOQiY.jpg")</f>
        <v>https://pbs.twimg.com/media/EhVAOmdWoAAOQiY.jpg</v>
      </c>
      <c r="W142" s="86">
        <v>44082.81350694445</v>
      </c>
      <c r="X142" s="90">
        <v>44082</v>
      </c>
      <c r="Y142" s="92" t="s">
        <v>689</v>
      </c>
      <c r="Z142" s="87" t="str">
        <f>HYPERLINK("https://twitter.com/education_24x7/status/1303415674577055750")</f>
        <v>https://twitter.com/education_24x7/status/1303415674577055750</v>
      </c>
      <c r="AA142" s="84"/>
      <c r="AB142" s="84"/>
      <c r="AC142" s="92" t="s">
        <v>1083</v>
      </c>
      <c r="AD142" s="84"/>
      <c r="AE142" s="84" t="b">
        <v>0</v>
      </c>
      <c r="AF142" s="84">
        <v>0</v>
      </c>
      <c r="AG142" s="92" t="s">
        <v>1453</v>
      </c>
      <c r="AH142" s="84" t="b">
        <v>0</v>
      </c>
      <c r="AI142" s="84" t="s">
        <v>1456</v>
      </c>
      <c r="AJ142" s="84"/>
      <c r="AK142" s="92" t="s">
        <v>1453</v>
      </c>
      <c r="AL142" s="84" t="b">
        <v>0</v>
      </c>
      <c r="AM142" s="84">
        <v>25</v>
      </c>
      <c r="AN142" s="92" t="s">
        <v>1248</v>
      </c>
      <c r="AO142" s="84"/>
      <c r="AP142" s="84" t="b">
        <v>0</v>
      </c>
      <c r="AQ142" s="92" t="s">
        <v>1248</v>
      </c>
      <c r="AR142" s="84" t="s">
        <v>187</v>
      </c>
      <c r="AS142" s="84">
        <v>0</v>
      </c>
      <c r="AT142" s="84">
        <v>0</v>
      </c>
      <c r="AU142" s="84"/>
      <c r="AV142" s="84"/>
      <c r="AW142" s="84"/>
      <c r="AX142" s="84"/>
      <c r="AY142" s="84"/>
      <c r="AZ142" s="84"/>
      <c r="BA142" s="84"/>
      <c r="BB142" s="84"/>
      <c r="BC142">
        <v>1</v>
      </c>
      <c r="BD142" s="83" t="str">
        <f>REPLACE(INDEX(GroupVertices[Group],MATCH(Edges[[#This Row],[Vertex 1]],GroupVertices[Vertex],0)),1,1,"")</f>
        <v>4</v>
      </c>
      <c r="BE142" s="83" t="str">
        <f>REPLACE(INDEX(GroupVertices[Group],MATCH(Edges[[#This Row],[Vertex 2]],GroupVertices[Vertex],0)),1,1,"")</f>
        <v>4</v>
      </c>
      <c r="BF142" s="49"/>
      <c r="BG142" s="50"/>
      <c r="BH142" s="49"/>
      <c r="BI142" s="50"/>
      <c r="BJ142" s="49"/>
      <c r="BK142" s="50"/>
      <c r="BL142" s="49"/>
      <c r="BM142" s="50"/>
      <c r="BN142" s="49"/>
    </row>
    <row r="143" spans="1:66" ht="15">
      <c r="A143" s="68" t="s">
        <v>271</v>
      </c>
      <c r="B143" s="68" t="s">
        <v>385</v>
      </c>
      <c r="C143" s="69" t="s">
        <v>5208</v>
      </c>
      <c r="D143" s="70">
        <v>1</v>
      </c>
      <c r="E143" s="71" t="s">
        <v>132</v>
      </c>
      <c r="F143" s="72">
        <v>32</v>
      </c>
      <c r="G143" s="69" t="s">
        <v>51</v>
      </c>
      <c r="H143" s="73"/>
      <c r="I143" s="74"/>
      <c r="J143" s="74"/>
      <c r="K143" s="35" t="s">
        <v>65</v>
      </c>
      <c r="L143" s="82">
        <v>143</v>
      </c>
      <c r="M143" s="82"/>
      <c r="N143" s="76"/>
      <c r="O143" s="84" t="s">
        <v>440</v>
      </c>
      <c r="P143" s="86">
        <v>44082.81350694445</v>
      </c>
      <c r="Q143" s="84" t="s">
        <v>448</v>
      </c>
      <c r="R143" s="87" t="str">
        <f>HYPERLINK("https://www.peoplematters.in/news/technology/job-searches-in-artificial-intelligence-rise-106-in-one-year-report-26898")</f>
        <v>https://www.peoplematters.in/news/technology/job-searches-in-artificial-intelligence-rise-106-in-one-year-report-26898</v>
      </c>
      <c r="S143" s="84" t="s">
        <v>532</v>
      </c>
      <c r="T143" s="84" t="s">
        <v>568</v>
      </c>
      <c r="U143" s="87" t="str">
        <f>HYPERLINK("https://pbs.twimg.com/media/EhVAOmdWoAAOQiY.jpg")</f>
        <v>https://pbs.twimg.com/media/EhVAOmdWoAAOQiY.jpg</v>
      </c>
      <c r="V143" s="87" t="str">
        <f>HYPERLINK("https://pbs.twimg.com/media/EhVAOmdWoAAOQiY.jpg")</f>
        <v>https://pbs.twimg.com/media/EhVAOmdWoAAOQiY.jpg</v>
      </c>
      <c r="W143" s="86">
        <v>44082.81350694445</v>
      </c>
      <c r="X143" s="90">
        <v>44082</v>
      </c>
      <c r="Y143" s="92" t="s">
        <v>689</v>
      </c>
      <c r="Z143" s="87" t="str">
        <f>HYPERLINK("https://twitter.com/education_24x7/status/1303415674577055750")</f>
        <v>https://twitter.com/education_24x7/status/1303415674577055750</v>
      </c>
      <c r="AA143" s="84"/>
      <c r="AB143" s="84"/>
      <c r="AC143" s="92" t="s">
        <v>1083</v>
      </c>
      <c r="AD143" s="84"/>
      <c r="AE143" s="84" t="b">
        <v>0</v>
      </c>
      <c r="AF143" s="84">
        <v>0</v>
      </c>
      <c r="AG143" s="92" t="s">
        <v>1453</v>
      </c>
      <c r="AH143" s="84" t="b">
        <v>0</v>
      </c>
      <c r="AI143" s="84" t="s">
        <v>1456</v>
      </c>
      <c r="AJ143" s="84"/>
      <c r="AK143" s="92" t="s">
        <v>1453</v>
      </c>
      <c r="AL143" s="84" t="b">
        <v>0</v>
      </c>
      <c r="AM143" s="84">
        <v>25</v>
      </c>
      <c r="AN143" s="92" t="s">
        <v>1248</v>
      </c>
      <c r="AO143" s="84"/>
      <c r="AP143" s="84" t="b">
        <v>0</v>
      </c>
      <c r="AQ143" s="92" t="s">
        <v>1248</v>
      </c>
      <c r="AR143" s="84" t="s">
        <v>187</v>
      </c>
      <c r="AS143" s="84">
        <v>0</v>
      </c>
      <c r="AT143" s="84">
        <v>0</v>
      </c>
      <c r="AU143" s="84"/>
      <c r="AV143" s="84"/>
      <c r="AW143" s="84"/>
      <c r="AX143" s="84"/>
      <c r="AY143" s="84"/>
      <c r="AZ143" s="84"/>
      <c r="BA143" s="84"/>
      <c r="BB143" s="84"/>
      <c r="BC143">
        <v>1</v>
      </c>
      <c r="BD143" s="83" t="str">
        <f>REPLACE(INDEX(GroupVertices[Group],MATCH(Edges[[#This Row],[Vertex 1]],GroupVertices[Vertex],0)),1,1,"")</f>
        <v>4</v>
      </c>
      <c r="BE143" s="83" t="str">
        <f>REPLACE(INDEX(GroupVertices[Group],MATCH(Edges[[#This Row],[Vertex 2]],GroupVertices[Vertex],0)),1,1,"")</f>
        <v>4</v>
      </c>
      <c r="BF143" s="49"/>
      <c r="BG143" s="50"/>
      <c r="BH143" s="49"/>
      <c r="BI143" s="50"/>
      <c r="BJ143" s="49"/>
      <c r="BK143" s="50"/>
      <c r="BL143" s="49"/>
      <c r="BM143" s="50"/>
      <c r="BN143" s="49"/>
    </row>
    <row r="144" spans="1:66" ht="15">
      <c r="A144" s="68" t="s">
        <v>271</v>
      </c>
      <c r="B144" s="68" t="s">
        <v>430</v>
      </c>
      <c r="C144" s="69" t="s">
        <v>5208</v>
      </c>
      <c r="D144" s="70">
        <v>1</v>
      </c>
      <c r="E144" s="71" t="s">
        <v>132</v>
      </c>
      <c r="F144" s="72">
        <v>32</v>
      </c>
      <c r="G144" s="69" t="s">
        <v>51</v>
      </c>
      <c r="H144" s="73"/>
      <c r="I144" s="74"/>
      <c r="J144" s="74"/>
      <c r="K144" s="35" t="s">
        <v>65</v>
      </c>
      <c r="L144" s="82">
        <v>144</v>
      </c>
      <c r="M144" s="82"/>
      <c r="N144" s="76"/>
      <c r="O144" s="84" t="s">
        <v>440</v>
      </c>
      <c r="P144" s="86">
        <v>44082.81350694445</v>
      </c>
      <c r="Q144" s="84" t="s">
        <v>448</v>
      </c>
      <c r="R144" s="87" t="str">
        <f>HYPERLINK("https://www.peoplematters.in/news/technology/job-searches-in-artificial-intelligence-rise-106-in-one-year-report-26898")</f>
        <v>https://www.peoplematters.in/news/technology/job-searches-in-artificial-intelligence-rise-106-in-one-year-report-26898</v>
      </c>
      <c r="S144" s="84" t="s">
        <v>532</v>
      </c>
      <c r="T144" s="84" t="s">
        <v>568</v>
      </c>
      <c r="U144" s="87" t="str">
        <f>HYPERLINK("https://pbs.twimg.com/media/EhVAOmdWoAAOQiY.jpg")</f>
        <v>https://pbs.twimg.com/media/EhVAOmdWoAAOQiY.jpg</v>
      </c>
      <c r="V144" s="87" t="str">
        <f>HYPERLINK("https://pbs.twimg.com/media/EhVAOmdWoAAOQiY.jpg")</f>
        <v>https://pbs.twimg.com/media/EhVAOmdWoAAOQiY.jpg</v>
      </c>
      <c r="W144" s="86">
        <v>44082.81350694445</v>
      </c>
      <c r="X144" s="90">
        <v>44082</v>
      </c>
      <c r="Y144" s="92" t="s">
        <v>689</v>
      </c>
      <c r="Z144" s="87" t="str">
        <f>HYPERLINK("https://twitter.com/education_24x7/status/1303415674577055750")</f>
        <v>https://twitter.com/education_24x7/status/1303415674577055750</v>
      </c>
      <c r="AA144" s="84"/>
      <c r="AB144" s="84"/>
      <c r="AC144" s="92" t="s">
        <v>1083</v>
      </c>
      <c r="AD144" s="84"/>
      <c r="AE144" s="84" t="b">
        <v>0</v>
      </c>
      <c r="AF144" s="84">
        <v>0</v>
      </c>
      <c r="AG144" s="92" t="s">
        <v>1453</v>
      </c>
      <c r="AH144" s="84" t="b">
        <v>0</v>
      </c>
      <c r="AI144" s="84" t="s">
        <v>1456</v>
      </c>
      <c r="AJ144" s="84"/>
      <c r="AK144" s="92" t="s">
        <v>1453</v>
      </c>
      <c r="AL144" s="84" t="b">
        <v>0</v>
      </c>
      <c r="AM144" s="84">
        <v>25</v>
      </c>
      <c r="AN144" s="92" t="s">
        <v>1248</v>
      </c>
      <c r="AO144" s="84"/>
      <c r="AP144" s="84" t="b">
        <v>0</v>
      </c>
      <c r="AQ144" s="92" t="s">
        <v>1248</v>
      </c>
      <c r="AR144" s="84" t="s">
        <v>187</v>
      </c>
      <c r="AS144" s="84">
        <v>0</v>
      </c>
      <c r="AT144" s="84">
        <v>0</v>
      </c>
      <c r="AU144" s="84"/>
      <c r="AV144" s="84"/>
      <c r="AW144" s="84"/>
      <c r="AX144" s="84"/>
      <c r="AY144" s="84"/>
      <c r="AZ144" s="84"/>
      <c r="BA144" s="84"/>
      <c r="BB144" s="84"/>
      <c r="BC144">
        <v>1</v>
      </c>
      <c r="BD144" s="83" t="str">
        <f>REPLACE(INDEX(GroupVertices[Group],MATCH(Edges[[#This Row],[Vertex 1]],GroupVertices[Vertex],0)),1,1,"")</f>
        <v>4</v>
      </c>
      <c r="BE144" s="83" t="str">
        <f>REPLACE(INDEX(GroupVertices[Group],MATCH(Edges[[#This Row],[Vertex 2]],GroupVertices[Vertex],0)),1,1,"")</f>
        <v>4</v>
      </c>
      <c r="BF144" s="49"/>
      <c r="BG144" s="50"/>
      <c r="BH144" s="49"/>
      <c r="BI144" s="50"/>
      <c r="BJ144" s="49"/>
      <c r="BK144" s="50"/>
      <c r="BL144" s="49"/>
      <c r="BM144" s="50"/>
      <c r="BN144" s="49"/>
    </row>
    <row r="145" spans="1:66" ht="15">
      <c r="A145" s="68" t="s">
        <v>271</v>
      </c>
      <c r="B145" s="68" t="s">
        <v>383</v>
      </c>
      <c r="C145" s="69" t="s">
        <v>5208</v>
      </c>
      <c r="D145" s="70">
        <v>1</v>
      </c>
      <c r="E145" s="71" t="s">
        <v>132</v>
      </c>
      <c r="F145" s="72">
        <v>32</v>
      </c>
      <c r="G145" s="69" t="s">
        <v>51</v>
      </c>
      <c r="H145" s="73"/>
      <c r="I145" s="74"/>
      <c r="J145" s="74"/>
      <c r="K145" s="35" t="s">
        <v>65</v>
      </c>
      <c r="L145" s="82">
        <v>145</v>
      </c>
      <c r="M145" s="82"/>
      <c r="N145" s="76"/>
      <c r="O145" s="84" t="s">
        <v>440</v>
      </c>
      <c r="P145" s="86">
        <v>44082.81350694445</v>
      </c>
      <c r="Q145" s="84" t="s">
        <v>448</v>
      </c>
      <c r="R145" s="87" t="str">
        <f>HYPERLINK("https://www.peoplematters.in/news/technology/job-searches-in-artificial-intelligence-rise-106-in-one-year-report-26898")</f>
        <v>https://www.peoplematters.in/news/technology/job-searches-in-artificial-intelligence-rise-106-in-one-year-report-26898</v>
      </c>
      <c r="S145" s="84" t="s">
        <v>532</v>
      </c>
      <c r="T145" s="84" t="s">
        <v>568</v>
      </c>
      <c r="U145" s="87" t="str">
        <f>HYPERLINK("https://pbs.twimg.com/media/EhVAOmdWoAAOQiY.jpg")</f>
        <v>https://pbs.twimg.com/media/EhVAOmdWoAAOQiY.jpg</v>
      </c>
      <c r="V145" s="87" t="str">
        <f>HYPERLINK("https://pbs.twimg.com/media/EhVAOmdWoAAOQiY.jpg")</f>
        <v>https://pbs.twimg.com/media/EhVAOmdWoAAOQiY.jpg</v>
      </c>
      <c r="W145" s="86">
        <v>44082.81350694445</v>
      </c>
      <c r="X145" s="90">
        <v>44082</v>
      </c>
      <c r="Y145" s="92" t="s">
        <v>689</v>
      </c>
      <c r="Z145" s="87" t="str">
        <f>HYPERLINK("https://twitter.com/education_24x7/status/1303415674577055750")</f>
        <v>https://twitter.com/education_24x7/status/1303415674577055750</v>
      </c>
      <c r="AA145" s="84"/>
      <c r="AB145" s="84"/>
      <c r="AC145" s="92" t="s">
        <v>1083</v>
      </c>
      <c r="AD145" s="84"/>
      <c r="AE145" s="84" t="b">
        <v>0</v>
      </c>
      <c r="AF145" s="84">
        <v>0</v>
      </c>
      <c r="AG145" s="92" t="s">
        <v>1453</v>
      </c>
      <c r="AH145" s="84" t="b">
        <v>0</v>
      </c>
      <c r="AI145" s="84" t="s">
        <v>1456</v>
      </c>
      <c r="AJ145" s="84"/>
      <c r="AK145" s="92" t="s">
        <v>1453</v>
      </c>
      <c r="AL145" s="84" t="b">
        <v>0</v>
      </c>
      <c r="AM145" s="84">
        <v>25</v>
      </c>
      <c r="AN145" s="92" t="s">
        <v>1248</v>
      </c>
      <c r="AO145" s="84"/>
      <c r="AP145" s="84" t="b">
        <v>0</v>
      </c>
      <c r="AQ145" s="92" t="s">
        <v>1248</v>
      </c>
      <c r="AR145" s="84" t="s">
        <v>187</v>
      </c>
      <c r="AS145" s="84">
        <v>0</v>
      </c>
      <c r="AT145" s="84">
        <v>0</v>
      </c>
      <c r="AU145" s="84"/>
      <c r="AV145" s="84"/>
      <c r="AW145" s="84"/>
      <c r="AX145" s="84"/>
      <c r="AY145" s="84"/>
      <c r="AZ145" s="84"/>
      <c r="BA145" s="84"/>
      <c r="BB145" s="84"/>
      <c r="BC145">
        <v>1</v>
      </c>
      <c r="BD145" s="83" t="str">
        <f>REPLACE(INDEX(GroupVertices[Group],MATCH(Edges[[#This Row],[Vertex 1]],GroupVertices[Vertex],0)),1,1,"")</f>
        <v>4</v>
      </c>
      <c r="BE145" s="83" t="str">
        <f>REPLACE(INDEX(GroupVertices[Group],MATCH(Edges[[#This Row],[Vertex 2]],GroupVertices[Vertex],0)),1,1,"")</f>
        <v>4</v>
      </c>
      <c r="BF145" s="49"/>
      <c r="BG145" s="50"/>
      <c r="BH145" s="49"/>
      <c r="BI145" s="50"/>
      <c r="BJ145" s="49"/>
      <c r="BK145" s="50"/>
      <c r="BL145" s="49"/>
      <c r="BM145" s="50"/>
      <c r="BN145" s="49"/>
    </row>
    <row r="146" spans="1:66" ht="15">
      <c r="A146" s="68" t="s">
        <v>271</v>
      </c>
      <c r="B146" s="68" t="s">
        <v>380</v>
      </c>
      <c r="C146" s="69" t="s">
        <v>5208</v>
      </c>
      <c r="D146" s="70">
        <v>1</v>
      </c>
      <c r="E146" s="71" t="s">
        <v>132</v>
      </c>
      <c r="F146" s="72">
        <v>32</v>
      </c>
      <c r="G146" s="69" t="s">
        <v>51</v>
      </c>
      <c r="H146" s="73"/>
      <c r="I146" s="74"/>
      <c r="J146" s="74"/>
      <c r="K146" s="35" t="s">
        <v>65</v>
      </c>
      <c r="L146" s="82">
        <v>146</v>
      </c>
      <c r="M146" s="82"/>
      <c r="N146" s="76"/>
      <c r="O146" s="84" t="s">
        <v>440</v>
      </c>
      <c r="P146" s="86">
        <v>44082.81350694445</v>
      </c>
      <c r="Q146" s="84" t="s">
        <v>448</v>
      </c>
      <c r="R146" s="87" t="str">
        <f>HYPERLINK("https://www.peoplematters.in/news/technology/job-searches-in-artificial-intelligence-rise-106-in-one-year-report-26898")</f>
        <v>https://www.peoplematters.in/news/technology/job-searches-in-artificial-intelligence-rise-106-in-one-year-report-26898</v>
      </c>
      <c r="S146" s="84" t="s">
        <v>532</v>
      </c>
      <c r="T146" s="84" t="s">
        <v>568</v>
      </c>
      <c r="U146" s="87" t="str">
        <f>HYPERLINK("https://pbs.twimg.com/media/EhVAOmdWoAAOQiY.jpg")</f>
        <v>https://pbs.twimg.com/media/EhVAOmdWoAAOQiY.jpg</v>
      </c>
      <c r="V146" s="87" t="str">
        <f>HYPERLINK("https://pbs.twimg.com/media/EhVAOmdWoAAOQiY.jpg")</f>
        <v>https://pbs.twimg.com/media/EhVAOmdWoAAOQiY.jpg</v>
      </c>
      <c r="W146" s="86">
        <v>44082.81350694445</v>
      </c>
      <c r="X146" s="90">
        <v>44082</v>
      </c>
      <c r="Y146" s="92" t="s">
        <v>689</v>
      </c>
      <c r="Z146" s="87" t="str">
        <f>HYPERLINK("https://twitter.com/education_24x7/status/1303415674577055750")</f>
        <v>https://twitter.com/education_24x7/status/1303415674577055750</v>
      </c>
      <c r="AA146" s="84"/>
      <c r="AB146" s="84"/>
      <c r="AC146" s="92" t="s">
        <v>1083</v>
      </c>
      <c r="AD146" s="84"/>
      <c r="AE146" s="84" t="b">
        <v>0</v>
      </c>
      <c r="AF146" s="84">
        <v>0</v>
      </c>
      <c r="AG146" s="92" t="s">
        <v>1453</v>
      </c>
      <c r="AH146" s="84" t="b">
        <v>0</v>
      </c>
      <c r="AI146" s="84" t="s">
        <v>1456</v>
      </c>
      <c r="AJ146" s="84"/>
      <c r="AK146" s="92" t="s">
        <v>1453</v>
      </c>
      <c r="AL146" s="84" t="b">
        <v>0</v>
      </c>
      <c r="AM146" s="84">
        <v>25</v>
      </c>
      <c r="AN146" s="92" t="s">
        <v>1248</v>
      </c>
      <c r="AO146" s="84"/>
      <c r="AP146" s="84" t="b">
        <v>0</v>
      </c>
      <c r="AQ146" s="92" t="s">
        <v>1248</v>
      </c>
      <c r="AR146" s="84" t="s">
        <v>187</v>
      </c>
      <c r="AS146" s="84">
        <v>0</v>
      </c>
      <c r="AT146" s="84">
        <v>0</v>
      </c>
      <c r="AU146" s="84"/>
      <c r="AV146" s="84"/>
      <c r="AW146" s="84"/>
      <c r="AX146" s="84"/>
      <c r="AY146" s="84"/>
      <c r="AZ146" s="84"/>
      <c r="BA146" s="84"/>
      <c r="BB146" s="84"/>
      <c r="BC146">
        <v>1</v>
      </c>
      <c r="BD146" s="83" t="str">
        <f>REPLACE(INDEX(GroupVertices[Group],MATCH(Edges[[#This Row],[Vertex 1]],GroupVertices[Vertex],0)),1,1,"")</f>
        <v>4</v>
      </c>
      <c r="BE146" s="83" t="str">
        <f>REPLACE(INDEX(GroupVertices[Group],MATCH(Edges[[#This Row],[Vertex 2]],GroupVertices[Vertex],0)),1,1,"")</f>
        <v>4</v>
      </c>
      <c r="BF146" s="49"/>
      <c r="BG146" s="50"/>
      <c r="BH146" s="49"/>
      <c r="BI146" s="50"/>
      <c r="BJ146" s="49"/>
      <c r="BK146" s="50"/>
      <c r="BL146" s="49"/>
      <c r="BM146" s="50"/>
      <c r="BN146" s="49"/>
    </row>
    <row r="147" spans="1:66" ht="15">
      <c r="A147" s="68" t="s">
        <v>271</v>
      </c>
      <c r="B147" s="68" t="s">
        <v>381</v>
      </c>
      <c r="C147" s="69" t="s">
        <v>5208</v>
      </c>
      <c r="D147" s="70">
        <v>1</v>
      </c>
      <c r="E147" s="71" t="s">
        <v>132</v>
      </c>
      <c r="F147" s="72">
        <v>32</v>
      </c>
      <c r="G147" s="69" t="s">
        <v>51</v>
      </c>
      <c r="H147" s="73"/>
      <c r="I147" s="74"/>
      <c r="J147" s="74"/>
      <c r="K147" s="35" t="s">
        <v>65</v>
      </c>
      <c r="L147" s="82">
        <v>147</v>
      </c>
      <c r="M147" s="82"/>
      <c r="N147" s="76"/>
      <c r="O147" s="84" t="s">
        <v>440</v>
      </c>
      <c r="P147" s="86">
        <v>44082.81350694445</v>
      </c>
      <c r="Q147" s="84" t="s">
        <v>448</v>
      </c>
      <c r="R147" s="87" t="str">
        <f>HYPERLINK("https://www.peoplematters.in/news/technology/job-searches-in-artificial-intelligence-rise-106-in-one-year-report-26898")</f>
        <v>https://www.peoplematters.in/news/technology/job-searches-in-artificial-intelligence-rise-106-in-one-year-report-26898</v>
      </c>
      <c r="S147" s="84" t="s">
        <v>532</v>
      </c>
      <c r="T147" s="84" t="s">
        <v>568</v>
      </c>
      <c r="U147" s="87" t="str">
        <f>HYPERLINK("https://pbs.twimg.com/media/EhVAOmdWoAAOQiY.jpg")</f>
        <v>https://pbs.twimg.com/media/EhVAOmdWoAAOQiY.jpg</v>
      </c>
      <c r="V147" s="87" t="str">
        <f>HYPERLINK("https://pbs.twimg.com/media/EhVAOmdWoAAOQiY.jpg")</f>
        <v>https://pbs.twimg.com/media/EhVAOmdWoAAOQiY.jpg</v>
      </c>
      <c r="W147" s="86">
        <v>44082.81350694445</v>
      </c>
      <c r="X147" s="90">
        <v>44082</v>
      </c>
      <c r="Y147" s="92" t="s">
        <v>689</v>
      </c>
      <c r="Z147" s="87" t="str">
        <f>HYPERLINK("https://twitter.com/education_24x7/status/1303415674577055750")</f>
        <v>https://twitter.com/education_24x7/status/1303415674577055750</v>
      </c>
      <c r="AA147" s="84"/>
      <c r="AB147" s="84"/>
      <c r="AC147" s="92" t="s">
        <v>1083</v>
      </c>
      <c r="AD147" s="84"/>
      <c r="AE147" s="84" t="b">
        <v>0</v>
      </c>
      <c r="AF147" s="84">
        <v>0</v>
      </c>
      <c r="AG147" s="92" t="s">
        <v>1453</v>
      </c>
      <c r="AH147" s="84" t="b">
        <v>0</v>
      </c>
      <c r="AI147" s="84" t="s">
        <v>1456</v>
      </c>
      <c r="AJ147" s="84"/>
      <c r="AK147" s="92" t="s">
        <v>1453</v>
      </c>
      <c r="AL147" s="84" t="b">
        <v>0</v>
      </c>
      <c r="AM147" s="84">
        <v>25</v>
      </c>
      <c r="AN147" s="92" t="s">
        <v>1248</v>
      </c>
      <c r="AO147" s="84"/>
      <c r="AP147" s="84" t="b">
        <v>0</v>
      </c>
      <c r="AQ147" s="92" t="s">
        <v>1248</v>
      </c>
      <c r="AR147" s="84" t="s">
        <v>187</v>
      </c>
      <c r="AS147" s="84">
        <v>0</v>
      </c>
      <c r="AT147" s="84">
        <v>0</v>
      </c>
      <c r="AU147" s="84"/>
      <c r="AV147" s="84"/>
      <c r="AW147" s="84"/>
      <c r="AX147" s="84"/>
      <c r="AY147" s="84"/>
      <c r="AZ147" s="84"/>
      <c r="BA147" s="84"/>
      <c r="BB147" s="84"/>
      <c r="BC147">
        <v>1</v>
      </c>
      <c r="BD147" s="83" t="str">
        <f>REPLACE(INDEX(GroupVertices[Group],MATCH(Edges[[#This Row],[Vertex 1]],GroupVertices[Vertex],0)),1,1,"")</f>
        <v>4</v>
      </c>
      <c r="BE147" s="83" t="str">
        <f>REPLACE(INDEX(GroupVertices[Group],MATCH(Edges[[#This Row],[Vertex 2]],GroupVertices[Vertex],0)),1,1,"")</f>
        <v>4</v>
      </c>
      <c r="BF147" s="49"/>
      <c r="BG147" s="50"/>
      <c r="BH147" s="49"/>
      <c r="BI147" s="50"/>
      <c r="BJ147" s="49"/>
      <c r="BK147" s="50"/>
      <c r="BL147" s="49"/>
      <c r="BM147" s="50"/>
      <c r="BN147" s="49"/>
    </row>
    <row r="148" spans="1:66" ht="15">
      <c r="A148" s="68" t="s">
        <v>271</v>
      </c>
      <c r="B148" s="68" t="s">
        <v>431</v>
      </c>
      <c r="C148" s="69" t="s">
        <v>5208</v>
      </c>
      <c r="D148" s="70">
        <v>1</v>
      </c>
      <c r="E148" s="71" t="s">
        <v>132</v>
      </c>
      <c r="F148" s="72">
        <v>32</v>
      </c>
      <c r="G148" s="69" t="s">
        <v>51</v>
      </c>
      <c r="H148" s="73"/>
      <c r="I148" s="74"/>
      <c r="J148" s="74"/>
      <c r="K148" s="35" t="s">
        <v>65</v>
      </c>
      <c r="L148" s="82">
        <v>148</v>
      </c>
      <c r="M148" s="82"/>
      <c r="N148" s="76"/>
      <c r="O148" s="84" t="s">
        <v>440</v>
      </c>
      <c r="P148" s="86">
        <v>44082.81350694445</v>
      </c>
      <c r="Q148" s="84" t="s">
        <v>448</v>
      </c>
      <c r="R148" s="87" t="str">
        <f>HYPERLINK("https://www.peoplematters.in/news/technology/job-searches-in-artificial-intelligence-rise-106-in-one-year-report-26898")</f>
        <v>https://www.peoplematters.in/news/technology/job-searches-in-artificial-intelligence-rise-106-in-one-year-report-26898</v>
      </c>
      <c r="S148" s="84" t="s">
        <v>532</v>
      </c>
      <c r="T148" s="84" t="s">
        <v>568</v>
      </c>
      <c r="U148" s="87" t="str">
        <f>HYPERLINK("https://pbs.twimg.com/media/EhVAOmdWoAAOQiY.jpg")</f>
        <v>https://pbs.twimg.com/media/EhVAOmdWoAAOQiY.jpg</v>
      </c>
      <c r="V148" s="87" t="str">
        <f>HYPERLINK("https://pbs.twimg.com/media/EhVAOmdWoAAOQiY.jpg")</f>
        <v>https://pbs.twimg.com/media/EhVAOmdWoAAOQiY.jpg</v>
      </c>
      <c r="W148" s="86">
        <v>44082.81350694445</v>
      </c>
      <c r="X148" s="90">
        <v>44082</v>
      </c>
      <c r="Y148" s="92" t="s">
        <v>689</v>
      </c>
      <c r="Z148" s="87" t="str">
        <f>HYPERLINK("https://twitter.com/education_24x7/status/1303415674577055750")</f>
        <v>https://twitter.com/education_24x7/status/1303415674577055750</v>
      </c>
      <c r="AA148" s="84"/>
      <c r="AB148" s="84"/>
      <c r="AC148" s="92" t="s">
        <v>1083</v>
      </c>
      <c r="AD148" s="84"/>
      <c r="AE148" s="84" t="b">
        <v>0</v>
      </c>
      <c r="AF148" s="84">
        <v>0</v>
      </c>
      <c r="AG148" s="92" t="s">
        <v>1453</v>
      </c>
      <c r="AH148" s="84" t="b">
        <v>0</v>
      </c>
      <c r="AI148" s="84" t="s">
        <v>1456</v>
      </c>
      <c r="AJ148" s="84"/>
      <c r="AK148" s="92" t="s">
        <v>1453</v>
      </c>
      <c r="AL148" s="84" t="b">
        <v>0</v>
      </c>
      <c r="AM148" s="84">
        <v>25</v>
      </c>
      <c r="AN148" s="92" t="s">
        <v>1248</v>
      </c>
      <c r="AO148" s="84"/>
      <c r="AP148" s="84" t="b">
        <v>0</v>
      </c>
      <c r="AQ148" s="92" t="s">
        <v>1248</v>
      </c>
      <c r="AR148" s="84" t="s">
        <v>187</v>
      </c>
      <c r="AS148" s="84">
        <v>0</v>
      </c>
      <c r="AT148" s="84">
        <v>0</v>
      </c>
      <c r="AU148" s="84"/>
      <c r="AV148" s="84"/>
      <c r="AW148" s="84"/>
      <c r="AX148" s="84"/>
      <c r="AY148" s="84"/>
      <c r="AZ148" s="84"/>
      <c r="BA148" s="84"/>
      <c r="BB148" s="84"/>
      <c r="BC148">
        <v>1</v>
      </c>
      <c r="BD148" s="83" t="str">
        <f>REPLACE(INDEX(GroupVertices[Group],MATCH(Edges[[#This Row],[Vertex 1]],GroupVertices[Vertex],0)),1,1,"")</f>
        <v>4</v>
      </c>
      <c r="BE148" s="83" t="str">
        <f>REPLACE(INDEX(GroupVertices[Group],MATCH(Edges[[#This Row],[Vertex 2]],GroupVertices[Vertex],0)),1,1,"")</f>
        <v>4</v>
      </c>
      <c r="BF148" s="49"/>
      <c r="BG148" s="50"/>
      <c r="BH148" s="49"/>
      <c r="BI148" s="50"/>
      <c r="BJ148" s="49"/>
      <c r="BK148" s="50"/>
      <c r="BL148" s="49"/>
      <c r="BM148" s="50"/>
      <c r="BN148" s="49"/>
    </row>
    <row r="149" spans="1:66" ht="15">
      <c r="A149" s="68" t="s">
        <v>271</v>
      </c>
      <c r="B149" s="68" t="s">
        <v>432</v>
      </c>
      <c r="C149" s="69" t="s">
        <v>5208</v>
      </c>
      <c r="D149" s="70">
        <v>1</v>
      </c>
      <c r="E149" s="71" t="s">
        <v>132</v>
      </c>
      <c r="F149" s="72">
        <v>32</v>
      </c>
      <c r="G149" s="69" t="s">
        <v>51</v>
      </c>
      <c r="H149" s="73"/>
      <c r="I149" s="74"/>
      <c r="J149" s="74"/>
      <c r="K149" s="35" t="s">
        <v>65</v>
      </c>
      <c r="L149" s="82">
        <v>149</v>
      </c>
      <c r="M149" s="82"/>
      <c r="N149" s="76"/>
      <c r="O149" s="84" t="s">
        <v>440</v>
      </c>
      <c r="P149" s="86">
        <v>44082.81350694445</v>
      </c>
      <c r="Q149" s="84" t="s">
        <v>448</v>
      </c>
      <c r="R149" s="87" t="str">
        <f>HYPERLINK("https://www.peoplematters.in/news/technology/job-searches-in-artificial-intelligence-rise-106-in-one-year-report-26898")</f>
        <v>https://www.peoplematters.in/news/technology/job-searches-in-artificial-intelligence-rise-106-in-one-year-report-26898</v>
      </c>
      <c r="S149" s="84" t="s">
        <v>532</v>
      </c>
      <c r="T149" s="84" t="s">
        <v>568</v>
      </c>
      <c r="U149" s="87" t="str">
        <f>HYPERLINK("https://pbs.twimg.com/media/EhVAOmdWoAAOQiY.jpg")</f>
        <v>https://pbs.twimg.com/media/EhVAOmdWoAAOQiY.jpg</v>
      </c>
      <c r="V149" s="87" t="str">
        <f>HYPERLINK("https://pbs.twimg.com/media/EhVAOmdWoAAOQiY.jpg")</f>
        <v>https://pbs.twimg.com/media/EhVAOmdWoAAOQiY.jpg</v>
      </c>
      <c r="W149" s="86">
        <v>44082.81350694445</v>
      </c>
      <c r="X149" s="90">
        <v>44082</v>
      </c>
      <c r="Y149" s="92" t="s">
        <v>689</v>
      </c>
      <c r="Z149" s="87" t="str">
        <f>HYPERLINK("https://twitter.com/education_24x7/status/1303415674577055750")</f>
        <v>https://twitter.com/education_24x7/status/1303415674577055750</v>
      </c>
      <c r="AA149" s="84"/>
      <c r="AB149" s="84"/>
      <c r="AC149" s="92" t="s">
        <v>1083</v>
      </c>
      <c r="AD149" s="84"/>
      <c r="AE149" s="84" t="b">
        <v>0</v>
      </c>
      <c r="AF149" s="84">
        <v>0</v>
      </c>
      <c r="AG149" s="92" t="s">
        <v>1453</v>
      </c>
      <c r="AH149" s="84" t="b">
        <v>0</v>
      </c>
      <c r="AI149" s="84" t="s">
        <v>1456</v>
      </c>
      <c r="AJ149" s="84"/>
      <c r="AK149" s="92" t="s">
        <v>1453</v>
      </c>
      <c r="AL149" s="84" t="b">
        <v>0</v>
      </c>
      <c r="AM149" s="84">
        <v>25</v>
      </c>
      <c r="AN149" s="92" t="s">
        <v>1248</v>
      </c>
      <c r="AO149" s="84"/>
      <c r="AP149" s="84" t="b">
        <v>0</v>
      </c>
      <c r="AQ149" s="92" t="s">
        <v>1248</v>
      </c>
      <c r="AR149" s="84" t="s">
        <v>187</v>
      </c>
      <c r="AS149" s="84">
        <v>0</v>
      </c>
      <c r="AT149" s="84">
        <v>0</v>
      </c>
      <c r="AU149" s="84"/>
      <c r="AV149" s="84"/>
      <c r="AW149" s="84"/>
      <c r="AX149" s="84"/>
      <c r="AY149" s="84"/>
      <c r="AZ149" s="84"/>
      <c r="BA149" s="84"/>
      <c r="BB149" s="84"/>
      <c r="BC149">
        <v>1</v>
      </c>
      <c r="BD149" s="83" t="str">
        <f>REPLACE(INDEX(GroupVertices[Group],MATCH(Edges[[#This Row],[Vertex 1]],GroupVertices[Vertex],0)),1,1,"")</f>
        <v>4</v>
      </c>
      <c r="BE149" s="83" t="str">
        <f>REPLACE(INDEX(GroupVertices[Group],MATCH(Edges[[#This Row],[Vertex 2]],GroupVertices[Vertex],0)),1,1,"")</f>
        <v>4</v>
      </c>
      <c r="BF149" s="49"/>
      <c r="BG149" s="50"/>
      <c r="BH149" s="49"/>
      <c r="BI149" s="50"/>
      <c r="BJ149" s="49"/>
      <c r="BK149" s="50"/>
      <c r="BL149" s="49"/>
      <c r="BM149" s="50"/>
      <c r="BN149" s="49"/>
    </row>
    <row r="150" spans="1:66" ht="15">
      <c r="A150" s="68" t="s">
        <v>271</v>
      </c>
      <c r="B150" s="68" t="s">
        <v>384</v>
      </c>
      <c r="C150" s="69" t="s">
        <v>5208</v>
      </c>
      <c r="D150" s="70">
        <v>1</v>
      </c>
      <c r="E150" s="71" t="s">
        <v>132</v>
      </c>
      <c r="F150" s="72">
        <v>32</v>
      </c>
      <c r="G150" s="69" t="s">
        <v>51</v>
      </c>
      <c r="H150" s="73"/>
      <c r="I150" s="74"/>
      <c r="J150" s="74"/>
      <c r="K150" s="35" t="s">
        <v>65</v>
      </c>
      <c r="L150" s="82">
        <v>150</v>
      </c>
      <c r="M150" s="82"/>
      <c r="N150" s="76"/>
      <c r="O150" s="84" t="s">
        <v>439</v>
      </c>
      <c r="P150" s="86">
        <v>44082.81350694445</v>
      </c>
      <c r="Q150" s="84" t="s">
        <v>448</v>
      </c>
      <c r="R150" s="87" t="str">
        <f>HYPERLINK("https://www.peoplematters.in/news/technology/job-searches-in-artificial-intelligence-rise-106-in-one-year-report-26898")</f>
        <v>https://www.peoplematters.in/news/technology/job-searches-in-artificial-intelligence-rise-106-in-one-year-report-26898</v>
      </c>
      <c r="S150" s="84" t="s">
        <v>532</v>
      </c>
      <c r="T150" s="84" t="s">
        <v>568</v>
      </c>
      <c r="U150" s="87" t="str">
        <f>HYPERLINK("https://pbs.twimg.com/media/EhVAOmdWoAAOQiY.jpg")</f>
        <v>https://pbs.twimg.com/media/EhVAOmdWoAAOQiY.jpg</v>
      </c>
      <c r="V150" s="87" t="str">
        <f>HYPERLINK("https://pbs.twimg.com/media/EhVAOmdWoAAOQiY.jpg")</f>
        <v>https://pbs.twimg.com/media/EhVAOmdWoAAOQiY.jpg</v>
      </c>
      <c r="W150" s="86">
        <v>44082.81350694445</v>
      </c>
      <c r="X150" s="90">
        <v>44082</v>
      </c>
      <c r="Y150" s="92" t="s">
        <v>689</v>
      </c>
      <c r="Z150" s="87" t="str">
        <f>HYPERLINK("https://twitter.com/education_24x7/status/1303415674577055750")</f>
        <v>https://twitter.com/education_24x7/status/1303415674577055750</v>
      </c>
      <c r="AA150" s="84"/>
      <c r="AB150" s="84"/>
      <c r="AC150" s="92" t="s">
        <v>1083</v>
      </c>
      <c r="AD150" s="84"/>
      <c r="AE150" s="84" t="b">
        <v>0</v>
      </c>
      <c r="AF150" s="84">
        <v>0</v>
      </c>
      <c r="AG150" s="92" t="s">
        <v>1453</v>
      </c>
      <c r="AH150" s="84" t="b">
        <v>0</v>
      </c>
      <c r="AI150" s="84" t="s">
        <v>1456</v>
      </c>
      <c r="AJ150" s="84"/>
      <c r="AK150" s="92" t="s">
        <v>1453</v>
      </c>
      <c r="AL150" s="84" t="b">
        <v>0</v>
      </c>
      <c r="AM150" s="84">
        <v>25</v>
      </c>
      <c r="AN150" s="92" t="s">
        <v>1248</v>
      </c>
      <c r="AO150" s="84"/>
      <c r="AP150" s="84" t="b">
        <v>0</v>
      </c>
      <c r="AQ150" s="92" t="s">
        <v>1248</v>
      </c>
      <c r="AR150" s="84" t="s">
        <v>187</v>
      </c>
      <c r="AS150" s="84">
        <v>0</v>
      </c>
      <c r="AT150" s="84">
        <v>0</v>
      </c>
      <c r="AU150" s="84"/>
      <c r="AV150" s="84"/>
      <c r="AW150" s="84"/>
      <c r="AX150" s="84"/>
      <c r="AY150" s="84"/>
      <c r="AZ150" s="84"/>
      <c r="BA150" s="84"/>
      <c r="BB150" s="84"/>
      <c r="BC150">
        <v>1</v>
      </c>
      <c r="BD150" s="83" t="str">
        <f>REPLACE(INDEX(GroupVertices[Group],MATCH(Edges[[#This Row],[Vertex 1]],GroupVertices[Vertex],0)),1,1,"")</f>
        <v>4</v>
      </c>
      <c r="BE150" s="83" t="str">
        <f>REPLACE(INDEX(GroupVertices[Group],MATCH(Edges[[#This Row],[Vertex 2]],GroupVertices[Vertex],0)),1,1,"")</f>
        <v>4</v>
      </c>
      <c r="BF150" s="49">
        <v>0</v>
      </c>
      <c r="BG150" s="50">
        <v>0</v>
      </c>
      <c r="BH150" s="49">
        <v>0</v>
      </c>
      <c r="BI150" s="50">
        <v>0</v>
      </c>
      <c r="BJ150" s="49">
        <v>0</v>
      </c>
      <c r="BK150" s="50">
        <v>0</v>
      </c>
      <c r="BL150" s="49">
        <v>28</v>
      </c>
      <c r="BM150" s="50">
        <v>100</v>
      </c>
      <c r="BN150" s="49">
        <v>28</v>
      </c>
    </row>
    <row r="151" spans="1:66" ht="15">
      <c r="A151" s="68" t="s">
        <v>272</v>
      </c>
      <c r="B151" s="68" t="s">
        <v>272</v>
      </c>
      <c r="C151" s="69" t="s">
        <v>5208</v>
      </c>
      <c r="D151" s="70">
        <v>1</v>
      </c>
      <c r="E151" s="71" t="s">
        <v>132</v>
      </c>
      <c r="F151" s="72">
        <v>32</v>
      </c>
      <c r="G151" s="69" t="s">
        <v>51</v>
      </c>
      <c r="H151" s="73"/>
      <c r="I151" s="74"/>
      <c r="J151" s="74"/>
      <c r="K151" s="35" t="s">
        <v>65</v>
      </c>
      <c r="L151" s="82">
        <v>151</v>
      </c>
      <c r="M151" s="82"/>
      <c r="N151" s="76"/>
      <c r="O151" s="84" t="s">
        <v>187</v>
      </c>
      <c r="P151" s="86">
        <v>44082.91946759259</v>
      </c>
      <c r="Q151" s="84" t="s">
        <v>464</v>
      </c>
      <c r="R151" s="84"/>
      <c r="S151" s="84"/>
      <c r="T151" s="84" t="s">
        <v>582</v>
      </c>
      <c r="U151" s="84"/>
      <c r="V151" s="87" t="str">
        <f>HYPERLINK("http://pbs.twimg.com/profile_images/1210297292294504449/E1D85qJU_normal.jpg")</f>
        <v>http://pbs.twimg.com/profile_images/1210297292294504449/E1D85qJU_normal.jpg</v>
      </c>
      <c r="W151" s="86">
        <v>44082.91946759259</v>
      </c>
      <c r="X151" s="90">
        <v>44082</v>
      </c>
      <c r="Y151" s="92" t="s">
        <v>690</v>
      </c>
      <c r="Z151" s="87" t="str">
        <f>HYPERLINK("https://twitter.com/codebug88/status/1303454071718772736")</f>
        <v>https://twitter.com/codebug88/status/1303454071718772736</v>
      </c>
      <c r="AA151" s="84"/>
      <c r="AB151" s="84"/>
      <c r="AC151" s="92" t="s">
        <v>1084</v>
      </c>
      <c r="AD151" s="84"/>
      <c r="AE151" s="84" t="b">
        <v>0</v>
      </c>
      <c r="AF151" s="84">
        <v>14</v>
      </c>
      <c r="AG151" s="92" t="s">
        <v>1453</v>
      </c>
      <c r="AH151" s="84" t="b">
        <v>0</v>
      </c>
      <c r="AI151" s="84" t="s">
        <v>1456</v>
      </c>
      <c r="AJ151" s="84"/>
      <c r="AK151" s="92" t="s">
        <v>1453</v>
      </c>
      <c r="AL151" s="84" t="b">
        <v>0</v>
      </c>
      <c r="AM151" s="84">
        <v>2</v>
      </c>
      <c r="AN151" s="92" t="s">
        <v>1453</v>
      </c>
      <c r="AO151" s="84" t="s">
        <v>1465</v>
      </c>
      <c r="AP151" s="84" t="b">
        <v>0</v>
      </c>
      <c r="AQ151" s="92" t="s">
        <v>1084</v>
      </c>
      <c r="AR151" s="84" t="s">
        <v>187</v>
      </c>
      <c r="AS151" s="84">
        <v>0</v>
      </c>
      <c r="AT151" s="84">
        <v>0</v>
      </c>
      <c r="AU151" s="84"/>
      <c r="AV151" s="84"/>
      <c r="AW151" s="84"/>
      <c r="AX151" s="84"/>
      <c r="AY151" s="84"/>
      <c r="AZ151" s="84"/>
      <c r="BA151" s="84"/>
      <c r="BB151" s="84"/>
      <c r="BC151">
        <v>1</v>
      </c>
      <c r="BD151" s="83" t="str">
        <f>REPLACE(INDEX(GroupVertices[Group],MATCH(Edges[[#This Row],[Vertex 1]],GroupVertices[Vertex],0)),1,1,"")</f>
        <v>19</v>
      </c>
      <c r="BE151" s="83" t="str">
        <f>REPLACE(INDEX(GroupVertices[Group],MATCH(Edges[[#This Row],[Vertex 2]],GroupVertices[Vertex],0)),1,1,"")</f>
        <v>19</v>
      </c>
      <c r="BF151" s="49">
        <v>0</v>
      </c>
      <c r="BG151" s="50">
        <v>0</v>
      </c>
      <c r="BH151" s="49">
        <v>0</v>
      </c>
      <c r="BI151" s="50">
        <v>0</v>
      </c>
      <c r="BJ151" s="49">
        <v>0</v>
      </c>
      <c r="BK151" s="50">
        <v>0</v>
      </c>
      <c r="BL151" s="49">
        <v>45</v>
      </c>
      <c r="BM151" s="50">
        <v>100</v>
      </c>
      <c r="BN151" s="49">
        <v>45</v>
      </c>
    </row>
    <row r="152" spans="1:66" ht="15">
      <c r="A152" s="68" t="s">
        <v>273</v>
      </c>
      <c r="B152" s="68" t="s">
        <v>272</v>
      </c>
      <c r="C152" s="69" t="s">
        <v>5208</v>
      </c>
      <c r="D152" s="70">
        <v>1</v>
      </c>
      <c r="E152" s="71" t="s">
        <v>132</v>
      </c>
      <c r="F152" s="72">
        <v>32</v>
      </c>
      <c r="G152" s="69" t="s">
        <v>51</v>
      </c>
      <c r="H152" s="73"/>
      <c r="I152" s="74"/>
      <c r="J152" s="74"/>
      <c r="K152" s="35" t="s">
        <v>65</v>
      </c>
      <c r="L152" s="82">
        <v>152</v>
      </c>
      <c r="M152" s="82"/>
      <c r="N152" s="76"/>
      <c r="O152" s="84" t="s">
        <v>439</v>
      </c>
      <c r="P152" s="86">
        <v>44082.922847222224</v>
      </c>
      <c r="Q152" s="84" t="s">
        <v>464</v>
      </c>
      <c r="R152" s="84"/>
      <c r="S152" s="84"/>
      <c r="T152" s="84" t="s">
        <v>582</v>
      </c>
      <c r="U152" s="84"/>
      <c r="V152" s="87" t="str">
        <f>HYPERLINK("http://pbs.twimg.com/profile_images/880987005164900353/rRH1OfTQ_normal.jpg")</f>
        <v>http://pbs.twimg.com/profile_images/880987005164900353/rRH1OfTQ_normal.jpg</v>
      </c>
      <c r="W152" s="86">
        <v>44082.922847222224</v>
      </c>
      <c r="X152" s="90">
        <v>44082</v>
      </c>
      <c r="Y152" s="92" t="s">
        <v>691</v>
      </c>
      <c r="Z152" s="87" t="str">
        <f>HYPERLINK("https://twitter.com/tanwarkml/status/1303455297609043969")</f>
        <v>https://twitter.com/tanwarkml/status/1303455297609043969</v>
      </c>
      <c r="AA152" s="84"/>
      <c r="AB152" s="84"/>
      <c r="AC152" s="92" t="s">
        <v>1085</v>
      </c>
      <c r="AD152" s="84"/>
      <c r="AE152" s="84" t="b">
        <v>0</v>
      </c>
      <c r="AF152" s="84">
        <v>0</v>
      </c>
      <c r="AG152" s="92" t="s">
        <v>1453</v>
      </c>
      <c r="AH152" s="84" t="b">
        <v>0</v>
      </c>
      <c r="AI152" s="84" t="s">
        <v>1456</v>
      </c>
      <c r="AJ152" s="84"/>
      <c r="AK152" s="92" t="s">
        <v>1453</v>
      </c>
      <c r="AL152" s="84" t="b">
        <v>0</v>
      </c>
      <c r="AM152" s="84">
        <v>2</v>
      </c>
      <c r="AN152" s="92" t="s">
        <v>1084</v>
      </c>
      <c r="AO152" s="84" t="s">
        <v>1464</v>
      </c>
      <c r="AP152" s="84" t="b">
        <v>0</v>
      </c>
      <c r="AQ152" s="92" t="s">
        <v>1084</v>
      </c>
      <c r="AR152" s="84" t="s">
        <v>187</v>
      </c>
      <c r="AS152" s="84">
        <v>0</v>
      </c>
      <c r="AT152" s="84">
        <v>0</v>
      </c>
      <c r="AU152" s="84"/>
      <c r="AV152" s="84"/>
      <c r="AW152" s="84"/>
      <c r="AX152" s="84"/>
      <c r="AY152" s="84"/>
      <c r="AZ152" s="84"/>
      <c r="BA152" s="84"/>
      <c r="BB152" s="84"/>
      <c r="BC152">
        <v>1</v>
      </c>
      <c r="BD152" s="83" t="str">
        <f>REPLACE(INDEX(GroupVertices[Group],MATCH(Edges[[#This Row],[Vertex 1]],GroupVertices[Vertex],0)),1,1,"")</f>
        <v>19</v>
      </c>
      <c r="BE152" s="83" t="str">
        <f>REPLACE(INDEX(GroupVertices[Group],MATCH(Edges[[#This Row],[Vertex 2]],GroupVertices[Vertex],0)),1,1,"")</f>
        <v>19</v>
      </c>
      <c r="BF152" s="49">
        <v>0</v>
      </c>
      <c r="BG152" s="50">
        <v>0</v>
      </c>
      <c r="BH152" s="49">
        <v>0</v>
      </c>
      <c r="BI152" s="50">
        <v>0</v>
      </c>
      <c r="BJ152" s="49">
        <v>0</v>
      </c>
      <c r="BK152" s="50">
        <v>0</v>
      </c>
      <c r="BL152" s="49">
        <v>45</v>
      </c>
      <c r="BM152" s="50">
        <v>100</v>
      </c>
      <c r="BN152" s="49">
        <v>45</v>
      </c>
    </row>
    <row r="153" spans="1:66" ht="15">
      <c r="A153" s="68" t="s">
        <v>274</v>
      </c>
      <c r="B153" s="68" t="s">
        <v>398</v>
      </c>
      <c r="C153" s="69" t="s">
        <v>5208</v>
      </c>
      <c r="D153" s="70">
        <v>1</v>
      </c>
      <c r="E153" s="71" t="s">
        <v>132</v>
      </c>
      <c r="F153" s="72">
        <v>32</v>
      </c>
      <c r="G153" s="69" t="s">
        <v>51</v>
      </c>
      <c r="H153" s="73"/>
      <c r="I153" s="74"/>
      <c r="J153" s="74"/>
      <c r="K153" s="35" t="s">
        <v>65</v>
      </c>
      <c r="L153" s="82">
        <v>153</v>
      </c>
      <c r="M153" s="82"/>
      <c r="N153" s="76"/>
      <c r="O153" s="84" t="s">
        <v>439</v>
      </c>
      <c r="P153" s="86">
        <v>44083.0655787037</v>
      </c>
      <c r="Q153" s="84" t="s">
        <v>454</v>
      </c>
      <c r="R153" s="87" t="str">
        <f>HYPERLINK("https://nobrowser.com/")</f>
        <v>https://nobrowser.com/</v>
      </c>
      <c r="S153" s="84" t="s">
        <v>536</v>
      </c>
      <c r="T153" s="84" t="s">
        <v>573</v>
      </c>
      <c r="U153" s="87" t="str">
        <f>HYPERLINK("https://pbs.twimg.com/media/EhYzm1cVoAAotrW.jpg")</f>
        <v>https://pbs.twimg.com/media/EhYzm1cVoAAotrW.jpg</v>
      </c>
      <c r="V153" s="87" t="str">
        <f>HYPERLINK("https://pbs.twimg.com/media/EhYzm1cVoAAotrW.jpg")</f>
        <v>https://pbs.twimg.com/media/EhYzm1cVoAAotrW.jpg</v>
      </c>
      <c r="W153" s="86">
        <v>44083.0655787037</v>
      </c>
      <c r="X153" s="90">
        <v>44083</v>
      </c>
      <c r="Y153" s="92" t="s">
        <v>692</v>
      </c>
      <c r="Z153" s="87" t="str">
        <f>HYPERLINK("https://twitter.com/hiveforensics/status/1303507022508429314")</f>
        <v>https://twitter.com/hiveforensics/status/1303507022508429314</v>
      </c>
      <c r="AA153" s="84"/>
      <c r="AB153" s="84"/>
      <c r="AC153" s="92" t="s">
        <v>1086</v>
      </c>
      <c r="AD153" s="84"/>
      <c r="AE153" s="84" t="b">
        <v>0</v>
      </c>
      <c r="AF153" s="84">
        <v>0</v>
      </c>
      <c r="AG153" s="92" t="s">
        <v>1453</v>
      </c>
      <c r="AH153" s="84" t="b">
        <v>0</v>
      </c>
      <c r="AI153" s="84" t="s">
        <v>1456</v>
      </c>
      <c r="AJ153" s="84"/>
      <c r="AK153" s="92" t="s">
        <v>1453</v>
      </c>
      <c r="AL153" s="84" t="b">
        <v>0</v>
      </c>
      <c r="AM153" s="84">
        <v>8</v>
      </c>
      <c r="AN153" s="92" t="s">
        <v>1325</v>
      </c>
      <c r="AO153" s="84" t="s">
        <v>1481</v>
      </c>
      <c r="AP153" s="84" t="b">
        <v>0</v>
      </c>
      <c r="AQ153" s="92" t="s">
        <v>1325</v>
      </c>
      <c r="AR153" s="84" t="s">
        <v>187</v>
      </c>
      <c r="AS153" s="84">
        <v>0</v>
      </c>
      <c r="AT153" s="84">
        <v>0</v>
      </c>
      <c r="AU153" s="84"/>
      <c r="AV153" s="84"/>
      <c r="AW153" s="84"/>
      <c r="AX153" s="84"/>
      <c r="AY153" s="84"/>
      <c r="AZ153" s="84"/>
      <c r="BA153" s="84"/>
      <c r="BB153" s="84"/>
      <c r="BC153">
        <v>1</v>
      </c>
      <c r="BD153" s="83" t="str">
        <f>REPLACE(INDEX(GroupVertices[Group],MATCH(Edges[[#This Row],[Vertex 1]],GroupVertices[Vertex],0)),1,1,"")</f>
        <v>10</v>
      </c>
      <c r="BE153" s="83" t="str">
        <f>REPLACE(INDEX(GroupVertices[Group],MATCH(Edges[[#This Row],[Vertex 2]],GroupVertices[Vertex],0)),1,1,"")</f>
        <v>10</v>
      </c>
      <c r="BF153" s="49">
        <v>0</v>
      </c>
      <c r="BG153" s="50">
        <v>0</v>
      </c>
      <c r="BH153" s="49">
        <v>0</v>
      </c>
      <c r="BI153" s="50">
        <v>0</v>
      </c>
      <c r="BJ153" s="49">
        <v>0</v>
      </c>
      <c r="BK153" s="50">
        <v>0</v>
      </c>
      <c r="BL153" s="49">
        <v>34</v>
      </c>
      <c r="BM153" s="50">
        <v>100</v>
      </c>
      <c r="BN153" s="49">
        <v>34</v>
      </c>
    </row>
    <row r="154" spans="1:66" ht="15">
      <c r="A154" s="68" t="s">
        <v>275</v>
      </c>
      <c r="B154" s="68" t="s">
        <v>398</v>
      </c>
      <c r="C154" s="69" t="s">
        <v>5208</v>
      </c>
      <c r="D154" s="70">
        <v>1</v>
      </c>
      <c r="E154" s="71" t="s">
        <v>132</v>
      </c>
      <c r="F154" s="72">
        <v>32</v>
      </c>
      <c r="G154" s="69" t="s">
        <v>51</v>
      </c>
      <c r="H154" s="73"/>
      <c r="I154" s="74"/>
      <c r="J154" s="74"/>
      <c r="K154" s="35" t="s">
        <v>65</v>
      </c>
      <c r="L154" s="82">
        <v>154</v>
      </c>
      <c r="M154" s="82"/>
      <c r="N154" s="76"/>
      <c r="O154" s="84" t="s">
        <v>439</v>
      </c>
      <c r="P154" s="86">
        <v>44083.07565972222</v>
      </c>
      <c r="Q154" s="84" t="s">
        <v>454</v>
      </c>
      <c r="R154" s="87" t="str">
        <f>HYPERLINK("https://nobrowser.com/")</f>
        <v>https://nobrowser.com/</v>
      </c>
      <c r="S154" s="84" t="s">
        <v>536</v>
      </c>
      <c r="T154" s="84" t="s">
        <v>573</v>
      </c>
      <c r="U154" s="87" t="str">
        <f>HYPERLINK("https://pbs.twimg.com/media/EhYzm1cVoAAotrW.jpg")</f>
        <v>https://pbs.twimg.com/media/EhYzm1cVoAAotrW.jpg</v>
      </c>
      <c r="V154" s="87" t="str">
        <f>HYPERLINK("https://pbs.twimg.com/media/EhYzm1cVoAAotrW.jpg")</f>
        <v>https://pbs.twimg.com/media/EhYzm1cVoAAotrW.jpg</v>
      </c>
      <c r="W154" s="86">
        <v>44083.07565972222</v>
      </c>
      <c r="X154" s="90">
        <v>44083</v>
      </c>
      <c r="Y154" s="92" t="s">
        <v>693</v>
      </c>
      <c r="Z154" s="87" t="str">
        <f>HYPERLINK("https://twitter.com/tsgabriel__/status/1303510673977114624")</f>
        <v>https://twitter.com/tsgabriel__/status/1303510673977114624</v>
      </c>
      <c r="AA154" s="84"/>
      <c r="AB154" s="84"/>
      <c r="AC154" s="92" t="s">
        <v>1087</v>
      </c>
      <c r="AD154" s="84"/>
      <c r="AE154" s="84" t="b">
        <v>0</v>
      </c>
      <c r="AF154" s="84">
        <v>0</v>
      </c>
      <c r="AG154" s="92" t="s">
        <v>1453</v>
      </c>
      <c r="AH154" s="84" t="b">
        <v>0</v>
      </c>
      <c r="AI154" s="84" t="s">
        <v>1456</v>
      </c>
      <c r="AJ154" s="84"/>
      <c r="AK154" s="92" t="s">
        <v>1453</v>
      </c>
      <c r="AL154" s="84" t="b">
        <v>0</v>
      </c>
      <c r="AM154" s="84">
        <v>8</v>
      </c>
      <c r="AN154" s="92" t="s">
        <v>1325</v>
      </c>
      <c r="AO154" s="84" t="s">
        <v>1465</v>
      </c>
      <c r="AP154" s="84" t="b">
        <v>0</v>
      </c>
      <c r="AQ154" s="92" t="s">
        <v>1325</v>
      </c>
      <c r="AR154" s="84" t="s">
        <v>187</v>
      </c>
      <c r="AS154" s="84">
        <v>0</v>
      </c>
      <c r="AT154" s="84">
        <v>0</v>
      </c>
      <c r="AU154" s="84"/>
      <c r="AV154" s="84"/>
      <c r="AW154" s="84"/>
      <c r="AX154" s="84"/>
      <c r="AY154" s="84"/>
      <c r="AZ154" s="84"/>
      <c r="BA154" s="84"/>
      <c r="BB154" s="84"/>
      <c r="BC154">
        <v>1</v>
      </c>
      <c r="BD154" s="83" t="str">
        <f>REPLACE(INDEX(GroupVertices[Group],MATCH(Edges[[#This Row],[Vertex 1]],GroupVertices[Vertex],0)),1,1,"")</f>
        <v>10</v>
      </c>
      <c r="BE154" s="83" t="str">
        <f>REPLACE(INDEX(GroupVertices[Group],MATCH(Edges[[#This Row],[Vertex 2]],GroupVertices[Vertex],0)),1,1,"")</f>
        <v>10</v>
      </c>
      <c r="BF154" s="49">
        <v>0</v>
      </c>
      <c r="BG154" s="50">
        <v>0</v>
      </c>
      <c r="BH154" s="49">
        <v>0</v>
      </c>
      <c r="BI154" s="50">
        <v>0</v>
      </c>
      <c r="BJ154" s="49">
        <v>0</v>
      </c>
      <c r="BK154" s="50">
        <v>0</v>
      </c>
      <c r="BL154" s="49">
        <v>34</v>
      </c>
      <c r="BM154" s="50">
        <v>100</v>
      </c>
      <c r="BN154" s="49">
        <v>34</v>
      </c>
    </row>
    <row r="155" spans="1:66" ht="15">
      <c r="A155" s="68" t="s">
        <v>276</v>
      </c>
      <c r="B155" s="68" t="s">
        <v>277</v>
      </c>
      <c r="C155" s="69" t="s">
        <v>5208</v>
      </c>
      <c r="D155" s="70">
        <v>1</v>
      </c>
      <c r="E155" s="71" t="s">
        <v>132</v>
      </c>
      <c r="F155" s="72">
        <v>32</v>
      </c>
      <c r="G155" s="69" t="s">
        <v>51</v>
      </c>
      <c r="H155" s="73"/>
      <c r="I155" s="74"/>
      <c r="J155" s="74"/>
      <c r="K155" s="35" t="s">
        <v>65</v>
      </c>
      <c r="L155" s="82">
        <v>155</v>
      </c>
      <c r="M155" s="82"/>
      <c r="N155" s="76"/>
      <c r="O155" s="84" t="s">
        <v>439</v>
      </c>
      <c r="P155" s="86">
        <v>44083.195243055554</v>
      </c>
      <c r="Q155" s="84" t="s">
        <v>465</v>
      </c>
      <c r="R155" s="84"/>
      <c r="S155" s="84"/>
      <c r="T155" s="84" t="s">
        <v>583</v>
      </c>
      <c r="U155" s="87" t="str">
        <f>HYPERLINK("https://pbs.twimg.com/ext_tw_video_thumb/1303552255656775680/pu/img/lp8kugWkuCb85DUc.jpg")</f>
        <v>https://pbs.twimg.com/ext_tw_video_thumb/1303552255656775680/pu/img/lp8kugWkuCb85DUc.jpg</v>
      </c>
      <c r="V155" s="87" t="str">
        <f>HYPERLINK("https://pbs.twimg.com/ext_tw_video_thumb/1303552255656775680/pu/img/lp8kugWkuCb85DUc.jpg")</f>
        <v>https://pbs.twimg.com/ext_tw_video_thumb/1303552255656775680/pu/img/lp8kugWkuCb85DUc.jpg</v>
      </c>
      <c r="W155" s="86">
        <v>44083.195243055554</v>
      </c>
      <c r="X155" s="90">
        <v>44083</v>
      </c>
      <c r="Y155" s="92" t="s">
        <v>694</v>
      </c>
      <c r="Z155" s="87" t="str">
        <f>HYPERLINK("https://twitter.com/cybersecurityn8/status/1303554009362501637")</f>
        <v>https://twitter.com/cybersecurityn8/status/1303554009362501637</v>
      </c>
      <c r="AA155" s="84"/>
      <c r="AB155" s="84"/>
      <c r="AC155" s="92" t="s">
        <v>1088</v>
      </c>
      <c r="AD155" s="84"/>
      <c r="AE155" s="84" t="b">
        <v>0</v>
      </c>
      <c r="AF155" s="84">
        <v>0</v>
      </c>
      <c r="AG155" s="92" t="s">
        <v>1453</v>
      </c>
      <c r="AH155" s="84" t="b">
        <v>0</v>
      </c>
      <c r="AI155" s="84" t="s">
        <v>1457</v>
      </c>
      <c r="AJ155" s="84"/>
      <c r="AK155" s="92" t="s">
        <v>1453</v>
      </c>
      <c r="AL155" s="84" t="b">
        <v>0</v>
      </c>
      <c r="AM155" s="84">
        <v>2</v>
      </c>
      <c r="AN155" s="92" t="s">
        <v>1089</v>
      </c>
      <c r="AO155" s="84" t="s">
        <v>1482</v>
      </c>
      <c r="AP155" s="84" t="b">
        <v>0</v>
      </c>
      <c r="AQ155" s="92" t="s">
        <v>1089</v>
      </c>
      <c r="AR155" s="84" t="s">
        <v>187</v>
      </c>
      <c r="AS155" s="84">
        <v>0</v>
      </c>
      <c r="AT155" s="84">
        <v>0</v>
      </c>
      <c r="AU155" s="84"/>
      <c r="AV155" s="84"/>
      <c r="AW155" s="84"/>
      <c r="AX155" s="84"/>
      <c r="AY155" s="84"/>
      <c r="AZ155" s="84"/>
      <c r="BA155" s="84"/>
      <c r="BB155" s="84"/>
      <c r="BC155">
        <v>1</v>
      </c>
      <c r="BD155" s="83" t="str">
        <f>REPLACE(INDEX(GroupVertices[Group],MATCH(Edges[[#This Row],[Vertex 1]],GroupVertices[Vertex],0)),1,1,"")</f>
        <v>13</v>
      </c>
      <c r="BE155" s="83" t="str">
        <f>REPLACE(INDEX(GroupVertices[Group],MATCH(Edges[[#This Row],[Vertex 2]],GroupVertices[Vertex],0)),1,1,"")</f>
        <v>13</v>
      </c>
      <c r="BF155" s="49">
        <v>0</v>
      </c>
      <c r="BG155" s="50">
        <v>0</v>
      </c>
      <c r="BH155" s="49">
        <v>0</v>
      </c>
      <c r="BI155" s="50">
        <v>0</v>
      </c>
      <c r="BJ155" s="49">
        <v>0</v>
      </c>
      <c r="BK155" s="50">
        <v>0</v>
      </c>
      <c r="BL155" s="49">
        <v>24</v>
      </c>
      <c r="BM155" s="50">
        <v>100</v>
      </c>
      <c r="BN155" s="49">
        <v>24</v>
      </c>
    </row>
    <row r="156" spans="1:66" ht="15">
      <c r="A156" s="68" t="s">
        <v>277</v>
      </c>
      <c r="B156" s="68" t="s">
        <v>277</v>
      </c>
      <c r="C156" s="69" t="s">
        <v>5208</v>
      </c>
      <c r="D156" s="70">
        <v>1</v>
      </c>
      <c r="E156" s="71" t="s">
        <v>132</v>
      </c>
      <c r="F156" s="72">
        <v>32</v>
      </c>
      <c r="G156" s="69" t="s">
        <v>51</v>
      </c>
      <c r="H156" s="73"/>
      <c r="I156" s="74"/>
      <c r="J156" s="74"/>
      <c r="K156" s="35" t="s">
        <v>65</v>
      </c>
      <c r="L156" s="82">
        <v>156</v>
      </c>
      <c r="M156" s="82"/>
      <c r="N156" s="76"/>
      <c r="O156" s="84" t="s">
        <v>187</v>
      </c>
      <c r="P156" s="86">
        <v>44083.19050925926</v>
      </c>
      <c r="Q156" s="84" t="s">
        <v>465</v>
      </c>
      <c r="R156" s="84"/>
      <c r="S156" s="84"/>
      <c r="T156" s="84" t="s">
        <v>583</v>
      </c>
      <c r="U156" s="87" t="str">
        <f>HYPERLINK("https://pbs.twimg.com/ext_tw_video_thumb/1303552255656775680/pu/img/lp8kugWkuCb85DUc.jpg")</f>
        <v>https://pbs.twimg.com/ext_tw_video_thumb/1303552255656775680/pu/img/lp8kugWkuCb85DUc.jpg</v>
      </c>
      <c r="V156" s="87" t="str">
        <f>HYPERLINK("https://pbs.twimg.com/ext_tw_video_thumb/1303552255656775680/pu/img/lp8kugWkuCb85DUc.jpg")</f>
        <v>https://pbs.twimg.com/ext_tw_video_thumb/1303552255656775680/pu/img/lp8kugWkuCb85DUc.jpg</v>
      </c>
      <c r="W156" s="86">
        <v>44083.19050925926</v>
      </c>
      <c r="X156" s="90">
        <v>44083</v>
      </c>
      <c r="Y156" s="92" t="s">
        <v>695</v>
      </c>
      <c r="Z156" s="87" t="str">
        <f>HYPERLINK("https://twitter.com/bitinfocode/status/1303552292486955008")</f>
        <v>https://twitter.com/bitinfocode/status/1303552292486955008</v>
      </c>
      <c r="AA156" s="84"/>
      <c r="AB156" s="84"/>
      <c r="AC156" s="92" t="s">
        <v>1089</v>
      </c>
      <c r="AD156" s="84"/>
      <c r="AE156" s="84" t="b">
        <v>0</v>
      </c>
      <c r="AF156" s="84">
        <v>0</v>
      </c>
      <c r="AG156" s="92" t="s">
        <v>1453</v>
      </c>
      <c r="AH156" s="84" t="b">
        <v>0</v>
      </c>
      <c r="AI156" s="84" t="s">
        <v>1457</v>
      </c>
      <c r="AJ156" s="84"/>
      <c r="AK156" s="92" t="s">
        <v>1453</v>
      </c>
      <c r="AL156" s="84" t="b">
        <v>0</v>
      </c>
      <c r="AM156" s="84">
        <v>2</v>
      </c>
      <c r="AN156" s="92" t="s">
        <v>1453</v>
      </c>
      <c r="AO156" s="84" t="s">
        <v>1464</v>
      </c>
      <c r="AP156" s="84" t="b">
        <v>0</v>
      </c>
      <c r="AQ156" s="92" t="s">
        <v>1089</v>
      </c>
      <c r="AR156" s="84" t="s">
        <v>187</v>
      </c>
      <c r="AS156" s="84">
        <v>0</v>
      </c>
      <c r="AT156" s="84">
        <v>0</v>
      </c>
      <c r="AU156" s="84"/>
      <c r="AV156" s="84"/>
      <c r="AW156" s="84"/>
      <c r="AX156" s="84"/>
      <c r="AY156" s="84"/>
      <c r="AZ156" s="84"/>
      <c r="BA156" s="84"/>
      <c r="BB156" s="84"/>
      <c r="BC156">
        <v>1</v>
      </c>
      <c r="BD156" s="83" t="str">
        <f>REPLACE(INDEX(GroupVertices[Group],MATCH(Edges[[#This Row],[Vertex 1]],GroupVertices[Vertex],0)),1,1,"")</f>
        <v>13</v>
      </c>
      <c r="BE156" s="83" t="str">
        <f>REPLACE(INDEX(GroupVertices[Group],MATCH(Edges[[#This Row],[Vertex 2]],GroupVertices[Vertex],0)),1,1,"")</f>
        <v>13</v>
      </c>
      <c r="BF156" s="49">
        <v>0</v>
      </c>
      <c r="BG156" s="50">
        <v>0</v>
      </c>
      <c r="BH156" s="49">
        <v>0</v>
      </c>
      <c r="BI156" s="50">
        <v>0</v>
      </c>
      <c r="BJ156" s="49">
        <v>0</v>
      </c>
      <c r="BK156" s="50">
        <v>0</v>
      </c>
      <c r="BL156" s="49">
        <v>24</v>
      </c>
      <c r="BM156" s="50">
        <v>100</v>
      </c>
      <c r="BN156" s="49">
        <v>24</v>
      </c>
    </row>
    <row r="157" spans="1:66" ht="15">
      <c r="A157" s="68" t="s">
        <v>278</v>
      </c>
      <c r="B157" s="68" t="s">
        <v>277</v>
      </c>
      <c r="C157" s="69" t="s">
        <v>5208</v>
      </c>
      <c r="D157" s="70">
        <v>1</v>
      </c>
      <c r="E157" s="71" t="s">
        <v>132</v>
      </c>
      <c r="F157" s="72">
        <v>32</v>
      </c>
      <c r="G157" s="69" t="s">
        <v>51</v>
      </c>
      <c r="H157" s="73"/>
      <c r="I157" s="74"/>
      <c r="J157" s="74"/>
      <c r="K157" s="35" t="s">
        <v>65</v>
      </c>
      <c r="L157" s="82">
        <v>157</v>
      </c>
      <c r="M157" s="82"/>
      <c r="N157" s="76"/>
      <c r="O157" s="84" t="s">
        <v>439</v>
      </c>
      <c r="P157" s="86">
        <v>44083.19527777778</v>
      </c>
      <c r="Q157" s="84" t="s">
        <v>465</v>
      </c>
      <c r="R157" s="84"/>
      <c r="S157" s="84"/>
      <c r="T157" s="84" t="s">
        <v>583</v>
      </c>
      <c r="U157" s="87" t="str">
        <f>HYPERLINK("https://pbs.twimg.com/ext_tw_video_thumb/1303552255656775680/pu/img/lp8kugWkuCb85DUc.jpg")</f>
        <v>https://pbs.twimg.com/ext_tw_video_thumb/1303552255656775680/pu/img/lp8kugWkuCb85DUc.jpg</v>
      </c>
      <c r="V157" s="87" t="str">
        <f>HYPERLINK("https://pbs.twimg.com/ext_tw_video_thumb/1303552255656775680/pu/img/lp8kugWkuCb85DUc.jpg")</f>
        <v>https://pbs.twimg.com/ext_tw_video_thumb/1303552255656775680/pu/img/lp8kugWkuCb85DUc.jpg</v>
      </c>
      <c r="W157" s="86">
        <v>44083.19527777778</v>
      </c>
      <c r="X157" s="90">
        <v>44083</v>
      </c>
      <c r="Y157" s="92" t="s">
        <v>696</v>
      </c>
      <c r="Z157" s="87" t="str">
        <f>HYPERLINK("https://twitter.com/sectest9/status/1303554022281011201")</f>
        <v>https://twitter.com/sectest9/status/1303554022281011201</v>
      </c>
      <c r="AA157" s="84"/>
      <c r="AB157" s="84"/>
      <c r="AC157" s="92" t="s">
        <v>1090</v>
      </c>
      <c r="AD157" s="84"/>
      <c r="AE157" s="84" t="b">
        <v>0</v>
      </c>
      <c r="AF157" s="84">
        <v>0</v>
      </c>
      <c r="AG157" s="92" t="s">
        <v>1453</v>
      </c>
      <c r="AH157" s="84" t="b">
        <v>0</v>
      </c>
      <c r="AI157" s="84" t="s">
        <v>1457</v>
      </c>
      <c r="AJ157" s="84"/>
      <c r="AK157" s="92" t="s">
        <v>1453</v>
      </c>
      <c r="AL157" s="84" t="b">
        <v>0</v>
      </c>
      <c r="AM157" s="84">
        <v>2</v>
      </c>
      <c r="AN157" s="92" t="s">
        <v>1089</v>
      </c>
      <c r="AO157" s="84" t="s">
        <v>1483</v>
      </c>
      <c r="AP157" s="84" t="b">
        <v>0</v>
      </c>
      <c r="AQ157" s="92" t="s">
        <v>1089</v>
      </c>
      <c r="AR157" s="84" t="s">
        <v>187</v>
      </c>
      <c r="AS157" s="84">
        <v>0</v>
      </c>
      <c r="AT157" s="84">
        <v>0</v>
      </c>
      <c r="AU157" s="84"/>
      <c r="AV157" s="84"/>
      <c r="AW157" s="84"/>
      <c r="AX157" s="84"/>
      <c r="AY157" s="84"/>
      <c r="AZ157" s="84"/>
      <c r="BA157" s="84"/>
      <c r="BB157" s="84"/>
      <c r="BC157">
        <v>1</v>
      </c>
      <c r="BD157" s="83" t="str">
        <f>REPLACE(INDEX(GroupVertices[Group],MATCH(Edges[[#This Row],[Vertex 1]],GroupVertices[Vertex],0)),1,1,"")</f>
        <v>13</v>
      </c>
      <c r="BE157" s="83" t="str">
        <f>REPLACE(INDEX(GroupVertices[Group],MATCH(Edges[[#This Row],[Vertex 2]],GroupVertices[Vertex],0)),1,1,"")</f>
        <v>13</v>
      </c>
      <c r="BF157" s="49">
        <v>0</v>
      </c>
      <c r="BG157" s="50">
        <v>0</v>
      </c>
      <c r="BH157" s="49">
        <v>0</v>
      </c>
      <c r="BI157" s="50">
        <v>0</v>
      </c>
      <c r="BJ157" s="49">
        <v>0</v>
      </c>
      <c r="BK157" s="50">
        <v>0</v>
      </c>
      <c r="BL157" s="49">
        <v>24</v>
      </c>
      <c r="BM157" s="50">
        <v>100</v>
      </c>
      <c r="BN157" s="49">
        <v>24</v>
      </c>
    </row>
    <row r="158" spans="1:66" ht="15">
      <c r="A158" s="68" t="s">
        <v>279</v>
      </c>
      <c r="B158" s="68" t="s">
        <v>279</v>
      </c>
      <c r="C158" s="69" t="s">
        <v>5209</v>
      </c>
      <c r="D158" s="70">
        <v>6.678367782143116</v>
      </c>
      <c r="E158" s="71" t="s">
        <v>132</v>
      </c>
      <c r="F158" s="72">
        <v>21</v>
      </c>
      <c r="G158" s="69" t="s">
        <v>51</v>
      </c>
      <c r="H158" s="73"/>
      <c r="I158" s="74"/>
      <c r="J158" s="74"/>
      <c r="K158" s="35" t="s">
        <v>65</v>
      </c>
      <c r="L158" s="82">
        <v>158</v>
      </c>
      <c r="M158" s="82"/>
      <c r="N158" s="76"/>
      <c r="O158" s="84" t="s">
        <v>187</v>
      </c>
      <c r="P158" s="86">
        <v>44080.994467592594</v>
      </c>
      <c r="Q158" s="84" t="s">
        <v>466</v>
      </c>
      <c r="R158" s="84"/>
      <c r="S158" s="84"/>
      <c r="T158" s="84" t="s">
        <v>584</v>
      </c>
      <c r="U158" s="87" t="str">
        <f>HYPERLINK("https://pbs.twimg.com/media/EhRSHCwXkAcDMhp.jpg")</f>
        <v>https://pbs.twimg.com/media/EhRSHCwXkAcDMhp.jpg</v>
      </c>
      <c r="V158" s="87" t="str">
        <f>HYPERLINK("https://pbs.twimg.com/media/EhRSHCwXkAcDMhp.jpg")</f>
        <v>https://pbs.twimg.com/media/EhRSHCwXkAcDMhp.jpg</v>
      </c>
      <c r="W158" s="86">
        <v>44080.994467592594</v>
      </c>
      <c r="X158" s="90">
        <v>44080</v>
      </c>
      <c r="Y158" s="92" t="s">
        <v>697</v>
      </c>
      <c r="Z158" s="87" t="str">
        <f>HYPERLINK("https://twitter.com/iphonegalaxymd/status/1302756474716852225")</f>
        <v>https://twitter.com/iphonegalaxymd/status/1302756474716852225</v>
      </c>
      <c r="AA158" s="84"/>
      <c r="AB158" s="84"/>
      <c r="AC158" s="92" t="s">
        <v>1091</v>
      </c>
      <c r="AD158" s="84"/>
      <c r="AE158" s="84" t="b">
        <v>0</v>
      </c>
      <c r="AF158" s="84">
        <v>0</v>
      </c>
      <c r="AG158" s="92" t="s">
        <v>1453</v>
      </c>
      <c r="AH158" s="84" t="b">
        <v>0</v>
      </c>
      <c r="AI158" s="84" t="s">
        <v>1460</v>
      </c>
      <c r="AJ158" s="84"/>
      <c r="AK158" s="92" t="s">
        <v>1453</v>
      </c>
      <c r="AL158" s="84" t="b">
        <v>0</v>
      </c>
      <c r="AM158" s="84">
        <v>0</v>
      </c>
      <c r="AN158" s="92" t="s">
        <v>1453</v>
      </c>
      <c r="AO158" s="84" t="s">
        <v>1484</v>
      </c>
      <c r="AP158" s="84" t="b">
        <v>0</v>
      </c>
      <c r="AQ158" s="92" t="s">
        <v>1091</v>
      </c>
      <c r="AR158" s="84" t="s">
        <v>187</v>
      </c>
      <c r="AS158" s="84">
        <v>0</v>
      </c>
      <c r="AT158" s="84">
        <v>0</v>
      </c>
      <c r="AU158" s="84"/>
      <c r="AV158" s="84"/>
      <c r="AW158" s="84"/>
      <c r="AX158" s="84"/>
      <c r="AY158" s="84"/>
      <c r="AZ158" s="84"/>
      <c r="BA158" s="84"/>
      <c r="BB158" s="84"/>
      <c r="BC158">
        <v>2</v>
      </c>
      <c r="BD158" s="83" t="str">
        <f>REPLACE(INDEX(GroupVertices[Group],MATCH(Edges[[#This Row],[Vertex 1]],GroupVertices[Vertex],0)),1,1,"")</f>
        <v>18</v>
      </c>
      <c r="BE158" s="83" t="str">
        <f>REPLACE(INDEX(GroupVertices[Group],MATCH(Edges[[#This Row],[Vertex 2]],GroupVertices[Vertex],0)),1,1,"")</f>
        <v>18</v>
      </c>
      <c r="BF158" s="49">
        <v>0</v>
      </c>
      <c r="BG158" s="50">
        <v>0</v>
      </c>
      <c r="BH158" s="49">
        <v>0</v>
      </c>
      <c r="BI158" s="50">
        <v>0</v>
      </c>
      <c r="BJ158" s="49">
        <v>0</v>
      </c>
      <c r="BK158" s="50">
        <v>0</v>
      </c>
      <c r="BL158" s="49">
        <v>28</v>
      </c>
      <c r="BM158" s="50">
        <v>100</v>
      </c>
      <c r="BN158" s="49">
        <v>28</v>
      </c>
    </row>
    <row r="159" spans="1:66" ht="15">
      <c r="A159" s="68" t="s">
        <v>279</v>
      </c>
      <c r="B159" s="68" t="s">
        <v>279</v>
      </c>
      <c r="C159" s="69" t="s">
        <v>5209</v>
      </c>
      <c r="D159" s="70">
        <v>6.678367782143116</v>
      </c>
      <c r="E159" s="71" t="s">
        <v>132</v>
      </c>
      <c r="F159" s="72">
        <v>21</v>
      </c>
      <c r="G159" s="69" t="s">
        <v>51</v>
      </c>
      <c r="H159" s="73"/>
      <c r="I159" s="74"/>
      <c r="J159" s="74"/>
      <c r="K159" s="35" t="s">
        <v>65</v>
      </c>
      <c r="L159" s="82">
        <v>159</v>
      </c>
      <c r="M159" s="82"/>
      <c r="N159" s="76"/>
      <c r="O159" s="84" t="s">
        <v>187</v>
      </c>
      <c r="P159" s="86">
        <v>44083.207662037035</v>
      </c>
      <c r="Q159" s="84" t="s">
        <v>467</v>
      </c>
      <c r="R159" s="84"/>
      <c r="S159" s="84"/>
      <c r="T159" s="84" t="s">
        <v>584</v>
      </c>
      <c r="U159" s="87" t="str">
        <f>HYPERLINK("https://pbs.twimg.com/media/EhcrjqtWoAAgIhl.jpg")</f>
        <v>https://pbs.twimg.com/media/EhcrjqtWoAAgIhl.jpg</v>
      </c>
      <c r="V159" s="87" t="str">
        <f>HYPERLINK("https://pbs.twimg.com/media/EhcrjqtWoAAgIhl.jpg")</f>
        <v>https://pbs.twimg.com/media/EhcrjqtWoAAgIhl.jpg</v>
      </c>
      <c r="W159" s="86">
        <v>44083.207662037035</v>
      </c>
      <c r="X159" s="90">
        <v>44083</v>
      </c>
      <c r="Y159" s="92" t="s">
        <v>698</v>
      </c>
      <c r="Z159" s="87" t="str">
        <f>HYPERLINK("https://twitter.com/iphonegalaxymd/status/1303558510257598465")</f>
        <v>https://twitter.com/iphonegalaxymd/status/1303558510257598465</v>
      </c>
      <c r="AA159" s="84"/>
      <c r="AB159" s="84"/>
      <c r="AC159" s="92" t="s">
        <v>1092</v>
      </c>
      <c r="AD159" s="84"/>
      <c r="AE159" s="84" t="b">
        <v>0</v>
      </c>
      <c r="AF159" s="84">
        <v>1</v>
      </c>
      <c r="AG159" s="92" t="s">
        <v>1453</v>
      </c>
      <c r="AH159" s="84" t="b">
        <v>0</v>
      </c>
      <c r="AI159" s="84" t="s">
        <v>1456</v>
      </c>
      <c r="AJ159" s="84"/>
      <c r="AK159" s="92" t="s">
        <v>1453</v>
      </c>
      <c r="AL159" s="84" t="b">
        <v>0</v>
      </c>
      <c r="AM159" s="84">
        <v>4</v>
      </c>
      <c r="AN159" s="92" t="s">
        <v>1453</v>
      </c>
      <c r="AO159" s="84" t="s">
        <v>1484</v>
      </c>
      <c r="AP159" s="84" t="b">
        <v>0</v>
      </c>
      <c r="AQ159" s="92" t="s">
        <v>1092</v>
      </c>
      <c r="AR159" s="84" t="s">
        <v>187</v>
      </c>
      <c r="AS159" s="84">
        <v>0</v>
      </c>
      <c r="AT159" s="84">
        <v>0</v>
      </c>
      <c r="AU159" s="84"/>
      <c r="AV159" s="84"/>
      <c r="AW159" s="84"/>
      <c r="AX159" s="84"/>
      <c r="AY159" s="84"/>
      <c r="AZ159" s="84"/>
      <c r="BA159" s="84"/>
      <c r="BB159" s="84"/>
      <c r="BC159">
        <v>2</v>
      </c>
      <c r="BD159" s="83" t="str">
        <f>REPLACE(INDEX(GroupVertices[Group],MATCH(Edges[[#This Row],[Vertex 1]],GroupVertices[Vertex],0)),1,1,"")</f>
        <v>18</v>
      </c>
      <c r="BE159" s="83" t="str">
        <f>REPLACE(INDEX(GroupVertices[Group],MATCH(Edges[[#This Row],[Vertex 2]],GroupVertices[Vertex],0)),1,1,"")</f>
        <v>18</v>
      </c>
      <c r="BF159" s="49">
        <v>0</v>
      </c>
      <c r="BG159" s="50">
        <v>0</v>
      </c>
      <c r="BH159" s="49">
        <v>0</v>
      </c>
      <c r="BI159" s="50">
        <v>0</v>
      </c>
      <c r="BJ159" s="49">
        <v>0</v>
      </c>
      <c r="BK159" s="50">
        <v>0</v>
      </c>
      <c r="BL159" s="49">
        <v>28</v>
      </c>
      <c r="BM159" s="50">
        <v>100</v>
      </c>
      <c r="BN159" s="49">
        <v>28</v>
      </c>
    </row>
    <row r="160" spans="1:66" ht="15">
      <c r="A160" s="68" t="s">
        <v>280</v>
      </c>
      <c r="B160" s="68" t="s">
        <v>279</v>
      </c>
      <c r="C160" s="69" t="s">
        <v>5208</v>
      </c>
      <c r="D160" s="70">
        <v>1</v>
      </c>
      <c r="E160" s="71" t="s">
        <v>132</v>
      </c>
      <c r="F160" s="72">
        <v>32</v>
      </c>
      <c r="G160" s="69" t="s">
        <v>51</v>
      </c>
      <c r="H160" s="73"/>
      <c r="I160" s="74"/>
      <c r="J160" s="74"/>
      <c r="K160" s="35" t="s">
        <v>65</v>
      </c>
      <c r="L160" s="82">
        <v>160</v>
      </c>
      <c r="M160" s="82"/>
      <c r="N160" s="76"/>
      <c r="O160" s="84" t="s">
        <v>439</v>
      </c>
      <c r="P160" s="86">
        <v>44083.22106481482</v>
      </c>
      <c r="Q160" s="84" t="s">
        <v>467</v>
      </c>
      <c r="R160" s="84"/>
      <c r="S160" s="84"/>
      <c r="T160" s="84" t="s">
        <v>584</v>
      </c>
      <c r="U160" s="87" t="str">
        <f>HYPERLINK("https://pbs.twimg.com/media/EhcrjqtWoAAgIhl.jpg")</f>
        <v>https://pbs.twimg.com/media/EhcrjqtWoAAgIhl.jpg</v>
      </c>
      <c r="V160" s="87" t="str">
        <f>HYPERLINK("https://pbs.twimg.com/media/EhcrjqtWoAAgIhl.jpg")</f>
        <v>https://pbs.twimg.com/media/EhcrjqtWoAAgIhl.jpg</v>
      </c>
      <c r="W160" s="86">
        <v>44083.22106481482</v>
      </c>
      <c r="X160" s="90">
        <v>44083</v>
      </c>
      <c r="Y160" s="92" t="s">
        <v>699</v>
      </c>
      <c r="Z160" s="87" t="str">
        <f>HYPERLINK("https://twitter.com/jsfairy/status/1303563369488814081")</f>
        <v>https://twitter.com/jsfairy/status/1303563369488814081</v>
      </c>
      <c r="AA160" s="84"/>
      <c r="AB160" s="84"/>
      <c r="AC160" s="92" t="s">
        <v>1093</v>
      </c>
      <c r="AD160" s="84"/>
      <c r="AE160" s="84" t="b">
        <v>0</v>
      </c>
      <c r="AF160" s="84">
        <v>0</v>
      </c>
      <c r="AG160" s="92" t="s">
        <v>1453</v>
      </c>
      <c r="AH160" s="84" t="b">
        <v>0</v>
      </c>
      <c r="AI160" s="84" t="s">
        <v>1456</v>
      </c>
      <c r="AJ160" s="84"/>
      <c r="AK160" s="92" t="s">
        <v>1453</v>
      </c>
      <c r="AL160" s="84" t="b">
        <v>0</v>
      </c>
      <c r="AM160" s="84">
        <v>4</v>
      </c>
      <c r="AN160" s="92" t="s">
        <v>1092</v>
      </c>
      <c r="AO160" s="84" t="s">
        <v>1485</v>
      </c>
      <c r="AP160" s="84" t="b">
        <v>0</v>
      </c>
      <c r="AQ160" s="92" t="s">
        <v>1092</v>
      </c>
      <c r="AR160" s="84" t="s">
        <v>187</v>
      </c>
      <c r="AS160" s="84">
        <v>0</v>
      </c>
      <c r="AT160" s="84">
        <v>0</v>
      </c>
      <c r="AU160" s="84"/>
      <c r="AV160" s="84"/>
      <c r="AW160" s="84"/>
      <c r="AX160" s="84"/>
      <c r="AY160" s="84"/>
      <c r="AZ160" s="84"/>
      <c r="BA160" s="84"/>
      <c r="BB160" s="84"/>
      <c r="BC160">
        <v>1</v>
      </c>
      <c r="BD160" s="83" t="str">
        <f>REPLACE(INDEX(GroupVertices[Group],MATCH(Edges[[#This Row],[Vertex 1]],GroupVertices[Vertex],0)),1,1,"")</f>
        <v>18</v>
      </c>
      <c r="BE160" s="83" t="str">
        <f>REPLACE(INDEX(GroupVertices[Group],MATCH(Edges[[#This Row],[Vertex 2]],GroupVertices[Vertex],0)),1,1,"")</f>
        <v>18</v>
      </c>
      <c r="BF160" s="49">
        <v>0</v>
      </c>
      <c r="BG160" s="50">
        <v>0</v>
      </c>
      <c r="BH160" s="49">
        <v>0</v>
      </c>
      <c r="BI160" s="50">
        <v>0</v>
      </c>
      <c r="BJ160" s="49">
        <v>0</v>
      </c>
      <c r="BK160" s="50">
        <v>0</v>
      </c>
      <c r="BL160" s="49">
        <v>28</v>
      </c>
      <c r="BM160" s="50">
        <v>100</v>
      </c>
      <c r="BN160" s="49">
        <v>28</v>
      </c>
    </row>
    <row r="161" spans="1:66" ht="15">
      <c r="A161" s="68" t="s">
        <v>281</v>
      </c>
      <c r="B161" s="68" t="s">
        <v>387</v>
      </c>
      <c r="C161" s="69" t="s">
        <v>5208</v>
      </c>
      <c r="D161" s="70">
        <v>1</v>
      </c>
      <c r="E161" s="71" t="s">
        <v>132</v>
      </c>
      <c r="F161" s="72">
        <v>32</v>
      </c>
      <c r="G161" s="69" t="s">
        <v>51</v>
      </c>
      <c r="H161" s="73"/>
      <c r="I161" s="74"/>
      <c r="J161" s="74"/>
      <c r="K161" s="35" t="s">
        <v>65</v>
      </c>
      <c r="L161" s="82">
        <v>161</v>
      </c>
      <c r="M161" s="82"/>
      <c r="N161" s="76"/>
      <c r="O161" s="84" t="s">
        <v>439</v>
      </c>
      <c r="P161" s="86">
        <v>44083.241944444446</v>
      </c>
      <c r="Q161" s="84" t="s">
        <v>468</v>
      </c>
      <c r="R161" s="87" t="str">
        <f>HYPERLINK("https://jovian.ml/forum/t/data-science-daily-newsletter-september-8-2020/11527")</f>
        <v>https://jovian.ml/forum/t/data-science-daily-newsletter-september-8-2020/11527</v>
      </c>
      <c r="S161" s="84" t="s">
        <v>543</v>
      </c>
      <c r="T161" s="84" t="s">
        <v>585</v>
      </c>
      <c r="U161" s="84"/>
      <c r="V161" s="87" t="str">
        <f>HYPERLINK("http://pbs.twimg.com/profile_images/1217761707105210368/uOciLr6-_normal.jpg")</f>
        <v>http://pbs.twimg.com/profile_images/1217761707105210368/uOciLr6-_normal.jpg</v>
      </c>
      <c r="W161" s="86">
        <v>44083.241944444446</v>
      </c>
      <c r="X161" s="90">
        <v>44083</v>
      </c>
      <c r="Y161" s="92" t="s">
        <v>700</v>
      </c>
      <c r="Z161" s="87" t="str">
        <f>HYPERLINK("https://twitter.com/jovianml/status/1303570935535022080")</f>
        <v>https://twitter.com/jovianml/status/1303570935535022080</v>
      </c>
      <c r="AA161" s="84"/>
      <c r="AB161" s="84"/>
      <c r="AC161" s="92" t="s">
        <v>1094</v>
      </c>
      <c r="AD161" s="84"/>
      <c r="AE161" s="84" t="b">
        <v>0</v>
      </c>
      <c r="AF161" s="84">
        <v>0</v>
      </c>
      <c r="AG161" s="92" t="s">
        <v>1453</v>
      </c>
      <c r="AH161" s="84" t="b">
        <v>0</v>
      </c>
      <c r="AI161" s="84" t="s">
        <v>1456</v>
      </c>
      <c r="AJ161" s="84"/>
      <c r="AK161" s="92" t="s">
        <v>1453</v>
      </c>
      <c r="AL161" s="84" t="b">
        <v>0</v>
      </c>
      <c r="AM161" s="84">
        <v>11</v>
      </c>
      <c r="AN161" s="92" t="s">
        <v>1254</v>
      </c>
      <c r="AO161" s="84" t="s">
        <v>1480</v>
      </c>
      <c r="AP161" s="84" t="b">
        <v>0</v>
      </c>
      <c r="AQ161" s="92" t="s">
        <v>1254</v>
      </c>
      <c r="AR161" s="84" t="s">
        <v>187</v>
      </c>
      <c r="AS161" s="84">
        <v>0</v>
      </c>
      <c r="AT161" s="84">
        <v>0</v>
      </c>
      <c r="AU161" s="84"/>
      <c r="AV161" s="84"/>
      <c r="AW161" s="84"/>
      <c r="AX161" s="84"/>
      <c r="AY161" s="84"/>
      <c r="AZ161" s="84"/>
      <c r="BA161" s="84"/>
      <c r="BB161" s="84"/>
      <c r="BC161">
        <v>1</v>
      </c>
      <c r="BD161" s="83" t="str">
        <f>REPLACE(INDEX(GroupVertices[Group],MATCH(Edges[[#This Row],[Vertex 1]],GroupVertices[Vertex],0)),1,1,"")</f>
        <v>5</v>
      </c>
      <c r="BE161" s="83" t="str">
        <f>REPLACE(INDEX(GroupVertices[Group],MATCH(Edges[[#This Row],[Vertex 2]],GroupVertices[Vertex],0)),1,1,"")</f>
        <v>5</v>
      </c>
      <c r="BF161" s="49">
        <v>0</v>
      </c>
      <c r="BG161" s="50">
        <v>0</v>
      </c>
      <c r="BH161" s="49">
        <v>0</v>
      </c>
      <c r="BI161" s="50">
        <v>0</v>
      </c>
      <c r="BJ161" s="49">
        <v>0</v>
      </c>
      <c r="BK161" s="50">
        <v>0</v>
      </c>
      <c r="BL161" s="49">
        <v>31</v>
      </c>
      <c r="BM161" s="50">
        <v>100</v>
      </c>
      <c r="BN161" s="49">
        <v>31</v>
      </c>
    </row>
    <row r="162" spans="1:66" ht="15">
      <c r="A162" s="68" t="s">
        <v>282</v>
      </c>
      <c r="B162" s="68" t="s">
        <v>387</v>
      </c>
      <c r="C162" s="69" t="s">
        <v>5208</v>
      </c>
      <c r="D162" s="70">
        <v>1</v>
      </c>
      <c r="E162" s="71" t="s">
        <v>132</v>
      </c>
      <c r="F162" s="72">
        <v>32</v>
      </c>
      <c r="G162" s="69" t="s">
        <v>51</v>
      </c>
      <c r="H162" s="73"/>
      <c r="I162" s="74"/>
      <c r="J162" s="74"/>
      <c r="K162" s="35" t="s">
        <v>65</v>
      </c>
      <c r="L162" s="82">
        <v>162</v>
      </c>
      <c r="M162" s="82"/>
      <c r="N162" s="76"/>
      <c r="O162" s="84" t="s">
        <v>439</v>
      </c>
      <c r="P162" s="86">
        <v>44083.24232638889</v>
      </c>
      <c r="Q162" s="84" t="s">
        <v>468</v>
      </c>
      <c r="R162" s="87" t="str">
        <f>HYPERLINK("https://jovian.ml/forum/t/data-science-daily-newsletter-september-8-2020/11527")</f>
        <v>https://jovian.ml/forum/t/data-science-daily-newsletter-september-8-2020/11527</v>
      </c>
      <c r="S162" s="84" t="s">
        <v>543</v>
      </c>
      <c r="T162" s="84" t="s">
        <v>585</v>
      </c>
      <c r="U162" s="84"/>
      <c r="V162" s="87" t="str">
        <f>HYPERLINK("http://pbs.twimg.com/profile_images/1250851439582142464/mmc94ymF_normal.jpg")</f>
        <v>http://pbs.twimg.com/profile_images/1250851439582142464/mmc94ymF_normal.jpg</v>
      </c>
      <c r="W162" s="86">
        <v>44083.24232638889</v>
      </c>
      <c r="X162" s="90">
        <v>44083</v>
      </c>
      <c r="Y162" s="92" t="s">
        <v>701</v>
      </c>
      <c r="Z162" s="87" t="str">
        <f>HYPERLINK("https://twitter.com/dsnetorg/status/1303571074463006721")</f>
        <v>https://twitter.com/dsnetorg/status/1303571074463006721</v>
      </c>
      <c r="AA162" s="84"/>
      <c r="AB162" s="84"/>
      <c r="AC162" s="92" t="s">
        <v>1095</v>
      </c>
      <c r="AD162" s="84"/>
      <c r="AE162" s="84" t="b">
        <v>0</v>
      </c>
      <c r="AF162" s="84">
        <v>0</v>
      </c>
      <c r="AG162" s="92" t="s">
        <v>1453</v>
      </c>
      <c r="AH162" s="84" t="b">
        <v>0</v>
      </c>
      <c r="AI162" s="84" t="s">
        <v>1456</v>
      </c>
      <c r="AJ162" s="84"/>
      <c r="AK162" s="92" t="s">
        <v>1453</v>
      </c>
      <c r="AL162" s="84" t="b">
        <v>0</v>
      </c>
      <c r="AM162" s="84">
        <v>11</v>
      </c>
      <c r="AN162" s="92" t="s">
        <v>1254</v>
      </c>
      <c r="AO162" s="84" t="s">
        <v>1480</v>
      </c>
      <c r="AP162" s="84" t="b">
        <v>0</v>
      </c>
      <c r="AQ162" s="92" t="s">
        <v>1254</v>
      </c>
      <c r="AR162" s="84" t="s">
        <v>187</v>
      </c>
      <c r="AS162" s="84">
        <v>0</v>
      </c>
      <c r="AT162" s="84">
        <v>0</v>
      </c>
      <c r="AU162" s="84"/>
      <c r="AV162" s="84"/>
      <c r="AW162" s="84"/>
      <c r="AX162" s="84"/>
      <c r="AY162" s="84"/>
      <c r="AZ162" s="84"/>
      <c r="BA162" s="84"/>
      <c r="BB162" s="84"/>
      <c r="BC162">
        <v>1</v>
      </c>
      <c r="BD162" s="83" t="str">
        <f>REPLACE(INDEX(GroupVertices[Group],MATCH(Edges[[#This Row],[Vertex 1]],GroupVertices[Vertex],0)),1,1,"")</f>
        <v>5</v>
      </c>
      <c r="BE162" s="83" t="str">
        <f>REPLACE(INDEX(GroupVertices[Group],MATCH(Edges[[#This Row],[Vertex 2]],GroupVertices[Vertex],0)),1,1,"")</f>
        <v>5</v>
      </c>
      <c r="BF162" s="49">
        <v>0</v>
      </c>
      <c r="BG162" s="50">
        <v>0</v>
      </c>
      <c r="BH162" s="49">
        <v>0</v>
      </c>
      <c r="BI162" s="50">
        <v>0</v>
      </c>
      <c r="BJ162" s="49">
        <v>0</v>
      </c>
      <c r="BK162" s="50">
        <v>0</v>
      </c>
      <c r="BL162" s="49">
        <v>31</v>
      </c>
      <c r="BM162" s="50">
        <v>100</v>
      </c>
      <c r="BN162" s="49">
        <v>31</v>
      </c>
    </row>
    <row r="163" spans="1:66" ht="15">
      <c r="A163" s="68" t="s">
        <v>283</v>
      </c>
      <c r="B163" s="68" t="s">
        <v>387</v>
      </c>
      <c r="C163" s="69" t="s">
        <v>5208</v>
      </c>
      <c r="D163" s="70">
        <v>1</v>
      </c>
      <c r="E163" s="71" t="s">
        <v>132</v>
      </c>
      <c r="F163" s="72">
        <v>32</v>
      </c>
      <c r="G163" s="69" t="s">
        <v>51</v>
      </c>
      <c r="H163" s="73"/>
      <c r="I163" s="74"/>
      <c r="J163" s="74"/>
      <c r="K163" s="35" t="s">
        <v>65</v>
      </c>
      <c r="L163" s="82">
        <v>163</v>
      </c>
      <c r="M163" s="82"/>
      <c r="N163" s="76"/>
      <c r="O163" s="84" t="s">
        <v>439</v>
      </c>
      <c r="P163" s="86">
        <v>44083.25622685185</v>
      </c>
      <c r="Q163" s="84" t="s">
        <v>468</v>
      </c>
      <c r="R163" s="87" t="str">
        <f>HYPERLINK("https://jovian.ml/forum/t/data-science-daily-newsletter-september-8-2020/11527")</f>
        <v>https://jovian.ml/forum/t/data-science-daily-newsletter-september-8-2020/11527</v>
      </c>
      <c r="S163" s="84" t="s">
        <v>543</v>
      </c>
      <c r="T163" s="84" t="s">
        <v>585</v>
      </c>
      <c r="U163" s="84"/>
      <c r="V163" s="87" t="str">
        <f>HYPERLINK("http://pbs.twimg.com/profile_images/1183453214655557634/sZQDP3RK_normal.jpg")</f>
        <v>http://pbs.twimg.com/profile_images/1183453214655557634/sZQDP3RK_normal.jpg</v>
      </c>
      <c r="W163" s="86">
        <v>44083.25622685185</v>
      </c>
      <c r="X163" s="90">
        <v>44083</v>
      </c>
      <c r="Y163" s="92" t="s">
        <v>702</v>
      </c>
      <c r="Z163" s="87" t="str">
        <f>HYPERLINK("https://twitter.com/gabrielanthonyp/status/1303576109297086467")</f>
        <v>https://twitter.com/gabrielanthonyp/status/1303576109297086467</v>
      </c>
      <c r="AA163" s="84"/>
      <c r="AB163" s="84"/>
      <c r="AC163" s="92" t="s">
        <v>1096</v>
      </c>
      <c r="AD163" s="84"/>
      <c r="AE163" s="84" t="b">
        <v>0</v>
      </c>
      <c r="AF163" s="84">
        <v>0</v>
      </c>
      <c r="AG163" s="92" t="s">
        <v>1453</v>
      </c>
      <c r="AH163" s="84" t="b">
        <v>0</v>
      </c>
      <c r="AI163" s="84" t="s">
        <v>1456</v>
      </c>
      <c r="AJ163" s="84"/>
      <c r="AK163" s="92" t="s">
        <v>1453</v>
      </c>
      <c r="AL163" s="84" t="b">
        <v>0</v>
      </c>
      <c r="AM163" s="84">
        <v>11</v>
      </c>
      <c r="AN163" s="92" t="s">
        <v>1254</v>
      </c>
      <c r="AO163" s="84" t="s">
        <v>1467</v>
      </c>
      <c r="AP163" s="84" t="b">
        <v>0</v>
      </c>
      <c r="AQ163" s="92" t="s">
        <v>1254</v>
      </c>
      <c r="AR163" s="84" t="s">
        <v>187</v>
      </c>
      <c r="AS163" s="84">
        <v>0</v>
      </c>
      <c r="AT163" s="84">
        <v>0</v>
      </c>
      <c r="AU163" s="84"/>
      <c r="AV163" s="84"/>
      <c r="AW163" s="84"/>
      <c r="AX163" s="84"/>
      <c r="AY163" s="84"/>
      <c r="AZ163" s="84"/>
      <c r="BA163" s="84"/>
      <c r="BB163" s="84"/>
      <c r="BC163">
        <v>1</v>
      </c>
      <c r="BD163" s="83" t="str">
        <f>REPLACE(INDEX(GroupVertices[Group],MATCH(Edges[[#This Row],[Vertex 1]],GroupVertices[Vertex],0)),1,1,"")</f>
        <v>5</v>
      </c>
      <c r="BE163" s="83" t="str">
        <f>REPLACE(INDEX(GroupVertices[Group],MATCH(Edges[[#This Row],[Vertex 2]],GroupVertices[Vertex],0)),1,1,"")</f>
        <v>5</v>
      </c>
      <c r="BF163" s="49">
        <v>0</v>
      </c>
      <c r="BG163" s="50">
        <v>0</v>
      </c>
      <c r="BH163" s="49">
        <v>0</v>
      </c>
      <c r="BI163" s="50">
        <v>0</v>
      </c>
      <c r="BJ163" s="49">
        <v>0</v>
      </c>
      <c r="BK163" s="50">
        <v>0</v>
      </c>
      <c r="BL163" s="49">
        <v>31</v>
      </c>
      <c r="BM163" s="50">
        <v>100</v>
      </c>
      <c r="BN163" s="49">
        <v>31</v>
      </c>
    </row>
    <row r="164" spans="1:66" ht="15">
      <c r="A164" s="68" t="s">
        <v>284</v>
      </c>
      <c r="B164" s="68" t="s">
        <v>434</v>
      </c>
      <c r="C164" s="69" t="s">
        <v>5208</v>
      </c>
      <c r="D164" s="70">
        <v>1</v>
      </c>
      <c r="E164" s="71" t="s">
        <v>132</v>
      </c>
      <c r="F164" s="72">
        <v>32</v>
      </c>
      <c r="G164" s="69" t="s">
        <v>51</v>
      </c>
      <c r="H164" s="73"/>
      <c r="I164" s="74"/>
      <c r="J164" s="74"/>
      <c r="K164" s="35" t="s">
        <v>65</v>
      </c>
      <c r="L164" s="82">
        <v>164</v>
      </c>
      <c r="M164" s="82"/>
      <c r="N164" s="76"/>
      <c r="O164" s="84" t="s">
        <v>442</v>
      </c>
      <c r="P164" s="86">
        <v>44083.392916666664</v>
      </c>
      <c r="Q164" s="84" t="s">
        <v>469</v>
      </c>
      <c r="R164" s="84"/>
      <c r="S164" s="84"/>
      <c r="T164" s="84" t="s">
        <v>586</v>
      </c>
      <c r="U164" s="84"/>
      <c r="V164" s="87" t="str">
        <f>HYPERLINK("http://pbs.twimg.com/profile_images/1209196711278776324/K1quCt8Z_normal.jpg")</f>
        <v>http://pbs.twimg.com/profile_images/1209196711278776324/K1quCt8Z_normal.jpg</v>
      </c>
      <c r="W164" s="86">
        <v>44083.392916666664</v>
      </c>
      <c r="X164" s="90">
        <v>44083</v>
      </c>
      <c r="Y164" s="92" t="s">
        <v>703</v>
      </c>
      <c r="Z164" s="87" t="str">
        <f>HYPERLINK("https://twitter.com/nikolas49942251/status/1303625645033951232")</f>
        <v>https://twitter.com/nikolas49942251/status/1303625645033951232</v>
      </c>
      <c r="AA164" s="84"/>
      <c r="AB164" s="84"/>
      <c r="AC164" s="92" t="s">
        <v>1097</v>
      </c>
      <c r="AD164" s="84"/>
      <c r="AE164" s="84" t="b">
        <v>0</v>
      </c>
      <c r="AF164" s="84">
        <v>5</v>
      </c>
      <c r="AG164" s="92" t="s">
        <v>1454</v>
      </c>
      <c r="AH164" s="84" t="b">
        <v>0</v>
      </c>
      <c r="AI164" s="84" t="s">
        <v>1456</v>
      </c>
      <c r="AJ164" s="84"/>
      <c r="AK164" s="92" t="s">
        <v>1453</v>
      </c>
      <c r="AL164" s="84" t="b">
        <v>0</v>
      </c>
      <c r="AM164" s="84">
        <v>1</v>
      </c>
      <c r="AN164" s="92" t="s">
        <v>1453</v>
      </c>
      <c r="AO164" s="84" t="s">
        <v>1465</v>
      </c>
      <c r="AP164" s="84" t="b">
        <v>0</v>
      </c>
      <c r="AQ164" s="92" t="s">
        <v>1097</v>
      </c>
      <c r="AR164" s="84" t="s">
        <v>187</v>
      </c>
      <c r="AS164" s="84">
        <v>0</v>
      </c>
      <c r="AT164" s="84">
        <v>0</v>
      </c>
      <c r="AU164" s="84"/>
      <c r="AV164" s="84"/>
      <c r="AW164" s="84"/>
      <c r="AX164" s="84"/>
      <c r="AY164" s="84"/>
      <c r="AZ164" s="84"/>
      <c r="BA164" s="84"/>
      <c r="BB164" s="84"/>
      <c r="BC164">
        <v>1</v>
      </c>
      <c r="BD164" s="83" t="str">
        <f>REPLACE(INDEX(GroupVertices[Group],MATCH(Edges[[#This Row],[Vertex 1]],GroupVertices[Vertex],0)),1,1,"")</f>
        <v>17</v>
      </c>
      <c r="BE164" s="83" t="str">
        <f>REPLACE(INDEX(GroupVertices[Group],MATCH(Edges[[#This Row],[Vertex 2]],GroupVertices[Vertex],0)),1,1,"")</f>
        <v>17</v>
      </c>
      <c r="BF164" s="49">
        <v>0</v>
      </c>
      <c r="BG164" s="50">
        <v>0</v>
      </c>
      <c r="BH164" s="49">
        <v>0</v>
      </c>
      <c r="BI164" s="50">
        <v>0</v>
      </c>
      <c r="BJ164" s="49">
        <v>0</v>
      </c>
      <c r="BK164" s="50">
        <v>0</v>
      </c>
      <c r="BL164" s="49">
        <v>42</v>
      </c>
      <c r="BM164" s="50">
        <v>100</v>
      </c>
      <c r="BN164" s="49">
        <v>42</v>
      </c>
    </row>
    <row r="165" spans="1:66" ht="15">
      <c r="A165" s="68" t="s">
        <v>285</v>
      </c>
      <c r="B165" s="68" t="s">
        <v>423</v>
      </c>
      <c r="C165" s="69" t="s">
        <v>5208</v>
      </c>
      <c r="D165" s="70">
        <v>1</v>
      </c>
      <c r="E165" s="71" t="s">
        <v>132</v>
      </c>
      <c r="F165" s="72">
        <v>32</v>
      </c>
      <c r="G165" s="69" t="s">
        <v>51</v>
      </c>
      <c r="H165" s="73"/>
      <c r="I165" s="74"/>
      <c r="J165" s="74"/>
      <c r="K165" s="35" t="s">
        <v>65</v>
      </c>
      <c r="L165" s="82">
        <v>165</v>
      </c>
      <c r="M165" s="82"/>
      <c r="N165" s="76"/>
      <c r="O165" s="84" t="s">
        <v>439</v>
      </c>
      <c r="P165" s="86">
        <v>44083.46792824074</v>
      </c>
      <c r="Q165" s="84" t="s">
        <v>459</v>
      </c>
      <c r="R165" s="84"/>
      <c r="S165" s="84"/>
      <c r="T165" s="84" t="s">
        <v>578</v>
      </c>
      <c r="U165" s="87" t="str">
        <f>HYPERLINK("https://pbs.twimg.com/media/EhZc5KGWoAIz_Wo.jpg")</f>
        <v>https://pbs.twimg.com/media/EhZc5KGWoAIz_Wo.jpg</v>
      </c>
      <c r="V165" s="87" t="str">
        <f>HYPERLINK("https://pbs.twimg.com/media/EhZc5KGWoAIz_Wo.jpg")</f>
        <v>https://pbs.twimg.com/media/EhZc5KGWoAIz_Wo.jpg</v>
      </c>
      <c r="W165" s="86">
        <v>44083.46792824074</v>
      </c>
      <c r="X165" s="90">
        <v>44083</v>
      </c>
      <c r="Y165" s="92" t="s">
        <v>704</v>
      </c>
      <c r="Z165" s="87" t="str">
        <f>HYPERLINK("https://twitter.com/rmel4060/status/1303652827198353409")</f>
        <v>https://twitter.com/rmel4060/status/1303652827198353409</v>
      </c>
      <c r="AA165" s="84"/>
      <c r="AB165" s="84"/>
      <c r="AC165" s="92" t="s">
        <v>1098</v>
      </c>
      <c r="AD165" s="84"/>
      <c r="AE165" s="84" t="b">
        <v>0</v>
      </c>
      <c r="AF165" s="84">
        <v>0</v>
      </c>
      <c r="AG165" s="92" t="s">
        <v>1453</v>
      </c>
      <c r="AH165" s="84" t="b">
        <v>0</v>
      </c>
      <c r="AI165" s="84" t="s">
        <v>1456</v>
      </c>
      <c r="AJ165" s="84"/>
      <c r="AK165" s="92" t="s">
        <v>1453</v>
      </c>
      <c r="AL165" s="84" t="b">
        <v>0</v>
      </c>
      <c r="AM165" s="84">
        <v>44</v>
      </c>
      <c r="AN165" s="92" t="s">
        <v>1428</v>
      </c>
      <c r="AO165" s="84" t="s">
        <v>1464</v>
      </c>
      <c r="AP165" s="84" t="b">
        <v>0</v>
      </c>
      <c r="AQ165" s="92" t="s">
        <v>1428</v>
      </c>
      <c r="AR165" s="84" t="s">
        <v>187</v>
      </c>
      <c r="AS165" s="84">
        <v>0</v>
      </c>
      <c r="AT165" s="84">
        <v>0</v>
      </c>
      <c r="AU165" s="84"/>
      <c r="AV165" s="84"/>
      <c r="AW165" s="84"/>
      <c r="AX165" s="84"/>
      <c r="AY165" s="84"/>
      <c r="AZ165" s="84"/>
      <c r="BA165" s="84"/>
      <c r="BB165" s="84"/>
      <c r="BC165">
        <v>1</v>
      </c>
      <c r="BD165" s="83" t="str">
        <f>REPLACE(INDEX(GroupVertices[Group],MATCH(Edges[[#This Row],[Vertex 1]],GroupVertices[Vertex],0)),1,1,"")</f>
        <v>1</v>
      </c>
      <c r="BE165" s="83" t="str">
        <f>REPLACE(INDEX(GroupVertices[Group],MATCH(Edges[[#This Row],[Vertex 2]],GroupVertices[Vertex],0)),1,1,"")</f>
        <v>1</v>
      </c>
      <c r="BF165" s="49">
        <v>0</v>
      </c>
      <c r="BG165" s="50">
        <v>0</v>
      </c>
      <c r="BH165" s="49">
        <v>0</v>
      </c>
      <c r="BI165" s="50">
        <v>0</v>
      </c>
      <c r="BJ165" s="49">
        <v>0</v>
      </c>
      <c r="BK165" s="50">
        <v>0</v>
      </c>
      <c r="BL165" s="49">
        <v>30</v>
      </c>
      <c r="BM165" s="50">
        <v>100</v>
      </c>
      <c r="BN165" s="49">
        <v>30</v>
      </c>
    </row>
    <row r="166" spans="1:66" ht="15">
      <c r="A166" s="68" t="s">
        <v>286</v>
      </c>
      <c r="B166" s="68" t="s">
        <v>403</v>
      </c>
      <c r="C166" s="69" t="s">
        <v>5208</v>
      </c>
      <c r="D166" s="70">
        <v>1</v>
      </c>
      <c r="E166" s="71" t="s">
        <v>132</v>
      </c>
      <c r="F166" s="72">
        <v>32</v>
      </c>
      <c r="G166" s="69" t="s">
        <v>51</v>
      </c>
      <c r="H166" s="73"/>
      <c r="I166" s="74"/>
      <c r="J166" s="74"/>
      <c r="K166" s="35" t="s">
        <v>65</v>
      </c>
      <c r="L166" s="82">
        <v>166</v>
      </c>
      <c r="M166" s="82"/>
      <c r="N166" s="76"/>
      <c r="O166" s="84" t="s">
        <v>439</v>
      </c>
      <c r="P166" s="86">
        <v>44083.47</v>
      </c>
      <c r="Q166" s="84" t="s">
        <v>470</v>
      </c>
      <c r="R166" s="84"/>
      <c r="S166" s="84"/>
      <c r="T166" s="84" t="s">
        <v>587</v>
      </c>
      <c r="U166" s="87" t="str">
        <f>HYPERLINK("https://pbs.twimg.com/media/EheAw4eWsAAx-Hd.jpg")</f>
        <v>https://pbs.twimg.com/media/EheAw4eWsAAx-Hd.jpg</v>
      </c>
      <c r="V166" s="87" t="str">
        <f>HYPERLINK("https://pbs.twimg.com/media/EheAw4eWsAAx-Hd.jpg")</f>
        <v>https://pbs.twimg.com/media/EheAw4eWsAAx-Hd.jpg</v>
      </c>
      <c r="W166" s="86">
        <v>44083.47</v>
      </c>
      <c r="X166" s="90">
        <v>44083</v>
      </c>
      <c r="Y166" s="92" t="s">
        <v>705</v>
      </c>
      <c r="Z166" s="87" t="str">
        <f>HYPERLINK("https://twitter.com/tiiso_j/status/1303653577097871360")</f>
        <v>https://twitter.com/tiiso_j/status/1303653577097871360</v>
      </c>
      <c r="AA166" s="84"/>
      <c r="AB166" s="84"/>
      <c r="AC166" s="92" t="s">
        <v>1099</v>
      </c>
      <c r="AD166" s="84"/>
      <c r="AE166" s="84" t="b">
        <v>0</v>
      </c>
      <c r="AF166" s="84">
        <v>0</v>
      </c>
      <c r="AG166" s="92" t="s">
        <v>1453</v>
      </c>
      <c r="AH166" s="84" t="b">
        <v>0</v>
      </c>
      <c r="AI166" s="84" t="s">
        <v>1456</v>
      </c>
      <c r="AJ166" s="84"/>
      <c r="AK166" s="92" t="s">
        <v>1453</v>
      </c>
      <c r="AL166" s="84" t="b">
        <v>0</v>
      </c>
      <c r="AM166" s="84">
        <v>13</v>
      </c>
      <c r="AN166" s="92" t="s">
        <v>1337</v>
      </c>
      <c r="AO166" s="84" t="s">
        <v>1486</v>
      </c>
      <c r="AP166" s="84" t="b">
        <v>0</v>
      </c>
      <c r="AQ166" s="92" t="s">
        <v>1337</v>
      </c>
      <c r="AR166" s="84" t="s">
        <v>187</v>
      </c>
      <c r="AS166" s="84">
        <v>0</v>
      </c>
      <c r="AT166" s="84">
        <v>0</v>
      </c>
      <c r="AU166" s="84"/>
      <c r="AV166" s="84"/>
      <c r="AW166" s="84"/>
      <c r="AX166" s="84"/>
      <c r="AY166" s="84"/>
      <c r="AZ166" s="84"/>
      <c r="BA166" s="84"/>
      <c r="BB166" s="84"/>
      <c r="BC166">
        <v>1</v>
      </c>
      <c r="BD166" s="83" t="str">
        <f>REPLACE(INDEX(GroupVertices[Group],MATCH(Edges[[#This Row],[Vertex 1]],GroupVertices[Vertex],0)),1,1,"")</f>
        <v>1</v>
      </c>
      <c r="BE166" s="83" t="str">
        <f>REPLACE(INDEX(GroupVertices[Group],MATCH(Edges[[#This Row],[Vertex 2]],GroupVertices[Vertex],0)),1,1,"")</f>
        <v>1</v>
      </c>
      <c r="BF166" s="49">
        <v>0</v>
      </c>
      <c r="BG166" s="50">
        <v>0</v>
      </c>
      <c r="BH166" s="49">
        <v>0</v>
      </c>
      <c r="BI166" s="50">
        <v>0</v>
      </c>
      <c r="BJ166" s="49">
        <v>0</v>
      </c>
      <c r="BK166" s="50">
        <v>0</v>
      </c>
      <c r="BL166" s="49">
        <v>37</v>
      </c>
      <c r="BM166" s="50">
        <v>100</v>
      </c>
      <c r="BN166" s="49">
        <v>37</v>
      </c>
    </row>
    <row r="167" spans="1:66" ht="15">
      <c r="A167" s="68" t="s">
        <v>287</v>
      </c>
      <c r="B167" s="68" t="s">
        <v>288</v>
      </c>
      <c r="C167" s="69" t="s">
        <v>5208</v>
      </c>
      <c r="D167" s="70">
        <v>1</v>
      </c>
      <c r="E167" s="71" t="s">
        <v>132</v>
      </c>
      <c r="F167" s="72">
        <v>32</v>
      </c>
      <c r="G167" s="69" t="s">
        <v>51</v>
      </c>
      <c r="H167" s="73"/>
      <c r="I167" s="74"/>
      <c r="J167" s="74"/>
      <c r="K167" s="35" t="s">
        <v>65</v>
      </c>
      <c r="L167" s="82">
        <v>167</v>
      </c>
      <c r="M167" s="82"/>
      <c r="N167" s="76"/>
      <c r="O167" s="84" t="s">
        <v>439</v>
      </c>
      <c r="P167" s="86">
        <v>44083.47077546296</v>
      </c>
      <c r="Q167" s="84" t="s">
        <v>471</v>
      </c>
      <c r="R167" s="87" t="str">
        <f>HYPERLINK("https://www.youtube.com/watch?v=N613b0RaiiA&amp;feature=youtu.be")</f>
        <v>https://www.youtube.com/watch?v=N613b0RaiiA&amp;feature=youtu.be</v>
      </c>
      <c r="S167" s="84" t="s">
        <v>535</v>
      </c>
      <c r="T167" s="84" t="s">
        <v>588</v>
      </c>
      <c r="U167" s="84"/>
      <c r="V167" s="87" t="str">
        <f>HYPERLINK("http://pbs.twimg.com/profile_images/1298230754325995525/mYJfFVlG_normal.jpg")</f>
        <v>http://pbs.twimg.com/profile_images/1298230754325995525/mYJfFVlG_normal.jpg</v>
      </c>
      <c r="W167" s="86">
        <v>44083.47077546296</v>
      </c>
      <c r="X167" s="90">
        <v>44083</v>
      </c>
      <c r="Y167" s="92" t="s">
        <v>706</v>
      </c>
      <c r="Z167" s="87" t="str">
        <f>HYPERLINK("https://twitter.com/dscfutabot/status/1303653859089408001")</f>
        <v>https://twitter.com/dscfutabot/status/1303653859089408001</v>
      </c>
      <c r="AA167" s="84"/>
      <c r="AB167" s="84"/>
      <c r="AC167" s="92" t="s">
        <v>1100</v>
      </c>
      <c r="AD167" s="84"/>
      <c r="AE167" s="84" t="b">
        <v>0</v>
      </c>
      <c r="AF167" s="84">
        <v>0</v>
      </c>
      <c r="AG167" s="92" t="s">
        <v>1453</v>
      </c>
      <c r="AH167" s="84" t="b">
        <v>0</v>
      </c>
      <c r="AI167" s="84" t="s">
        <v>1456</v>
      </c>
      <c r="AJ167" s="84"/>
      <c r="AK167" s="92" t="s">
        <v>1453</v>
      </c>
      <c r="AL167" s="84" t="b">
        <v>0</v>
      </c>
      <c r="AM167" s="84">
        <v>6</v>
      </c>
      <c r="AN167" s="92" t="s">
        <v>1102</v>
      </c>
      <c r="AO167" s="84"/>
      <c r="AP167" s="84" t="b">
        <v>0</v>
      </c>
      <c r="AQ167" s="92" t="s">
        <v>1102</v>
      </c>
      <c r="AR167" s="84" t="s">
        <v>187</v>
      </c>
      <c r="AS167" s="84">
        <v>0</v>
      </c>
      <c r="AT167" s="84">
        <v>0</v>
      </c>
      <c r="AU167" s="84"/>
      <c r="AV167" s="84"/>
      <c r="AW167" s="84"/>
      <c r="AX167" s="84"/>
      <c r="AY167" s="84"/>
      <c r="AZ167" s="84"/>
      <c r="BA167" s="84"/>
      <c r="BB167" s="84"/>
      <c r="BC167">
        <v>1</v>
      </c>
      <c r="BD167" s="83" t="str">
        <f>REPLACE(INDEX(GroupVertices[Group],MATCH(Edges[[#This Row],[Vertex 1]],GroupVertices[Vertex],0)),1,1,"")</f>
        <v>12</v>
      </c>
      <c r="BE167" s="83" t="str">
        <f>REPLACE(INDEX(GroupVertices[Group],MATCH(Edges[[#This Row],[Vertex 2]],GroupVertices[Vertex],0)),1,1,"")</f>
        <v>12</v>
      </c>
      <c r="BF167" s="49">
        <v>0</v>
      </c>
      <c r="BG167" s="50">
        <v>0</v>
      </c>
      <c r="BH167" s="49">
        <v>0</v>
      </c>
      <c r="BI167" s="50">
        <v>0</v>
      </c>
      <c r="BJ167" s="49">
        <v>0</v>
      </c>
      <c r="BK167" s="50">
        <v>0</v>
      </c>
      <c r="BL167" s="49">
        <v>15</v>
      </c>
      <c r="BM167" s="50">
        <v>100</v>
      </c>
      <c r="BN167" s="49">
        <v>15</v>
      </c>
    </row>
    <row r="168" spans="1:66" ht="15">
      <c r="A168" s="68" t="s">
        <v>287</v>
      </c>
      <c r="B168" s="68" t="s">
        <v>403</v>
      </c>
      <c r="C168" s="69" t="s">
        <v>5208</v>
      </c>
      <c r="D168" s="70">
        <v>1</v>
      </c>
      <c r="E168" s="71" t="s">
        <v>132</v>
      </c>
      <c r="F168" s="72">
        <v>32</v>
      </c>
      <c r="G168" s="69" t="s">
        <v>51</v>
      </c>
      <c r="H168" s="73"/>
      <c r="I168" s="74"/>
      <c r="J168" s="74"/>
      <c r="K168" s="35" t="s">
        <v>65</v>
      </c>
      <c r="L168" s="82">
        <v>168</v>
      </c>
      <c r="M168" s="82"/>
      <c r="N168" s="76"/>
      <c r="O168" s="84" t="s">
        <v>439</v>
      </c>
      <c r="P168" s="86">
        <v>44083.47414351852</v>
      </c>
      <c r="Q168" s="84" t="s">
        <v>470</v>
      </c>
      <c r="R168" s="84"/>
      <c r="S168" s="84"/>
      <c r="T168" s="84" t="s">
        <v>587</v>
      </c>
      <c r="U168" s="87" t="str">
        <f>HYPERLINK("https://pbs.twimg.com/media/EheAw4eWsAAx-Hd.jpg")</f>
        <v>https://pbs.twimg.com/media/EheAw4eWsAAx-Hd.jpg</v>
      </c>
      <c r="V168" s="87" t="str">
        <f>HYPERLINK("https://pbs.twimg.com/media/EheAw4eWsAAx-Hd.jpg")</f>
        <v>https://pbs.twimg.com/media/EheAw4eWsAAx-Hd.jpg</v>
      </c>
      <c r="W168" s="86">
        <v>44083.47414351852</v>
      </c>
      <c r="X168" s="90">
        <v>44083</v>
      </c>
      <c r="Y168" s="92" t="s">
        <v>707</v>
      </c>
      <c r="Z168" s="87" t="str">
        <f>HYPERLINK("https://twitter.com/dscfutabot/status/1303655078168059908")</f>
        <v>https://twitter.com/dscfutabot/status/1303655078168059908</v>
      </c>
      <c r="AA168" s="84"/>
      <c r="AB168" s="84"/>
      <c r="AC168" s="92" t="s">
        <v>1101</v>
      </c>
      <c r="AD168" s="84"/>
      <c r="AE168" s="84" t="b">
        <v>0</v>
      </c>
      <c r="AF168" s="84">
        <v>0</v>
      </c>
      <c r="AG168" s="92" t="s">
        <v>1453</v>
      </c>
      <c r="AH168" s="84" t="b">
        <v>0</v>
      </c>
      <c r="AI168" s="84" t="s">
        <v>1456</v>
      </c>
      <c r="AJ168" s="84"/>
      <c r="AK168" s="92" t="s">
        <v>1453</v>
      </c>
      <c r="AL168" s="84" t="b">
        <v>0</v>
      </c>
      <c r="AM168" s="84">
        <v>13</v>
      </c>
      <c r="AN168" s="92" t="s">
        <v>1337</v>
      </c>
      <c r="AO168" s="84"/>
      <c r="AP168" s="84" t="b">
        <v>0</v>
      </c>
      <c r="AQ168" s="92" t="s">
        <v>1337</v>
      </c>
      <c r="AR168" s="84" t="s">
        <v>187</v>
      </c>
      <c r="AS168" s="84">
        <v>0</v>
      </c>
      <c r="AT168" s="84">
        <v>0</v>
      </c>
      <c r="AU168" s="84"/>
      <c r="AV168" s="84"/>
      <c r="AW168" s="84"/>
      <c r="AX168" s="84"/>
      <c r="AY168" s="84"/>
      <c r="AZ168" s="84"/>
      <c r="BA168" s="84"/>
      <c r="BB168" s="84"/>
      <c r="BC168">
        <v>1</v>
      </c>
      <c r="BD168" s="83" t="str">
        <f>REPLACE(INDEX(GroupVertices[Group],MATCH(Edges[[#This Row],[Vertex 1]],GroupVertices[Vertex],0)),1,1,"")</f>
        <v>12</v>
      </c>
      <c r="BE168" s="83" t="str">
        <f>REPLACE(INDEX(GroupVertices[Group],MATCH(Edges[[#This Row],[Vertex 2]],GroupVertices[Vertex],0)),1,1,"")</f>
        <v>1</v>
      </c>
      <c r="BF168" s="49">
        <v>0</v>
      </c>
      <c r="BG168" s="50">
        <v>0</v>
      </c>
      <c r="BH168" s="49">
        <v>0</v>
      </c>
      <c r="BI168" s="50">
        <v>0</v>
      </c>
      <c r="BJ168" s="49">
        <v>0</v>
      </c>
      <c r="BK168" s="50">
        <v>0</v>
      </c>
      <c r="BL168" s="49">
        <v>37</v>
      </c>
      <c r="BM168" s="50">
        <v>100</v>
      </c>
      <c r="BN168" s="49">
        <v>37</v>
      </c>
    </row>
    <row r="169" spans="1:66" ht="15">
      <c r="A169" s="68" t="s">
        <v>288</v>
      </c>
      <c r="B169" s="68" t="s">
        <v>288</v>
      </c>
      <c r="C169" s="69" t="s">
        <v>5208</v>
      </c>
      <c r="D169" s="70">
        <v>1</v>
      </c>
      <c r="E169" s="71" t="s">
        <v>132</v>
      </c>
      <c r="F169" s="72">
        <v>32</v>
      </c>
      <c r="G169" s="69" t="s">
        <v>51</v>
      </c>
      <c r="H169" s="73"/>
      <c r="I169" s="74"/>
      <c r="J169" s="74"/>
      <c r="K169" s="35" t="s">
        <v>65</v>
      </c>
      <c r="L169" s="82">
        <v>169</v>
      </c>
      <c r="M169" s="82"/>
      <c r="N169" s="76"/>
      <c r="O169" s="84" t="s">
        <v>187</v>
      </c>
      <c r="P169" s="86">
        <v>44083.46875</v>
      </c>
      <c r="Q169" s="84" t="s">
        <v>471</v>
      </c>
      <c r="R169" s="87" t="str">
        <f>HYPERLINK("https://www.youtube.com/watch?v=N613b0RaiiA&amp;feature=youtu.be")</f>
        <v>https://www.youtube.com/watch?v=N613b0RaiiA&amp;feature=youtu.be</v>
      </c>
      <c r="S169" s="84" t="s">
        <v>535</v>
      </c>
      <c r="T169" s="84" t="s">
        <v>588</v>
      </c>
      <c r="U169" s="84"/>
      <c r="V169" s="87" t="str">
        <f>HYPERLINK("http://pbs.twimg.com/profile_images/1284776512953049089/kyyppwY2_normal.jpg")</f>
        <v>http://pbs.twimg.com/profile_images/1284776512953049089/kyyppwY2_normal.jpg</v>
      </c>
      <c r="W169" s="86">
        <v>44083.46875</v>
      </c>
      <c r="X169" s="90">
        <v>44083</v>
      </c>
      <c r="Y169" s="92" t="s">
        <v>708</v>
      </c>
      <c r="Z169" s="87" t="str">
        <f>HYPERLINK("https://twitter.com/pybron137/status/1303653124301680640")</f>
        <v>https://twitter.com/pybron137/status/1303653124301680640</v>
      </c>
      <c r="AA169" s="84"/>
      <c r="AB169" s="84"/>
      <c r="AC169" s="92" t="s">
        <v>1102</v>
      </c>
      <c r="AD169" s="84"/>
      <c r="AE169" s="84" t="b">
        <v>0</v>
      </c>
      <c r="AF169" s="84">
        <v>4</v>
      </c>
      <c r="AG169" s="92" t="s">
        <v>1453</v>
      </c>
      <c r="AH169" s="84" t="b">
        <v>0</v>
      </c>
      <c r="AI169" s="84" t="s">
        <v>1456</v>
      </c>
      <c r="AJ169" s="84"/>
      <c r="AK169" s="92" t="s">
        <v>1453</v>
      </c>
      <c r="AL169" s="84" t="b">
        <v>0</v>
      </c>
      <c r="AM169" s="84">
        <v>6</v>
      </c>
      <c r="AN169" s="92" t="s">
        <v>1453</v>
      </c>
      <c r="AO169" s="84" t="s">
        <v>1465</v>
      </c>
      <c r="AP169" s="84" t="b">
        <v>0</v>
      </c>
      <c r="AQ169" s="92" t="s">
        <v>1102</v>
      </c>
      <c r="AR169" s="84" t="s">
        <v>187</v>
      </c>
      <c r="AS169" s="84">
        <v>0</v>
      </c>
      <c r="AT169" s="84">
        <v>0</v>
      </c>
      <c r="AU169" s="84"/>
      <c r="AV169" s="84"/>
      <c r="AW169" s="84"/>
      <c r="AX169" s="84"/>
      <c r="AY169" s="84"/>
      <c r="AZ169" s="84"/>
      <c r="BA169" s="84"/>
      <c r="BB169" s="84"/>
      <c r="BC169">
        <v>1</v>
      </c>
      <c r="BD169" s="83" t="str">
        <f>REPLACE(INDEX(GroupVertices[Group],MATCH(Edges[[#This Row],[Vertex 1]],GroupVertices[Vertex],0)),1,1,"")</f>
        <v>12</v>
      </c>
      <c r="BE169" s="83" t="str">
        <f>REPLACE(INDEX(GroupVertices[Group],MATCH(Edges[[#This Row],[Vertex 2]],GroupVertices[Vertex],0)),1,1,"")</f>
        <v>12</v>
      </c>
      <c r="BF169" s="49">
        <v>0</v>
      </c>
      <c r="BG169" s="50">
        <v>0</v>
      </c>
      <c r="BH169" s="49">
        <v>0</v>
      </c>
      <c r="BI169" s="50">
        <v>0</v>
      </c>
      <c r="BJ169" s="49">
        <v>0</v>
      </c>
      <c r="BK169" s="50">
        <v>0</v>
      </c>
      <c r="BL169" s="49">
        <v>15</v>
      </c>
      <c r="BM169" s="50">
        <v>100</v>
      </c>
      <c r="BN169" s="49">
        <v>15</v>
      </c>
    </row>
    <row r="170" spans="1:66" ht="15">
      <c r="A170" s="68" t="s">
        <v>289</v>
      </c>
      <c r="B170" s="68" t="s">
        <v>288</v>
      </c>
      <c r="C170" s="69" t="s">
        <v>5208</v>
      </c>
      <c r="D170" s="70">
        <v>1</v>
      </c>
      <c r="E170" s="71" t="s">
        <v>132</v>
      </c>
      <c r="F170" s="72">
        <v>32</v>
      </c>
      <c r="G170" s="69" t="s">
        <v>51</v>
      </c>
      <c r="H170" s="73"/>
      <c r="I170" s="74"/>
      <c r="J170" s="74"/>
      <c r="K170" s="35" t="s">
        <v>65</v>
      </c>
      <c r="L170" s="82">
        <v>170</v>
      </c>
      <c r="M170" s="82"/>
      <c r="N170" s="76"/>
      <c r="O170" s="84" t="s">
        <v>439</v>
      </c>
      <c r="P170" s="86">
        <v>44083.50555555556</v>
      </c>
      <c r="Q170" s="84" t="s">
        <v>471</v>
      </c>
      <c r="R170" s="87" t="str">
        <f>HYPERLINK("https://www.youtube.com/watch?v=N613b0RaiiA&amp;feature=youtu.be")</f>
        <v>https://www.youtube.com/watch?v=N613b0RaiiA&amp;feature=youtu.be</v>
      </c>
      <c r="S170" s="84" t="s">
        <v>535</v>
      </c>
      <c r="T170" s="84" t="s">
        <v>588</v>
      </c>
      <c r="U170" s="84"/>
      <c r="V170" s="87" t="str">
        <f>HYPERLINK("http://pbs.twimg.com/profile_images/996202164593676288/Lj3MfQvu_normal.jpg")</f>
        <v>http://pbs.twimg.com/profile_images/996202164593676288/Lj3MfQvu_normal.jpg</v>
      </c>
      <c r="W170" s="86">
        <v>44083.50555555556</v>
      </c>
      <c r="X170" s="90">
        <v>44083</v>
      </c>
      <c r="Y170" s="92" t="s">
        <v>709</v>
      </c>
      <c r="Z170" s="87" t="str">
        <f>HYPERLINK("https://twitter.com/akhigolu23/status/1303666461626396673")</f>
        <v>https://twitter.com/akhigolu23/status/1303666461626396673</v>
      </c>
      <c r="AA170" s="84"/>
      <c r="AB170" s="84"/>
      <c r="AC170" s="92" t="s">
        <v>1103</v>
      </c>
      <c r="AD170" s="84"/>
      <c r="AE170" s="84" t="b">
        <v>0</v>
      </c>
      <c r="AF170" s="84">
        <v>0</v>
      </c>
      <c r="AG170" s="92" t="s">
        <v>1453</v>
      </c>
      <c r="AH170" s="84" t="b">
        <v>0</v>
      </c>
      <c r="AI170" s="84" t="s">
        <v>1456</v>
      </c>
      <c r="AJ170" s="84"/>
      <c r="AK170" s="92" t="s">
        <v>1453</v>
      </c>
      <c r="AL170" s="84" t="b">
        <v>0</v>
      </c>
      <c r="AM170" s="84">
        <v>6</v>
      </c>
      <c r="AN170" s="92" t="s">
        <v>1102</v>
      </c>
      <c r="AO170" s="84" t="s">
        <v>1464</v>
      </c>
      <c r="AP170" s="84" t="b">
        <v>0</v>
      </c>
      <c r="AQ170" s="92" t="s">
        <v>1102</v>
      </c>
      <c r="AR170" s="84" t="s">
        <v>187</v>
      </c>
      <c r="AS170" s="84">
        <v>0</v>
      </c>
      <c r="AT170" s="84">
        <v>0</v>
      </c>
      <c r="AU170" s="84"/>
      <c r="AV170" s="84"/>
      <c r="AW170" s="84"/>
      <c r="AX170" s="84"/>
      <c r="AY170" s="84"/>
      <c r="AZ170" s="84"/>
      <c r="BA170" s="84"/>
      <c r="BB170" s="84"/>
      <c r="BC170">
        <v>1</v>
      </c>
      <c r="BD170" s="83" t="str">
        <f>REPLACE(INDEX(GroupVertices[Group],MATCH(Edges[[#This Row],[Vertex 1]],GroupVertices[Vertex],0)),1,1,"")</f>
        <v>12</v>
      </c>
      <c r="BE170" s="83" t="str">
        <f>REPLACE(INDEX(GroupVertices[Group],MATCH(Edges[[#This Row],[Vertex 2]],GroupVertices[Vertex],0)),1,1,"")</f>
        <v>12</v>
      </c>
      <c r="BF170" s="49">
        <v>0</v>
      </c>
      <c r="BG170" s="50">
        <v>0</v>
      </c>
      <c r="BH170" s="49">
        <v>0</v>
      </c>
      <c r="BI170" s="50">
        <v>0</v>
      </c>
      <c r="BJ170" s="49">
        <v>0</v>
      </c>
      <c r="BK170" s="50">
        <v>0</v>
      </c>
      <c r="BL170" s="49">
        <v>15</v>
      </c>
      <c r="BM170" s="50">
        <v>100</v>
      </c>
      <c r="BN170" s="49">
        <v>15</v>
      </c>
    </row>
    <row r="171" spans="1:66" ht="15">
      <c r="A171" s="68" t="s">
        <v>290</v>
      </c>
      <c r="B171" s="68" t="s">
        <v>423</v>
      </c>
      <c r="C171" s="69" t="s">
        <v>5208</v>
      </c>
      <c r="D171" s="70">
        <v>1</v>
      </c>
      <c r="E171" s="71" t="s">
        <v>132</v>
      </c>
      <c r="F171" s="72">
        <v>32</v>
      </c>
      <c r="G171" s="69" t="s">
        <v>51</v>
      </c>
      <c r="H171" s="73"/>
      <c r="I171" s="74"/>
      <c r="J171" s="74"/>
      <c r="K171" s="35" t="s">
        <v>65</v>
      </c>
      <c r="L171" s="82">
        <v>171</v>
      </c>
      <c r="M171" s="82"/>
      <c r="N171" s="76"/>
      <c r="O171" s="84" t="s">
        <v>439</v>
      </c>
      <c r="P171" s="86">
        <v>44083.52501157407</v>
      </c>
      <c r="Q171" s="84" t="s">
        <v>459</v>
      </c>
      <c r="R171" s="84"/>
      <c r="S171" s="84"/>
      <c r="T171" s="84" t="s">
        <v>578</v>
      </c>
      <c r="U171" s="87" t="str">
        <f>HYPERLINK("https://pbs.twimg.com/media/EhZc5KGWoAIz_Wo.jpg")</f>
        <v>https://pbs.twimg.com/media/EhZc5KGWoAIz_Wo.jpg</v>
      </c>
      <c r="V171" s="87" t="str">
        <f>HYPERLINK("https://pbs.twimg.com/media/EhZc5KGWoAIz_Wo.jpg")</f>
        <v>https://pbs.twimg.com/media/EhZc5KGWoAIz_Wo.jpg</v>
      </c>
      <c r="W171" s="86">
        <v>44083.52501157407</v>
      </c>
      <c r="X171" s="90">
        <v>44083</v>
      </c>
      <c r="Y171" s="92" t="s">
        <v>710</v>
      </c>
      <c r="Z171" s="87" t="str">
        <f>HYPERLINK("https://twitter.com/sooritrade20/status/1303673513170161667")</f>
        <v>https://twitter.com/sooritrade20/status/1303673513170161667</v>
      </c>
      <c r="AA171" s="84"/>
      <c r="AB171" s="84"/>
      <c r="AC171" s="92" t="s">
        <v>1104</v>
      </c>
      <c r="AD171" s="84"/>
      <c r="AE171" s="84" t="b">
        <v>0</v>
      </c>
      <c r="AF171" s="84">
        <v>0</v>
      </c>
      <c r="AG171" s="92" t="s">
        <v>1453</v>
      </c>
      <c r="AH171" s="84" t="b">
        <v>0</v>
      </c>
      <c r="AI171" s="84" t="s">
        <v>1456</v>
      </c>
      <c r="AJ171" s="84"/>
      <c r="AK171" s="92" t="s">
        <v>1453</v>
      </c>
      <c r="AL171" s="84" t="b">
        <v>0</v>
      </c>
      <c r="AM171" s="84">
        <v>44</v>
      </c>
      <c r="AN171" s="92" t="s">
        <v>1428</v>
      </c>
      <c r="AO171" s="84" t="s">
        <v>1464</v>
      </c>
      <c r="AP171" s="84" t="b">
        <v>0</v>
      </c>
      <c r="AQ171" s="92" t="s">
        <v>1428</v>
      </c>
      <c r="AR171" s="84" t="s">
        <v>187</v>
      </c>
      <c r="AS171" s="84">
        <v>0</v>
      </c>
      <c r="AT171" s="84">
        <v>0</v>
      </c>
      <c r="AU171" s="84"/>
      <c r="AV171" s="84"/>
      <c r="AW171" s="84"/>
      <c r="AX171" s="84"/>
      <c r="AY171" s="84"/>
      <c r="AZ171" s="84"/>
      <c r="BA171" s="84"/>
      <c r="BB171" s="84"/>
      <c r="BC171">
        <v>1</v>
      </c>
      <c r="BD171" s="83" t="str">
        <f>REPLACE(INDEX(GroupVertices[Group],MATCH(Edges[[#This Row],[Vertex 1]],GroupVertices[Vertex],0)),1,1,"")</f>
        <v>1</v>
      </c>
      <c r="BE171" s="83" t="str">
        <f>REPLACE(INDEX(GroupVertices[Group],MATCH(Edges[[#This Row],[Vertex 2]],GroupVertices[Vertex],0)),1,1,"")</f>
        <v>1</v>
      </c>
      <c r="BF171" s="49">
        <v>0</v>
      </c>
      <c r="BG171" s="50">
        <v>0</v>
      </c>
      <c r="BH171" s="49">
        <v>0</v>
      </c>
      <c r="BI171" s="50">
        <v>0</v>
      </c>
      <c r="BJ171" s="49">
        <v>0</v>
      </c>
      <c r="BK171" s="50">
        <v>0</v>
      </c>
      <c r="BL171" s="49">
        <v>30</v>
      </c>
      <c r="BM171" s="50">
        <v>100</v>
      </c>
      <c r="BN171" s="49">
        <v>30</v>
      </c>
    </row>
    <row r="172" spans="1:66" ht="15">
      <c r="A172" s="68" t="s">
        <v>291</v>
      </c>
      <c r="B172" s="68" t="s">
        <v>425</v>
      </c>
      <c r="C172" s="69" t="s">
        <v>5208</v>
      </c>
      <c r="D172" s="70">
        <v>1</v>
      </c>
      <c r="E172" s="71" t="s">
        <v>132</v>
      </c>
      <c r="F172" s="72">
        <v>32</v>
      </c>
      <c r="G172" s="69" t="s">
        <v>51</v>
      </c>
      <c r="H172" s="73"/>
      <c r="I172" s="74"/>
      <c r="J172" s="74"/>
      <c r="K172" s="35" t="s">
        <v>65</v>
      </c>
      <c r="L172" s="82">
        <v>172</v>
      </c>
      <c r="M172" s="82"/>
      <c r="N172" s="76"/>
      <c r="O172" s="84" t="s">
        <v>439</v>
      </c>
      <c r="P172" s="86">
        <v>44083.5309837963</v>
      </c>
      <c r="Q172" s="84" t="s">
        <v>472</v>
      </c>
      <c r="R172" s="87" t="str">
        <f>HYPERLINK("https://techairesearch.com/comparative-study-of-best-time-series-models-for-urgent-pandemic-management-2/")</f>
        <v>https://techairesearch.com/comparative-study-of-best-time-series-models-for-urgent-pandemic-management-2/</v>
      </c>
      <c r="S172" s="84" t="s">
        <v>544</v>
      </c>
      <c r="T172" s="84" t="s">
        <v>589</v>
      </c>
      <c r="U172" s="84"/>
      <c r="V172" s="87" t="str">
        <f>HYPERLINK("http://pbs.twimg.com/profile_images/526492552/polarized_garry_normal.jpg")</f>
        <v>http://pbs.twimg.com/profile_images/526492552/polarized_garry_normal.jpg</v>
      </c>
      <c r="W172" s="86">
        <v>44083.5309837963</v>
      </c>
      <c r="X172" s="90">
        <v>44083</v>
      </c>
      <c r="Y172" s="92" t="s">
        <v>711</v>
      </c>
      <c r="Z172" s="87" t="str">
        <f>HYPERLINK("https://twitter.com/grjenkin/status/1303675680236937216")</f>
        <v>https://twitter.com/grjenkin/status/1303675680236937216</v>
      </c>
      <c r="AA172" s="84"/>
      <c r="AB172" s="84"/>
      <c r="AC172" s="92" t="s">
        <v>1105</v>
      </c>
      <c r="AD172" s="84"/>
      <c r="AE172" s="84" t="b">
        <v>0</v>
      </c>
      <c r="AF172" s="84">
        <v>0</v>
      </c>
      <c r="AG172" s="92" t="s">
        <v>1453</v>
      </c>
      <c r="AH172" s="84" t="b">
        <v>0</v>
      </c>
      <c r="AI172" s="84" t="s">
        <v>1456</v>
      </c>
      <c r="AJ172" s="84"/>
      <c r="AK172" s="92" t="s">
        <v>1453</v>
      </c>
      <c r="AL172" s="84" t="b">
        <v>0</v>
      </c>
      <c r="AM172" s="84">
        <v>12</v>
      </c>
      <c r="AN172" s="92" t="s">
        <v>1431</v>
      </c>
      <c r="AO172" s="84" t="s">
        <v>1487</v>
      </c>
      <c r="AP172" s="84" t="b">
        <v>0</v>
      </c>
      <c r="AQ172" s="92" t="s">
        <v>1431</v>
      </c>
      <c r="AR172" s="84" t="s">
        <v>187</v>
      </c>
      <c r="AS172" s="84">
        <v>0</v>
      </c>
      <c r="AT172" s="84">
        <v>0</v>
      </c>
      <c r="AU172" s="84"/>
      <c r="AV172" s="84"/>
      <c r="AW172" s="84"/>
      <c r="AX172" s="84"/>
      <c r="AY172" s="84"/>
      <c r="AZ172" s="84"/>
      <c r="BA172" s="84"/>
      <c r="BB172" s="84"/>
      <c r="BC172">
        <v>1</v>
      </c>
      <c r="BD172" s="83" t="str">
        <f>REPLACE(INDEX(GroupVertices[Group],MATCH(Edges[[#This Row],[Vertex 1]],GroupVertices[Vertex],0)),1,1,"")</f>
        <v>5</v>
      </c>
      <c r="BE172" s="83" t="str">
        <f>REPLACE(INDEX(GroupVertices[Group],MATCH(Edges[[#This Row],[Vertex 2]],GroupVertices[Vertex],0)),1,1,"")</f>
        <v>5</v>
      </c>
      <c r="BF172" s="49">
        <v>0</v>
      </c>
      <c r="BG172" s="50">
        <v>0</v>
      </c>
      <c r="BH172" s="49">
        <v>0</v>
      </c>
      <c r="BI172" s="50">
        <v>0</v>
      </c>
      <c r="BJ172" s="49">
        <v>0</v>
      </c>
      <c r="BK172" s="50">
        <v>0</v>
      </c>
      <c r="BL172" s="49">
        <v>26</v>
      </c>
      <c r="BM172" s="50">
        <v>100</v>
      </c>
      <c r="BN172" s="49">
        <v>26</v>
      </c>
    </row>
    <row r="173" spans="1:66" ht="15">
      <c r="A173" s="68" t="s">
        <v>292</v>
      </c>
      <c r="B173" s="68" t="s">
        <v>292</v>
      </c>
      <c r="C173" s="69" t="s">
        <v>5208</v>
      </c>
      <c r="D173" s="70">
        <v>1</v>
      </c>
      <c r="E173" s="71" t="s">
        <v>132</v>
      </c>
      <c r="F173" s="72">
        <v>32</v>
      </c>
      <c r="G173" s="69" t="s">
        <v>51</v>
      </c>
      <c r="H173" s="73"/>
      <c r="I173" s="74"/>
      <c r="J173" s="74"/>
      <c r="K173" s="35" t="s">
        <v>65</v>
      </c>
      <c r="L173" s="82">
        <v>173</v>
      </c>
      <c r="M173" s="82"/>
      <c r="N173" s="76"/>
      <c r="O173" s="84" t="s">
        <v>187</v>
      </c>
      <c r="P173" s="86">
        <v>44083.6271875</v>
      </c>
      <c r="Q173" s="84" t="s">
        <v>473</v>
      </c>
      <c r="R173" s="87" t="str">
        <f>HYPERLINK("https://morioh.com/p/45b7be54c8ee")</f>
        <v>https://morioh.com/p/45b7be54c8ee</v>
      </c>
      <c r="S173" s="84" t="s">
        <v>545</v>
      </c>
      <c r="T173" s="84" t="s">
        <v>590</v>
      </c>
      <c r="U173" s="87" t="str">
        <f>HYPERLINK("https://pbs.twimg.com/media/Ehe1085XkAYXEhA.jpg")</f>
        <v>https://pbs.twimg.com/media/Ehe1085XkAYXEhA.jpg</v>
      </c>
      <c r="V173" s="87" t="str">
        <f>HYPERLINK("https://pbs.twimg.com/media/Ehe1085XkAYXEhA.jpg")</f>
        <v>https://pbs.twimg.com/media/Ehe1085XkAYXEhA.jpg</v>
      </c>
      <c r="W173" s="86">
        <v>44083.6271875</v>
      </c>
      <c r="X173" s="90">
        <v>44083</v>
      </c>
      <c r="Y173" s="92" t="s">
        <v>712</v>
      </c>
      <c r="Z173" s="87" t="str">
        <f>HYPERLINK("https://twitter.com/codequsdotcom/status/1303710539638599686")</f>
        <v>https://twitter.com/codequsdotcom/status/1303710539638599686</v>
      </c>
      <c r="AA173" s="84"/>
      <c r="AB173" s="84"/>
      <c r="AC173" s="92" t="s">
        <v>1106</v>
      </c>
      <c r="AD173" s="84"/>
      <c r="AE173" s="84" t="b">
        <v>0</v>
      </c>
      <c r="AF173" s="84">
        <v>1</v>
      </c>
      <c r="AG173" s="92" t="s">
        <v>1453</v>
      </c>
      <c r="AH173" s="84" t="b">
        <v>0</v>
      </c>
      <c r="AI173" s="84" t="s">
        <v>1456</v>
      </c>
      <c r="AJ173" s="84"/>
      <c r="AK173" s="92" t="s">
        <v>1453</v>
      </c>
      <c r="AL173" s="84" t="b">
        <v>0</v>
      </c>
      <c r="AM173" s="84">
        <v>0</v>
      </c>
      <c r="AN173" s="92" t="s">
        <v>1453</v>
      </c>
      <c r="AO173" s="84" t="s">
        <v>1488</v>
      </c>
      <c r="AP173" s="84" t="b">
        <v>0</v>
      </c>
      <c r="AQ173" s="92" t="s">
        <v>1106</v>
      </c>
      <c r="AR173" s="84" t="s">
        <v>187</v>
      </c>
      <c r="AS173" s="84">
        <v>0</v>
      </c>
      <c r="AT173" s="84">
        <v>0</v>
      </c>
      <c r="AU173" s="84"/>
      <c r="AV173" s="84"/>
      <c r="AW173" s="84"/>
      <c r="AX173" s="84"/>
      <c r="AY173" s="84"/>
      <c r="AZ173" s="84"/>
      <c r="BA173" s="84"/>
      <c r="BB173" s="84"/>
      <c r="BC173">
        <v>1</v>
      </c>
      <c r="BD173" s="83" t="str">
        <f>REPLACE(INDEX(GroupVertices[Group],MATCH(Edges[[#This Row],[Vertex 1]],GroupVertices[Vertex],0)),1,1,"")</f>
        <v>6</v>
      </c>
      <c r="BE173" s="83" t="str">
        <f>REPLACE(INDEX(GroupVertices[Group],MATCH(Edges[[#This Row],[Vertex 2]],GroupVertices[Vertex],0)),1,1,"")</f>
        <v>6</v>
      </c>
      <c r="BF173" s="49">
        <v>0</v>
      </c>
      <c r="BG173" s="50">
        <v>0</v>
      </c>
      <c r="BH173" s="49">
        <v>0</v>
      </c>
      <c r="BI173" s="50">
        <v>0</v>
      </c>
      <c r="BJ173" s="49">
        <v>0</v>
      </c>
      <c r="BK173" s="50">
        <v>0</v>
      </c>
      <c r="BL173" s="49">
        <v>10</v>
      </c>
      <c r="BM173" s="50">
        <v>100</v>
      </c>
      <c r="BN173" s="49">
        <v>10</v>
      </c>
    </row>
    <row r="174" spans="1:66" ht="15">
      <c r="A174" s="68" t="s">
        <v>293</v>
      </c>
      <c r="B174" s="68" t="s">
        <v>423</v>
      </c>
      <c r="C174" s="69" t="s">
        <v>5208</v>
      </c>
      <c r="D174" s="70">
        <v>1</v>
      </c>
      <c r="E174" s="71" t="s">
        <v>132</v>
      </c>
      <c r="F174" s="72">
        <v>32</v>
      </c>
      <c r="G174" s="69" t="s">
        <v>51</v>
      </c>
      <c r="H174" s="73"/>
      <c r="I174" s="74"/>
      <c r="J174" s="74"/>
      <c r="K174" s="35" t="s">
        <v>65</v>
      </c>
      <c r="L174" s="82">
        <v>174</v>
      </c>
      <c r="M174" s="82"/>
      <c r="N174" s="76"/>
      <c r="O174" s="84" t="s">
        <v>439</v>
      </c>
      <c r="P174" s="86">
        <v>44083.64482638889</v>
      </c>
      <c r="Q174" s="84" t="s">
        <v>474</v>
      </c>
      <c r="R174" s="84"/>
      <c r="S174" s="84"/>
      <c r="T174" s="84" t="s">
        <v>591</v>
      </c>
      <c r="U174" s="87" t="str">
        <f>HYPERLINK("https://pbs.twimg.com/media/EhOErS9WAAUfUqQ.jpg")</f>
        <v>https://pbs.twimg.com/media/EhOErS9WAAUfUqQ.jpg</v>
      </c>
      <c r="V174" s="87" t="str">
        <f>HYPERLINK("https://pbs.twimg.com/media/EhOErS9WAAUfUqQ.jpg")</f>
        <v>https://pbs.twimg.com/media/EhOErS9WAAUfUqQ.jpg</v>
      </c>
      <c r="W174" s="86">
        <v>44083.64482638889</v>
      </c>
      <c r="X174" s="90">
        <v>44083</v>
      </c>
      <c r="Y174" s="92" t="s">
        <v>713</v>
      </c>
      <c r="Z174" s="87" t="str">
        <f>HYPERLINK("https://twitter.com/hustle2015/status/1303716932332515330")</f>
        <v>https://twitter.com/hustle2015/status/1303716932332515330</v>
      </c>
      <c r="AA174" s="84"/>
      <c r="AB174" s="84"/>
      <c r="AC174" s="92" t="s">
        <v>1107</v>
      </c>
      <c r="AD174" s="84"/>
      <c r="AE174" s="84" t="b">
        <v>0</v>
      </c>
      <c r="AF174" s="84">
        <v>0</v>
      </c>
      <c r="AG174" s="92" t="s">
        <v>1453</v>
      </c>
      <c r="AH174" s="84" t="b">
        <v>0</v>
      </c>
      <c r="AI174" s="84" t="s">
        <v>1456</v>
      </c>
      <c r="AJ174" s="84"/>
      <c r="AK174" s="92" t="s">
        <v>1453</v>
      </c>
      <c r="AL174" s="84" t="b">
        <v>0</v>
      </c>
      <c r="AM174" s="84">
        <v>55</v>
      </c>
      <c r="AN174" s="92" t="s">
        <v>1426</v>
      </c>
      <c r="AO174" s="84" t="s">
        <v>1467</v>
      </c>
      <c r="AP174" s="84" t="b">
        <v>0</v>
      </c>
      <c r="AQ174" s="92" t="s">
        <v>1426</v>
      </c>
      <c r="AR174" s="84" t="s">
        <v>187</v>
      </c>
      <c r="AS174" s="84">
        <v>0</v>
      </c>
      <c r="AT174" s="84">
        <v>0</v>
      </c>
      <c r="AU174" s="84"/>
      <c r="AV174" s="84"/>
      <c r="AW174" s="84"/>
      <c r="AX174" s="84"/>
      <c r="AY174" s="84"/>
      <c r="AZ174" s="84"/>
      <c r="BA174" s="84"/>
      <c r="BB174" s="84"/>
      <c r="BC174">
        <v>1</v>
      </c>
      <c r="BD174" s="83" t="str">
        <f>REPLACE(INDEX(GroupVertices[Group],MATCH(Edges[[#This Row],[Vertex 1]],GroupVertices[Vertex],0)),1,1,"")</f>
        <v>1</v>
      </c>
      <c r="BE174" s="83" t="str">
        <f>REPLACE(INDEX(GroupVertices[Group],MATCH(Edges[[#This Row],[Vertex 2]],GroupVertices[Vertex],0)),1,1,"")</f>
        <v>1</v>
      </c>
      <c r="BF174" s="49">
        <v>0</v>
      </c>
      <c r="BG174" s="50">
        <v>0</v>
      </c>
      <c r="BH174" s="49">
        <v>0</v>
      </c>
      <c r="BI174" s="50">
        <v>0</v>
      </c>
      <c r="BJ174" s="49">
        <v>0</v>
      </c>
      <c r="BK174" s="50">
        <v>0</v>
      </c>
      <c r="BL174" s="49">
        <v>31</v>
      </c>
      <c r="BM174" s="50">
        <v>100</v>
      </c>
      <c r="BN174" s="49">
        <v>31</v>
      </c>
    </row>
    <row r="175" spans="1:66" ht="15">
      <c r="A175" s="68" t="s">
        <v>294</v>
      </c>
      <c r="B175" s="68" t="s">
        <v>423</v>
      </c>
      <c r="C175" s="69" t="s">
        <v>5208</v>
      </c>
      <c r="D175" s="70">
        <v>1</v>
      </c>
      <c r="E175" s="71" t="s">
        <v>132</v>
      </c>
      <c r="F175" s="72">
        <v>32</v>
      </c>
      <c r="G175" s="69" t="s">
        <v>51</v>
      </c>
      <c r="H175" s="73"/>
      <c r="I175" s="74"/>
      <c r="J175" s="74"/>
      <c r="K175" s="35" t="s">
        <v>65</v>
      </c>
      <c r="L175" s="82">
        <v>175</v>
      </c>
      <c r="M175" s="82"/>
      <c r="N175" s="76"/>
      <c r="O175" s="84" t="s">
        <v>439</v>
      </c>
      <c r="P175" s="86">
        <v>44083.646689814814</v>
      </c>
      <c r="Q175" s="84" t="s">
        <v>474</v>
      </c>
      <c r="R175" s="84"/>
      <c r="S175" s="84"/>
      <c r="T175" s="84" t="s">
        <v>591</v>
      </c>
      <c r="U175" s="87" t="str">
        <f>HYPERLINK("https://pbs.twimg.com/media/EhOErS9WAAUfUqQ.jpg")</f>
        <v>https://pbs.twimg.com/media/EhOErS9WAAUfUqQ.jpg</v>
      </c>
      <c r="V175" s="87" t="str">
        <f>HYPERLINK("https://pbs.twimg.com/media/EhOErS9WAAUfUqQ.jpg")</f>
        <v>https://pbs.twimg.com/media/EhOErS9WAAUfUqQ.jpg</v>
      </c>
      <c r="W175" s="86">
        <v>44083.646689814814</v>
      </c>
      <c r="X175" s="90">
        <v>44083</v>
      </c>
      <c r="Y175" s="92" t="s">
        <v>714</v>
      </c>
      <c r="Z175" s="87" t="str">
        <f>HYPERLINK("https://twitter.com/americaasians/status/1303717607296692224")</f>
        <v>https://twitter.com/americaasians/status/1303717607296692224</v>
      </c>
      <c r="AA175" s="84"/>
      <c r="AB175" s="84"/>
      <c r="AC175" s="92" t="s">
        <v>1108</v>
      </c>
      <c r="AD175" s="84"/>
      <c r="AE175" s="84" t="b">
        <v>0</v>
      </c>
      <c r="AF175" s="84">
        <v>0</v>
      </c>
      <c r="AG175" s="92" t="s">
        <v>1453</v>
      </c>
      <c r="AH175" s="84" t="b">
        <v>0</v>
      </c>
      <c r="AI175" s="84" t="s">
        <v>1456</v>
      </c>
      <c r="AJ175" s="84"/>
      <c r="AK175" s="92" t="s">
        <v>1453</v>
      </c>
      <c r="AL175" s="84" t="b">
        <v>0</v>
      </c>
      <c r="AM175" s="84">
        <v>55</v>
      </c>
      <c r="AN175" s="92" t="s">
        <v>1426</v>
      </c>
      <c r="AO175" s="84" t="s">
        <v>1465</v>
      </c>
      <c r="AP175" s="84" t="b">
        <v>0</v>
      </c>
      <c r="AQ175" s="92" t="s">
        <v>1426</v>
      </c>
      <c r="AR175" s="84" t="s">
        <v>187</v>
      </c>
      <c r="AS175" s="84">
        <v>0</v>
      </c>
      <c r="AT175" s="84">
        <v>0</v>
      </c>
      <c r="AU175" s="84"/>
      <c r="AV175" s="84"/>
      <c r="AW175" s="84"/>
      <c r="AX175" s="84"/>
      <c r="AY175" s="84"/>
      <c r="AZ175" s="84"/>
      <c r="BA175" s="84"/>
      <c r="BB175" s="84"/>
      <c r="BC175">
        <v>1</v>
      </c>
      <c r="BD175" s="83" t="str">
        <f>REPLACE(INDEX(GroupVertices[Group],MATCH(Edges[[#This Row],[Vertex 1]],GroupVertices[Vertex],0)),1,1,"")</f>
        <v>1</v>
      </c>
      <c r="BE175" s="83" t="str">
        <f>REPLACE(INDEX(GroupVertices[Group],MATCH(Edges[[#This Row],[Vertex 2]],GroupVertices[Vertex],0)),1,1,"")</f>
        <v>1</v>
      </c>
      <c r="BF175" s="49">
        <v>0</v>
      </c>
      <c r="BG175" s="50">
        <v>0</v>
      </c>
      <c r="BH175" s="49">
        <v>0</v>
      </c>
      <c r="BI175" s="50">
        <v>0</v>
      </c>
      <c r="BJ175" s="49">
        <v>0</v>
      </c>
      <c r="BK175" s="50">
        <v>0</v>
      </c>
      <c r="BL175" s="49">
        <v>31</v>
      </c>
      <c r="BM175" s="50">
        <v>100</v>
      </c>
      <c r="BN175" s="49">
        <v>31</v>
      </c>
    </row>
    <row r="176" spans="1:66" ht="15">
      <c r="A176" s="68" t="s">
        <v>295</v>
      </c>
      <c r="B176" s="68" t="s">
        <v>423</v>
      </c>
      <c r="C176" s="69" t="s">
        <v>5208</v>
      </c>
      <c r="D176" s="70">
        <v>1</v>
      </c>
      <c r="E176" s="71" t="s">
        <v>132</v>
      </c>
      <c r="F176" s="72">
        <v>32</v>
      </c>
      <c r="G176" s="69" t="s">
        <v>51</v>
      </c>
      <c r="H176" s="73"/>
      <c r="I176" s="74"/>
      <c r="J176" s="74"/>
      <c r="K176" s="35" t="s">
        <v>65</v>
      </c>
      <c r="L176" s="82">
        <v>176</v>
      </c>
      <c r="M176" s="82"/>
      <c r="N176" s="76"/>
      <c r="O176" s="84" t="s">
        <v>439</v>
      </c>
      <c r="P176" s="86">
        <v>44083.646828703706</v>
      </c>
      <c r="Q176" s="84" t="s">
        <v>474</v>
      </c>
      <c r="R176" s="84"/>
      <c r="S176" s="84"/>
      <c r="T176" s="84" t="s">
        <v>591</v>
      </c>
      <c r="U176" s="87" t="str">
        <f>HYPERLINK("https://pbs.twimg.com/media/EhOErS9WAAUfUqQ.jpg")</f>
        <v>https://pbs.twimg.com/media/EhOErS9WAAUfUqQ.jpg</v>
      </c>
      <c r="V176" s="87" t="str">
        <f>HYPERLINK("https://pbs.twimg.com/media/EhOErS9WAAUfUqQ.jpg")</f>
        <v>https://pbs.twimg.com/media/EhOErS9WAAUfUqQ.jpg</v>
      </c>
      <c r="W176" s="86">
        <v>44083.646828703706</v>
      </c>
      <c r="X176" s="90">
        <v>44083</v>
      </c>
      <c r="Y176" s="92" t="s">
        <v>715</v>
      </c>
      <c r="Z176" s="87" t="str">
        <f>HYPERLINK("https://twitter.com/retweetburner/status/1303717659918229504")</f>
        <v>https://twitter.com/retweetburner/status/1303717659918229504</v>
      </c>
      <c r="AA176" s="84"/>
      <c r="AB176" s="84"/>
      <c r="AC176" s="92" t="s">
        <v>1109</v>
      </c>
      <c r="AD176" s="84"/>
      <c r="AE176" s="84" t="b">
        <v>0</v>
      </c>
      <c r="AF176" s="84">
        <v>0</v>
      </c>
      <c r="AG176" s="92" t="s">
        <v>1453</v>
      </c>
      <c r="AH176" s="84" t="b">
        <v>0</v>
      </c>
      <c r="AI176" s="84" t="s">
        <v>1456</v>
      </c>
      <c r="AJ176" s="84"/>
      <c r="AK176" s="92" t="s">
        <v>1453</v>
      </c>
      <c r="AL176" s="84" t="b">
        <v>0</v>
      </c>
      <c r="AM176" s="84">
        <v>55</v>
      </c>
      <c r="AN176" s="92" t="s">
        <v>1426</v>
      </c>
      <c r="AO176" s="84" t="s">
        <v>1465</v>
      </c>
      <c r="AP176" s="84" t="b">
        <v>0</v>
      </c>
      <c r="AQ176" s="92" t="s">
        <v>1426</v>
      </c>
      <c r="AR176" s="84" t="s">
        <v>187</v>
      </c>
      <c r="AS176" s="84">
        <v>0</v>
      </c>
      <c r="AT176" s="84">
        <v>0</v>
      </c>
      <c r="AU176" s="84"/>
      <c r="AV176" s="84"/>
      <c r="AW176" s="84"/>
      <c r="AX176" s="84"/>
      <c r="AY176" s="84"/>
      <c r="AZ176" s="84"/>
      <c r="BA176" s="84"/>
      <c r="BB176" s="84"/>
      <c r="BC176">
        <v>1</v>
      </c>
      <c r="BD176" s="83" t="str">
        <f>REPLACE(INDEX(GroupVertices[Group],MATCH(Edges[[#This Row],[Vertex 1]],GroupVertices[Vertex],0)),1,1,"")</f>
        <v>1</v>
      </c>
      <c r="BE176" s="83" t="str">
        <f>REPLACE(INDEX(GroupVertices[Group],MATCH(Edges[[#This Row],[Vertex 2]],GroupVertices[Vertex],0)),1,1,"")</f>
        <v>1</v>
      </c>
      <c r="BF176" s="49">
        <v>0</v>
      </c>
      <c r="BG176" s="50">
        <v>0</v>
      </c>
      <c r="BH176" s="49">
        <v>0</v>
      </c>
      <c r="BI176" s="50">
        <v>0</v>
      </c>
      <c r="BJ176" s="49">
        <v>0</v>
      </c>
      <c r="BK176" s="50">
        <v>0</v>
      </c>
      <c r="BL176" s="49">
        <v>31</v>
      </c>
      <c r="BM176" s="50">
        <v>100</v>
      </c>
      <c r="BN176" s="49">
        <v>31</v>
      </c>
    </row>
    <row r="177" spans="1:66" ht="15">
      <c r="A177" s="68" t="s">
        <v>296</v>
      </c>
      <c r="B177" s="68" t="s">
        <v>423</v>
      </c>
      <c r="C177" s="69" t="s">
        <v>5209</v>
      </c>
      <c r="D177" s="70">
        <v>6.678367782143116</v>
      </c>
      <c r="E177" s="71" t="s">
        <v>132</v>
      </c>
      <c r="F177" s="72">
        <v>21</v>
      </c>
      <c r="G177" s="69" t="s">
        <v>51</v>
      </c>
      <c r="H177" s="73"/>
      <c r="I177" s="74"/>
      <c r="J177" s="74"/>
      <c r="K177" s="35" t="s">
        <v>65</v>
      </c>
      <c r="L177" s="82">
        <v>177</v>
      </c>
      <c r="M177" s="82"/>
      <c r="N177" s="76"/>
      <c r="O177" s="84" t="s">
        <v>439</v>
      </c>
      <c r="P177" s="86">
        <v>44082.582824074074</v>
      </c>
      <c r="Q177" s="84" t="s">
        <v>459</v>
      </c>
      <c r="R177" s="84"/>
      <c r="S177" s="84"/>
      <c r="T177" s="84" t="s">
        <v>578</v>
      </c>
      <c r="U177" s="87" t="str">
        <f>HYPERLINK("https://pbs.twimg.com/media/EhZc5KGWoAIz_Wo.jpg")</f>
        <v>https://pbs.twimg.com/media/EhZc5KGWoAIz_Wo.jpg</v>
      </c>
      <c r="V177" s="87" t="str">
        <f>HYPERLINK("https://pbs.twimg.com/media/EhZc5KGWoAIz_Wo.jpg")</f>
        <v>https://pbs.twimg.com/media/EhZc5KGWoAIz_Wo.jpg</v>
      </c>
      <c r="W177" s="86">
        <v>44082.582824074074</v>
      </c>
      <c r="X177" s="90">
        <v>44082</v>
      </c>
      <c r="Y177" s="92" t="s">
        <v>716</v>
      </c>
      <c r="Z177" s="87" t="str">
        <f>HYPERLINK("https://twitter.com/algorithmsb/status/1303332075781513217")</f>
        <v>https://twitter.com/algorithmsb/status/1303332075781513217</v>
      </c>
      <c r="AA177" s="84"/>
      <c r="AB177" s="84"/>
      <c r="AC177" s="92" t="s">
        <v>1110</v>
      </c>
      <c r="AD177" s="84"/>
      <c r="AE177" s="84" t="b">
        <v>0</v>
      </c>
      <c r="AF177" s="84">
        <v>0</v>
      </c>
      <c r="AG177" s="92" t="s">
        <v>1453</v>
      </c>
      <c r="AH177" s="84" t="b">
        <v>0</v>
      </c>
      <c r="AI177" s="84" t="s">
        <v>1456</v>
      </c>
      <c r="AJ177" s="84"/>
      <c r="AK177" s="92" t="s">
        <v>1453</v>
      </c>
      <c r="AL177" s="84" t="b">
        <v>0</v>
      </c>
      <c r="AM177" s="84">
        <v>44</v>
      </c>
      <c r="AN177" s="92" t="s">
        <v>1428</v>
      </c>
      <c r="AO177" s="84"/>
      <c r="AP177" s="84" t="b">
        <v>0</v>
      </c>
      <c r="AQ177" s="92" t="s">
        <v>1428</v>
      </c>
      <c r="AR177" s="84" t="s">
        <v>187</v>
      </c>
      <c r="AS177" s="84">
        <v>0</v>
      </c>
      <c r="AT177" s="84">
        <v>0</v>
      </c>
      <c r="AU177" s="84"/>
      <c r="AV177" s="84"/>
      <c r="AW177" s="84"/>
      <c r="AX177" s="84"/>
      <c r="AY177" s="84"/>
      <c r="AZ177" s="84"/>
      <c r="BA177" s="84"/>
      <c r="BB177" s="84"/>
      <c r="BC177">
        <v>2</v>
      </c>
      <c r="BD177" s="83" t="str">
        <f>REPLACE(INDEX(GroupVertices[Group],MATCH(Edges[[#This Row],[Vertex 1]],GroupVertices[Vertex],0)),1,1,"")</f>
        <v>5</v>
      </c>
      <c r="BE177" s="83" t="str">
        <f>REPLACE(INDEX(GroupVertices[Group],MATCH(Edges[[#This Row],[Vertex 2]],GroupVertices[Vertex],0)),1,1,"")</f>
        <v>1</v>
      </c>
      <c r="BF177" s="49">
        <v>0</v>
      </c>
      <c r="BG177" s="50">
        <v>0</v>
      </c>
      <c r="BH177" s="49">
        <v>0</v>
      </c>
      <c r="BI177" s="50">
        <v>0</v>
      </c>
      <c r="BJ177" s="49">
        <v>0</v>
      </c>
      <c r="BK177" s="50">
        <v>0</v>
      </c>
      <c r="BL177" s="49">
        <v>30</v>
      </c>
      <c r="BM177" s="50">
        <v>100</v>
      </c>
      <c r="BN177" s="49">
        <v>30</v>
      </c>
    </row>
    <row r="178" spans="1:66" ht="15">
      <c r="A178" s="68" t="s">
        <v>296</v>
      </c>
      <c r="B178" s="68" t="s">
        <v>387</v>
      </c>
      <c r="C178" s="69" t="s">
        <v>5208</v>
      </c>
      <c r="D178" s="70">
        <v>1</v>
      </c>
      <c r="E178" s="71" t="s">
        <v>132</v>
      </c>
      <c r="F178" s="72">
        <v>32</v>
      </c>
      <c r="G178" s="69" t="s">
        <v>51</v>
      </c>
      <c r="H178" s="73"/>
      <c r="I178" s="74"/>
      <c r="J178" s="74"/>
      <c r="K178" s="35" t="s">
        <v>65</v>
      </c>
      <c r="L178" s="82">
        <v>178</v>
      </c>
      <c r="M178" s="82"/>
      <c r="N178" s="76"/>
      <c r="O178" s="84" t="s">
        <v>439</v>
      </c>
      <c r="P178" s="86">
        <v>44083.24569444444</v>
      </c>
      <c r="Q178" s="84" t="s">
        <v>468</v>
      </c>
      <c r="R178" s="87" t="str">
        <f>HYPERLINK("https://jovian.ml/forum/t/data-science-daily-newsletter-september-8-2020/11527")</f>
        <v>https://jovian.ml/forum/t/data-science-daily-newsletter-september-8-2020/11527</v>
      </c>
      <c r="S178" s="84" t="s">
        <v>543</v>
      </c>
      <c r="T178" s="84" t="s">
        <v>585</v>
      </c>
      <c r="U178" s="84"/>
      <c r="V178" s="87" t="str">
        <f>HYPERLINK("http://pbs.twimg.com/profile_images/1287937263913984000/o42_gxAd_normal.jpg")</f>
        <v>http://pbs.twimg.com/profile_images/1287937263913984000/o42_gxAd_normal.jpg</v>
      </c>
      <c r="W178" s="86">
        <v>44083.24569444444</v>
      </c>
      <c r="X178" s="90">
        <v>44083</v>
      </c>
      <c r="Y178" s="92" t="s">
        <v>717</v>
      </c>
      <c r="Z178" s="87" t="str">
        <f>HYPERLINK("https://twitter.com/algorithmsb/status/1303572294128865280")</f>
        <v>https://twitter.com/algorithmsb/status/1303572294128865280</v>
      </c>
      <c r="AA178" s="84"/>
      <c r="AB178" s="84"/>
      <c r="AC178" s="92" t="s">
        <v>1111</v>
      </c>
      <c r="AD178" s="84"/>
      <c r="AE178" s="84" t="b">
        <v>0</v>
      </c>
      <c r="AF178" s="84">
        <v>0</v>
      </c>
      <c r="AG178" s="92" t="s">
        <v>1453</v>
      </c>
      <c r="AH178" s="84" t="b">
        <v>0</v>
      </c>
      <c r="AI178" s="84" t="s">
        <v>1456</v>
      </c>
      <c r="AJ178" s="84"/>
      <c r="AK178" s="92" t="s">
        <v>1453</v>
      </c>
      <c r="AL178" s="84" t="b">
        <v>0</v>
      </c>
      <c r="AM178" s="84">
        <v>11</v>
      </c>
      <c r="AN178" s="92" t="s">
        <v>1254</v>
      </c>
      <c r="AO178" s="84"/>
      <c r="AP178" s="84" t="b">
        <v>0</v>
      </c>
      <c r="AQ178" s="92" t="s">
        <v>1254</v>
      </c>
      <c r="AR178" s="84" t="s">
        <v>187</v>
      </c>
      <c r="AS178" s="84">
        <v>0</v>
      </c>
      <c r="AT178" s="84">
        <v>0</v>
      </c>
      <c r="AU178" s="84"/>
      <c r="AV178" s="84"/>
      <c r="AW178" s="84"/>
      <c r="AX178" s="84"/>
      <c r="AY178" s="84"/>
      <c r="AZ178" s="84"/>
      <c r="BA178" s="84"/>
      <c r="BB178" s="84"/>
      <c r="BC178">
        <v>1</v>
      </c>
      <c r="BD178" s="83" t="str">
        <f>REPLACE(INDEX(GroupVertices[Group],MATCH(Edges[[#This Row],[Vertex 1]],GroupVertices[Vertex],0)),1,1,"")</f>
        <v>5</v>
      </c>
      <c r="BE178" s="83" t="str">
        <f>REPLACE(INDEX(GroupVertices[Group],MATCH(Edges[[#This Row],[Vertex 2]],GroupVertices[Vertex],0)),1,1,"")</f>
        <v>5</v>
      </c>
      <c r="BF178" s="49">
        <v>0</v>
      </c>
      <c r="BG178" s="50">
        <v>0</v>
      </c>
      <c r="BH178" s="49">
        <v>0</v>
      </c>
      <c r="BI178" s="50">
        <v>0</v>
      </c>
      <c r="BJ178" s="49">
        <v>0</v>
      </c>
      <c r="BK178" s="50">
        <v>0</v>
      </c>
      <c r="BL178" s="49">
        <v>31</v>
      </c>
      <c r="BM178" s="50">
        <v>100</v>
      </c>
      <c r="BN178" s="49">
        <v>31</v>
      </c>
    </row>
    <row r="179" spans="1:66" ht="15">
      <c r="A179" s="68" t="s">
        <v>296</v>
      </c>
      <c r="B179" s="68" t="s">
        <v>425</v>
      </c>
      <c r="C179" s="69" t="s">
        <v>5208</v>
      </c>
      <c r="D179" s="70">
        <v>1</v>
      </c>
      <c r="E179" s="71" t="s">
        <v>132</v>
      </c>
      <c r="F179" s="72">
        <v>32</v>
      </c>
      <c r="G179" s="69" t="s">
        <v>51</v>
      </c>
      <c r="H179" s="73"/>
      <c r="I179" s="74"/>
      <c r="J179" s="74"/>
      <c r="K179" s="35" t="s">
        <v>65</v>
      </c>
      <c r="L179" s="82">
        <v>179</v>
      </c>
      <c r="M179" s="82"/>
      <c r="N179" s="76"/>
      <c r="O179" s="84" t="s">
        <v>439</v>
      </c>
      <c r="P179" s="86">
        <v>44083.37950231481</v>
      </c>
      <c r="Q179" s="84" t="s">
        <v>472</v>
      </c>
      <c r="R179" s="87" t="str">
        <f>HYPERLINK("https://techairesearch.com/comparative-study-of-best-time-series-models-for-urgent-pandemic-management-2/")</f>
        <v>https://techairesearch.com/comparative-study-of-best-time-series-models-for-urgent-pandemic-management-2/</v>
      </c>
      <c r="S179" s="84" t="s">
        <v>544</v>
      </c>
      <c r="T179" s="84" t="s">
        <v>589</v>
      </c>
      <c r="U179" s="84"/>
      <c r="V179" s="87" t="str">
        <f>HYPERLINK("http://pbs.twimg.com/profile_images/1287937263913984000/o42_gxAd_normal.jpg")</f>
        <v>http://pbs.twimg.com/profile_images/1287937263913984000/o42_gxAd_normal.jpg</v>
      </c>
      <c r="W179" s="86">
        <v>44083.37950231481</v>
      </c>
      <c r="X179" s="90">
        <v>44083</v>
      </c>
      <c r="Y179" s="92" t="s">
        <v>718</v>
      </c>
      <c r="Z179" s="87" t="str">
        <f>HYPERLINK("https://twitter.com/algorithmsb/status/1303620784276017152")</f>
        <v>https://twitter.com/algorithmsb/status/1303620784276017152</v>
      </c>
      <c r="AA179" s="84"/>
      <c r="AB179" s="84"/>
      <c r="AC179" s="92" t="s">
        <v>1112</v>
      </c>
      <c r="AD179" s="84"/>
      <c r="AE179" s="84" t="b">
        <v>0</v>
      </c>
      <c r="AF179" s="84">
        <v>0</v>
      </c>
      <c r="AG179" s="92" t="s">
        <v>1453</v>
      </c>
      <c r="AH179" s="84" t="b">
        <v>0</v>
      </c>
      <c r="AI179" s="84" t="s">
        <v>1456</v>
      </c>
      <c r="AJ179" s="84"/>
      <c r="AK179" s="92" t="s">
        <v>1453</v>
      </c>
      <c r="AL179" s="84" t="b">
        <v>0</v>
      </c>
      <c r="AM179" s="84">
        <v>12</v>
      </c>
      <c r="AN179" s="92" t="s">
        <v>1431</v>
      </c>
      <c r="AO179" s="84"/>
      <c r="AP179" s="84" t="b">
        <v>0</v>
      </c>
      <c r="AQ179" s="92" t="s">
        <v>1431</v>
      </c>
      <c r="AR179" s="84" t="s">
        <v>187</v>
      </c>
      <c r="AS179" s="84">
        <v>0</v>
      </c>
      <c r="AT179" s="84">
        <v>0</v>
      </c>
      <c r="AU179" s="84"/>
      <c r="AV179" s="84"/>
      <c r="AW179" s="84"/>
      <c r="AX179" s="84"/>
      <c r="AY179" s="84"/>
      <c r="AZ179" s="84"/>
      <c r="BA179" s="84"/>
      <c r="BB179" s="84"/>
      <c r="BC179">
        <v>1</v>
      </c>
      <c r="BD179" s="83" t="str">
        <f>REPLACE(INDEX(GroupVertices[Group],MATCH(Edges[[#This Row],[Vertex 1]],GroupVertices[Vertex],0)),1,1,"")</f>
        <v>5</v>
      </c>
      <c r="BE179" s="83" t="str">
        <f>REPLACE(INDEX(GroupVertices[Group],MATCH(Edges[[#This Row],[Vertex 2]],GroupVertices[Vertex],0)),1,1,"")</f>
        <v>5</v>
      </c>
      <c r="BF179" s="49">
        <v>0</v>
      </c>
      <c r="BG179" s="50">
        <v>0</v>
      </c>
      <c r="BH179" s="49">
        <v>0</v>
      </c>
      <c r="BI179" s="50">
        <v>0</v>
      </c>
      <c r="BJ179" s="49">
        <v>0</v>
      </c>
      <c r="BK179" s="50">
        <v>0</v>
      </c>
      <c r="BL179" s="49">
        <v>26</v>
      </c>
      <c r="BM179" s="50">
        <v>100</v>
      </c>
      <c r="BN179" s="49">
        <v>26</v>
      </c>
    </row>
    <row r="180" spans="1:66" ht="15">
      <c r="A180" s="68" t="s">
        <v>296</v>
      </c>
      <c r="B180" s="68" t="s">
        <v>423</v>
      </c>
      <c r="C180" s="69" t="s">
        <v>5209</v>
      </c>
      <c r="D180" s="70">
        <v>6.678367782143116</v>
      </c>
      <c r="E180" s="71" t="s">
        <v>132</v>
      </c>
      <c r="F180" s="72">
        <v>21</v>
      </c>
      <c r="G180" s="69" t="s">
        <v>51</v>
      </c>
      <c r="H180" s="73"/>
      <c r="I180" s="74"/>
      <c r="J180" s="74"/>
      <c r="K180" s="35" t="s">
        <v>65</v>
      </c>
      <c r="L180" s="82">
        <v>180</v>
      </c>
      <c r="M180" s="82"/>
      <c r="N180" s="76"/>
      <c r="O180" s="84" t="s">
        <v>439</v>
      </c>
      <c r="P180" s="86">
        <v>44083.64807870371</v>
      </c>
      <c r="Q180" s="84" t="s">
        <v>474</v>
      </c>
      <c r="R180" s="84"/>
      <c r="S180" s="84"/>
      <c r="T180" s="84" t="s">
        <v>591</v>
      </c>
      <c r="U180" s="87" t="str">
        <f>HYPERLINK("https://pbs.twimg.com/media/EhOErS9WAAUfUqQ.jpg")</f>
        <v>https://pbs.twimg.com/media/EhOErS9WAAUfUqQ.jpg</v>
      </c>
      <c r="V180" s="87" t="str">
        <f>HYPERLINK("https://pbs.twimg.com/media/EhOErS9WAAUfUqQ.jpg")</f>
        <v>https://pbs.twimg.com/media/EhOErS9WAAUfUqQ.jpg</v>
      </c>
      <c r="W180" s="86">
        <v>44083.64807870371</v>
      </c>
      <c r="X180" s="90">
        <v>44083</v>
      </c>
      <c r="Y180" s="92" t="s">
        <v>719</v>
      </c>
      <c r="Z180" s="87" t="str">
        <f>HYPERLINK("https://twitter.com/algorithmsb/status/1303718111372288000")</f>
        <v>https://twitter.com/algorithmsb/status/1303718111372288000</v>
      </c>
      <c r="AA180" s="84"/>
      <c r="AB180" s="84"/>
      <c r="AC180" s="92" t="s">
        <v>1113</v>
      </c>
      <c r="AD180" s="84"/>
      <c r="AE180" s="84" t="b">
        <v>0</v>
      </c>
      <c r="AF180" s="84">
        <v>0</v>
      </c>
      <c r="AG180" s="92" t="s">
        <v>1453</v>
      </c>
      <c r="AH180" s="84" t="b">
        <v>0</v>
      </c>
      <c r="AI180" s="84" t="s">
        <v>1456</v>
      </c>
      <c r="AJ180" s="84"/>
      <c r="AK180" s="92" t="s">
        <v>1453</v>
      </c>
      <c r="AL180" s="84" t="b">
        <v>0</v>
      </c>
      <c r="AM180" s="84">
        <v>55</v>
      </c>
      <c r="AN180" s="92" t="s">
        <v>1426</v>
      </c>
      <c r="AO180" s="84"/>
      <c r="AP180" s="84" t="b">
        <v>0</v>
      </c>
      <c r="AQ180" s="92" t="s">
        <v>1426</v>
      </c>
      <c r="AR180" s="84" t="s">
        <v>187</v>
      </c>
      <c r="AS180" s="84">
        <v>0</v>
      </c>
      <c r="AT180" s="84">
        <v>0</v>
      </c>
      <c r="AU180" s="84"/>
      <c r="AV180" s="84"/>
      <c r="AW180" s="84"/>
      <c r="AX180" s="84"/>
      <c r="AY180" s="84"/>
      <c r="AZ180" s="84"/>
      <c r="BA180" s="84"/>
      <c r="BB180" s="84"/>
      <c r="BC180">
        <v>2</v>
      </c>
      <c r="BD180" s="83" t="str">
        <f>REPLACE(INDEX(GroupVertices[Group],MATCH(Edges[[#This Row],[Vertex 1]],GroupVertices[Vertex],0)),1,1,"")</f>
        <v>5</v>
      </c>
      <c r="BE180" s="83" t="str">
        <f>REPLACE(INDEX(GroupVertices[Group],MATCH(Edges[[#This Row],[Vertex 2]],GroupVertices[Vertex],0)),1,1,"")</f>
        <v>1</v>
      </c>
      <c r="BF180" s="49">
        <v>0</v>
      </c>
      <c r="BG180" s="50">
        <v>0</v>
      </c>
      <c r="BH180" s="49">
        <v>0</v>
      </c>
      <c r="BI180" s="50">
        <v>0</v>
      </c>
      <c r="BJ180" s="49">
        <v>0</v>
      </c>
      <c r="BK180" s="50">
        <v>0</v>
      </c>
      <c r="BL180" s="49">
        <v>31</v>
      </c>
      <c r="BM180" s="50">
        <v>100</v>
      </c>
      <c r="BN180" s="49">
        <v>31</v>
      </c>
    </row>
    <row r="181" spans="1:66" ht="15">
      <c r="A181" s="68" t="s">
        <v>297</v>
      </c>
      <c r="B181" s="68" t="s">
        <v>297</v>
      </c>
      <c r="C181" s="69" t="s">
        <v>5208</v>
      </c>
      <c r="D181" s="70">
        <v>1</v>
      </c>
      <c r="E181" s="71" t="s">
        <v>132</v>
      </c>
      <c r="F181" s="72">
        <v>32</v>
      </c>
      <c r="G181" s="69" t="s">
        <v>51</v>
      </c>
      <c r="H181" s="73"/>
      <c r="I181" s="74"/>
      <c r="J181" s="74"/>
      <c r="K181" s="35" t="s">
        <v>65</v>
      </c>
      <c r="L181" s="82">
        <v>181</v>
      </c>
      <c r="M181" s="82"/>
      <c r="N181" s="76"/>
      <c r="O181" s="84" t="s">
        <v>187</v>
      </c>
      <c r="P181" s="86">
        <v>44083.6847337963</v>
      </c>
      <c r="Q181" s="84" t="s">
        <v>475</v>
      </c>
      <c r="R181" s="87" t="str">
        <f>HYPERLINK("https://towardsdatascience.com/best-resources-for-mastering-python-2356b8be0ece")</f>
        <v>https://towardsdatascience.com/best-resources-for-mastering-python-2356b8be0ece</v>
      </c>
      <c r="S181" s="84" t="s">
        <v>546</v>
      </c>
      <c r="T181" s="84" t="s">
        <v>592</v>
      </c>
      <c r="U181" s="87" t="str">
        <f>HYPERLINK("https://pbs.twimg.com/media/EhfIy_kWAAAEUVG.jpg")</f>
        <v>https://pbs.twimg.com/media/EhfIy_kWAAAEUVG.jpg</v>
      </c>
      <c r="V181" s="87" t="str">
        <f>HYPERLINK("https://pbs.twimg.com/media/EhfIy_kWAAAEUVG.jpg")</f>
        <v>https://pbs.twimg.com/media/EhfIy_kWAAAEUVG.jpg</v>
      </c>
      <c r="W181" s="86">
        <v>44083.6847337963</v>
      </c>
      <c r="X181" s="90">
        <v>44083</v>
      </c>
      <c r="Y181" s="92" t="s">
        <v>720</v>
      </c>
      <c r="Z181" s="87" t="str">
        <f>HYPERLINK("https://twitter.com/innovateod/status/1303731397484519424")</f>
        <v>https://twitter.com/innovateod/status/1303731397484519424</v>
      </c>
      <c r="AA181" s="84"/>
      <c r="AB181" s="84"/>
      <c r="AC181" s="92" t="s">
        <v>1114</v>
      </c>
      <c r="AD181" s="84"/>
      <c r="AE181" s="84" t="b">
        <v>0</v>
      </c>
      <c r="AF181" s="84">
        <v>0</v>
      </c>
      <c r="AG181" s="92" t="s">
        <v>1453</v>
      </c>
      <c r="AH181" s="84" t="b">
        <v>0</v>
      </c>
      <c r="AI181" s="84" t="s">
        <v>1456</v>
      </c>
      <c r="AJ181" s="84"/>
      <c r="AK181" s="92" t="s">
        <v>1453</v>
      </c>
      <c r="AL181" s="84" t="b">
        <v>0</v>
      </c>
      <c r="AM181" s="84">
        <v>0</v>
      </c>
      <c r="AN181" s="92" t="s">
        <v>1453</v>
      </c>
      <c r="AO181" s="84" t="s">
        <v>1484</v>
      </c>
      <c r="AP181" s="84" t="b">
        <v>0</v>
      </c>
      <c r="AQ181" s="92" t="s">
        <v>1114</v>
      </c>
      <c r="AR181" s="84" t="s">
        <v>187</v>
      </c>
      <c r="AS181" s="84">
        <v>0</v>
      </c>
      <c r="AT181" s="84">
        <v>0</v>
      </c>
      <c r="AU181" s="84"/>
      <c r="AV181" s="84"/>
      <c r="AW181" s="84"/>
      <c r="AX181" s="84"/>
      <c r="AY181" s="84"/>
      <c r="AZ181" s="84"/>
      <c r="BA181" s="84"/>
      <c r="BB181" s="84"/>
      <c r="BC181">
        <v>1</v>
      </c>
      <c r="BD181" s="83" t="str">
        <f>REPLACE(INDEX(GroupVertices[Group],MATCH(Edges[[#This Row],[Vertex 1]],GroupVertices[Vertex],0)),1,1,"")</f>
        <v>6</v>
      </c>
      <c r="BE181" s="83" t="str">
        <f>REPLACE(INDEX(GroupVertices[Group],MATCH(Edges[[#This Row],[Vertex 2]],GroupVertices[Vertex],0)),1,1,"")</f>
        <v>6</v>
      </c>
      <c r="BF181" s="49">
        <v>0</v>
      </c>
      <c r="BG181" s="50">
        <v>0</v>
      </c>
      <c r="BH181" s="49">
        <v>0</v>
      </c>
      <c r="BI181" s="50">
        <v>0</v>
      </c>
      <c r="BJ181" s="49">
        <v>0</v>
      </c>
      <c r="BK181" s="50">
        <v>0</v>
      </c>
      <c r="BL181" s="49">
        <v>19</v>
      </c>
      <c r="BM181" s="50">
        <v>100</v>
      </c>
      <c r="BN181" s="49">
        <v>19</v>
      </c>
    </row>
    <row r="182" spans="1:66" ht="15">
      <c r="A182" s="68" t="s">
        <v>298</v>
      </c>
      <c r="B182" s="68" t="s">
        <v>423</v>
      </c>
      <c r="C182" s="69" t="s">
        <v>5208</v>
      </c>
      <c r="D182" s="70">
        <v>1</v>
      </c>
      <c r="E182" s="71" t="s">
        <v>132</v>
      </c>
      <c r="F182" s="72">
        <v>32</v>
      </c>
      <c r="G182" s="69" t="s">
        <v>51</v>
      </c>
      <c r="H182" s="73"/>
      <c r="I182" s="74"/>
      <c r="J182" s="74"/>
      <c r="K182" s="35" t="s">
        <v>65</v>
      </c>
      <c r="L182" s="82">
        <v>182</v>
      </c>
      <c r="M182" s="82"/>
      <c r="N182" s="76"/>
      <c r="O182" s="84" t="s">
        <v>439</v>
      </c>
      <c r="P182" s="86">
        <v>44082.82740740741</v>
      </c>
      <c r="Q182" s="84" t="s">
        <v>459</v>
      </c>
      <c r="R182" s="84"/>
      <c r="S182" s="84"/>
      <c r="T182" s="84" t="s">
        <v>578</v>
      </c>
      <c r="U182" s="87" t="str">
        <f>HYPERLINK("https://pbs.twimg.com/media/EhZc5KGWoAIz_Wo.jpg")</f>
        <v>https://pbs.twimg.com/media/EhZc5KGWoAIz_Wo.jpg</v>
      </c>
      <c r="V182" s="87" t="str">
        <f>HYPERLINK("https://pbs.twimg.com/media/EhZc5KGWoAIz_Wo.jpg")</f>
        <v>https://pbs.twimg.com/media/EhZc5KGWoAIz_Wo.jpg</v>
      </c>
      <c r="W182" s="86">
        <v>44082.82740740741</v>
      </c>
      <c r="X182" s="90">
        <v>44082</v>
      </c>
      <c r="Y182" s="92" t="s">
        <v>721</v>
      </c>
      <c r="Z182" s="87" t="str">
        <f>HYPERLINK("https://twitter.com/advanceml/status/1303420711118213120")</f>
        <v>https://twitter.com/advanceml/status/1303420711118213120</v>
      </c>
      <c r="AA182" s="84"/>
      <c r="AB182" s="84"/>
      <c r="AC182" s="92" t="s">
        <v>1115</v>
      </c>
      <c r="AD182" s="84"/>
      <c r="AE182" s="84" t="b">
        <v>0</v>
      </c>
      <c r="AF182" s="84">
        <v>0</v>
      </c>
      <c r="AG182" s="92" t="s">
        <v>1453</v>
      </c>
      <c r="AH182" s="84" t="b">
        <v>0</v>
      </c>
      <c r="AI182" s="84" t="s">
        <v>1456</v>
      </c>
      <c r="AJ182" s="84"/>
      <c r="AK182" s="92" t="s">
        <v>1453</v>
      </c>
      <c r="AL182" s="84" t="b">
        <v>0</v>
      </c>
      <c r="AM182" s="84">
        <v>44</v>
      </c>
      <c r="AN182" s="92" t="s">
        <v>1428</v>
      </c>
      <c r="AO182" s="84" t="s">
        <v>1489</v>
      </c>
      <c r="AP182" s="84" t="b">
        <v>0</v>
      </c>
      <c r="AQ182" s="92" t="s">
        <v>1428</v>
      </c>
      <c r="AR182" s="84" t="s">
        <v>187</v>
      </c>
      <c r="AS182" s="84">
        <v>0</v>
      </c>
      <c r="AT182" s="84">
        <v>0</v>
      </c>
      <c r="AU182" s="84"/>
      <c r="AV182" s="84"/>
      <c r="AW182" s="84"/>
      <c r="AX182" s="84"/>
      <c r="AY182" s="84"/>
      <c r="AZ182" s="84"/>
      <c r="BA182" s="84"/>
      <c r="BB182" s="84"/>
      <c r="BC182">
        <v>1</v>
      </c>
      <c r="BD182" s="83" t="str">
        <f>REPLACE(INDEX(GroupVertices[Group],MATCH(Edges[[#This Row],[Vertex 1]],GroupVertices[Vertex],0)),1,1,"")</f>
        <v>11</v>
      </c>
      <c r="BE182" s="83" t="str">
        <f>REPLACE(INDEX(GroupVertices[Group],MATCH(Edges[[#This Row],[Vertex 2]],GroupVertices[Vertex],0)),1,1,"")</f>
        <v>1</v>
      </c>
      <c r="BF182" s="49">
        <v>0</v>
      </c>
      <c r="BG182" s="50">
        <v>0</v>
      </c>
      <c r="BH182" s="49">
        <v>0</v>
      </c>
      <c r="BI182" s="50">
        <v>0</v>
      </c>
      <c r="BJ182" s="49">
        <v>0</v>
      </c>
      <c r="BK182" s="50">
        <v>0</v>
      </c>
      <c r="BL182" s="49">
        <v>30</v>
      </c>
      <c r="BM182" s="50">
        <v>100</v>
      </c>
      <c r="BN182" s="49">
        <v>30</v>
      </c>
    </row>
    <row r="183" spans="1:66" ht="15">
      <c r="A183" s="68" t="s">
        <v>298</v>
      </c>
      <c r="B183" s="68" t="s">
        <v>334</v>
      </c>
      <c r="C183" s="69" t="s">
        <v>5208</v>
      </c>
      <c r="D183" s="70">
        <v>1</v>
      </c>
      <c r="E183" s="71" t="s">
        <v>132</v>
      </c>
      <c r="F183" s="72">
        <v>32</v>
      </c>
      <c r="G183" s="69" t="s">
        <v>51</v>
      </c>
      <c r="H183" s="73"/>
      <c r="I183" s="74"/>
      <c r="J183" s="74"/>
      <c r="K183" s="35" t="s">
        <v>65</v>
      </c>
      <c r="L183" s="82">
        <v>183</v>
      </c>
      <c r="M183" s="82"/>
      <c r="N183" s="76"/>
      <c r="O183" s="84" t="s">
        <v>439</v>
      </c>
      <c r="P183" s="86">
        <v>44083.69396990741</v>
      </c>
      <c r="Q183" s="84" t="s">
        <v>476</v>
      </c>
      <c r="R183" s="87" t="str">
        <f>HYPERLINK("https://towardsdatascience.com/visualization-of-covid-19-new-cases-over-time-in-python-8c6ac4620c88")</f>
        <v>https://towardsdatascience.com/visualization-of-covid-19-new-cases-over-time-in-python-8c6ac4620c88</v>
      </c>
      <c r="S183" s="84" t="s">
        <v>546</v>
      </c>
      <c r="T183" s="84" t="s">
        <v>593</v>
      </c>
      <c r="U183" s="87" t="str">
        <f>HYPERLINK("https://pbs.twimg.com/media/EhcH6hyWsAI7pGV.png")</f>
        <v>https://pbs.twimg.com/media/EhcH6hyWsAI7pGV.png</v>
      </c>
      <c r="V183" s="87" t="str">
        <f>HYPERLINK("https://pbs.twimg.com/media/EhcH6hyWsAI7pGV.png")</f>
        <v>https://pbs.twimg.com/media/EhcH6hyWsAI7pGV.png</v>
      </c>
      <c r="W183" s="86">
        <v>44083.69396990741</v>
      </c>
      <c r="X183" s="90">
        <v>44083</v>
      </c>
      <c r="Y183" s="92" t="s">
        <v>722</v>
      </c>
      <c r="Z183" s="87" t="str">
        <f>HYPERLINK("https://twitter.com/advanceml/status/1303734741099839488")</f>
        <v>https://twitter.com/advanceml/status/1303734741099839488</v>
      </c>
      <c r="AA183" s="84"/>
      <c r="AB183" s="84"/>
      <c r="AC183" s="92" t="s">
        <v>1116</v>
      </c>
      <c r="AD183" s="84"/>
      <c r="AE183" s="84" t="b">
        <v>0</v>
      </c>
      <c r="AF183" s="84">
        <v>0</v>
      </c>
      <c r="AG183" s="92" t="s">
        <v>1453</v>
      </c>
      <c r="AH183" s="84" t="b">
        <v>0</v>
      </c>
      <c r="AI183" s="84" t="s">
        <v>1456</v>
      </c>
      <c r="AJ183" s="84"/>
      <c r="AK183" s="92" t="s">
        <v>1453</v>
      </c>
      <c r="AL183" s="84" t="b">
        <v>0</v>
      </c>
      <c r="AM183" s="84">
        <v>4</v>
      </c>
      <c r="AN183" s="92" t="s">
        <v>1161</v>
      </c>
      <c r="AO183" s="84" t="s">
        <v>1489</v>
      </c>
      <c r="AP183" s="84" t="b">
        <v>0</v>
      </c>
      <c r="AQ183" s="92" t="s">
        <v>1161</v>
      </c>
      <c r="AR183" s="84" t="s">
        <v>187</v>
      </c>
      <c r="AS183" s="84">
        <v>0</v>
      </c>
      <c r="AT183" s="84">
        <v>0</v>
      </c>
      <c r="AU183" s="84"/>
      <c r="AV183" s="84"/>
      <c r="AW183" s="84"/>
      <c r="AX183" s="84"/>
      <c r="AY183" s="84"/>
      <c r="AZ183" s="84"/>
      <c r="BA183" s="84"/>
      <c r="BB183" s="84"/>
      <c r="BC183">
        <v>1</v>
      </c>
      <c r="BD183" s="83" t="str">
        <f>REPLACE(INDEX(GroupVertices[Group],MATCH(Edges[[#This Row],[Vertex 1]],GroupVertices[Vertex],0)),1,1,"")</f>
        <v>11</v>
      </c>
      <c r="BE183" s="83" t="str">
        <f>REPLACE(INDEX(GroupVertices[Group],MATCH(Edges[[#This Row],[Vertex 2]],GroupVertices[Vertex],0)),1,1,"")</f>
        <v>11</v>
      </c>
      <c r="BF183" s="49">
        <v>0</v>
      </c>
      <c r="BG183" s="50">
        <v>0</v>
      </c>
      <c r="BH183" s="49">
        <v>0</v>
      </c>
      <c r="BI183" s="50">
        <v>0</v>
      </c>
      <c r="BJ183" s="49">
        <v>0</v>
      </c>
      <c r="BK183" s="50">
        <v>0</v>
      </c>
      <c r="BL183" s="49">
        <v>32</v>
      </c>
      <c r="BM183" s="50">
        <v>100</v>
      </c>
      <c r="BN183" s="49">
        <v>32</v>
      </c>
    </row>
    <row r="184" spans="1:66" ht="15">
      <c r="A184" s="68" t="s">
        <v>299</v>
      </c>
      <c r="B184" s="68" t="s">
        <v>299</v>
      </c>
      <c r="C184" s="69" t="s">
        <v>5208</v>
      </c>
      <c r="D184" s="70">
        <v>1</v>
      </c>
      <c r="E184" s="71" t="s">
        <v>132</v>
      </c>
      <c r="F184" s="72">
        <v>32</v>
      </c>
      <c r="G184" s="69" t="s">
        <v>51</v>
      </c>
      <c r="H184" s="73"/>
      <c r="I184" s="74"/>
      <c r="J184" s="74"/>
      <c r="K184" s="35" t="s">
        <v>65</v>
      </c>
      <c r="L184" s="82">
        <v>184</v>
      </c>
      <c r="M184" s="82"/>
      <c r="N184" s="76"/>
      <c r="O184" s="84" t="s">
        <v>187</v>
      </c>
      <c r="P184" s="86">
        <v>44083.79505787037</v>
      </c>
      <c r="Q184" s="84" t="s">
        <v>477</v>
      </c>
      <c r="R184" s="84"/>
      <c r="S184" s="84"/>
      <c r="T184" s="84" t="s">
        <v>594</v>
      </c>
      <c r="U184" s="87" t="str">
        <f>HYPERLINK("https://pbs.twimg.com/media/EhftF0HXgAI__qN.jpg")</f>
        <v>https://pbs.twimg.com/media/EhftF0HXgAI__qN.jpg</v>
      </c>
      <c r="V184" s="87" t="str">
        <f>HYPERLINK("https://pbs.twimg.com/media/EhftF0HXgAI__qN.jpg")</f>
        <v>https://pbs.twimg.com/media/EhftF0HXgAI__qN.jpg</v>
      </c>
      <c r="W184" s="86">
        <v>44083.79505787037</v>
      </c>
      <c r="X184" s="90">
        <v>44083</v>
      </c>
      <c r="Y184" s="92" t="s">
        <v>723</v>
      </c>
      <c r="Z184" s="87" t="str">
        <f>HYPERLINK("https://twitter.com/wwrandazzo/status/1303771374658506752")</f>
        <v>https://twitter.com/wwrandazzo/status/1303771374658506752</v>
      </c>
      <c r="AA184" s="84"/>
      <c r="AB184" s="84"/>
      <c r="AC184" s="92" t="s">
        <v>1117</v>
      </c>
      <c r="AD184" s="84"/>
      <c r="AE184" s="84" t="b">
        <v>0</v>
      </c>
      <c r="AF184" s="84">
        <v>3</v>
      </c>
      <c r="AG184" s="92" t="s">
        <v>1453</v>
      </c>
      <c r="AH184" s="84" t="b">
        <v>0</v>
      </c>
      <c r="AI184" s="84" t="s">
        <v>1456</v>
      </c>
      <c r="AJ184" s="84"/>
      <c r="AK184" s="92" t="s">
        <v>1453</v>
      </c>
      <c r="AL184" s="84" t="b">
        <v>0</v>
      </c>
      <c r="AM184" s="84">
        <v>3</v>
      </c>
      <c r="AN184" s="92" t="s">
        <v>1453</v>
      </c>
      <c r="AO184" s="84" t="s">
        <v>1465</v>
      </c>
      <c r="AP184" s="84" t="b">
        <v>0</v>
      </c>
      <c r="AQ184" s="92" t="s">
        <v>1117</v>
      </c>
      <c r="AR184" s="84" t="s">
        <v>187</v>
      </c>
      <c r="AS184" s="84">
        <v>0</v>
      </c>
      <c r="AT184" s="84">
        <v>0</v>
      </c>
      <c r="AU184" s="84"/>
      <c r="AV184" s="84"/>
      <c r="AW184" s="84"/>
      <c r="AX184" s="84"/>
      <c r="AY184" s="84"/>
      <c r="AZ184" s="84"/>
      <c r="BA184" s="84"/>
      <c r="BB184" s="84"/>
      <c r="BC184">
        <v>1</v>
      </c>
      <c r="BD184" s="83" t="str">
        <f>REPLACE(INDEX(GroupVertices[Group],MATCH(Edges[[#This Row],[Vertex 1]],GroupVertices[Vertex],0)),1,1,"")</f>
        <v>16</v>
      </c>
      <c r="BE184" s="83" t="str">
        <f>REPLACE(INDEX(GroupVertices[Group],MATCH(Edges[[#This Row],[Vertex 2]],GroupVertices[Vertex],0)),1,1,"")</f>
        <v>16</v>
      </c>
      <c r="BF184" s="49">
        <v>0</v>
      </c>
      <c r="BG184" s="50">
        <v>0</v>
      </c>
      <c r="BH184" s="49">
        <v>0</v>
      </c>
      <c r="BI184" s="50">
        <v>0</v>
      </c>
      <c r="BJ184" s="49">
        <v>0</v>
      </c>
      <c r="BK184" s="50">
        <v>0</v>
      </c>
      <c r="BL184" s="49">
        <v>52</v>
      </c>
      <c r="BM184" s="50">
        <v>100</v>
      </c>
      <c r="BN184" s="49">
        <v>52</v>
      </c>
    </row>
    <row r="185" spans="1:66" ht="15">
      <c r="A185" s="68" t="s">
        <v>300</v>
      </c>
      <c r="B185" s="68" t="s">
        <v>299</v>
      </c>
      <c r="C185" s="69" t="s">
        <v>5208</v>
      </c>
      <c r="D185" s="70">
        <v>1</v>
      </c>
      <c r="E185" s="71" t="s">
        <v>132</v>
      </c>
      <c r="F185" s="72">
        <v>32</v>
      </c>
      <c r="G185" s="69" t="s">
        <v>51</v>
      </c>
      <c r="H185" s="73"/>
      <c r="I185" s="74"/>
      <c r="J185" s="74"/>
      <c r="K185" s="35" t="s">
        <v>65</v>
      </c>
      <c r="L185" s="82">
        <v>185</v>
      </c>
      <c r="M185" s="82"/>
      <c r="N185" s="76"/>
      <c r="O185" s="84" t="s">
        <v>439</v>
      </c>
      <c r="P185" s="86">
        <v>44083.796215277776</v>
      </c>
      <c r="Q185" s="84" t="s">
        <v>477</v>
      </c>
      <c r="R185" s="84"/>
      <c r="S185" s="84"/>
      <c r="T185" s="84" t="s">
        <v>594</v>
      </c>
      <c r="U185" s="87" t="str">
        <f>HYPERLINK("https://pbs.twimg.com/media/EhftF0HXgAI__qN.jpg")</f>
        <v>https://pbs.twimg.com/media/EhftF0HXgAI__qN.jpg</v>
      </c>
      <c r="V185" s="87" t="str">
        <f>HYPERLINK("https://pbs.twimg.com/media/EhftF0HXgAI__qN.jpg")</f>
        <v>https://pbs.twimg.com/media/EhftF0HXgAI__qN.jpg</v>
      </c>
      <c r="W185" s="86">
        <v>44083.796215277776</v>
      </c>
      <c r="X185" s="90">
        <v>44083</v>
      </c>
      <c r="Y185" s="92" t="s">
        <v>724</v>
      </c>
      <c r="Z185" s="87" t="str">
        <f>HYPERLINK("https://twitter.com/rodo_nasif/status/1303771793115709443")</f>
        <v>https://twitter.com/rodo_nasif/status/1303771793115709443</v>
      </c>
      <c r="AA185" s="84"/>
      <c r="AB185" s="84"/>
      <c r="AC185" s="92" t="s">
        <v>1118</v>
      </c>
      <c r="AD185" s="84"/>
      <c r="AE185" s="84" t="b">
        <v>0</v>
      </c>
      <c r="AF185" s="84">
        <v>0</v>
      </c>
      <c r="AG185" s="92" t="s">
        <v>1453</v>
      </c>
      <c r="AH185" s="84" t="b">
        <v>0</v>
      </c>
      <c r="AI185" s="84" t="s">
        <v>1456</v>
      </c>
      <c r="AJ185" s="84"/>
      <c r="AK185" s="92" t="s">
        <v>1453</v>
      </c>
      <c r="AL185" s="84" t="b">
        <v>0</v>
      </c>
      <c r="AM185" s="84">
        <v>3</v>
      </c>
      <c r="AN185" s="92" t="s">
        <v>1117</v>
      </c>
      <c r="AO185" s="84" t="s">
        <v>1465</v>
      </c>
      <c r="AP185" s="84" t="b">
        <v>0</v>
      </c>
      <c r="AQ185" s="92" t="s">
        <v>1117</v>
      </c>
      <c r="AR185" s="84" t="s">
        <v>187</v>
      </c>
      <c r="AS185" s="84">
        <v>0</v>
      </c>
      <c r="AT185" s="84">
        <v>0</v>
      </c>
      <c r="AU185" s="84"/>
      <c r="AV185" s="84"/>
      <c r="AW185" s="84"/>
      <c r="AX185" s="84"/>
      <c r="AY185" s="84"/>
      <c r="AZ185" s="84"/>
      <c r="BA185" s="84"/>
      <c r="BB185" s="84"/>
      <c r="BC185">
        <v>1</v>
      </c>
      <c r="BD185" s="83" t="str">
        <f>REPLACE(INDEX(GroupVertices[Group],MATCH(Edges[[#This Row],[Vertex 1]],GroupVertices[Vertex],0)),1,1,"")</f>
        <v>16</v>
      </c>
      <c r="BE185" s="83" t="str">
        <f>REPLACE(INDEX(GroupVertices[Group],MATCH(Edges[[#This Row],[Vertex 2]],GroupVertices[Vertex],0)),1,1,"")</f>
        <v>16</v>
      </c>
      <c r="BF185" s="49">
        <v>0</v>
      </c>
      <c r="BG185" s="50">
        <v>0</v>
      </c>
      <c r="BH185" s="49">
        <v>0</v>
      </c>
      <c r="BI185" s="50">
        <v>0</v>
      </c>
      <c r="BJ185" s="49">
        <v>0</v>
      </c>
      <c r="BK185" s="50">
        <v>0</v>
      </c>
      <c r="BL185" s="49">
        <v>52</v>
      </c>
      <c r="BM185" s="50">
        <v>100</v>
      </c>
      <c r="BN185" s="49">
        <v>52</v>
      </c>
    </row>
    <row r="186" spans="1:66" ht="15">
      <c r="A186" s="68" t="s">
        <v>301</v>
      </c>
      <c r="B186" s="68" t="s">
        <v>387</v>
      </c>
      <c r="C186" s="69" t="s">
        <v>5209</v>
      </c>
      <c r="D186" s="70">
        <v>6.678367782143116</v>
      </c>
      <c r="E186" s="71" t="s">
        <v>132</v>
      </c>
      <c r="F186" s="72">
        <v>21</v>
      </c>
      <c r="G186" s="69" t="s">
        <v>51</v>
      </c>
      <c r="H186" s="73"/>
      <c r="I186" s="74"/>
      <c r="J186" s="74"/>
      <c r="K186" s="35" t="s">
        <v>65</v>
      </c>
      <c r="L186" s="82">
        <v>186</v>
      </c>
      <c r="M186" s="82"/>
      <c r="N186" s="76"/>
      <c r="O186" s="84" t="s">
        <v>439</v>
      </c>
      <c r="P186" s="86">
        <v>44082.810902777775</v>
      </c>
      <c r="Q186" s="84" t="s">
        <v>468</v>
      </c>
      <c r="R186" s="87" t="str">
        <f>HYPERLINK("https://jovian.ml/forum/t/data-science-daily-newsletter-september-8-2020/11527")</f>
        <v>https://jovian.ml/forum/t/data-science-daily-newsletter-september-8-2020/11527</v>
      </c>
      <c r="S186" s="84" t="s">
        <v>543</v>
      </c>
      <c r="T186" s="84" t="s">
        <v>585</v>
      </c>
      <c r="U186" s="84"/>
      <c r="V186" s="87" t="str">
        <f>HYPERLINK("http://pbs.twimg.com/profile_images/1290235414075379712/ow_SxZJS_normal.jpg")</f>
        <v>http://pbs.twimg.com/profile_images/1290235414075379712/ow_SxZJS_normal.jpg</v>
      </c>
      <c r="W186" s="86">
        <v>44082.810902777775</v>
      </c>
      <c r="X186" s="90">
        <v>44082</v>
      </c>
      <c r="Y186" s="92" t="s">
        <v>725</v>
      </c>
      <c r="Z186" s="87" t="str">
        <f>HYPERLINK("https://twitter.com/rush_data/status/1303414731269644290")</f>
        <v>https://twitter.com/rush_data/status/1303414731269644290</v>
      </c>
      <c r="AA186" s="84"/>
      <c r="AB186" s="84"/>
      <c r="AC186" s="92" t="s">
        <v>1119</v>
      </c>
      <c r="AD186" s="84"/>
      <c r="AE186" s="84" t="b">
        <v>0</v>
      </c>
      <c r="AF186" s="84">
        <v>0</v>
      </c>
      <c r="AG186" s="92" t="s">
        <v>1453</v>
      </c>
      <c r="AH186" s="84" t="b">
        <v>0</v>
      </c>
      <c r="AI186" s="84" t="s">
        <v>1456</v>
      </c>
      <c r="AJ186" s="84"/>
      <c r="AK186" s="92" t="s">
        <v>1453</v>
      </c>
      <c r="AL186" s="84" t="b">
        <v>0</v>
      </c>
      <c r="AM186" s="84">
        <v>11</v>
      </c>
      <c r="AN186" s="92" t="s">
        <v>1254</v>
      </c>
      <c r="AO186" s="84" t="s">
        <v>1490</v>
      </c>
      <c r="AP186" s="84" t="b">
        <v>0</v>
      </c>
      <c r="AQ186" s="92" t="s">
        <v>1254</v>
      </c>
      <c r="AR186" s="84" t="s">
        <v>187</v>
      </c>
      <c r="AS186" s="84">
        <v>0</v>
      </c>
      <c r="AT186" s="84">
        <v>0</v>
      </c>
      <c r="AU186" s="84"/>
      <c r="AV186" s="84"/>
      <c r="AW186" s="84"/>
      <c r="AX186" s="84"/>
      <c r="AY186" s="84"/>
      <c r="AZ186" s="84"/>
      <c r="BA186" s="84"/>
      <c r="BB186" s="84"/>
      <c r="BC186">
        <v>2</v>
      </c>
      <c r="BD186" s="83" t="str">
        <f>REPLACE(INDEX(GroupVertices[Group],MATCH(Edges[[#This Row],[Vertex 1]],GroupVertices[Vertex],0)),1,1,"")</f>
        <v>5</v>
      </c>
      <c r="BE186" s="83" t="str">
        <f>REPLACE(INDEX(GroupVertices[Group],MATCH(Edges[[#This Row],[Vertex 2]],GroupVertices[Vertex],0)),1,1,"")</f>
        <v>5</v>
      </c>
      <c r="BF186" s="49">
        <v>0</v>
      </c>
      <c r="BG186" s="50">
        <v>0</v>
      </c>
      <c r="BH186" s="49">
        <v>0</v>
      </c>
      <c r="BI186" s="50">
        <v>0</v>
      </c>
      <c r="BJ186" s="49">
        <v>0</v>
      </c>
      <c r="BK186" s="50">
        <v>0</v>
      </c>
      <c r="BL186" s="49">
        <v>31</v>
      </c>
      <c r="BM186" s="50">
        <v>100</v>
      </c>
      <c r="BN186" s="49">
        <v>31</v>
      </c>
    </row>
    <row r="187" spans="1:66" ht="15">
      <c r="A187" s="68" t="s">
        <v>301</v>
      </c>
      <c r="B187" s="68" t="s">
        <v>387</v>
      </c>
      <c r="C187" s="69" t="s">
        <v>5209</v>
      </c>
      <c r="D187" s="70">
        <v>6.678367782143116</v>
      </c>
      <c r="E187" s="71" t="s">
        <v>132</v>
      </c>
      <c r="F187" s="72">
        <v>21</v>
      </c>
      <c r="G187" s="69" t="s">
        <v>51</v>
      </c>
      <c r="H187" s="73"/>
      <c r="I187" s="74"/>
      <c r="J187" s="74"/>
      <c r="K187" s="35" t="s">
        <v>65</v>
      </c>
      <c r="L187" s="82">
        <v>187</v>
      </c>
      <c r="M187" s="82"/>
      <c r="N187" s="76"/>
      <c r="O187" s="84" t="s">
        <v>439</v>
      </c>
      <c r="P187" s="86">
        <v>44083.81087962963</v>
      </c>
      <c r="Q187" s="84" t="s">
        <v>453</v>
      </c>
      <c r="R187" s="87" t="str">
        <f>HYPERLINK("https://www.youtube.com/watch?v=b2mLDkMSyn4&amp;feature=youtu.be&amp;t=510")</f>
        <v>https://www.youtube.com/watch?v=b2mLDkMSyn4&amp;feature=youtu.be&amp;t=510</v>
      </c>
      <c r="S187" s="84" t="s">
        <v>535</v>
      </c>
      <c r="T187" s="84" t="s">
        <v>572</v>
      </c>
      <c r="U187" s="84"/>
      <c r="V187" s="87" t="str">
        <f>HYPERLINK("http://pbs.twimg.com/profile_images/1290235414075379712/ow_SxZJS_normal.jpg")</f>
        <v>http://pbs.twimg.com/profile_images/1290235414075379712/ow_SxZJS_normal.jpg</v>
      </c>
      <c r="W187" s="86">
        <v>44083.81087962963</v>
      </c>
      <c r="X187" s="90">
        <v>44083</v>
      </c>
      <c r="Y187" s="92" t="s">
        <v>726</v>
      </c>
      <c r="Z187" s="87" t="str">
        <f>HYPERLINK("https://twitter.com/rush_data/status/1303777109110919172")</f>
        <v>https://twitter.com/rush_data/status/1303777109110919172</v>
      </c>
      <c r="AA187" s="84"/>
      <c r="AB187" s="84"/>
      <c r="AC187" s="92" t="s">
        <v>1120</v>
      </c>
      <c r="AD187" s="84"/>
      <c r="AE187" s="84" t="b">
        <v>0</v>
      </c>
      <c r="AF187" s="84">
        <v>0</v>
      </c>
      <c r="AG187" s="92" t="s">
        <v>1453</v>
      </c>
      <c r="AH187" s="84" t="b">
        <v>0</v>
      </c>
      <c r="AI187" s="84" t="s">
        <v>1456</v>
      </c>
      <c r="AJ187" s="84"/>
      <c r="AK187" s="92" t="s">
        <v>1453</v>
      </c>
      <c r="AL187" s="84" t="b">
        <v>0</v>
      </c>
      <c r="AM187" s="84">
        <v>10</v>
      </c>
      <c r="AN187" s="92" t="s">
        <v>1253</v>
      </c>
      <c r="AO187" s="84" t="s">
        <v>1490</v>
      </c>
      <c r="AP187" s="84" t="b">
        <v>0</v>
      </c>
      <c r="AQ187" s="92" t="s">
        <v>1253</v>
      </c>
      <c r="AR187" s="84" t="s">
        <v>187</v>
      </c>
      <c r="AS187" s="84">
        <v>0</v>
      </c>
      <c r="AT187" s="84">
        <v>0</v>
      </c>
      <c r="AU187" s="84"/>
      <c r="AV187" s="84"/>
      <c r="AW187" s="84"/>
      <c r="AX187" s="84"/>
      <c r="AY187" s="84"/>
      <c r="AZ187" s="84"/>
      <c r="BA187" s="84"/>
      <c r="BB187" s="84"/>
      <c r="BC187">
        <v>2</v>
      </c>
      <c r="BD187" s="83" t="str">
        <f>REPLACE(INDEX(GroupVertices[Group],MATCH(Edges[[#This Row],[Vertex 1]],GroupVertices[Vertex],0)),1,1,"")</f>
        <v>5</v>
      </c>
      <c r="BE187" s="83" t="str">
        <f>REPLACE(INDEX(GroupVertices[Group],MATCH(Edges[[#This Row],[Vertex 2]],GroupVertices[Vertex],0)),1,1,"")</f>
        <v>5</v>
      </c>
      <c r="BF187" s="49">
        <v>0</v>
      </c>
      <c r="BG187" s="50">
        <v>0</v>
      </c>
      <c r="BH187" s="49">
        <v>0</v>
      </c>
      <c r="BI187" s="50">
        <v>0</v>
      </c>
      <c r="BJ187" s="49">
        <v>0</v>
      </c>
      <c r="BK187" s="50">
        <v>0</v>
      </c>
      <c r="BL187" s="49">
        <v>20</v>
      </c>
      <c r="BM187" s="50">
        <v>100</v>
      </c>
      <c r="BN187" s="49">
        <v>20</v>
      </c>
    </row>
    <row r="188" spans="1:66" ht="15">
      <c r="A188" s="68" t="s">
        <v>302</v>
      </c>
      <c r="B188" s="68" t="s">
        <v>389</v>
      </c>
      <c r="C188" s="69" t="s">
        <v>5208</v>
      </c>
      <c r="D188" s="70">
        <v>1</v>
      </c>
      <c r="E188" s="71" t="s">
        <v>132</v>
      </c>
      <c r="F188" s="72">
        <v>32</v>
      </c>
      <c r="G188" s="69" t="s">
        <v>51</v>
      </c>
      <c r="H188" s="73"/>
      <c r="I188" s="74"/>
      <c r="J188" s="74"/>
      <c r="K188" s="35" t="s">
        <v>65</v>
      </c>
      <c r="L188" s="82">
        <v>188</v>
      </c>
      <c r="M188" s="82"/>
      <c r="N188" s="76"/>
      <c r="O188" s="84" t="s">
        <v>439</v>
      </c>
      <c r="P188" s="86">
        <v>44083.85355324074</v>
      </c>
      <c r="Q188" s="84" t="s">
        <v>478</v>
      </c>
      <c r="R188" s="87" t="str">
        <f>HYPERLINK("http://www.globalbigdataconference.com/145756/combatting-covid-19-misinformation-with-machine-learning/industrynews-details.html")</f>
        <v>http://www.globalbigdataconference.com/145756/combatting-covid-19-misinformation-with-machine-learning/industrynews-details.html</v>
      </c>
      <c r="S188" s="84" t="s">
        <v>541</v>
      </c>
      <c r="T188" s="84" t="s">
        <v>580</v>
      </c>
      <c r="U188" s="84"/>
      <c r="V188" s="87" t="str">
        <f>HYPERLINK("http://pbs.twimg.com/profile_images/1099736189802819584/2O9O06qv_normal.jpg")</f>
        <v>http://pbs.twimg.com/profile_images/1099736189802819584/2O9O06qv_normal.jpg</v>
      </c>
      <c r="W188" s="86">
        <v>44083.85355324074</v>
      </c>
      <c r="X188" s="90">
        <v>44083</v>
      </c>
      <c r="Y188" s="92" t="s">
        <v>727</v>
      </c>
      <c r="Z188" s="87" t="str">
        <f>HYPERLINK("https://twitter.com/bizcom/status/1303792573241348101")</f>
        <v>https://twitter.com/bizcom/status/1303792573241348101</v>
      </c>
      <c r="AA188" s="84"/>
      <c r="AB188" s="84"/>
      <c r="AC188" s="92" t="s">
        <v>1121</v>
      </c>
      <c r="AD188" s="84"/>
      <c r="AE188" s="84" t="b">
        <v>0</v>
      </c>
      <c r="AF188" s="84">
        <v>0</v>
      </c>
      <c r="AG188" s="92" t="s">
        <v>1453</v>
      </c>
      <c r="AH188" s="84" t="b">
        <v>0</v>
      </c>
      <c r="AI188" s="84" t="s">
        <v>1456</v>
      </c>
      <c r="AJ188" s="84"/>
      <c r="AK188" s="92" t="s">
        <v>1453</v>
      </c>
      <c r="AL188" s="84" t="b">
        <v>0</v>
      </c>
      <c r="AM188" s="84">
        <v>25</v>
      </c>
      <c r="AN188" s="92" t="s">
        <v>1287</v>
      </c>
      <c r="AO188" s="84" t="s">
        <v>1487</v>
      </c>
      <c r="AP188" s="84" t="b">
        <v>0</v>
      </c>
      <c r="AQ188" s="92" t="s">
        <v>1287</v>
      </c>
      <c r="AR188" s="84" t="s">
        <v>187</v>
      </c>
      <c r="AS188" s="84">
        <v>0</v>
      </c>
      <c r="AT188" s="84">
        <v>0</v>
      </c>
      <c r="AU188" s="84"/>
      <c r="AV188" s="84"/>
      <c r="AW188" s="84"/>
      <c r="AX188" s="84"/>
      <c r="AY188" s="84"/>
      <c r="AZ188" s="84"/>
      <c r="BA188" s="84"/>
      <c r="BB188" s="84"/>
      <c r="BC188">
        <v>1</v>
      </c>
      <c r="BD188" s="83" t="str">
        <f>REPLACE(INDEX(GroupVertices[Group],MATCH(Edges[[#This Row],[Vertex 1]],GroupVertices[Vertex],0)),1,1,"")</f>
        <v>3</v>
      </c>
      <c r="BE188" s="83" t="str">
        <f>REPLACE(INDEX(GroupVertices[Group],MATCH(Edges[[#This Row],[Vertex 2]],GroupVertices[Vertex],0)),1,1,"")</f>
        <v>3</v>
      </c>
      <c r="BF188" s="49">
        <v>0</v>
      </c>
      <c r="BG188" s="50">
        <v>0</v>
      </c>
      <c r="BH188" s="49">
        <v>0</v>
      </c>
      <c r="BI188" s="50">
        <v>0</v>
      </c>
      <c r="BJ188" s="49">
        <v>0</v>
      </c>
      <c r="BK188" s="50">
        <v>0</v>
      </c>
      <c r="BL188" s="49">
        <v>25</v>
      </c>
      <c r="BM188" s="50">
        <v>100</v>
      </c>
      <c r="BN188" s="49">
        <v>25</v>
      </c>
    </row>
    <row r="189" spans="1:66" ht="15">
      <c r="A189" s="68" t="s">
        <v>303</v>
      </c>
      <c r="B189" s="68" t="s">
        <v>389</v>
      </c>
      <c r="C189" s="69" t="s">
        <v>5208</v>
      </c>
      <c r="D189" s="70">
        <v>1</v>
      </c>
      <c r="E189" s="71" t="s">
        <v>132</v>
      </c>
      <c r="F189" s="72">
        <v>32</v>
      </c>
      <c r="G189" s="69" t="s">
        <v>51</v>
      </c>
      <c r="H189" s="73"/>
      <c r="I189" s="74"/>
      <c r="J189" s="74"/>
      <c r="K189" s="35" t="s">
        <v>65</v>
      </c>
      <c r="L189" s="82">
        <v>189</v>
      </c>
      <c r="M189" s="82"/>
      <c r="N189" s="76"/>
      <c r="O189" s="84" t="s">
        <v>439</v>
      </c>
      <c r="P189" s="86">
        <v>44083.85423611111</v>
      </c>
      <c r="Q189" s="84" t="s">
        <v>478</v>
      </c>
      <c r="R189" s="87" t="str">
        <f>HYPERLINK("http://www.globalbigdataconference.com/145756/combatting-covid-19-misinformation-with-machine-learning/industrynews-details.html")</f>
        <v>http://www.globalbigdataconference.com/145756/combatting-covid-19-misinformation-with-machine-learning/industrynews-details.html</v>
      </c>
      <c r="S189" s="84" t="s">
        <v>541</v>
      </c>
      <c r="T189" s="84" t="s">
        <v>580</v>
      </c>
      <c r="U189" s="84"/>
      <c r="V189" s="87" t="str">
        <f>HYPERLINK("http://pbs.twimg.com/profile_images/1169982621054623744/P6_xoN3J_normal.png")</f>
        <v>http://pbs.twimg.com/profile_images/1169982621054623744/P6_xoN3J_normal.png</v>
      </c>
      <c r="W189" s="86">
        <v>44083.85423611111</v>
      </c>
      <c r="X189" s="90">
        <v>44083</v>
      </c>
      <c r="Y189" s="92" t="s">
        <v>728</v>
      </c>
      <c r="Z189" s="87" t="str">
        <f>HYPERLINK("https://twitter.com/hackingdom_io/status/1303792822055731201")</f>
        <v>https://twitter.com/hackingdom_io/status/1303792822055731201</v>
      </c>
      <c r="AA189" s="84"/>
      <c r="AB189" s="84"/>
      <c r="AC189" s="92" t="s">
        <v>1122</v>
      </c>
      <c r="AD189" s="84"/>
      <c r="AE189" s="84" t="b">
        <v>0</v>
      </c>
      <c r="AF189" s="84">
        <v>0</v>
      </c>
      <c r="AG189" s="92" t="s">
        <v>1453</v>
      </c>
      <c r="AH189" s="84" t="b">
        <v>0</v>
      </c>
      <c r="AI189" s="84" t="s">
        <v>1456</v>
      </c>
      <c r="AJ189" s="84"/>
      <c r="AK189" s="92" t="s">
        <v>1453</v>
      </c>
      <c r="AL189" s="84" t="b">
        <v>0</v>
      </c>
      <c r="AM189" s="84">
        <v>25</v>
      </c>
      <c r="AN189" s="92" t="s">
        <v>1287</v>
      </c>
      <c r="AO189" s="84" t="s">
        <v>1487</v>
      </c>
      <c r="AP189" s="84" t="b">
        <v>0</v>
      </c>
      <c r="AQ189" s="92" t="s">
        <v>1287</v>
      </c>
      <c r="AR189" s="84" t="s">
        <v>187</v>
      </c>
      <c r="AS189" s="84">
        <v>0</v>
      </c>
      <c r="AT189" s="84">
        <v>0</v>
      </c>
      <c r="AU189" s="84"/>
      <c r="AV189" s="84"/>
      <c r="AW189" s="84"/>
      <c r="AX189" s="84"/>
      <c r="AY189" s="84"/>
      <c r="AZ189" s="84"/>
      <c r="BA189" s="84"/>
      <c r="BB189" s="84"/>
      <c r="BC189">
        <v>1</v>
      </c>
      <c r="BD189" s="83" t="str">
        <f>REPLACE(INDEX(GroupVertices[Group],MATCH(Edges[[#This Row],[Vertex 1]],GroupVertices[Vertex],0)),1,1,"")</f>
        <v>3</v>
      </c>
      <c r="BE189" s="83" t="str">
        <f>REPLACE(INDEX(GroupVertices[Group],MATCH(Edges[[#This Row],[Vertex 2]],GroupVertices[Vertex],0)),1,1,"")</f>
        <v>3</v>
      </c>
      <c r="BF189" s="49">
        <v>0</v>
      </c>
      <c r="BG189" s="50">
        <v>0</v>
      </c>
      <c r="BH189" s="49">
        <v>0</v>
      </c>
      <c r="BI189" s="50">
        <v>0</v>
      </c>
      <c r="BJ189" s="49">
        <v>0</v>
      </c>
      <c r="BK189" s="50">
        <v>0</v>
      </c>
      <c r="BL189" s="49">
        <v>25</v>
      </c>
      <c r="BM189" s="50">
        <v>100</v>
      </c>
      <c r="BN189" s="49">
        <v>25</v>
      </c>
    </row>
    <row r="190" spans="1:66" ht="15">
      <c r="A190" s="68" t="s">
        <v>304</v>
      </c>
      <c r="B190" s="68" t="s">
        <v>389</v>
      </c>
      <c r="C190" s="69" t="s">
        <v>5208</v>
      </c>
      <c r="D190" s="70">
        <v>1</v>
      </c>
      <c r="E190" s="71" t="s">
        <v>132</v>
      </c>
      <c r="F190" s="72">
        <v>32</v>
      </c>
      <c r="G190" s="69" t="s">
        <v>51</v>
      </c>
      <c r="H190" s="73"/>
      <c r="I190" s="74"/>
      <c r="J190" s="74"/>
      <c r="K190" s="35" t="s">
        <v>65</v>
      </c>
      <c r="L190" s="82">
        <v>190</v>
      </c>
      <c r="M190" s="82"/>
      <c r="N190" s="76"/>
      <c r="O190" s="84" t="s">
        <v>439</v>
      </c>
      <c r="P190" s="86">
        <v>44083.864212962966</v>
      </c>
      <c r="Q190" s="84" t="s">
        <v>478</v>
      </c>
      <c r="R190" s="87" t="str">
        <f>HYPERLINK("http://www.globalbigdataconference.com/145756/combatting-covid-19-misinformation-with-machine-learning/industrynews-details.html")</f>
        <v>http://www.globalbigdataconference.com/145756/combatting-covid-19-misinformation-with-machine-learning/industrynews-details.html</v>
      </c>
      <c r="S190" s="84" t="s">
        <v>541</v>
      </c>
      <c r="T190" s="84" t="s">
        <v>580</v>
      </c>
      <c r="U190" s="84"/>
      <c r="V190" s="87" t="str">
        <f>HYPERLINK("http://pbs.twimg.com/profile_images/1303110444425654274/-khGQSNw_normal.jpg")</f>
        <v>http://pbs.twimg.com/profile_images/1303110444425654274/-khGQSNw_normal.jpg</v>
      </c>
      <c r="W190" s="86">
        <v>44083.864212962966</v>
      </c>
      <c r="X190" s="90">
        <v>44083</v>
      </c>
      <c r="Y190" s="92" t="s">
        <v>729</v>
      </c>
      <c r="Z190" s="87" t="str">
        <f>HYPERLINK("https://twitter.com/patosins/status/1303796437482954754")</f>
        <v>https://twitter.com/patosins/status/1303796437482954754</v>
      </c>
      <c r="AA190" s="84"/>
      <c r="AB190" s="84"/>
      <c r="AC190" s="92" t="s">
        <v>1123</v>
      </c>
      <c r="AD190" s="84"/>
      <c r="AE190" s="84" t="b">
        <v>0</v>
      </c>
      <c r="AF190" s="84">
        <v>0</v>
      </c>
      <c r="AG190" s="92" t="s">
        <v>1453</v>
      </c>
      <c r="AH190" s="84" t="b">
        <v>0</v>
      </c>
      <c r="AI190" s="84" t="s">
        <v>1456</v>
      </c>
      <c r="AJ190" s="84"/>
      <c r="AK190" s="92" t="s">
        <v>1453</v>
      </c>
      <c r="AL190" s="84" t="b">
        <v>0</v>
      </c>
      <c r="AM190" s="84">
        <v>25</v>
      </c>
      <c r="AN190" s="92" t="s">
        <v>1287</v>
      </c>
      <c r="AO190" s="84" t="s">
        <v>1487</v>
      </c>
      <c r="AP190" s="84" t="b">
        <v>0</v>
      </c>
      <c r="AQ190" s="92" t="s">
        <v>1287</v>
      </c>
      <c r="AR190" s="84" t="s">
        <v>187</v>
      </c>
      <c r="AS190" s="84">
        <v>0</v>
      </c>
      <c r="AT190" s="84">
        <v>0</v>
      </c>
      <c r="AU190" s="84"/>
      <c r="AV190" s="84"/>
      <c r="AW190" s="84"/>
      <c r="AX190" s="84"/>
      <c r="AY190" s="84"/>
      <c r="AZ190" s="84"/>
      <c r="BA190" s="84"/>
      <c r="BB190" s="84"/>
      <c r="BC190">
        <v>1</v>
      </c>
      <c r="BD190" s="83" t="str">
        <f>REPLACE(INDEX(GroupVertices[Group],MATCH(Edges[[#This Row],[Vertex 1]],GroupVertices[Vertex],0)),1,1,"")</f>
        <v>3</v>
      </c>
      <c r="BE190" s="83" t="str">
        <f>REPLACE(INDEX(GroupVertices[Group],MATCH(Edges[[#This Row],[Vertex 2]],GroupVertices[Vertex],0)),1,1,"")</f>
        <v>3</v>
      </c>
      <c r="BF190" s="49">
        <v>0</v>
      </c>
      <c r="BG190" s="50">
        <v>0</v>
      </c>
      <c r="BH190" s="49">
        <v>0</v>
      </c>
      <c r="BI190" s="50">
        <v>0</v>
      </c>
      <c r="BJ190" s="49">
        <v>0</v>
      </c>
      <c r="BK190" s="50">
        <v>0</v>
      </c>
      <c r="BL190" s="49">
        <v>25</v>
      </c>
      <c r="BM190" s="50">
        <v>100</v>
      </c>
      <c r="BN190" s="49">
        <v>25</v>
      </c>
    </row>
    <row r="191" spans="1:66" ht="15">
      <c r="A191" s="68" t="s">
        <v>305</v>
      </c>
      <c r="B191" s="68" t="s">
        <v>389</v>
      </c>
      <c r="C191" s="69" t="s">
        <v>5208</v>
      </c>
      <c r="D191" s="70">
        <v>1</v>
      </c>
      <c r="E191" s="71" t="s">
        <v>132</v>
      </c>
      <c r="F191" s="72">
        <v>32</v>
      </c>
      <c r="G191" s="69" t="s">
        <v>51</v>
      </c>
      <c r="H191" s="73"/>
      <c r="I191" s="74"/>
      <c r="J191" s="74"/>
      <c r="K191" s="35" t="s">
        <v>65</v>
      </c>
      <c r="L191" s="82">
        <v>191</v>
      </c>
      <c r="M191" s="82"/>
      <c r="N191" s="76"/>
      <c r="O191" s="84" t="s">
        <v>439</v>
      </c>
      <c r="P191" s="86">
        <v>44083.8690625</v>
      </c>
      <c r="Q191" s="84" t="s">
        <v>478</v>
      </c>
      <c r="R191" s="87" t="str">
        <f>HYPERLINK("http://www.globalbigdataconference.com/145756/combatting-covid-19-misinformation-with-machine-learning/industrynews-details.html")</f>
        <v>http://www.globalbigdataconference.com/145756/combatting-covid-19-misinformation-with-machine-learning/industrynews-details.html</v>
      </c>
      <c r="S191" s="84" t="s">
        <v>541</v>
      </c>
      <c r="T191" s="84" t="s">
        <v>580</v>
      </c>
      <c r="U191" s="84"/>
      <c r="V191" s="87" t="str">
        <f>HYPERLINK("http://pbs.twimg.com/profile_images/1271018990178045953/M-vBrs0H_normal.png")</f>
        <v>http://pbs.twimg.com/profile_images/1271018990178045953/M-vBrs0H_normal.png</v>
      </c>
      <c r="W191" s="86">
        <v>44083.8690625</v>
      </c>
      <c r="X191" s="90">
        <v>44083</v>
      </c>
      <c r="Y191" s="92" t="s">
        <v>730</v>
      </c>
      <c r="Z191" s="87" t="str">
        <f>HYPERLINK("https://twitter.com/aisear_ch/status/1303798193671614468")</f>
        <v>https://twitter.com/aisear_ch/status/1303798193671614468</v>
      </c>
      <c r="AA191" s="84"/>
      <c r="AB191" s="84"/>
      <c r="AC191" s="92" t="s">
        <v>1124</v>
      </c>
      <c r="AD191" s="84"/>
      <c r="AE191" s="84" t="b">
        <v>0</v>
      </c>
      <c r="AF191" s="84">
        <v>0</v>
      </c>
      <c r="AG191" s="92" t="s">
        <v>1453</v>
      </c>
      <c r="AH191" s="84" t="b">
        <v>0</v>
      </c>
      <c r="AI191" s="84" t="s">
        <v>1456</v>
      </c>
      <c r="AJ191" s="84"/>
      <c r="AK191" s="92" t="s">
        <v>1453</v>
      </c>
      <c r="AL191" s="84" t="b">
        <v>0</v>
      </c>
      <c r="AM191" s="84">
        <v>25</v>
      </c>
      <c r="AN191" s="92" t="s">
        <v>1287</v>
      </c>
      <c r="AO191" s="84" t="s">
        <v>1487</v>
      </c>
      <c r="AP191" s="84" t="b">
        <v>0</v>
      </c>
      <c r="AQ191" s="92" t="s">
        <v>1287</v>
      </c>
      <c r="AR191" s="84" t="s">
        <v>187</v>
      </c>
      <c r="AS191" s="84">
        <v>0</v>
      </c>
      <c r="AT191" s="84">
        <v>0</v>
      </c>
      <c r="AU191" s="84"/>
      <c r="AV191" s="84"/>
      <c r="AW191" s="84"/>
      <c r="AX191" s="84"/>
      <c r="AY191" s="84"/>
      <c r="AZ191" s="84"/>
      <c r="BA191" s="84"/>
      <c r="BB191" s="84"/>
      <c r="BC191">
        <v>1</v>
      </c>
      <c r="BD191" s="83" t="str">
        <f>REPLACE(INDEX(GroupVertices[Group],MATCH(Edges[[#This Row],[Vertex 1]],GroupVertices[Vertex],0)),1,1,"")</f>
        <v>3</v>
      </c>
      <c r="BE191" s="83" t="str">
        <f>REPLACE(INDEX(GroupVertices[Group],MATCH(Edges[[#This Row],[Vertex 2]],GroupVertices[Vertex],0)),1,1,"")</f>
        <v>3</v>
      </c>
      <c r="BF191" s="49">
        <v>0</v>
      </c>
      <c r="BG191" s="50">
        <v>0</v>
      </c>
      <c r="BH191" s="49">
        <v>0</v>
      </c>
      <c r="BI191" s="50">
        <v>0</v>
      </c>
      <c r="BJ191" s="49">
        <v>0</v>
      </c>
      <c r="BK191" s="50">
        <v>0</v>
      </c>
      <c r="BL191" s="49">
        <v>25</v>
      </c>
      <c r="BM191" s="50">
        <v>100</v>
      </c>
      <c r="BN191" s="49">
        <v>25</v>
      </c>
    </row>
    <row r="192" spans="1:66" ht="15">
      <c r="A192" s="68" t="s">
        <v>306</v>
      </c>
      <c r="B192" s="68" t="s">
        <v>389</v>
      </c>
      <c r="C192" s="69" t="s">
        <v>5208</v>
      </c>
      <c r="D192" s="70">
        <v>1</v>
      </c>
      <c r="E192" s="71" t="s">
        <v>132</v>
      </c>
      <c r="F192" s="72">
        <v>32</v>
      </c>
      <c r="G192" s="69" t="s">
        <v>51</v>
      </c>
      <c r="H192" s="73"/>
      <c r="I192" s="74"/>
      <c r="J192" s="74"/>
      <c r="K192" s="35" t="s">
        <v>65</v>
      </c>
      <c r="L192" s="82">
        <v>192</v>
      </c>
      <c r="M192" s="82"/>
      <c r="N192" s="76"/>
      <c r="O192" s="84" t="s">
        <v>439</v>
      </c>
      <c r="P192" s="86">
        <v>44083.88555555556</v>
      </c>
      <c r="Q192" s="84" t="s">
        <v>478</v>
      </c>
      <c r="R192" s="87" t="str">
        <f>HYPERLINK("http://www.globalbigdataconference.com/145756/combatting-covid-19-misinformation-with-machine-learning/industrynews-details.html")</f>
        <v>http://www.globalbigdataconference.com/145756/combatting-covid-19-misinformation-with-machine-learning/industrynews-details.html</v>
      </c>
      <c r="S192" s="84" t="s">
        <v>541</v>
      </c>
      <c r="T192" s="84" t="s">
        <v>580</v>
      </c>
      <c r="U192" s="84"/>
      <c r="V192" s="87" t="str">
        <f>HYPERLINK("http://pbs.twimg.com/profile_images/1038762339368087554/JICJ5viP_normal.jpg")</f>
        <v>http://pbs.twimg.com/profile_images/1038762339368087554/JICJ5viP_normal.jpg</v>
      </c>
      <c r="W192" s="86">
        <v>44083.88555555556</v>
      </c>
      <c r="X192" s="90">
        <v>44083</v>
      </c>
      <c r="Y192" s="92" t="s">
        <v>731</v>
      </c>
      <c r="Z192" s="87" t="str">
        <f>HYPERLINK("https://twitter.com/sureshrukman/status/1303804171477450752")</f>
        <v>https://twitter.com/sureshrukman/status/1303804171477450752</v>
      </c>
      <c r="AA192" s="84"/>
      <c r="AB192" s="84"/>
      <c r="AC192" s="92" t="s">
        <v>1125</v>
      </c>
      <c r="AD192" s="84"/>
      <c r="AE192" s="84" t="b">
        <v>0</v>
      </c>
      <c r="AF192" s="84">
        <v>0</v>
      </c>
      <c r="AG192" s="92" t="s">
        <v>1453</v>
      </c>
      <c r="AH192" s="84" t="b">
        <v>0</v>
      </c>
      <c r="AI192" s="84" t="s">
        <v>1456</v>
      </c>
      <c r="AJ192" s="84"/>
      <c r="AK192" s="92" t="s">
        <v>1453</v>
      </c>
      <c r="AL192" s="84" t="b">
        <v>0</v>
      </c>
      <c r="AM192" s="84">
        <v>25</v>
      </c>
      <c r="AN192" s="92" t="s">
        <v>1287</v>
      </c>
      <c r="AO192" s="84" t="s">
        <v>1487</v>
      </c>
      <c r="AP192" s="84" t="b">
        <v>0</v>
      </c>
      <c r="AQ192" s="92" t="s">
        <v>1287</v>
      </c>
      <c r="AR192" s="84" t="s">
        <v>187</v>
      </c>
      <c r="AS192" s="84">
        <v>0</v>
      </c>
      <c r="AT192" s="84">
        <v>0</v>
      </c>
      <c r="AU192" s="84"/>
      <c r="AV192" s="84"/>
      <c r="AW192" s="84"/>
      <c r="AX192" s="84"/>
      <c r="AY192" s="84"/>
      <c r="AZ192" s="84"/>
      <c r="BA192" s="84"/>
      <c r="BB192" s="84"/>
      <c r="BC192">
        <v>1</v>
      </c>
      <c r="BD192" s="83" t="str">
        <f>REPLACE(INDEX(GroupVertices[Group],MATCH(Edges[[#This Row],[Vertex 1]],GroupVertices[Vertex],0)),1,1,"")</f>
        <v>3</v>
      </c>
      <c r="BE192" s="83" t="str">
        <f>REPLACE(INDEX(GroupVertices[Group],MATCH(Edges[[#This Row],[Vertex 2]],GroupVertices[Vertex],0)),1,1,"")</f>
        <v>3</v>
      </c>
      <c r="BF192" s="49">
        <v>0</v>
      </c>
      <c r="BG192" s="50">
        <v>0</v>
      </c>
      <c r="BH192" s="49">
        <v>0</v>
      </c>
      <c r="BI192" s="50">
        <v>0</v>
      </c>
      <c r="BJ192" s="49">
        <v>0</v>
      </c>
      <c r="BK192" s="50">
        <v>0</v>
      </c>
      <c r="BL192" s="49">
        <v>25</v>
      </c>
      <c r="BM192" s="50">
        <v>100</v>
      </c>
      <c r="BN192" s="49">
        <v>25</v>
      </c>
    </row>
    <row r="193" spans="1:66" ht="15">
      <c r="A193" s="68" t="s">
        <v>307</v>
      </c>
      <c r="B193" s="68" t="s">
        <v>389</v>
      </c>
      <c r="C193" s="69" t="s">
        <v>5208</v>
      </c>
      <c r="D193" s="70">
        <v>1</v>
      </c>
      <c r="E193" s="71" t="s">
        <v>132</v>
      </c>
      <c r="F193" s="72">
        <v>32</v>
      </c>
      <c r="G193" s="69" t="s">
        <v>51</v>
      </c>
      <c r="H193" s="73"/>
      <c r="I193" s="74"/>
      <c r="J193" s="74"/>
      <c r="K193" s="35" t="s">
        <v>65</v>
      </c>
      <c r="L193" s="82">
        <v>193</v>
      </c>
      <c r="M193" s="82"/>
      <c r="N193" s="76"/>
      <c r="O193" s="84" t="s">
        <v>439</v>
      </c>
      <c r="P193" s="86">
        <v>44083.918854166666</v>
      </c>
      <c r="Q193" s="84" t="s">
        <v>478</v>
      </c>
      <c r="R193" s="87" t="str">
        <f>HYPERLINK("http://www.globalbigdataconference.com/145756/combatting-covid-19-misinformation-with-machine-learning/industrynews-details.html")</f>
        <v>http://www.globalbigdataconference.com/145756/combatting-covid-19-misinformation-with-machine-learning/industrynews-details.html</v>
      </c>
      <c r="S193" s="84" t="s">
        <v>541</v>
      </c>
      <c r="T193" s="84" t="s">
        <v>580</v>
      </c>
      <c r="U193" s="84"/>
      <c r="V193" s="87" t="str">
        <f>HYPERLINK("http://pbs.twimg.com/profile_images/671869096389021696/Z1Kr3P0K_normal.png")</f>
        <v>http://pbs.twimg.com/profile_images/671869096389021696/Z1Kr3P0K_normal.png</v>
      </c>
      <c r="W193" s="86">
        <v>44083.918854166666</v>
      </c>
      <c r="X193" s="90">
        <v>44083</v>
      </c>
      <c r="Y193" s="92" t="s">
        <v>732</v>
      </c>
      <c r="Z193" s="87" t="str">
        <f>HYPERLINK("https://twitter.com/medicaliphone/status/1303816236627787779")</f>
        <v>https://twitter.com/medicaliphone/status/1303816236627787779</v>
      </c>
      <c r="AA193" s="84"/>
      <c r="AB193" s="84"/>
      <c r="AC193" s="92" t="s">
        <v>1126</v>
      </c>
      <c r="AD193" s="84"/>
      <c r="AE193" s="84" t="b">
        <v>0</v>
      </c>
      <c r="AF193" s="84">
        <v>0</v>
      </c>
      <c r="AG193" s="92" t="s">
        <v>1453</v>
      </c>
      <c r="AH193" s="84" t="b">
        <v>0</v>
      </c>
      <c r="AI193" s="84" t="s">
        <v>1456</v>
      </c>
      <c r="AJ193" s="84"/>
      <c r="AK193" s="92" t="s">
        <v>1453</v>
      </c>
      <c r="AL193" s="84" t="b">
        <v>0</v>
      </c>
      <c r="AM193" s="84">
        <v>25</v>
      </c>
      <c r="AN193" s="92" t="s">
        <v>1287</v>
      </c>
      <c r="AO193" s="84" t="s">
        <v>1487</v>
      </c>
      <c r="AP193" s="84" t="b">
        <v>0</v>
      </c>
      <c r="AQ193" s="92" t="s">
        <v>1287</v>
      </c>
      <c r="AR193" s="84" t="s">
        <v>187</v>
      </c>
      <c r="AS193" s="84">
        <v>0</v>
      </c>
      <c r="AT193" s="84">
        <v>0</v>
      </c>
      <c r="AU193" s="84"/>
      <c r="AV193" s="84"/>
      <c r="AW193" s="84"/>
      <c r="AX193" s="84"/>
      <c r="AY193" s="84"/>
      <c r="AZ193" s="84"/>
      <c r="BA193" s="84"/>
      <c r="BB193" s="84"/>
      <c r="BC193">
        <v>1</v>
      </c>
      <c r="BD193" s="83" t="str">
        <f>REPLACE(INDEX(GroupVertices[Group],MATCH(Edges[[#This Row],[Vertex 1]],GroupVertices[Vertex],0)),1,1,"")</f>
        <v>3</v>
      </c>
      <c r="BE193" s="83" t="str">
        <f>REPLACE(INDEX(GroupVertices[Group],MATCH(Edges[[#This Row],[Vertex 2]],GroupVertices[Vertex],0)),1,1,"")</f>
        <v>3</v>
      </c>
      <c r="BF193" s="49">
        <v>0</v>
      </c>
      <c r="BG193" s="50">
        <v>0</v>
      </c>
      <c r="BH193" s="49">
        <v>0</v>
      </c>
      <c r="BI193" s="50">
        <v>0</v>
      </c>
      <c r="BJ193" s="49">
        <v>0</v>
      </c>
      <c r="BK193" s="50">
        <v>0</v>
      </c>
      <c r="BL193" s="49">
        <v>25</v>
      </c>
      <c r="BM193" s="50">
        <v>100</v>
      </c>
      <c r="BN193" s="49">
        <v>25</v>
      </c>
    </row>
    <row r="194" spans="1:66" ht="15">
      <c r="A194" s="68" t="s">
        <v>308</v>
      </c>
      <c r="B194" s="68" t="s">
        <v>389</v>
      </c>
      <c r="C194" s="69" t="s">
        <v>5208</v>
      </c>
      <c r="D194" s="70">
        <v>1</v>
      </c>
      <c r="E194" s="71" t="s">
        <v>132</v>
      </c>
      <c r="F194" s="72">
        <v>32</v>
      </c>
      <c r="G194" s="69" t="s">
        <v>51</v>
      </c>
      <c r="H194" s="73"/>
      <c r="I194" s="74"/>
      <c r="J194" s="74"/>
      <c r="K194" s="35" t="s">
        <v>65</v>
      </c>
      <c r="L194" s="82">
        <v>194</v>
      </c>
      <c r="M194" s="82"/>
      <c r="N194" s="76"/>
      <c r="O194" s="84" t="s">
        <v>439</v>
      </c>
      <c r="P194" s="86">
        <v>44083.941203703704</v>
      </c>
      <c r="Q194" s="84" t="s">
        <v>478</v>
      </c>
      <c r="R194" s="87" t="str">
        <f>HYPERLINK("http://www.globalbigdataconference.com/145756/combatting-covid-19-misinformation-with-machine-learning/industrynews-details.html")</f>
        <v>http://www.globalbigdataconference.com/145756/combatting-covid-19-misinformation-with-machine-learning/industrynews-details.html</v>
      </c>
      <c r="S194" s="84" t="s">
        <v>541</v>
      </c>
      <c r="T194" s="84" t="s">
        <v>580</v>
      </c>
      <c r="U194" s="84"/>
      <c r="V194" s="87" t="str">
        <f>HYPERLINK("http://pbs.twimg.com/profile_images/1223176339697565697/q38i7r9K_normal.jpg")</f>
        <v>http://pbs.twimg.com/profile_images/1223176339697565697/q38i7r9K_normal.jpg</v>
      </c>
      <c r="W194" s="86">
        <v>44083.941203703704</v>
      </c>
      <c r="X194" s="90">
        <v>44083</v>
      </c>
      <c r="Y194" s="92" t="s">
        <v>733</v>
      </c>
      <c r="Z194" s="87" t="str">
        <f>HYPERLINK("https://twitter.com/corizance/status/1303824336059600898")</f>
        <v>https://twitter.com/corizance/status/1303824336059600898</v>
      </c>
      <c r="AA194" s="84"/>
      <c r="AB194" s="84"/>
      <c r="AC194" s="92" t="s">
        <v>1127</v>
      </c>
      <c r="AD194" s="84"/>
      <c r="AE194" s="84" t="b">
        <v>0</v>
      </c>
      <c r="AF194" s="84">
        <v>0</v>
      </c>
      <c r="AG194" s="92" t="s">
        <v>1453</v>
      </c>
      <c r="AH194" s="84" t="b">
        <v>0</v>
      </c>
      <c r="AI194" s="84" t="s">
        <v>1456</v>
      </c>
      <c r="AJ194" s="84"/>
      <c r="AK194" s="92" t="s">
        <v>1453</v>
      </c>
      <c r="AL194" s="84" t="b">
        <v>0</v>
      </c>
      <c r="AM194" s="84">
        <v>25</v>
      </c>
      <c r="AN194" s="92" t="s">
        <v>1287</v>
      </c>
      <c r="AO194" s="84" t="s">
        <v>1487</v>
      </c>
      <c r="AP194" s="84" t="b">
        <v>0</v>
      </c>
      <c r="AQ194" s="92" t="s">
        <v>1287</v>
      </c>
      <c r="AR194" s="84" t="s">
        <v>187</v>
      </c>
      <c r="AS194" s="84">
        <v>0</v>
      </c>
      <c r="AT194" s="84">
        <v>0</v>
      </c>
      <c r="AU194" s="84"/>
      <c r="AV194" s="84"/>
      <c r="AW194" s="84"/>
      <c r="AX194" s="84"/>
      <c r="AY194" s="84"/>
      <c r="AZ194" s="84"/>
      <c r="BA194" s="84"/>
      <c r="BB194" s="84"/>
      <c r="BC194">
        <v>1</v>
      </c>
      <c r="BD194" s="83" t="str">
        <f>REPLACE(INDEX(GroupVertices[Group],MATCH(Edges[[#This Row],[Vertex 1]],GroupVertices[Vertex],0)),1,1,"")</f>
        <v>3</v>
      </c>
      <c r="BE194" s="83" t="str">
        <f>REPLACE(INDEX(GroupVertices[Group],MATCH(Edges[[#This Row],[Vertex 2]],GroupVertices[Vertex],0)),1,1,"")</f>
        <v>3</v>
      </c>
      <c r="BF194" s="49">
        <v>0</v>
      </c>
      <c r="BG194" s="50">
        <v>0</v>
      </c>
      <c r="BH194" s="49">
        <v>0</v>
      </c>
      <c r="BI194" s="50">
        <v>0</v>
      </c>
      <c r="BJ194" s="49">
        <v>0</v>
      </c>
      <c r="BK194" s="50">
        <v>0</v>
      </c>
      <c r="BL194" s="49">
        <v>25</v>
      </c>
      <c r="BM194" s="50">
        <v>100</v>
      </c>
      <c r="BN194" s="49">
        <v>25</v>
      </c>
    </row>
    <row r="195" spans="1:66" ht="15">
      <c r="A195" s="68" t="s">
        <v>309</v>
      </c>
      <c r="B195" s="68" t="s">
        <v>423</v>
      </c>
      <c r="C195" s="69" t="s">
        <v>5208</v>
      </c>
      <c r="D195" s="70">
        <v>1</v>
      </c>
      <c r="E195" s="71" t="s">
        <v>132</v>
      </c>
      <c r="F195" s="72">
        <v>32</v>
      </c>
      <c r="G195" s="69" t="s">
        <v>51</v>
      </c>
      <c r="H195" s="73"/>
      <c r="I195" s="74"/>
      <c r="J195" s="74"/>
      <c r="K195" s="35" t="s">
        <v>65</v>
      </c>
      <c r="L195" s="82">
        <v>195</v>
      </c>
      <c r="M195" s="82"/>
      <c r="N195" s="76"/>
      <c r="O195" s="84" t="s">
        <v>439</v>
      </c>
      <c r="P195" s="86">
        <v>44083.989432870374</v>
      </c>
      <c r="Q195" s="84" t="s">
        <v>474</v>
      </c>
      <c r="R195" s="84"/>
      <c r="S195" s="84"/>
      <c r="T195" s="84" t="s">
        <v>591</v>
      </c>
      <c r="U195" s="87" t="str">
        <f>HYPERLINK("https://pbs.twimg.com/media/EhOErS9WAAUfUqQ.jpg")</f>
        <v>https://pbs.twimg.com/media/EhOErS9WAAUfUqQ.jpg</v>
      </c>
      <c r="V195" s="87" t="str">
        <f>HYPERLINK("https://pbs.twimg.com/media/EhOErS9WAAUfUqQ.jpg")</f>
        <v>https://pbs.twimg.com/media/EhOErS9WAAUfUqQ.jpg</v>
      </c>
      <c r="W195" s="86">
        <v>44083.989432870374</v>
      </c>
      <c r="X195" s="90">
        <v>44083</v>
      </c>
      <c r="Y195" s="92" t="s">
        <v>734</v>
      </c>
      <c r="Z195" s="87" t="str">
        <f>HYPERLINK("https://twitter.com/cardsdoc2012/status/1303841816693944320")</f>
        <v>https://twitter.com/cardsdoc2012/status/1303841816693944320</v>
      </c>
      <c r="AA195" s="84"/>
      <c r="AB195" s="84"/>
      <c r="AC195" s="92" t="s">
        <v>1128</v>
      </c>
      <c r="AD195" s="84"/>
      <c r="AE195" s="84" t="b">
        <v>0</v>
      </c>
      <c r="AF195" s="84">
        <v>0</v>
      </c>
      <c r="AG195" s="92" t="s">
        <v>1453</v>
      </c>
      <c r="AH195" s="84" t="b">
        <v>0</v>
      </c>
      <c r="AI195" s="84" t="s">
        <v>1456</v>
      </c>
      <c r="AJ195" s="84"/>
      <c r="AK195" s="92" t="s">
        <v>1453</v>
      </c>
      <c r="AL195" s="84" t="b">
        <v>0</v>
      </c>
      <c r="AM195" s="84">
        <v>55</v>
      </c>
      <c r="AN195" s="92" t="s">
        <v>1426</v>
      </c>
      <c r="AO195" s="84" t="s">
        <v>1491</v>
      </c>
      <c r="AP195" s="84" t="b">
        <v>0</v>
      </c>
      <c r="AQ195" s="92" t="s">
        <v>1426</v>
      </c>
      <c r="AR195" s="84" t="s">
        <v>187</v>
      </c>
      <c r="AS195" s="84">
        <v>0</v>
      </c>
      <c r="AT195" s="84">
        <v>0</v>
      </c>
      <c r="AU195" s="84"/>
      <c r="AV195" s="84"/>
      <c r="AW195" s="84"/>
      <c r="AX195" s="84"/>
      <c r="AY195" s="84"/>
      <c r="AZ195" s="84"/>
      <c r="BA195" s="84"/>
      <c r="BB195" s="84"/>
      <c r="BC195">
        <v>1</v>
      </c>
      <c r="BD195" s="83" t="str">
        <f>REPLACE(INDEX(GroupVertices[Group],MATCH(Edges[[#This Row],[Vertex 1]],GroupVertices[Vertex],0)),1,1,"")</f>
        <v>1</v>
      </c>
      <c r="BE195" s="83" t="str">
        <f>REPLACE(INDEX(GroupVertices[Group],MATCH(Edges[[#This Row],[Vertex 2]],GroupVertices[Vertex],0)),1,1,"")</f>
        <v>1</v>
      </c>
      <c r="BF195" s="49">
        <v>0</v>
      </c>
      <c r="BG195" s="50">
        <v>0</v>
      </c>
      <c r="BH195" s="49">
        <v>0</v>
      </c>
      <c r="BI195" s="50">
        <v>0</v>
      </c>
      <c r="BJ195" s="49">
        <v>0</v>
      </c>
      <c r="BK195" s="50">
        <v>0</v>
      </c>
      <c r="BL195" s="49">
        <v>31</v>
      </c>
      <c r="BM195" s="50">
        <v>100</v>
      </c>
      <c r="BN195" s="49">
        <v>31</v>
      </c>
    </row>
    <row r="196" spans="1:66" ht="15">
      <c r="A196" s="68" t="s">
        <v>310</v>
      </c>
      <c r="B196" s="68" t="s">
        <v>389</v>
      </c>
      <c r="C196" s="69" t="s">
        <v>5208</v>
      </c>
      <c r="D196" s="70">
        <v>1</v>
      </c>
      <c r="E196" s="71" t="s">
        <v>132</v>
      </c>
      <c r="F196" s="72">
        <v>32</v>
      </c>
      <c r="G196" s="69" t="s">
        <v>51</v>
      </c>
      <c r="H196" s="73"/>
      <c r="I196" s="74"/>
      <c r="J196" s="74"/>
      <c r="K196" s="35" t="s">
        <v>65</v>
      </c>
      <c r="L196" s="82">
        <v>196</v>
      </c>
      <c r="M196" s="82"/>
      <c r="N196" s="76"/>
      <c r="O196" s="84" t="s">
        <v>439</v>
      </c>
      <c r="P196" s="86">
        <v>44084.04796296296</v>
      </c>
      <c r="Q196" s="84" t="s">
        <v>478</v>
      </c>
      <c r="R196" s="87" t="str">
        <f>HYPERLINK("http://www.globalbigdataconference.com/145756/combatting-covid-19-misinformation-with-machine-learning/industrynews-details.html")</f>
        <v>http://www.globalbigdataconference.com/145756/combatting-covid-19-misinformation-with-machine-learning/industrynews-details.html</v>
      </c>
      <c r="S196" s="84" t="s">
        <v>541</v>
      </c>
      <c r="T196" s="84" t="s">
        <v>580</v>
      </c>
      <c r="U196" s="84"/>
      <c r="V196" s="87" t="str">
        <f>HYPERLINK("http://pbs.twimg.com/profile_images/1154383562088599552/RbyNTvSg_normal.jpg")</f>
        <v>http://pbs.twimg.com/profile_images/1154383562088599552/RbyNTvSg_normal.jpg</v>
      </c>
      <c r="W196" s="86">
        <v>44084.04796296296</v>
      </c>
      <c r="X196" s="90">
        <v>44084</v>
      </c>
      <c r="Y196" s="92" t="s">
        <v>735</v>
      </c>
      <c r="Z196" s="87" t="str">
        <f>HYPERLINK("https://twitter.com/1nterestingtech/status/1303863026408460294")</f>
        <v>https://twitter.com/1nterestingtech/status/1303863026408460294</v>
      </c>
      <c r="AA196" s="84"/>
      <c r="AB196" s="84"/>
      <c r="AC196" s="92" t="s">
        <v>1129</v>
      </c>
      <c r="AD196" s="84"/>
      <c r="AE196" s="84" t="b">
        <v>0</v>
      </c>
      <c r="AF196" s="84">
        <v>0</v>
      </c>
      <c r="AG196" s="92" t="s">
        <v>1453</v>
      </c>
      <c r="AH196" s="84" t="b">
        <v>0</v>
      </c>
      <c r="AI196" s="84" t="s">
        <v>1456</v>
      </c>
      <c r="AJ196" s="84"/>
      <c r="AK196" s="92" t="s">
        <v>1453</v>
      </c>
      <c r="AL196" s="84" t="b">
        <v>0</v>
      </c>
      <c r="AM196" s="84">
        <v>25</v>
      </c>
      <c r="AN196" s="92" t="s">
        <v>1287</v>
      </c>
      <c r="AO196" s="84" t="s">
        <v>1487</v>
      </c>
      <c r="AP196" s="84" t="b">
        <v>0</v>
      </c>
      <c r="AQ196" s="92" t="s">
        <v>1287</v>
      </c>
      <c r="AR196" s="84" t="s">
        <v>187</v>
      </c>
      <c r="AS196" s="84">
        <v>0</v>
      </c>
      <c r="AT196" s="84">
        <v>0</v>
      </c>
      <c r="AU196" s="84"/>
      <c r="AV196" s="84"/>
      <c r="AW196" s="84"/>
      <c r="AX196" s="84"/>
      <c r="AY196" s="84"/>
      <c r="AZ196" s="84"/>
      <c r="BA196" s="84"/>
      <c r="BB196" s="84"/>
      <c r="BC196">
        <v>1</v>
      </c>
      <c r="BD196" s="83" t="str">
        <f>REPLACE(INDEX(GroupVertices[Group],MATCH(Edges[[#This Row],[Vertex 1]],GroupVertices[Vertex],0)),1,1,"")</f>
        <v>3</v>
      </c>
      <c r="BE196" s="83" t="str">
        <f>REPLACE(INDEX(GroupVertices[Group],MATCH(Edges[[#This Row],[Vertex 2]],GroupVertices[Vertex],0)),1,1,"")</f>
        <v>3</v>
      </c>
      <c r="BF196" s="49">
        <v>0</v>
      </c>
      <c r="BG196" s="50">
        <v>0</v>
      </c>
      <c r="BH196" s="49">
        <v>0</v>
      </c>
      <c r="BI196" s="50">
        <v>0</v>
      </c>
      <c r="BJ196" s="49">
        <v>0</v>
      </c>
      <c r="BK196" s="50">
        <v>0</v>
      </c>
      <c r="BL196" s="49">
        <v>25</v>
      </c>
      <c r="BM196" s="50">
        <v>100</v>
      </c>
      <c r="BN196" s="49">
        <v>25</v>
      </c>
    </row>
    <row r="197" spans="1:66" ht="15">
      <c r="A197" s="68" t="s">
        <v>311</v>
      </c>
      <c r="B197" s="68" t="s">
        <v>421</v>
      </c>
      <c r="C197" s="69" t="s">
        <v>5208</v>
      </c>
      <c r="D197" s="70">
        <v>1</v>
      </c>
      <c r="E197" s="71" t="s">
        <v>132</v>
      </c>
      <c r="F197" s="72">
        <v>32</v>
      </c>
      <c r="G197" s="69" t="s">
        <v>51</v>
      </c>
      <c r="H197" s="73"/>
      <c r="I197" s="74"/>
      <c r="J197" s="74"/>
      <c r="K197" s="35" t="s">
        <v>65</v>
      </c>
      <c r="L197" s="82">
        <v>197</v>
      </c>
      <c r="M197" s="82"/>
      <c r="N197" s="76"/>
      <c r="O197" s="84" t="s">
        <v>439</v>
      </c>
      <c r="P197" s="86">
        <v>44084.10086805555</v>
      </c>
      <c r="Q197" s="84" t="s">
        <v>479</v>
      </c>
      <c r="R197" s="87" t="str">
        <f>HYPERLINK("https://akashmishra75.herokuapp.com/")</f>
        <v>https://akashmishra75.herokuapp.com/</v>
      </c>
      <c r="S197" s="84" t="s">
        <v>547</v>
      </c>
      <c r="T197" s="84" t="s">
        <v>595</v>
      </c>
      <c r="U197" s="87" t="str">
        <f>HYPERLINK("https://pbs.twimg.com/ext_tw_video_thumb/1299340580011433985/pu/img/BLbI7sTMAVVWOb9h.jpg")</f>
        <v>https://pbs.twimg.com/ext_tw_video_thumb/1299340580011433985/pu/img/BLbI7sTMAVVWOb9h.jpg</v>
      </c>
      <c r="V197" s="87" t="str">
        <f>HYPERLINK("https://pbs.twimg.com/ext_tw_video_thumb/1299340580011433985/pu/img/BLbI7sTMAVVWOb9h.jpg")</f>
        <v>https://pbs.twimg.com/ext_tw_video_thumb/1299340580011433985/pu/img/BLbI7sTMAVVWOb9h.jpg</v>
      </c>
      <c r="W197" s="86">
        <v>44084.10086805555</v>
      </c>
      <c r="X197" s="90">
        <v>44084</v>
      </c>
      <c r="Y197" s="92" t="s">
        <v>736</v>
      </c>
      <c r="Z197" s="87" t="str">
        <f>HYPERLINK("https://twitter.com/dybalafan10/status/1303882197502291969")</f>
        <v>https://twitter.com/dybalafan10/status/1303882197502291969</v>
      </c>
      <c r="AA197" s="84"/>
      <c r="AB197" s="84"/>
      <c r="AC197" s="92" t="s">
        <v>1130</v>
      </c>
      <c r="AD197" s="84"/>
      <c r="AE197" s="84" t="b">
        <v>0</v>
      </c>
      <c r="AF197" s="84">
        <v>0</v>
      </c>
      <c r="AG197" s="92" t="s">
        <v>1453</v>
      </c>
      <c r="AH197" s="84" t="b">
        <v>0</v>
      </c>
      <c r="AI197" s="84" t="s">
        <v>1456</v>
      </c>
      <c r="AJ197" s="84"/>
      <c r="AK197" s="92" t="s">
        <v>1453</v>
      </c>
      <c r="AL197" s="84" t="b">
        <v>0</v>
      </c>
      <c r="AM197" s="84">
        <v>76</v>
      </c>
      <c r="AN197" s="92" t="s">
        <v>1418</v>
      </c>
      <c r="AO197" s="84" t="s">
        <v>1464</v>
      </c>
      <c r="AP197" s="84" t="b">
        <v>0</v>
      </c>
      <c r="AQ197" s="92" t="s">
        <v>1418</v>
      </c>
      <c r="AR197" s="84" t="s">
        <v>187</v>
      </c>
      <c r="AS197" s="84">
        <v>0</v>
      </c>
      <c r="AT197" s="84">
        <v>0</v>
      </c>
      <c r="AU197" s="84"/>
      <c r="AV197" s="84"/>
      <c r="AW197" s="84"/>
      <c r="AX197" s="84"/>
      <c r="AY197" s="84"/>
      <c r="AZ197" s="84"/>
      <c r="BA197" s="84"/>
      <c r="BB197" s="84"/>
      <c r="BC197">
        <v>1</v>
      </c>
      <c r="BD197" s="83" t="str">
        <f>REPLACE(INDEX(GroupVertices[Group],MATCH(Edges[[#This Row],[Vertex 1]],GroupVertices[Vertex],0)),1,1,"")</f>
        <v>8</v>
      </c>
      <c r="BE197" s="83" t="str">
        <f>REPLACE(INDEX(GroupVertices[Group],MATCH(Edges[[#This Row],[Vertex 2]],GroupVertices[Vertex],0)),1,1,"")</f>
        <v>8</v>
      </c>
      <c r="BF197" s="49">
        <v>0</v>
      </c>
      <c r="BG197" s="50">
        <v>0</v>
      </c>
      <c r="BH197" s="49">
        <v>0</v>
      </c>
      <c r="BI197" s="50">
        <v>0</v>
      </c>
      <c r="BJ197" s="49">
        <v>0</v>
      </c>
      <c r="BK197" s="50">
        <v>0</v>
      </c>
      <c r="BL197" s="49">
        <v>42</v>
      </c>
      <c r="BM197" s="50">
        <v>100</v>
      </c>
      <c r="BN197" s="49">
        <v>42</v>
      </c>
    </row>
    <row r="198" spans="1:66" ht="15">
      <c r="A198" s="68" t="s">
        <v>312</v>
      </c>
      <c r="B198" s="68" t="s">
        <v>312</v>
      </c>
      <c r="C198" s="69" t="s">
        <v>5208</v>
      </c>
      <c r="D198" s="70">
        <v>1</v>
      </c>
      <c r="E198" s="71" t="s">
        <v>132</v>
      </c>
      <c r="F198" s="72">
        <v>32</v>
      </c>
      <c r="G198" s="69" t="s">
        <v>51</v>
      </c>
      <c r="H198" s="73"/>
      <c r="I198" s="74"/>
      <c r="J198" s="74"/>
      <c r="K198" s="35" t="s">
        <v>65</v>
      </c>
      <c r="L198" s="82">
        <v>198</v>
      </c>
      <c r="M198" s="82"/>
      <c r="N198" s="76"/>
      <c r="O198" s="84" t="s">
        <v>187</v>
      </c>
      <c r="P198" s="86">
        <v>44084.26335648148</v>
      </c>
      <c r="Q198" s="84" t="s">
        <v>480</v>
      </c>
      <c r="R198" s="87" t="str">
        <f>HYPERLINK("https://medium.com/analytics-vidhya/visualizing-coronavirus-using-python-b35ca02b4392")</f>
        <v>https://medium.com/analytics-vidhya/visualizing-coronavirus-using-python-b35ca02b4392</v>
      </c>
      <c r="S198" s="84" t="s">
        <v>533</v>
      </c>
      <c r="T198" s="84" t="s">
        <v>596</v>
      </c>
      <c r="U198" s="84"/>
      <c r="V198" s="87" t="str">
        <f>HYPERLINK("http://pbs.twimg.com/profile_images/1109075084738744322/Cn-1CzS7_normal.jpg")</f>
        <v>http://pbs.twimg.com/profile_images/1109075084738744322/Cn-1CzS7_normal.jpg</v>
      </c>
      <c r="W198" s="86">
        <v>44084.26335648148</v>
      </c>
      <c r="X198" s="90">
        <v>44084</v>
      </c>
      <c r="Y198" s="92" t="s">
        <v>737</v>
      </c>
      <c r="Z198" s="87" t="str">
        <f>HYPERLINK("https://twitter.com/rajrahula_/status/1303941083013894144")</f>
        <v>https://twitter.com/rajrahula_/status/1303941083013894144</v>
      </c>
      <c r="AA198" s="84"/>
      <c r="AB198" s="84"/>
      <c r="AC198" s="92" t="s">
        <v>1131</v>
      </c>
      <c r="AD198" s="84"/>
      <c r="AE198" s="84" t="b">
        <v>0</v>
      </c>
      <c r="AF198" s="84">
        <v>1</v>
      </c>
      <c r="AG198" s="92" t="s">
        <v>1453</v>
      </c>
      <c r="AH198" s="84" t="b">
        <v>0</v>
      </c>
      <c r="AI198" s="84" t="s">
        <v>1456</v>
      </c>
      <c r="AJ198" s="84"/>
      <c r="AK198" s="92" t="s">
        <v>1453</v>
      </c>
      <c r="AL198" s="84" t="b">
        <v>0</v>
      </c>
      <c r="AM198" s="84">
        <v>0</v>
      </c>
      <c r="AN198" s="92" t="s">
        <v>1453</v>
      </c>
      <c r="AO198" s="84" t="s">
        <v>1465</v>
      </c>
      <c r="AP198" s="84" t="b">
        <v>0</v>
      </c>
      <c r="AQ198" s="92" t="s">
        <v>1131</v>
      </c>
      <c r="AR198" s="84" t="s">
        <v>187</v>
      </c>
      <c r="AS198" s="84">
        <v>0</v>
      </c>
      <c r="AT198" s="84">
        <v>0</v>
      </c>
      <c r="AU198" s="84"/>
      <c r="AV198" s="84"/>
      <c r="AW198" s="84"/>
      <c r="AX198" s="84"/>
      <c r="AY198" s="84"/>
      <c r="AZ198" s="84"/>
      <c r="BA198" s="84"/>
      <c r="BB198" s="84"/>
      <c r="BC198">
        <v>1</v>
      </c>
      <c r="BD198" s="83" t="str">
        <f>REPLACE(INDEX(GroupVertices[Group],MATCH(Edges[[#This Row],[Vertex 1]],GroupVertices[Vertex],0)),1,1,"")</f>
        <v>6</v>
      </c>
      <c r="BE198" s="83" t="str">
        <f>REPLACE(INDEX(GroupVertices[Group],MATCH(Edges[[#This Row],[Vertex 2]],GroupVertices[Vertex],0)),1,1,"")</f>
        <v>6</v>
      </c>
      <c r="BF198" s="49">
        <v>0</v>
      </c>
      <c r="BG198" s="50">
        <v>0</v>
      </c>
      <c r="BH198" s="49">
        <v>0</v>
      </c>
      <c r="BI198" s="50">
        <v>0</v>
      </c>
      <c r="BJ198" s="49">
        <v>0</v>
      </c>
      <c r="BK198" s="50">
        <v>0</v>
      </c>
      <c r="BL198" s="49">
        <v>16</v>
      </c>
      <c r="BM198" s="50">
        <v>100</v>
      </c>
      <c r="BN198" s="49">
        <v>16</v>
      </c>
    </row>
    <row r="199" spans="1:66" ht="15">
      <c r="A199" s="68" t="s">
        <v>313</v>
      </c>
      <c r="B199" s="68" t="s">
        <v>389</v>
      </c>
      <c r="C199" s="69" t="s">
        <v>5208</v>
      </c>
      <c r="D199" s="70">
        <v>1</v>
      </c>
      <c r="E199" s="71" t="s">
        <v>132</v>
      </c>
      <c r="F199" s="72">
        <v>32</v>
      </c>
      <c r="G199" s="69" t="s">
        <v>51</v>
      </c>
      <c r="H199" s="73"/>
      <c r="I199" s="74"/>
      <c r="J199" s="74"/>
      <c r="K199" s="35" t="s">
        <v>65</v>
      </c>
      <c r="L199" s="82">
        <v>199</v>
      </c>
      <c r="M199" s="82"/>
      <c r="N199" s="76"/>
      <c r="O199" s="84" t="s">
        <v>439</v>
      </c>
      <c r="P199" s="86">
        <v>44084.38694444444</v>
      </c>
      <c r="Q199" s="84" t="s">
        <v>478</v>
      </c>
      <c r="R199" s="87" t="str">
        <f>HYPERLINK("http://www.globalbigdataconference.com/145756/combatting-covid-19-misinformation-with-machine-learning/industrynews-details.html")</f>
        <v>http://www.globalbigdataconference.com/145756/combatting-covid-19-misinformation-with-machine-learning/industrynews-details.html</v>
      </c>
      <c r="S199" s="84" t="s">
        <v>541</v>
      </c>
      <c r="T199" s="84" t="s">
        <v>580</v>
      </c>
      <c r="U199" s="84"/>
      <c r="V199" s="87" t="str">
        <f>HYPERLINK("http://pbs.twimg.com/profile_images/609755796327538689/6E6fehAx_normal.jpg")</f>
        <v>http://pbs.twimg.com/profile_images/609755796327538689/6E6fehAx_normal.jpg</v>
      </c>
      <c r="W199" s="86">
        <v>44084.38694444444</v>
      </c>
      <c r="X199" s="90">
        <v>44084</v>
      </c>
      <c r="Y199" s="92" t="s">
        <v>738</v>
      </c>
      <c r="Z199" s="87" t="str">
        <f>HYPERLINK("https://twitter.com/andrea_ilsergio/status/1303985867552423936")</f>
        <v>https://twitter.com/andrea_ilsergio/status/1303985867552423936</v>
      </c>
      <c r="AA199" s="84"/>
      <c r="AB199" s="84"/>
      <c r="AC199" s="92" t="s">
        <v>1132</v>
      </c>
      <c r="AD199" s="84"/>
      <c r="AE199" s="84" t="b">
        <v>0</v>
      </c>
      <c r="AF199" s="84">
        <v>0</v>
      </c>
      <c r="AG199" s="92" t="s">
        <v>1453</v>
      </c>
      <c r="AH199" s="84" t="b">
        <v>0</v>
      </c>
      <c r="AI199" s="84" t="s">
        <v>1456</v>
      </c>
      <c r="AJ199" s="84"/>
      <c r="AK199" s="92" t="s">
        <v>1453</v>
      </c>
      <c r="AL199" s="84" t="b">
        <v>0</v>
      </c>
      <c r="AM199" s="84">
        <v>25</v>
      </c>
      <c r="AN199" s="92" t="s">
        <v>1287</v>
      </c>
      <c r="AO199" s="84" t="s">
        <v>1487</v>
      </c>
      <c r="AP199" s="84" t="b">
        <v>0</v>
      </c>
      <c r="AQ199" s="92" t="s">
        <v>1287</v>
      </c>
      <c r="AR199" s="84" t="s">
        <v>187</v>
      </c>
      <c r="AS199" s="84">
        <v>0</v>
      </c>
      <c r="AT199" s="84">
        <v>0</v>
      </c>
      <c r="AU199" s="84"/>
      <c r="AV199" s="84"/>
      <c r="AW199" s="84"/>
      <c r="AX199" s="84"/>
      <c r="AY199" s="84"/>
      <c r="AZ199" s="84"/>
      <c r="BA199" s="84"/>
      <c r="BB199" s="84"/>
      <c r="BC199">
        <v>1</v>
      </c>
      <c r="BD199" s="83" t="str">
        <f>REPLACE(INDEX(GroupVertices[Group],MATCH(Edges[[#This Row],[Vertex 1]],GroupVertices[Vertex],0)),1,1,"")</f>
        <v>3</v>
      </c>
      <c r="BE199" s="83" t="str">
        <f>REPLACE(INDEX(GroupVertices[Group],MATCH(Edges[[#This Row],[Vertex 2]],GroupVertices[Vertex],0)),1,1,"")</f>
        <v>3</v>
      </c>
      <c r="BF199" s="49">
        <v>0</v>
      </c>
      <c r="BG199" s="50">
        <v>0</v>
      </c>
      <c r="BH199" s="49">
        <v>0</v>
      </c>
      <c r="BI199" s="50">
        <v>0</v>
      </c>
      <c r="BJ199" s="49">
        <v>0</v>
      </c>
      <c r="BK199" s="50">
        <v>0</v>
      </c>
      <c r="BL199" s="49">
        <v>25</v>
      </c>
      <c r="BM199" s="50">
        <v>100</v>
      </c>
      <c r="BN199" s="49">
        <v>25</v>
      </c>
    </row>
    <row r="200" spans="1:66" ht="15">
      <c r="A200" s="68" t="s">
        <v>314</v>
      </c>
      <c r="B200" s="68" t="s">
        <v>417</v>
      </c>
      <c r="C200" s="69" t="s">
        <v>5208</v>
      </c>
      <c r="D200" s="70">
        <v>1</v>
      </c>
      <c r="E200" s="71" t="s">
        <v>132</v>
      </c>
      <c r="F200" s="72">
        <v>32</v>
      </c>
      <c r="G200" s="69" t="s">
        <v>51</v>
      </c>
      <c r="H200" s="73"/>
      <c r="I200" s="74"/>
      <c r="J200" s="74"/>
      <c r="K200" s="35" t="s">
        <v>65</v>
      </c>
      <c r="L200" s="82">
        <v>200</v>
      </c>
      <c r="M200" s="82"/>
      <c r="N200" s="76"/>
      <c r="O200" s="84" t="s">
        <v>439</v>
      </c>
      <c r="P200" s="86">
        <v>44084.488958333335</v>
      </c>
      <c r="Q200" s="84" t="s">
        <v>450</v>
      </c>
      <c r="R200"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200" s="84" t="s">
        <v>533</v>
      </c>
      <c r="T200" s="84"/>
      <c r="U200" s="84"/>
      <c r="V200" s="87" t="str">
        <f>HYPERLINK("http://pbs.twimg.com/profile_images/1300160365620269057/Ch9guQML_normal.jpg")</f>
        <v>http://pbs.twimg.com/profile_images/1300160365620269057/Ch9guQML_normal.jpg</v>
      </c>
      <c r="W200" s="86">
        <v>44084.488958333335</v>
      </c>
      <c r="X200" s="90">
        <v>44084</v>
      </c>
      <c r="Y200" s="92" t="s">
        <v>739</v>
      </c>
      <c r="Z200" s="87" t="str">
        <f>HYPERLINK("https://twitter.com/k_cybersecwrld/status/1304022838542823424")</f>
        <v>https://twitter.com/k_cybersecwrld/status/1304022838542823424</v>
      </c>
      <c r="AA200" s="84"/>
      <c r="AB200" s="84"/>
      <c r="AC200" s="92" t="s">
        <v>1133</v>
      </c>
      <c r="AD200" s="84"/>
      <c r="AE200" s="84" t="b">
        <v>0</v>
      </c>
      <c r="AF200" s="84">
        <v>0</v>
      </c>
      <c r="AG200" s="92" t="s">
        <v>1453</v>
      </c>
      <c r="AH200" s="84" t="b">
        <v>0</v>
      </c>
      <c r="AI200" s="84" t="s">
        <v>1456</v>
      </c>
      <c r="AJ200" s="84"/>
      <c r="AK200" s="92" t="s">
        <v>1453</v>
      </c>
      <c r="AL200" s="84" t="b">
        <v>0</v>
      </c>
      <c r="AM200" s="84">
        <v>31</v>
      </c>
      <c r="AN200" s="92" t="s">
        <v>1396</v>
      </c>
      <c r="AO200" s="84" t="s">
        <v>1464</v>
      </c>
      <c r="AP200" s="84" t="b">
        <v>0</v>
      </c>
      <c r="AQ200" s="92" t="s">
        <v>1396</v>
      </c>
      <c r="AR200" s="84" t="s">
        <v>187</v>
      </c>
      <c r="AS200" s="84">
        <v>0</v>
      </c>
      <c r="AT200" s="84">
        <v>0</v>
      </c>
      <c r="AU200" s="84"/>
      <c r="AV200" s="84"/>
      <c r="AW200" s="84"/>
      <c r="AX200" s="84"/>
      <c r="AY200" s="84"/>
      <c r="AZ200" s="84"/>
      <c r="BA200" s="84"/>
      <c r="BB200" s="84"/>
      <c r="BC200">
        <v>1</v>
      </c>
      <c r="BD200" s="83" t="str">
        <f>REPLACE(INDEX(GroupVertices[Group],MATCH(Edges[[#This Row],[Vertex 1]],GroupVertices[Vertex],0)),1,1,"")</f>
        <v>2</v>
      </c>
      <c r="BE200" s="83" t="str">
        <f>REPLACE(INDEX(GroupVertices[Group],MATCH(Edges[[#This Row],[Vertex 2]],GroupVertices[Vertex],0)),1,1,"")</f>
        <v>2</v>
      </c>
      <c r="BF200" s="49">
        <v>0</v>
      </c>
      <c r="BG200" s="50">
        <v>0</v>
      </c>
      <c r="BH200" s="49">
        <v>0</v>
      </c>
      <c r="BI200" s="50">
        <v>0</v>
      </c>
      <c r="BJ200" s="49">
        <v>0</v>
      </c>
      <c r="BK200" s="50">
        <v>0</v>
      </c>
      <c r="BL200" s="49">
        <v>26</v>
      </c>
      <c r="BM200" s="50">
        <v>100</v>
      </c>
      <c r="BN200" s="49">
        <v>26</v>
      </c>
    </row>
    <row r="201" spans="1:66" ht="15">
      <c r="A201" s="68" t="s">
        <v>315</v>
      </c>
      <c r="B201" s="68" t="s">
        <v>417</v>
      </c>
      <c r="C201" s="69" t="s">
        <v>5208</v>
      </c>
      <c r="D201" s="70">
        <v>1</v>
      </c>
      <c r="E201" s="71" t="s">
        <v>132</v>
      </c>
      <c r="F201" s="72">
        <v>32</v>
      </c>
      <c r="G201" s="69" t="s">
        <v>51</v>
      </c>
      <c r="H201" s="73"/>
      <c r="I201" s="74"/>
      <c r="J201" s="74"/>
      <c r="K201" s="35" t="s">
        <v>65</v>
      </c>
      <c r="L201" s="82">
        <v>201</v>
      </c>
      <c r="M201" s="82"/>
      <c r="N201" s="76"/>
      <c r="O201" s="84" t="s">
        <v>439</v>
      </c>
      <c r="P201" s="86">
        <v>44084.49177083333</v>
      </c>
      <c r="Q201" s="84" t="s">
        <v>450</v>
      </c>
      <c r="R201"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201" s="84" t="s">
        <v>533</v>
      </c>
      <c r="T201" s="84"/>
      <c r="U201" s="84"/>
      <c r="V201" s="87" t="str">
        <f>HYPERLINK("http://pbs.twimg.com/profile_images/1181927089991229440/yNLLigav_normal.jpg")</f>
        <v>http://pbs.twimg.com/profile_images/1181927089991229440/yNLLigav_normal.jpg</v>
      </c>
      <c r="W201" s="86">
        <v>44084.49177083333</v>
      </c>
      <c r="X201" s="90">
        <v>44084</v>
      </c>
      <c r="Y201" s="92" t="s">
        <v>740</v>
      </c>
      <c r="Z201" s="87" t="str">
        <f>HYPERLINK("https://twitter.com/_choccie/status/1304023856324247553")</f>
        <v>https://twitter.com/_choccie/status/1304023856324247553</v>
      </c>
      <c r="AA201" s="84"/>
      <c r="AB201" s="84"/>
      <c r="AC201" s="92" t="s">
        <v>1134</v>
      </c>
      <c r="AD201" s="84"/>
      <c r="AE201" s="84" t="b">
        <v>0</v>
      </c>
      <c r="AF201" s="84">
        <v>0</v>
      </c>
      <c r="AG201" s="92" t="s">
        <v>1453</v>
      </c>
      <c r="AH201" s="84" t="b">
        <v>0</v>
      </c>
      <c r="AI201" s="84" t="s">
        <v>1456</v>
      </c>
      <c r="AJ201" s="84"/>
      <c r="AK201" s="92" t="s">
        <v>1453</v>
      </c>
      <c r="AL201" s="84" t="b">
        <v>0</v>
      </c>
      <c r="AM201" s="84">
        <v>31</v>
      </c>
      <c r="AN201" s="92" t="s">
        <v>1396</v>
      </c>
      <c r="AO201" s="84" t="s">
        <v>1467</v>
      </c>
      <c r="AP201" s="84" t="b">
        <v>0</v>
      </c>
      <c r="AQ201" s="92" t="s">
        <v>1396</v>
      </c>
      <c r="AR201" s="84" t="s">
        <v>187</v>
      </c>
      <c r="AS201" s="84">
        <v>0</v>
      </c>
      <c r="AT201" s="84">
        <v>0</v>
      </c>
      <c r="AU201" s="84"/>
      <c r="AV201" s="84"/>
      <c r="AW201" s="84"/>
      <c r="AX201" s="84"/>
      <c r="AY201" s="84"/>
      <c r="AZ201" s="84"/>
      <c r="BA201" s="84"/>
      <c r="BB201" s="84"/>
      <c r="BC201">
        <v>1</v>
      </c>
      <c r="BD201" s="83" t="str">
        <f>REPLACE(INDEX(GroupVertices[Group],MATCH(Edges[[#This Row],[Vertex 1]],GroupVertices[Vertex],0)),1,1,"")</f>
        <v>2</v>
      </c>
      <c r="BE201" s="83" t="str">
        <f>REPLACE(INDEX(GroupVertices[Group],MATCH(Edges[[#This Row],[Vertex 2]],GroupVertices[Vertex],0)),1,1,"")</f>
        <v>2</v>
      </c>
      <c r="BF201" s="49">
        <v>0</v>
      </c>
      <c r="BG201" s="50">
        <v>0</v>
      </c>
      <c r="BH201" s="49">
        <v>0</v>
      </c>
      <c r="BI201" s="50">
        <v>0</v>
      </c>
      <c r="BJ201" s="49">
        <v>0</v>
      </c>
      <c r="BK201" s="50">
        <v>0</v>
      </c>
      <c r="BL201" s="49">
        <v>26</v>
      </c>
      <c r="BM201" s="50">
        <v>100</v>
      </c>
      <c r="BN201" s="49">
        <v>26</v>
      </c>
    </row>
    <row r="202" spans="1:66" ht="15">
      <c r="A202" s="68" t="s">
        <v>316</v>
      </c>
      <c r="B202" s="68" t="s">
        <v>417</v>
      </c>
      <c r="C202" s="69" t="s">
        <v>5208</v>
      </c>
      <c r="D202" s="70">
        <v>1</v>
      </c>
      <c r="E202" s="71" t="s">
        <v>132</v>
      </c>
      <c r="F202" s="72">
        <v>32</v>
      </c>
      <c r="G202" s="69" t="s">
        <v>51</v>
      </c>
      <c r="H202" s="73"/>
      <c r="I202" s="74"/>
      <c r="J202" s="74"/>
      <c r="K202" s="35" t="s">
        <v>65</v>
      </c>
      <c r="L202" s="82">
        <v>202</v>
      </c>
      <c r="M202" s="82"/>
      <c r="N202" s="76"/>
      <c r="O202" s="84" t="s">
        <v>439</v>
      </c>
      <c r="P202" s="86">
        <v>44084.664675925924</v>
      </c>
      <c r="Q202" s="84" t="s">
        <v>450</v>
      </c>
      <c r="R202"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202" s="84" t="s">
        <v>533</v>
      </c>
      <c r="T202" s="84"/>
      <c r="U202" s="84"/>
      <c r="V202" s="87" t="str">
        <f>HYPERLINK("http://pbs.twimg.com/profile_images/378800000382679758/53586888b72ffcd73e0b4b372c4b3853_normal.jpeg")</f>
        <v>http://pbs.twimg.com/profile_images/378800000382679758/53586888b72ffcd73e0b4b372c4b3853_normal.jpeg</v>
      </c>
      <c r="W202" s="86">
        <v>44084.664675925924</v>
      </c>
      <c r="X202" s="90">
        <v>44084</v>
      </c>
      <c r="Y202" s="92" t="s">
        <v>741</v>
      </c>
      <c r="Z202" s="87" t="str">
        <f>HYPERLINK("https://twitter.com/bigdatabra/status/1304086515862077441")</f>
        <v>https://twitter.com/bigdatabra/status/1304086515862077441</v>
      </c>
      <c r="AA202" s="84"/>
      <c r="AB202" s="84"/>
      <c r="AC202" s="92" t="s">
        <v>1135</v>
      </c>
      <c r="AD202" s="84"/>
      <c r="AE202" s="84" t="b">
        <v>0</v>
      </c>
      <c r="AF202" s="84">
        <v>0</v>
      </c>
      <c r="AG202" s="92" t="s">
        <v>1453</v>
      </c>
      <c r="AH202" s="84" t="b">
        <v>0</v>
      </c>
      <c r="AI202" s="84" t="s">
        <v>1456</v>
      </c>
      <c r="AJ202" s="84"/>
      <c r="AK202" s="92" t="s">
        <v>1453</v>
      </c>
      <c r="AL202" s="84" t="b">
        <v>0</v>
      </c>
      <c r="AM202" s="84">
        <v>31</v>
      </c>
      <c r="AN202" s="92" t="s">
        <v>1396</v>
      </c>
      <c r="AO202" s="84" t="s">
        <v>1465</v>
      </c>
      <c r="AP202" s="84" t="b">
        <v>0</v>
      </c>
      <c r="AQ202" s="92" t="s">
        <v>1396</v>
      </c>
      <c r="AR202" s="84" t="s">
        <v>187</v>
      </c>
      <c r="AS202" s="84">
        <v>0</v>
      </c>
      <c r="AT202" s="84">
        <v>0</v>
      </c>
      <c r="AU202" s="84"/>
      <c r="AV202" s="84"/>
      <c r="AW202" s="84"/>
      <c r="AX202" s="84"/>
      <c r="AY202" s="84"/>
      <c r="AZ202" s="84"/>
      <c r="BA202" s="84"/>
      <c r="BB202" s="84"/>
      <c r="BC202">
        <v>1</v>
      </c>
      <c r="BD202" s="83" t="str">
        <f>REPLACE(INDEX(GroupVertices[Group],MATCH(Edges[[#This Row],[Vertex 1]],GroupVertices[Vertex],0)),1,1,"")</f>
        <v>2</v>
      </c>
      <c r="BE202" s="83" t="str">
        <f>REPLACE(INDEX(GroupVertices[Group],MATCH(Edges[[#This Row],[Vertex 2]],GroupVertices[Vertex],0)),1,1,"")</f>
        <v>2</v>
      </c>
      <c r="BF202" s="49">
        <v>0</v>
      </c>
      <c r="BG202" s="50">
        <v>0</v>
      </c>
      <c r="BH202" s="49">
        <v>0</v>
      </c>
      <c r="BI202" s="50">
        <v>0</v>
      </c>
      <c r="BJ202" s="49">
        <v>0</v>
      </c>
      <c r="BK202" s="50">
        <v>0</v>
      </c>
      <c r="BL202" s="49">
        <v>26</v>
      </c>
      <c r="BM202" s="50">
        <v>100</v>
      </c>
      <c r="BN202" s="49">
        <v>26</v>
      </c>
    </row>
    <row r="203" spans="1:66" ht="15">
      <c r="A203" s="68" t="s">
        <v>317</v>
      </c>
      <c r="B203" s="68" t="s">
        <v>389</v>
      </c>
      <c r="C203" s="69" t="s">
        <v>5208</v>
      </c>
      <c r="D203" s="70">
        <v>1</v>
      </c>
      <c r="E203" s="71" t="s">
        <v>132</v>
      </c>
      <c r="F203" s="72">
        <v>32</v>
      </c>
      <c r="G203" s="69" t="s">
        <v>51</v>
      </c>
      <c r="H203" s="73"/>
      <c r="I203" s="74"/>
      <c r="J203" s="74"/>
      <c r="K203" s="35" t="s">
        <v>65</v>
      </c>
      <c r="L203" s="82">
        <v>203</v>
      </c>
      <c r="M203" s="82"/>
      <c r="N203" s="76"/>
      <c r="O203" s="84" t="s">
        <v>439</v>
      </c>
      <c r="P203" s="86">
        <v>44084.720925925925</v>
      </c>
      <c r="Q203" s="84" t="s">
        <v>478</v>
      </c>
      <c r="R203" s="87" t="str">
        <f>HYPERLINK("http://www.globalbigdataconference.com/145756/combatting-covid-19-misinformation-with-machine-learning/industrynews-details.html")</f>
        <v>http://www.globalbigdataconference.com/145756/combatting-covid-19-misinformation-with-machine-learning/industrynews-details.html</v>
      </c>
      <c r="S203" s="84" t="s">
        <v>541</v>
      </c>
      <c r="T203" s="84" t="s">
        <v>580</v>
      </c>
      <c r="U203" s="84"/>
      <c r="V203" s="87" t="str">
        <f>HYPERLINK("http://pbs.twimg.com/profile_images/1255512632406298627/KSXGB8St_normal.jpg")</f>
        <v>http://pbs.twimg.com/profile_images/1255512632406298627/KSXGB8St_normal.jpg</v>
      </c>
      <c r="W203" s="86">
        <v>44084.720925925925</v>
      </c>
      <c r="X203" s="90">
        <v>44084</v>
      </c>
      <c r="Y203" s="92" t="s">
        <v>742</v>
      </c>
      <c r="Z203" s="87" t="str">
        <f>HYPERLINK("https://twitter.com/wawan19831/status/1304106897633693696")</f>
        <v>https://twitter.com/wawan19831/status/1304106897633693696</v>
      </c>
      <c r="AA203" s="84"/>
      <c r="AB203" s="84"/>
      <c r="AC203" s="92" t="s">
        <v>1136</v>
      </c>
      <c r="AD203" s="84"/>
      <c r="AE203" s="84" t="b">
        <v>0</v>
      </c>
      <c r="AF203" s="84">
        <v>0</v>
      </c>
      <c r="AG203" s="92" t="s">
        <v>1453</v>
      </c>
      <c r="AH203" s="84" t="b">
        <v>0</v>
      </c>
      <c r="AI203" s="84" t="s">
        <v>1456</v>
      </c>
      <c r="AJ203" s="84"/>
      <c r="AK203" s="92" t="s">
        <v>1453</v>
      </c>
      <c r="AL203" s="84" t="b">
        <v>0</v>
      </c>
      <c r="AM203" s="84">
        <v>25</v>
      </c>
      <c r="AN203" s="92" t="s">
        <v>1287</v>
      </c>
      <c r="AO203" s="84" t="s">
        <v>1487</v>
      </c>
      <c r="AP203" s="84" t="b">
        <v>0</v>
      </c>
      <c r="AQ203" s="92" t="s">
        <v>1287</v>
      </c>
      <c r="AR203" s="84" t="s">
        <v>187</v>
      </c>
      <c r="AS203" s="84">
        <v>0</v>
      </c>
      <c r="AT203" s="84">
        <v>0</v>
      </c>
      <c r="AU203" s="84"/>
      <c r="AV203" s="84"/>
      <c r="AW203" s="84"/>
      <c r="AX203" s="84"/>
      <c r="AY203" s="84"/>
      <c r="AZ203" s="84"/>
      <c r="BA203" s="84"/>
      <c r="BB203" s="84"/>
      <c r="BC203">
        <v>1</v>
      </c>
      <c r="BD203" s="83" t="str">
        <f>REPLACE(INDEX(GroupVertices[Group],MATCH(Edges[[#This Row],[Vertex 1]],GroupVertices[Vertex],0)),1,1,"")</f>
        <v>3</v>
      </c>
      <c r="BE203" s="83" t="str">
        <f>REPLACE(INDEX(GroupVertices[Group],MATCH(Edges[[#This Row],[Vertex 2]],GroupVertices[Vertex],0)),1,1,"")</f>
        <v>3</v>
      </c>
      <c r="BF203" s="49">
        <v>0</v>
      </c>
      <c r="BG203" s="50">
        <v>0</v>
      </c>
      <c r="BH203" s="49">
        <v>0</v>
      </c>
      <c r="BI203" s="50">
        <v>0</v>
      </c>
      <c r="BJ203" s="49">
        <v>0</v>
      </c>
      <c r="BK203" s="50">
        <v>0</v>
      </c>
      <c r="BL203" s="49">
        <v>25</v>
      </c>
      <c r="BM203" s="50">
        <v>100</v>
      </c>
      <c r="BN203" s="49">
        <v>25</v>
      </c>
    </row>
    <row r="204" spans="1:66" ht="15">
      <c r="A204" s="68" t="s">
        <v>318</v>
      </c>
      <c r="B204" s="68" t="s">
        <v>390</v>
      </c>
      <c r="C204" s="69" t="s">
        <v>5208</v>
      </c>
      <c r="D204" s="70">
        <v>1</v>
      </c>
      <c r="E204" s="71" t="s">
        <v>132</v>
      </c>
      <c r="F204" s="72">
        <v>32</v>
      </c>
      <c r="G204" s="69" t="s">
        <v>51</v>
      </c>
      <c r="H204" s="73"/>
      <c r="I204" s="74"/>
      <c r="J204" s="74"/>
      <c r="K204" s="35" t="s">
        <v>65</v>
      </c>
      <c r="L204" s="82">
        <v>204</v>
      </c>
      <c r="M204" s="82"/>
      <c r="N204" s="76"/>
      <c r="O204" s="84" t="s">
        <v>439</v>
      </c>
      <c r="P204" s="86">
        <v>44084.7733912037</v>
      </c>
      <c r="Q204" s="84" t="s">
        <v>481</v>
      </c>
      <c r="R204" s="87" t="str">
        <f>HYPERLINK("https://www.aitrends.com/ai-research/covid-19-ai-update-nih-developing-imaging-tools/")</f>
        <v>https://www.aitrends.com/ai-research/covid-19-ai-update-nih-developing-imaging-tools/</v>
      </c>
      <c r="S204" s="84" t="s">
        <v>548</v>
      </c>
      <c r="T204" s="84" t="s">
        <v>597</v>
      </c>
      <c r="U204" s="84"/>
      <c r="V204" s="87" t="str">
        <f>HYPERLINK("http://pbs.twimg.com/profile_images/831991276740411399/HYyVp9sU_normal.jpg")</f>
        <v>http://pbs.twimg.com/profile_images/831991276740411399/HYyVp9sU_normal.jpg</v>
      </c>
      <c r="W204" s="86">
        <v>44084.7733912037</v>
      </c>
      <c r="X204" s="90">
        <v>44084</v>
      </c>
      <c r="Y204" s="92" t="s">
        <v>743</v>
      </c>
      <c r="Z204" s="87" t="str">
        <f>HYPERLINK("https://twitter.com/deletedthisbihh/status/1304125911013437441")</f>
        <v>https://twitter.com/deletedthisbihh/status/1304125911013437441</v>
      </c>
      <c r="AA204" s="84"/>
      <c r="AB204" s="84"/>
      <c r="AC204" s="92" t="s">
        <v>1137</v>
      </c>
      <c r="AD204" s="84"/>
      <c r="AE204" s="84" t="b">
        <v>0</v>
      </c>
      <c r="AF204" s="84">
        <v>0</v>
      </c>
      <c r="AG204" s="92" t="s">
        <v>1453</v>
      </c>
      <c r="AH204" s="84" t="b">
        <v>0</v>
      </c>
      <c r="AI204" s="84" t="s">
        <v>1456</v>
      </c>
      <c r="AJ204" s="84"/>
      <c r="AK204" s="92" t="s">
        <v>1453</v>
      </c>
      <c r="AL204" s="84" t="b">
        <v>0</v>
      </c>
      <c r="AM204" s="84">
        <v>17</v>
      </c>
      <c r="AN204" s="92" t="s">
        <v>1405</v>
      </c>
      <c r="AO204" s="84" t="s">
        <v>1492</v>
      </c>
      <c r="AP204" s="84" t="b">
        <v>0</v>
      </c>
      <c r="AQ204" s="92" t="s">
        <v>1405</v>
      </c>
      <c r="AR204" s="84" t="s">
        <v>187</v>
      </c>
      <c r="AS204" s="84">
        <v>0</v>
      </c>
      <c r="AT204" s="84">
        <v>0</v>
      </c>
      <c r="AU204" s="84"/>
      <c r="AV204" s="84"/>
      <c r="AW204" s="84"/>
      <c r="AX204" s="84"/>
      <c r="AY204" s="84"/>
      <c r="AZ204" s="84"/>
      <c r="BA204" s="84"/>
      <c r="BB204" s="84"/>
      <c r="BC204">
        <v>1</v>
      </c>
      <c r="BD204" s="83" t="str">
        <f>REPLACE(INDEX(GroupVertices[Group],MATCH(Edges[[#This Row],[Vertex 1]],GroupVertices[Vertex],0)),1,1,"")</f>
        <v>1</v>
      </c>
      <c r="BE204" s="83" t="str">
        <f>REPLACE(INDEX(GroupVertices[Group],MATCH(Edges[[#This Row],[Vertex 2]],GroupVertices[Vertex],0)),1,1,"")</f>
        <v>1</v>
      </c>
      <c r="BF204" s="49">
        <v>0</v>
      </c>
      <c r="BG204" s="50">
        <v>0</v>
      </c>
      <c r="BH204" s="49">
        <v>0</v>
      </c>
      <c r="BI204" s="50">
        <v>0</v>
      </c>
      <c r="BJ204" s="49">
        <v>0</v>
      </c>
      <c r="BK204" s="50">
        <v>0</v>
      </c>
      <c r="BL204" s="49">
        <v>28</v>
      </c>
      <c r="BM204" s="50">
        <v>100</v>
      </c>
      <c r="BN204" s="49">
        <v>28</v>
      </c>
    </row>
    <row r="205" spans="1:66" ht="15">
      <c r="A205" s="68" t="s">
        <v>319</v>
      </c>
      <c r="B205" s="68" t="s">
        <v>390</v>
      </c>
      <c r="C205" s="69" t="s">
        <v>5208</v>
      </c>
      <c r="D205" s="70">
        <v>1</v>
      </c>
      <c r="E205" s="71" t="s">
        <v>132</v>
      </c>
      <c r="F205" s="72">
        <v>32</v>
      </c>
      <c r="G205" s="69" t="s">
        <v>51</v>
      </c>
      <c r="H205" s="73"/>
      <c r="I205" s="74"/>
      <c r="J205" s="74"/>
      <c r="K205" s="35" t="s">
        <v>65</v>
      </c>
      <c r="L205" s="82">
        <v>205</v>
      </c>
      <c r="M205" s="82"/>
      <c r="N205" s="76"/>
      <c r="O205" s="84" t="s">
        <v>439</v>
      </c>
      <c r="P205" s="86">
        <v>44084.773414351854</v>
      </c>
      <c r="Q205" s="84" t="s">
        <v>481</v>
      </c>
      <c r="R205" s="87" t="str">
        <f>HYPERLINK("https://www.aitrends.com/ai-research/covid-19-ai-update-nih-developing-imaging-tools/")</f>
        <v>https://www.aitrends.com/ai-research/covid-19-ai-update-nih-developing-imaging-tools/</v>
      </c>
      <c r="S205" s="84" t="s">
        <v>548</v>
      </c>
      <c r="T205" s="84" t="s">
        <v>597</v>
      </c>
      <c r="U205" s="84"/>
      <c r="V205" s="87" t="str">
        <f>HYPERLINK("http://pbs.twimg.com/profile_images/801330179012431872/mwiDs43W_normal.jpg")</f>
        <v>http://pbs.twimg.com/profile_images/801330179012431872/mwiDs43W_normal.jpg</v>
      </c>
      <c r="W205" s="86">
        <v>44084.773414351854</v>
      </c>
      <c r="X205" s="90">
        <v>44084</v>
      </c>
      <c r="Y205" s="92" t="s">
        <v>744</v>
      </c>
      <c r="Z205" s="87" t="str">
        <f>HYPERLINK("https://twitter.com/lildukieme/status/1304125919628529666")</f>
        <v>https://twitter.com/lildukieme/status/1304125919628529666</v>
      </c>
      <c r="AA205" s="84"/>
      <c r="AB205" s="84"/>
      <c r="AC205" s="92" t="s">
        <v>1138</v>
      </c>
      <c r="AD205" s="84"/>
      <c r="AE205" s="84" t="b">
        <v>0</v>
      </c>
      <c r="AF205" s="84">
        <v>0</v>
      </c>
      <c r="AG205" s="92" t="s">
        <v>1453</v>
      </c>
      <c r="AH205" s="84" t="b">
        <v>0</v>
      </c>
      <c r="AI205" s="84" t="s">
        <v>1456</v>
      </c>
      <c r="AJ205" s="84"/>
      <c r="AK205" s="92" t="s">
        <v>1453</v>
      </c>
      <c r="AL205" s="84" t="b">
        <v>0</v>
      </c>
      <c r="AM205" s="84">
        <v>17</v>
      </c>
      <c r="AN205" s="92" t="s">
        <v>1405</v>
      </c>
      <c r="AO205" s="84" t="s">
        <v>319</v>
      </c>
      <c r="AP205" s="84" t="b">
        <v>0</v>
      </c>
      <c r="AQ205" s="92" t="s">
        <v>1405</v>
      </c>
      <c r="AR205" s="84" t="s">
        <v>187</v>
      </c>
      <c r="AS205" s="84">
        <v>0</v>
      </c>
      <c r="AT205" s="84">
        <v>0</v>
      </c>
      <c r="AU205" s="84"/>
      <c r="AV205" s="84"/>
      <c r="AW205" s="84"/>
      <c r="AX205" s="84"/>
      <c r="AY205" s="84"/>
      <c r="AZ205" s="84"/>
      <c r="BA205" s="84"/>
      <c r="BB205" s="84"/>
      <c r="BC205">
        <v>1</v>
      </c>
      <c r="BD205" s="83" t="str">
        <f>REPLACE(INDEX(GroupVertices[Group],MATCH(Edges[[#This Row],[Vertex 1]],GroupVertices[Vertex],0)),1,1,"")</f>
        <v>1</v>
      </c>
      <c r="BE205" s="83" t="str">
        <f>REPLACE(INDEX(GroupVertices[Group],MATCH(Edges[[#This Row],[Vertex 2]],GroupVertices[Vertex],0)),1,1,"")</f>
        <v>1</v>
      </c>
      <c r="BF205" s="49">
        <v>0</v>
      </c>
      <c r="BG205" s="50">
        <v>0</v>
      </c>
      <c r="BH205" s="49">
        <v>0</v>
      </c>
      <c r="BI205" s="50">
        <v>0</v>
      </c>
      <c r="BJ205" s="49">
        <v>0</v>
      </c>
      <c r="BK205" s="50">
        <v>0</v>
      </c>
      <c r="BL205" s="49">
        <v>28</v>
      </c>
      <c r="BM205" s="50">
        <v>100</v>
      </c>
      <c r="BN205" s="49">
        <v>28</v>
      </c>
    </row>
    <row r="206" spans="1:66" ht="15">
      <c r="A206" s="68" t="s">
        <v>320</v>
      </c>
      <c r="B206" s="68" t="s">
        <v>390</v>
      </c>
      <c r="C206" s="69" t="s">
        <v>5208</v>
      </c>
      <c r="D206" s="70">
        <v>1</v>
      </c>
      <c r="E206" s="71" t="s">
        <v>132</v>
      </c>
      <c r="F206" s="72">
        <v>32</v>
      </c>
      <c r="G206" s="69" t="s">
        <v>51</v>
      </c>
      <c r="H206" s="73"/>
      <c r="I206" s="74"/>
      <c r="J206" s="74"/>
      <c r="K206" s="35" t="s">
        <v>65</v>
      </c>
      <c r="L206" s="82">
        <v>206</v>
      </c>
      <c r="M206" s="82"/>
      <c r="N206" s="76"/>
      <c r="O206" s="84" t="s">
        <v>439</v>
      </c>
      <c r="P206" s="86">
        <v>44084.77375</v>
      </c>
      <c r="Q206" s="84" t="s">
        <v>481</v>
      </c>
      <c r="R206" s="87" t="str">
        <f>HYPERLINK("https://www.aitrends.com/ai-research/covid-19-ai-update-nih-developing-imaging-tools/")</f>
        <v>https://www.aitrends.com/ai-research/covid-19-ai-update-nih-developing-imaging-tools/</v>
      </c>
      <c r="S206" s="84" t="s">
        <v>548</v>
      </c>
      <c r="T206" s="84" t="s">
        <v>597</v>
      </c>
      <c r="U206" s="84"/>
      <c r="V206" s="87" t="str">
        <f>HYPERLINK("http://pbs.twimg.com/profile_images/749693026591584256/-J3-0qAF_normal.jpg")</f>
        <v>http://pbs.twimg.com/profile_images/749693026591584256/-J3-0qAF_normal.jpg</v>
      </c>
      <c r="W206" s="86">
        <v>44084.77375</v>
      </c>
      <c r="X206" s="90">
        <v>44084</v>
      </c>
      <c r="Y206" s="92" t="s">
        <v>745</v>
      </c>
      <c r="Z206" s="87" t="str">
        <f>HYPERLINK("https://twitter.com/kiilla3sup/status/1304126040520962050")</f>
        <v>https://twitter.com/kiilla3sup/status/1304126040520962050</v>
      </c>
      <c r="AA206" s="84"/>
      <c r="AB206" s="84"/>
      <c r="AC206" s="92" t="s">
        <v>1139</v>
      </c>
      <c r="AD206" s="84"/>
      <c r="AE206" s="84" t="b">
        <v>0</v>
      </c>
      <c r="AF206" s="84">
        <v>0</v>
      </c>
      <c r="AG206" s="92" t="s">
        <v>1453</v>
      </c>
      <c r="AH206" s="84" t="b">
        <v>0</v>
      </c>
      <c r="AI206" s="84" t="s">
        <v>1456</v>
      </c>
      <c r="AJ206" s="84"/>
      <c r="AK206" s="92" t="s">
        <v>1453</v>
      </c>
      <c r="AL206" s="84" t="b">
        <v>0</v>
      </c>
      <c r="AM206" s="84">
        <v>17</v>
      </c>
      <c r="AN206" s="92" t="s">
        <v>1405</v>
      </c>
      <c r="AO206" s="84" t="s">
        <v>1493</v>
      </c>
      <c r="AP206" s="84" t="b">
        <v>0</v>
      </c>
      <c r="AQ206" s="92" t="s">
        <v>1405</v>
      </c>
      <c r="AR206" s="84" t="s">
        <v>187</v>
      </c>
      <c r="AS206" s="84">
        <v>0</v>
      </c>
      <c r="AT206" s="84">
        <v>0</v>
      </c>
      <c r="AU206" s="84"/>
      <c r="AV206" s="84"/>
      <c r="AW206" s="84"/>
      <c r="AX206" s="84"/>
      <c r="AY206" s="84"/>
      <c r="AZ206" s="84"/>
      <c r="BA206" s="84"/>
      <c r="BB206" s="84"/>
      <c r="BC206">
        <v>1</v>
      </c>
      <c r="BD206" s="83" t="str">
        <f>REPLACE(INDEX(GroupVertices[Group],MATCH(Edges[[#This Row],[Vertex 1]],GroupVertices[Vertex],0)),1,1,"")</f>
        <v>1</v>
      </c>
      <c r="BE206" s="83" t="str">
        <f>REPLACE(INDEX(GroupVertices[Group],MATCH(Edges[[#This Row],[Vertex 2]],GroupVertices[Vertex],0)),1,1,"")</f>
        <v>1</v>
      </c>
      <c r="BF206" s="49">
        <v>0</v>
      </c>
      <c r="BG206" s="50">
        <v>0</v>
      </c>
      <c r="BH206" s="49">
        <v>0</v>
      </c>
      <c r="BI206" s="50">
        <v>0</v>
      </c>
      <c r="BJ206" s="49">
        <v>0</v>
      </c>
      <c r="BK206" s="50">
        <v>0</v>
      </c>
      <c r="BL206" s="49">
        <v>28</v>
      </c>
      <c r="BM206" s="50">
        <v>100</v>
      </c>
      <c r="BN206" s="49">
        <v>28</v>
      </c>
    </row>
    <row r="207" spans="1:66" ht="15">
      <c r="A207" s="68" t="s">
        <v>321</v>
      </c>
      <c r="B207" s="68" t="s">
        <v>421</v>
      </c>
      <c r="C207" s="69" t="s">
        <v>5208</v>
      </c>
      <c r="D207" s="70">
        <v>1</v>
      </c>
      <c r="E207" s="71" t="s">
        <v>132</v>
      </c>
      <c r="F207" s="72">
        <v>32</v>
      </c>
      <c r="G207" s="69" t="s">
        <v>51</v>
      </c>
      <c r="H207" s="73"/>
      <c r="I207" s="74"/>
      <c r="J207" s="74"/>
      <c r="K207" s="35" t="s">
        <v>65</v>
      </c>
      <c r="L207" s="82">
        <v>207</v>
      </c>
      <c r="M207" s="82"/>
      <c r="N207" s="76"/>
      <c r="O207" s="84" t="s">
        <v>439</v>
      </c>
      <c r="P207" s="86">
        <v>44085.37517361111</v>
      </c>
      <c r="Q207" s="84" t="s">
        <v>479</v>
      </c>
      <c r="R207" s="87" t="str">
        <f>HYPERLINK("https://akashmishra75.herokuapp.com/")</f>
        <v>https://akashmishra75.herokuapp.com/</v>
      </c>
      <c r="S207" s="84" t="s">
        <v>547</v>
      </c>
      <c r="T207" s="84" t="s">
        <v>595</v>
      </c>
      <c r="U207" s="87" t="str">
        <f>HYPERLINK("https://pbs.twimg.com/ext_tw_video_thumb/1299340580011433985/pu/img/BLbI7sTMAVVWOb9h.jpg")</f>
        <v>https://pbs.twimg.com/ext_tw_video_thumb/1299340580011433985/pu/img/BLbI7sTMAVVWOb9h.jpg</v>
      </c>
      <c r="V207" s="87" t="str">
        <f>HYPERLINK("https://pbs.twimg.com/ext_tw_video_thumb/1299340580011433985/pu/img/BLbI7sTMAVVWOb9h.jpg")</f>
        <v>https://pbs.twimg.com/ext_tw_video_thumb/1299340580011433985/pu/img/BLbI7sTMAVVWOb9h.jpg</v>
      </c>
      <c r="W207" s="86">
        <v>44085.37517361111</v>
      </c>
      <c r="X207" s="90">
        <v>44085</v>
      </c>
      <c r="Y207" s="92" t="s">
        <v>746</v>
      </c>
      <c r="Z207" s="87" t="str">
        <f>HYPERLINK("https://twitter.com/zokio8/status/1304343988636319744")</f>
        <v>https://twitter.com/zokio8/status/1304343988636319744</v>
      </c>
      <c r="AA207" s="84"/>
      <c r="AB207" s="84"/>
      <c r="AC207" s="92" t="s">
        <v>1140</v>
      </c>
      <c r="AD207" s="84"/>
      <c r="AE207" s="84" t="b">
        <v>0</v>
      </c>
      <c r="AF207" s="84">
        <v>0</v>
      </c>
      <c r="AG207" s="92" t="s">
        <v>1453</v>
      </c>
      <c r="AH207" s="84" t="b">
        <v>0</v>
      </c>
      <c r="AI207" s="84" t="s">
        <v>1456</v>
      </c>
      <c r="AJ207" s="84"/>
      <c r="AK207" s="92" t="s">
        <v>1453</v>
      </c>
      <c r="AL207" s="84" t="b">
        <v>0</v>
      </c>
      <c r="AM207" s="84">
        <v>76</v>
      </c>
      <c r="AN207" s="92" t="s">
        <v>1418</v>
      </c>
      <c r="AO207" s="84" t="s">
        <v>1464</v>
      </c>
      <c r="AP207" s="84" t="b">
        <v>0</v>
      </c>
      <c r="AQ207" s="92" t="s">
        <v>1418</v>
      </c>
      <c r="AR207" s="84" t="s">
        <v>187</v>
      </c>
      <c r="AS207" s="84">
        <v>0</v>
      </c>
      <c r="AT207" s="84">
        <v>0</v>
      </c>
      <c r="AU207" s="84"/>
      <c r="AV207" s="84"/>
      <c r="AW207" s="84"/>
      <c r="AX207" s="84"/>
      <c r="AY207" s="84"/>
      <c r="AZ207" s="84"/>
      <c r="BA207" s="84"/>
      <c r="BB207" s="84"/>
      <c r="BC207">
        <v>1</v>
      </c>
      <c r="BD207" s="83" t="str">
        <f>REPLACE(INDEX(GroupVertices[Group],MATCH(Edges[[#This Row],[Vertex 1]],GroupVertices[Vertex],0)),1,1,"")</f>
        <v>8</v>
      </c>
      <c r="BE207" s="83" t="str">
        <f>REPLACE(INDEX(GroupVertices[Group],MATCH(Edges[[#This Row],[Vertex 2]],GroupVertices[Vertex],0)),1,1,"")</f>
        <v>8</v>
      </c>
      <c r="BF207" s="49">
        <v>0</v>
      </c>
      <c r="BG207" s="50">
        <v>0</v>
      </c>
      <c r="BH207" s="49">
        <v>0</v>
      </c>
      <c r="BI207" s="50">
        <v>0</v>
      </c>
      <c r="BJ207" s="49">
        <v>0</v>
      </c>
      <c r="BK207" s="50">
        <v>0</v>
      </c>
      <c r="BL207" s="49">
        <v>42</v>
      </c>
      <c r="BM207" s="50">
        <v>100</v>
      </c>
      <c r="BN207" s="49">
        <v>42</v>
      </c>
    </row>
    <row r="208" spans="1:66" ht="15">
      <c r="A208" s="68" t="s">
        <v>322</v>
      </c>
      <c r="B208" s="68" t="s">
        <v>417</v>
      </c>
      <c r="C208" s="69" t="s">
        <v>5208</v>
      </c>
      <c r="D208" s="70">
        <v>1</v>
      </c>
      <c r="E208" s="71" t="s">
        <v>132</v>
      </c>
      <c r="F208" s="72">
        <v>32</v>
      </c>
      <c r="G208" s="69" t="s">
        <v>51</v>
      </c>
      <c r="H208" s="73"/>
      <c r="I208" s="74"/>
      <c r="J208" s="74"/>
      <c r="K208" s="35" t="s">
        <v>65</v>
      </c>
      <c r="L208" s="82">
        <v>208</v>
      </c>
      <c r="M208" s="82"/>
      <c r="N208" s="76"/>
      <c r="O208" s="84" t="s">
        <v>439</v>
      </c>
      <c r="P208" s="86">
        <v>44084.49136574074</v>
      </c>
      <c r="Q208" s="84" t="s">
        <v>450</v>
      </c>
      <c r="R208"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208" s="84" t="s">
        <v>533</v>
      </c>
      <c r="T208" s="84"/>
      <c r="U208" s="84"/>
      <c r="V208" s="87" t="str">
        <f>HYPERLINK("http://pbs.twimg.com/profile_images/1135480817776566272/rlVeWp7t_normal.png")</f>
        <v>http://pbs.twimg.com/profile_images/1135480817776566272/rlVeWp7t_normal.png</v>
      </c>
      <c r="W208" s="86">
        <v>44084.49136574074</v>
      </c>
      <c r="X208" s="90">
        <v>44084</v>
      </c>
      <c r="Y208" s="92" t="s">
        <v>747</v>
      </c>
      <c r="Z208" s="87" t="str">
        <f>HYPERLINK("https://twitter.com/js_bot_code/status/1304023708437303296")</f>
        <v>https://twitter.com/js_bot_code/status/1304023708437303296</v>
      </c>
      <c r="AA208" s="84"/>
      <c r="AB208" s="84"/>
      <c r="AC208" s="92" t="s">
        <v>1141</v>
      </c>
      <c r="AD208" s="84"/>
      <c r="AE208" s="84" t="b">
        <v>0</v>
      </c>
      <c r="AF208" s="84">
        <v>0</v>
      </c>
      <c r="AG208" s="92" t="s">
        <v>1453</v>
      </c>
      <c r="AH208" s="84" t="b">
        <v>0</v>
      </c>
      <c r="AI208" s="84" t="s">
        <v>1456</v>
      </c>
      <c r="AJ208" s="84"/>
      <c r="AK208" s="92" t="s">
        <v>1453</v>
      </c>
      <c r="AL208" s="84" t="b">
        <v>0</v>
      </c>
      <c r="AM208" s="84">
        <v>31</v>
      </c>
      <c r="AN208" s="92" t="s">
        <v>1396</v>
      </c>
      <c r="AO208" s="84" t="s">
        <v>1494</v>
      </c>
      <c r="AP208" s="84" t="b">
        <v>0</v>
      </c>
      <c r="AQ208" s="92" t="s">
        <v>1396</v>
      </c>
      <c r="AR208" s="84" t="s">
        <v>187</v>
      </c>
      <c r="AS208" s="84">
        <v>0</v>
      </c>
      <c r="AT208" s="84">
        <v>0</v>
      </c>
      <c r="AU208" s="84"/>
      <c r="AV208" s="84"/>
      <c r="AW208" s="84"/>
      <c r="AX208" s="84"/>
      <c r="AY208" s="84"/>
      <c r="AZ208" s="84"/>
      <c r="BA208" s="84"/>
      <c r="BB208" s="84"/>
      <c r="BC208">
        <v>1</v>
      </c>
      <c r="BD208" s="83" t="str">
        <f>REPLACE(INDEX(GroupVertices[Group],MATCH(Edges[[#This Row],[Vertex 1]],GroupVertices[Vertex],0)),1,1,"")</f>
        <v>8</v>
      </c>
      <c r="BE208" s="83" t="str">
        <f>REPLACE(INDEX(GroupVertices[Group],MATCH(Edges[[#This Row],[Vertex 2]],GroupVertices[Vertex],0)),1,1,"")</f>
        <v>2</v>
      </c>
      <c r="BF208" s="49">
        <v>0</v>
      </c>
      <c r="BG208" s="50">
        <v>0</v>
      </c>
      <c r="BH208" s="49">
        <v>0</v>
      </c>
      <c r="BI208" s="50">
        <v>0</v>
      </c>
      <c r="BJ208" s="49">
        <v>0</v>
      </c>
      <c r="BK208" s="50">
        <v>0</v>
      </c>
      <c r="BL208" s="49">
        <v>26</v>
      </c>
      <c r="BM208" s="50">
        <v>100</v>
      </c>
      <c r="BN208" s="49">
        <v>26</v>
      </c>
    </row>
    <row r="209" spans="1:66" ht="15">
      <c r="A209" s="68" t="s">
        <v>322</v>
      </c>
      <c r="B209" s="68" t="s">
        <v>423</v>
      </c>
      <c r="C209" s="69" t="s">
        <v>5208</v>
      </c>
      <c r="D209" s="70">
        <v>1</v>
      </c>
      <c r="E209" s="71" t="s">
        <v>132</v>
      </c>
      <c r="F209" s="72">
        <v>32</v>
      </c>
      <c r="G209" s="69" t="s">
        <v>51</v>
      </c>
      <c r="H209" s="73"/>
      <c r="I209" s="74"/>
      <c r="J209" s="74"/>
      <c r="K209" s="35" t="s">
        <v>65</v>
      </c>
      <c r="L209" s="82">
        <v>209</v>
      </c>
      <c r="M209" s="82"/>
      <c r="N209" s="76"/>
      <c r="O209" s="84" t="s">
        <v>439</v>
      </c>
      <c r="P209" s="86">
        <v>44084.74836805555</v>
      </c>
      <c r="Q209" s="84" t="s">
        <v>474</v>
      </c>
      <c r="R209" s="84"/>
      <c r="S209" s="84"/>
      <c r="T209" s="84" t="s">
        <v>591</v>
      </c>
      <c r="U209" s="87" t="str">
        <f>HYPERLINK("https://pbs.twimg.com/media/EhOErS9WAAUfUqQ.jpg")</f>
        <v>https://pbs.twimg.com/media/EhOErS9WAAUfUqQ.jpg</v>
      </c>
      <c r="V209" s="87" t="str">
        <f>HYPERLINK("https://pbs.twimg.com/media/EhOErS9WAAUfUqQ.jpg")</f>
        <v>https://pbs.twimg.com/media/EhOErS9WAAUfUqQ.jpg</v>
      </c>
      <c r="W209" s="86">
        <v>44084.74836805555</v>
      </c>
      <c r="X209" s="90">
        <v>44084</v>
      </c>
      <c r="Y209" s="92" t="s">
        <v>748</v>
      </c>
      <c r="Z209" s="87" t="str">
        <f>HYPERLINK("https://twitter.com/js_bot_code/status/1304116845537099778")</f>
        <v>https://twitter.com/js_bot_code/status/1304116845537099778</v>
      </c>
      <c r="AA209" s="84"/>
      <c r="AB209" s="84"/>
      <c r="AC209" s="92" t="s">
        <v>1142</v>
      </c>
      <c r="AD209" s="84"/>
      <c r="AE209" s="84" t="b">
        <v>0</v>
      </c>
      <c r="AF209" s="84">
        <v>0</v>
      </c>
      <c r="AG209" s="92" t="s">
        <v>1453</v>
      </c>
      <c r="AH209" s="84" t="b">
        <v>0</v>
      </c>
      <c r="AI209" s="84" t="s">
        <v>1456</v>
      </c>
      <c r="AJ209" s="84"/>
      <c r="AK209" s="92" t="s">
        <v>1453</v>
      </c>
      <c r="AL209" s="84" t="b">
        <v>0</v>
      </c>
      <c r="AM209" s="84">
        <v>55</v>
      </c>
      <c r="AN209" s="92" t="s">
        <v>1426</v>
      </c>
      <c r="AO209" s="84" t="s">
        <v>1494</v>
      </c>
      <c r="AP209" s="84" t="b">
        <v>0</v>
      </c>
      <c r="AQ209" s="92" t="s">
        <v>1426</v>
      </c>
      <c r="AR209" s="84" t="s">
        <v>187</v>
      </c>
      <c r="AS209" s="84">
        <v>0</v>
      </c>
      <c r="AT209" s="84">
        <v>0</v>
      </c>
      <c r="AU209" s="84"/>
      <c r="AV209" s="84"/>
      <c r="AW209" s="84"/>
      <c r="AX209" s="84"/>
      <c r="AY209" s="84"/>
      <c r="AZ209" s="84"/>
      <c r="BA209" s="84"/>
      <c r="BB209" s="84"/>
      <c r="BC209">
        <v>1</v>
      </c>
      <c r="BD209" s="83" t="str">
        <f>REPLACE(INDEX(GroupVertices[Group],MATCH(Edges[[#This Row],[Vertex 1]],GroupVertices[Vertex],0)),1,1,"")</f>
        <v>8</v>
      </c>
      <c r="BE209" s="83" t="str">
        <f>REPLACE(INDEX(GroupVertices[Group],MATCH(Edges[[#This Row],[Vertex 2]],GroupVertices[Vertex],0)),1,1,"")</f>
        <v>1</v>
      </c>
      <c r="BF209" s="49">
        <v>0</v>
      </c>
      <c r="BG209" s="50">
        <v>0</v>
      </c>
      <c r="BH209" s="49">
        <v>0</v>
      </c>
      <c r="BI209" s="50">
        <v>0</v>
      </c>
      <c r="BJ209" s="49">
        <v>0</v>
      </c>
      <c r="BK209" s="50">
        <v>0</v>
      </c>
      <c r="BL209" s="49">
        <v>31</v>
      </c>
      <c r="BM209" s="50">
        <v>100</v>
      </c>
      <c r="BN209" s="49">
        <v>31</v>
      </c>
    </row>
    <row r="210" spans="1:66" ht="15">
      <c r="A210" s="68" t="s">
        <v>322</v>
      </c>
      <c r="B210" s="68" t="s">
        <v>390</v>
      </c>
      <c r="C210" s="69" t="s">
        <v>5208</v>
      </c>
      <c r="D210" s="70">
        <v>1</v>
      </c>
      <c r="E210" s="71" t="s">
        <v>132</v>
      </c>
      <c r="F210" s="72">
        <v>32</v>
      </c>
      <c r="G210" s="69" t="s">
        <v>51</v>
      </c>
      <c r="H210" s="73"/>
      <c r="I210" s="74"/>
      <c r="J210" s="74"/>
      <c r="K210" s="35" t="s">
        <v>65</v>
      </c>
      <c r="L210" s="82">
        <v>210</v>
      </c>
      <c r="M210" s="82"/>
      <c r="N210" s="76"/>
      <c r="O210" s="84" t="s">
        <v>439</v>
      </c>
      <c r="P210" s="86">
        <v>44084.77719907407</v>
      </c>
      <c r="Q210" s="84" t="s">
        <v>481</v>
      </c>
      <c r="R210" s="87" t="str">
        <f>HYPERLINK("https://www.aitrends.com/ai-research/covid-19-ai-update-nih-developing-imaging-tools/")</f>
        <v>https://www.aitrends.com/ai-research/covid-19-ai-update-nih-developing-imaging-tools/</v>
      </c>
      <c r="S210" s="84" t="s">
        <v>548</v>
      </c>
      <c r="T210" s="84" t="s">
        <v>597</v>
      </c>
      <c r="U210" s="84"/>
      <c r="V210" s="87" t="str">
        <f>HYPERLINK("http://pbs.twimg.com/profile_images/1135480817776566272/rlVeWp7t_normal.png")</f>
        <v>http://pbs.twimg.com/profile_images/1135480817776566272/rlVeWp7t_normal.png</v>
      </c>
      <c r="W210" s="86">
        <v>44084.77719907407</v>
      </c>
      <c r="X210" s="90">
        <v>44084</v>
      </c>
      <c r="Y210" s="92" t="s">
        <v>749</v>
      </c>
      <c r="Z210" s="87" t="str">
        <f>HYPERLINK("https://twitter.com/js_bot_code/status/1304127290243252225")</f>
        <v>https://twitter.com/js_bot_code/status/1304127290243252225</v>
      </c>
      <c r="AA210" s="84"/>
      <c r="AB210" s="84"/>
      <c r="AC210" s="92" t="s">
        <v>1143</v>
      </c>
      <c r="AD210" s="84"/>
      <c r="AE210" s="84" t="b">
        <v>0</v>
      </c>
      <c r="AF210" s="84">
        <v>0</v>
      </c>
      <c r="AG210" s="92" t="s">
        <v>1453</v>
      </c>
      <c r="AH210" s="84" t="b">
        <v>0</v>
      </c>
      <c r="AI210" s="84" t="s">
        <v>1456</v>
      </c>
      <c r="AJ210" s="84"/>
      <c r="AK210" s="92" t="s">
        <v>1453</v>
      </c>
      <c r="AL210" s="84" t="b">
        <v>0</v>
      </c>
      <c r="AM210" s="84">
        <v>17</v>
      </c>
      <c r="AN210" s="92" t="s">
        <v>1405</v>
      </c>
      <c r="AO210" s="84" t="s">
        <v>1494</v>
      </c>
      <c r="AP210" s="84" t="b">
        <v>0</v>
      </c>
      <c r="AQ210" s="92" t="s">
        <v>1405</v>
      </c>
      <c r="AR210" s="84" t="s">
        <v>187</v>
      </c>
      <c r="AS210" s="84">
        <v>0</v>
      </c>
      <c r="AT210" s="84">
        <v>0</v>
      </c>
      <c r="AU210" s="84"/>
      <c r="AV210" s="84"/>
      <c r="AW210" s="84"/>
      <c r="AX210" s="84"/>
      <c r="AY210" s="84"/>
      <c r="AZ210" s="84"/>
      <c r="BA210" s="84"/>
      <c r="BB210" s="84"/>
      <c r="BC210">
        <v>1</v>
      </c>
      <c r="BD210" s="83" t="str">
        <f>REPLACE(INDEX(GroupVertices[Group],MATCH(Edges[[#This Row],[Vertex 1]],GroupVertices[Vertex],0)),1,1,"")</f>
        <v>8</v>
      </c>
      <c r="BE210" s="83" t="str">
        <f>REPLACE(INDEX(GroupVertices[Group],MATCH(Edges[[#This Row],[Vertex 2]],GroupVertices[Vertex],0)),1,1,"")</f>
        <v>1</v>
      </c>
      <c r="BF210" s="49">
        <v>0</v>
      </c>
      <c r="BG210" s="50">
        <v>0</v>
      </c>
      <c r="BH210" s="49">
        <v>0</v>
      </c>
      <c r="BI210" s="50">
        <v>0</v>
      </c>
      <c r="BJ210" s="49">
        <v>0</v>
      </c>
      <c r="BK210" s="50">
        <v>0</v>
      </c>
      <c r="BL210" s="49">
        <v>28</v>
      </c>
      <c r="BM210" s="50">
        <v>100</v>
      </c>
      <c r="BN210" s="49">
        <v>28</v>
      </c>
    </row>
    <row r="211" spans="1:66" ht="15">
      <c r="A211" s="68" t="s">
        <v>322</v>
      </c>
      <c r="B211" s="68" t="s">
        <v>421</v>
      </c>
      <c r="C211" s="69" t="s">
        <v>5208</v>
      </c>
      <c r="D211" s="70">
        <v>1</v>
      </c>
      <c r="E211" s="71" t="s">
        <v>132</v>
      </c>
      <c r="F211" s="72">
        <v>32</v>
      </c>
      <c r="G211" s="69" t="s">
        <v>51</v>
      </c>
      <c r="H211" s="73"/>
      <c r="I211" s="74"/>
      <c r="J211" s="74"/>
      <c r="K211" s="35" t="s">
        <v>65</v>
      </c>
      <c r="L211" s="82">
        <v>211</v>
      </c>
      <c r="M211" s="82"/>
      <c r="N211" s="76"/>
      <c r="O211" s="84" t="s">
        <v>439</v>
      </c>
      <c r="P211" s="86">
        <v>44085.37712962963</v>
      </c>
      <c r="Q211" s="84" t="s">
        <v>479</v>
      </c>
      <c r="R211" s="87" t="str">
        <f>HYPERLINK("https://akashmishra75.herokuapp.com/")</f>
        <v>https://akashmishra75.herokuapp.com/</v>
      </c>
      <c r="S211" s="84" t="s">
        <v>547</v>
      </c>
      <c r="T211" s="84" t="s">
        <v>595</v>
      </c>
      <c r="U211" s="87" t="str">
        <f>HYPERLINK("https://pbs.twimg.com/ext_tw_video_thumb/1299340580011433985/pu/img/BLbI7sTMAVVWOb9h.jpg")</f>
        <v>https://pbs.twimg.com/ext_tw_video_thumb/1299340580011433985/pu/img/BLbI7sTMAVVWOb9h.jpg</v>
      </c>
      <c r="V211" s="87" t="str">
        <f>HYPERLINK("https://pbs.twimg.com/ext_tw_video_thumb/1299340580011433985/pu/img/BLbI7sTMAVVWOb9h.jpg")</f>
        <v>https://pbs.twimg.com/ext_tw_video_thumb/1299340580011433985/pu/img/BLbI7sTMAVVWOb9h.jpg</v>
      </c>
      <c r="W211" s="86">
        <v>44085.37712962963</v>
      </c>
      <c r="X211" s="90">
        <v>44085</v>
      </c>
      <c r="Y211" s="92" t="s">
        <v>750</v>
      </c>
      <c r="Z211" s="87" t="str">
        <f>HYPERLINK("https://twitter.com/js_bot_code/status/1304344700351057920")</f>
        <v>https://twitter.com/js_bot_code/status/1304344700351057920</v>
      </c>
      <c r="AA211" s="84"/>
      <c r="AB211" s="84"/>
      <c r="AC211" s="92" t="s">
        <v>1144</v>
      </c>
      <c r="AD211" s="84"/>
      <c r="AE211" s="84" t="b">
        <v>0</v>
      </c>
      <c r="AF211" s="84">
        <v>0</v>
      </c>
      <c r="AG211" s="92" t="s">
        <v>1453</v>
      </c>
      <c r="AH211" s="84" t="b">
        <v>0</v>
      </c>
      <c r="AI211" s="84" t="s">
        <v>1456</v>
      </c>
      <c r="AJ211" s="84"/>
      <c r="AK211" s="92" t="s">
        <v>1453</v>
      </c>
      <c r="AL211" s="84" t="b">
        <v>0</v>
      </c>
      <c r="AM211" s="84">
        <v>76</v>
      </c>
      <c r="AN211" s="92" t="s">
        <v>1418</v>
      </c>
      <c r="AO211" s="84" t="s">
        <v>1494</v>
      </c>
      <c r="AP211" s="84" t="b">
        <v>0</v>
      </c>
      <c r="AQ211" s="92" t="s">
        <v>1418</v>
      </c>
      <c r="AR211" s="84" t="s">
        <v>187</v>
      </c>
      <c r="AS211" s="84">
        <v>0</v>
      </c>
      <c r="AT211" s="84">
        <v>0</v>
      </c>
      <c r="AU211" s="84"/>
      <c r="AV211" s="84"/>
      <c r="AW211" s="84"/>
      <c r="AX211" s="84"/>
      <c r="AY211" s="84"/>
      <c r="AZ211" s="84"/>
      <c r="BA211" s="84"/>
      <c r="BB211" s="84"/>
      <c r="BC211">
        <v>1</v>
      </c>
      <c r="BD211" s="83" t="str">
        <f>REPLACE(INDEX(GroupVertices[Group],MATCH(Edges[[#This Row],[Vertex 1]],GroupVertices[Vertex],0)),1,1,"")</f>
        <v>8</v>
      </c>
      <c r="BE211" s="83" t="str">
        <f>REPLACE(INDEX(GroupVertices[Group],MATCH(Edges[[#This Row],[Vertex 2]],GroupVertices[Vertex],0)),1,1,"")</f>
        <v>8</v>
      </c>
      <c r="BF211" s="49">
        <v>0</v>
      </c>
      <c r="BG211" s="50">
        <v>0</v>
      </c>
      <c r="BH211" s="49">
        <v>0</v>
      </c>
      <c r="BI211" s="50">
        <v>0</v>
      </c>
      <c r="BJ211" s="49">
        <v>0</v>
      </c>
      <c r="BK211" s="50">
        <v>0</v>
      </c>
      <c r="BL211" s="49">
        <v>42</v>
      </c>
      <c r="BM211" s="50">
        <v>100</v>
      </c>
      <c r="BN211" s="49">
        <v>42</v>
      </c>
    </row>
    <row r="212" spans="1:66" ht="15">
      <c r="A212" s="68" t="s">
        <v>323</v>
      </c>
      <c r="B212" s="68" t="s">
        <v>425</v>
      </c>
      <c r="C212" s="69" t="s">
        <v>5208</v>
      </c>
      <c r="D212" s="70">
        <v>1</v>
      </c>
      <c r="E212" s="71" t="s">
        <v>132</v>
      </c>
      <c r="F212" s="72">
        <v>32</v>
      </c>
      <c r="G212" s="69" t="s">
        <v>51</v>
      </c>
      <c r="H212" s="73"/>
      <c r="I212" s="74"/>
      <c r="J212" s="74"/>
      <c r="K212" s="35" t="s">
        <v>65</v>
      </c>
      <c r="L212" s="82">
        <v>212</v>
      </c>
      <c r="M212" s="82"/>
      <c r="N212" s="76"/>
      <c r="O212" s="84" t="s">
        <v>439</v>
      </c>
      <c r="P212" s="86">
        <v>44083.3878125</v>
      </c>
      <c r="Q212" s="84" t="s">
        <v>472</v>
      </c>
      <c r="R212" s="87" t="str">
        <f>HYPERLINK("https://techairesearch.com/comparative-study-of-best-time-series-models-for-urgent-pandemic-management-2/")</f>
        <v>https://techairesearch.com/comparative-study-of-best-time-series-models-for-urgent-pandemic-management-2/</v>
      </c>
      <c r="S212" s="84" t="s">
        <v>544</v>
      </c>
      <c r="T212" s="84" t="s">
        <v>589</v>
      </c>
      <c r="U212" s="84"/>
      <c r="V212" s="87" t="str">
        <f>HYPERLINK("http://pbs.twimg.com/profile_images/1134668251844136960/VXLcIeXE_normal.jpg")</f>
        <v>http://pbs.twimg.com/profile_images/1134668251844136960/VXLcIeXE_normal.jpg</v>
      </c>
      <c r="W212" s="86">
        <v>44083.3878125</v>
      </c>
      <c r="X212" s="90">
        <v>44083</v>
      </c>
      <c r="Y212" s="92" t="s">
        <v>751</v>
      </c>
      <c r="Z212" s="87" t="str">
        <f>HYPERLINK("https://twitter.com/shybot7/status/1303623796713234432")</f>
        <v>https://twitter.com/shybot7/status/1303623796713234432</v>
      </c>
      <c r="AA212" s="84"/>
      <c r="AB212" s="84"/>
      <c r="AC212" s="92" t="s">
        <v>1145</v>
      </c>
      <c r="AD212" s="84"/>
      <c r="AE212" s="84" t="b">
        <v>0</v>
      </c>
      <c r="AF212" s="84">
        <v>0</v>
      </c>
      <c r="AG212" s="92" t="s">
        <v>1453</v>
      </c>
      <c r="AH212" s="84" t="b">
        <v>0</v>
      </c>
      <c r="AI212" s="84" t="s">
        <v>1456</v>
      </c>
      <c r="AJ212" s="84"/>
      <c r="AK212" s="92" t="s">
        <v>1453</v>
      </c>
      <c r="AL212" s="84" t="b">
        <v>0</v>
      </c>
      <c r="AM212" s="84">
        <v>12</v>
      </c>
      <c r="AN212" s="92" t="s">
        <v>1431</v>
      </c>
      <c r="AO212" s="84" t="s">
        <v>1495</v>
      </c>
      <c r="AP212" s="84" t="b">
        <v>0</v>
      </c>
      <c r="AQ212" s="92" t="s">
        <v>1431</v>
      </c>
      <c r="AR212" s="84" t="s">
        <v>187</v>
      </c>
      <c r="AS212" s="84">
        <v>0</v>
      </c>
      <c r="AT212" s="84">
        <v>0</v>
      </c>
      <c r="AU212" s="84"/>
      <c r="AV212" s="84"/>
      <c r="AW212" s="84"/>
      <c r="AX212" s="84"/>
      <c r="AY212" s="84"/>
      <c r="AZ212" s="84"/>
      <c r="BA212" s="84"/>
      <c r="BB212" s="84"/>
      <c r="BC212">
        <v>1</v>
      </c>
      <c r="BD212" s="83" t="str">
        <f>REPLACE(INDEX(GroupVertices[Group],MATCH(Edges[[#This Row],[Vertex 1]],GroupVertices[Vertex],0)),1,1,"")</f>
        <v>5</v>
      </c>
      <c r="BE212" s="83" t="str">
        <f>REPLACE(INDEX(GroupVertices[Group],MATCH(Edges[[#This Row],[Vertex 2]],GroupVertices[Vertex],0)),1,1,"")</f>
        <v>5</v>
      </c>
      <c r="BF212" s="49">
        <v>0</v>
      </c>
      <c r="BG212" s="50">
        <v>0</v>
      </c>
      <c r="BH212" s="49">
        <v>0</v>
      </c>
      <c r="BI212" s="50">
        <v>0</v>
      </c>
      <c r="BJ212" s="49">
        <v>0</v>
      </c>
      <c r="BK212" s="50">
        <v>0</v>
      </c>
      <c r="BL212" s="49">
        <v>26</v>
      </c>
      <c r="BM212" s="50">
        <v>100</v>
      </c>
      <c r="BN212" s="49">
        <v>26</v>
      </c>
    </row>
    <row r="213" spans="1:66" ht="15">
      <c r="A213" s="68" t="s">
        <v>323</v>
      </c>
      <c r="B213" s="68" t="s">
        <v>389</v>
      </c>
      <c r="C213" s="69" t="s">
        <v>5209</v>
      </c>
      <c r="D213" s="70">
        <v>6.678367782143116</v>
      </c>
      <c r="E213" s="71" t="s">
        <v>132</v>
      </c>
      <c r="F213" s="72">
        <v>21</v>
      </c>
      <c r="G213" s="69" t="s">
        <v>51</v>
      </c>
      <c r="H213" s="73"/>
      <c r="I213" s="74"/>
      <c r="J213" s="74"/>
      <c r="K213" s="35" t="s">
        <v>65</v>
      </c>
      <c r="L213" s="82">
        <v>213</v>
      </c>
      <c r="M213" s="82"/>
      <c r="N213" s="76"/>
      <c r="O213" s="84" t="s">
        <v>439</v>
      </c>
      <c r="P213" s="86">
        <v>44083.763020833336</v>
      </c>
      <c r="Q213" s="84" t="s">
        <v>478</v>
      </c>
      <c r="R213" s="87" t="str">
        <f>HYPERLINK("http://www.globalbigdataconference.com/145756/combatting-covid-19-misinformation-with-machine-learning/industrynews-details.html")</f>
        <v>http://www.globalbigdataconference.com/145756/combatting-covid-19-misinformation-with-machine-learning/industrynews-details.html</v>
      </c>
      <c r="S213" s="84" t="s">
        <v>541</v>
      </c>
      <c r="T213" s="84" t="s">
        <v>580</v>
      </c>
      <c r="U213" s="84"/>
      <c r="V213" s="87" t="str">
        <f>HYPERLINK("http://pbs.twimg.com/profile_images/1134668251844136960/VXLcIeXE_normal.jpg")</f>
        <v>http://pbs.twimg.com/profile_images/1134668251844136960/VXLcIeXE_normal.jpg</v>
      </c>
      <c r="W213" s="86">
        <v>44083.763020833336</v>
      </c>
      <c r="X213" s="90">
        <v>44083</v>
      </c>
      <c r="Y213" s="92" t="s">
        <v>752</v>
      </c>
      <c r="Z213" s="87" t="str">
        <f>HYPERLINK("https://twitter.com/shybot7/status/1303759766670409728")</f>
        <v>https://twitter.com/shybot7/status/1303759766670409728</v>
      </c>
      <c r="AA213" s="84"/>
      <c r="AB213" s="84"/>
      <c r="AC213" s="92" t="s">
        <v>1146</v>
      </c>
      <c r="AD213" s="84"/>
      <c r="AE213" s="84" t="b">
        <v>0</v>
      </c>
      <c r="AF213" s="84">
        <v>0</v>
      </c>
      <c r="AG213" s="92" t="s">
        <v>1453</v>
      </c>
      <c r="AH213" s="84" t="b">
        <v>0</v>
      </c>
      <c r="AI213" s="84" t="s">
        <v>1456</v>
      </c>
      <c r="AJ213" s="84"/>
      <c r="AK213" s="92" t="s">
        <v>1453</v>
      </c>
      <c r="AL213" s="84" t="b">
        <v>0</v>
      </c>
      <c r="AM213" s="84">
        <v>25</v>
      </c>
      <c r="AN213" s="92" t="s">
        <v>1287</v>
      </c>
      <c r="AO213" s="84" t="s">
        <v>1495</v>
      </c>
      <c r="AP213" s="84" t="b">
        <v>0</v>
      </c>
      <c r="AQ213" s="92" t="s">
        <v>1287</v>
      </c>
      <c r="AR213" s="84" t="s">
        <v>187</v>
      </c>
      <c r="AS213" s="84">
        <v>0</v>
      </c>
      <c r="AT213" s="84">
        <v>0</v>
      </c>
      <c r="AU213" s="84"/>
      <c r="AV213" s="84"/>
      <c r="AW213" s="84"/>
      <c r="AX213" s="84"/>
      <c r="AY213" s="84"/>
      <c r="AZ213" s="84"/>
      <c r="BA213" s="84"/>
      <c r="BB213" s="84"/>
      <c r="BC213">
        <v>2</v>
      </c>
      <c r="BD213" s="83" t="str">
        <f>REPLACE(INDEX(GroupVertices[Group],MATCH(Edges[[#This Row],[Vertex 1]],GroupVertices[Vertex],0)),1,1,"")</f>
        <v>5</v>
      </c>
      <c r="BE213" s="83" t="str">
        <f>REPLACE(INDEX(GroupVertices[Group],MATCH(Edges[[#This Row],[Vertex 2]],GroupVertices[Vertex],0)),1,1,"")</f>
        <v>3</v>
      </c>
      <c r="BF213" s="49">
        <v>0</v>
      </c>
      <c r="BG213" s="50">
        <v>0</v>
      </c>
      <c r="BH213" s="49">
        <v>0</v>
      </c>
      <c r="BI213" s="50">
        <v>0</v>
      </c>
      <c r="BJ213" s="49">
        <v>0</v>
      </c>
      <c r="BK213" s="50">
        <v>0</v>
      </c>
      <c r="BL213" s="49">
        <v>25</v>
      </c>
      <c r="BM213" s="50">
        <v>100</v>
      </c>
      <c r="BN213" s="49">
        <v>25</v>
      </c>
    </row>
    <row r="214" spans="1:66" ht="15">
      <c r="A214" s="68" t="s">
        <v>323</v>
      </c>
      <c r="B214" s="68" t="s">
        <v>389</v>
      </c>
      <c r="C214" s="69" t="s">
        <v>5209</v>
      </c>
      <c r="D214" s="70">
        <v>6.678367782143116</v>
      </c>
      <c r="E214" s="71" t="s">
        <v>132</v>
      </c>
      <c r="F214" s="72">
        <v>21</v>
      </c>
      <c r="G214" s="69" t="s">
        <v>51</v>
      </c>
      <c r="H214" s="73"/>
      <c r="I214" s="74"/>
      <c r="J214" s="74"/>
      <c r="K214" s="35" t="s">
        <v>65</v>
      </c>
      <c r="L214" s="82">
        <v>214</v>
      </c>
      <c r="M214" s="82"/>
      <c r="N214" s="76"/>
      <c r="O214" s="84" t="s">
        <v>439</v>
      </c>
      <c r="P214" s="86">
        <v>44085.67953703704</v>
      </c>
      <c r="Q214" s="84" t="s">
        <v>482</v>
      </c>
      <c r="R214" s="87" t="str">
        <f>HYPERLINK("http://www.globalbigdataconference.com/145761/big-datas-role-in-the-post-covid-era/industrynews-details.html")</f>
        <v>http://www.globalbigdataconference.com/145761/big-datas-role-in-the-post-covid-era/industrynews-details.html</v>
      </c>
      <c r="S214" s="84" t="s">
        <v>541</v>
      </c>
      <c r="T214" s="84" t="s">
        <v>598</v>
      </c>
      <c r="U214" s="84"/>
      <c r="V214" s="87" t="str">
        <f>HYPERLINK("http://pbs.twimg.com/profile_images/1134668251844136960/VXLcIeXE_normal.jpg")</f>
        <v>http://pbs.twimg.com/profile_images/1134668251844136960/VXLcIeXE_normal.jpg</v>
      </c>
      <c r="W214" s="86">
        <v>44085.67953703704</v>
      </c>
      <c r="X214" s="90">
        <v>44085</v>
      </c>
      <c r="Y214" s="92" t="s">
        <v>753</v>
      </c>
      <c r="Z214" s="87" t="str">
        <f>HYPERLINK("https://twitter.com/shybot7/status/1304454288467472387")</f>
        <v>https://twitter.com/shybot7/status/1304454288467472387</v>
      </c>
      <c r="AA214" s="84"/>
      <c r="AB214" s="84"/>
      <c r="AC214" s="92" t="s">
        <v>1147</v>
      </c>
      <c r="AD214" s="84"/>
      <c r="AE214" s="84" t="b">
        <v>0</v>
      </c>
      <c r="AF214" s="84">
        <v>0</v>
      </c>
      <c r="AG214" s="92" t="s">
        <v>1453</v>
      </c>
      <c r="AH214" s="84" t="b">
        <v>0</v>
      </c>
      <c r="AI214" s="84" t="s">
        <v>1456</v>
      </c>
      <c r="AJ214" s="84"/>
      <c r="AK214" s="92" t="s">
        <v>1453</v>
      </c>
      <c r="AL214" s="84" t="b">
        <v>0</v>
      </c>
      <c r="AM214" s="84">
        <v>22</v>
      </c>
      <c r="AN214" s="92" t="s">
        <v>1288</v>
      </c>
      <c r="AO214" s="84" t="s">
        <v>1495</v>
      </c>
      <c r="AP214" s="84" t="b">
        <v>0</v>
      </c>
      <c r="AQ214" s="92" t="s">
        <v>1288</v>
      </c>
      <c r="AR214" s="84" t="s">
        <v>187</v>
      </c>
      <c r="AS214" s="84">
        <v>0</v>
      </c>
      <c r="AT214" s="84">
        <v>0</v>
      </c>
      <c r="AU214" s="84"/>
      <c r="AV214" s="84"/>
      <c r="AW214" s="84"/>
      <c r="AX214" s="84"/>
      <c r="AY214" s="84"/>
      <c r="AZ214" s="84"/>
      <c r="BA214" s="84"/>
      <c r="BB214" s="84"/>
      <c r="BC214">
        <v>2</v>
      </c>
      <c r="BD214" s="83" t="str">
        <f>REPLACE(INDEX(GroupVertices[Group],MATCH(Edges[[#This Row],[Vertex 1]],GroupVertices[Vertex],0)),1,1,"")</f>
        <v>5</v>
      </c>
      <c r="BE214" s="83" t="str">
        <f>REPLACE(INDEX(GroupVertices[Group],MATCH(Edges[[#This Row],[Vertex 2]],GroupVertices[Vertex],0)),1,1,"")</f>
        <v>3</v>
      </c>
      <c r="BF214" s="49">
        <v>0</v>
      </c>
      <c r="BG214" s="50">
        <v>0</v>
      </c>
      <c r="BH214" s="49">
        <v>0</v>
      </c>
      <c r="BI214" s="50">
        <v>0</v>
      </c>
      <c r="BJ214" s="49">
        <v>0</v>
      </c>
      <c r="BK214" s="50">
        <v>0</v>
      </c>
      <c r="BL214" s="49">
        <v>28</v>
      </c>
      <c r="BM214" s="50">
        <v>100</v>
      </c>
      <c r="BN214" s="49">
        <v>28</v>
      </c>
    </row>
    <row r="215" spans="1:66" ht="15">
      <c r="A215" s="68" t="s">
        <v>324</v>
      </c>
      <c r="B215" s="68" t="s">
        <v>389</v>
      </c>
      <c r="C215" s="69" t="s">
        <v>5208</v>
      </c>
      <c r="D215" s="70">
        <v>1</v>
      </c>
      <c r="E215" s="71" t="s">
        <v>132</v>
      </c>
      <c r="F215" s="72">
        <v>32</v>
      </c>
      <c r="G215" s="69" t="s">
        <v>51</v>
      </c>
      <c r="H215" s="73"/>
      <c r="I215" s="74"/>
      <c r="J215" s="74"/>
      <c r="K215" s="35" t="s">
        <v>65</v>
      </c>
      <c r="L215" s="82">
        <v>215</v>
      </c>
      <c r="M215" s="82"/>
      <c r="N215" s="76"/>
      <c r="O215" s="84" t="s">
        <v>439</v>
      </c>
      <c r="P215" s="86">
        <v>44085.714641203704</v>
      </c>
      <c r="Q215" s="84" t="s">
        <v>482</v>
      </c>
      <c r="R215" s="87" t="str">
        <f>HYPERLINK("http://www.globalbigdataconference.com/145761/big-datas-role-in-the-post-covid-era/industrynews-details.html")</f>
        <v>http://www.globalbigdataconference.com/145761/big-datas-role-in-the-post-covid-era/industrynews-details.html</v>
      </c>
      <c r="S215" s="84" t="s">
        <v>541</v>
      </c>
      <c r="T215" s="84" t="s">
        <v>598</v>
      </c>
      <c r="U215" s="84"/>
      <c r="V215" s="87" t="str">
        <f>HYPERLINK("http://pbs.twimg.com/profile_images/1200174725189840897/0c_BIU0Y_normal.jpg")</f>
        <v>http://pbs.twimg.com/profile_images/1200174725189840897/0c_BIU0Y_normal.jpg</v>
      </c>
      <c r="W215" s="86">
        <v>44085.714641203704</v>
      </c>
      <c r="X215" s="90">
        <v>44085</v>
      </c>
      <c r="Y215" s="92" t="s">
        <v>754</v>
      </c>
      <c r="Z215" s="87" t="str">
        <f>HYPERLINK("https://twitter.com/cyril_chiffot/status/1304467008038285313")</f>
        <v>https://twitter.com/cyril_chiffot/status/1304467008038285313</v>
      </c>
      <c r="AA215" s="84"/>
      <c r="AB215" s="84"/>
      <c r="AC215" s="92" t="s">
        <v>1148</v>
      </c>
      <c r="AD215" s="84"/>
      <c r="AE215" s="84" t="b">
        <v>0</v>
      </c>
      <c r="AF215" s="84">
        <v>0</v>
      </c>
      <c r="AG215" s="92" t="s">
        <v>1453</v>
      </c>
      <c r="AH215" s="84" t="b">
        <v>0</v>
      </c>
      <c r="AI215" s="84" t="s">
        <v>1456</v>
      </c>
      <c r="AJ215" s="84"/>
      <c r="AK215" s="92" t="s">
        <v>1453</v>
      </c>
      <c r="AL215" s="84" t="b">
        <v>0</v>
      </c>
      <c r="AM215" s="84">
        <v>22</v>
      </c>
      <c r="AN215" s="92" t="s">
        <v>1288</v>
      </c>
      <c r="AO215" s="84" t="s">
        <v>1487</v>
      </c>
      <c r="AP215" s="84" t="b">
        <v>0</v>
      </c>
      <c r="AQ215" s="92" t="s">
        <v>1288</v>
      </c>
      <c r="AR215" s="84" t="s">
        <v>187</v>
      </c>
      <c r="AS215" s="84">
        <v>0</v>
      </c>
      <c r="AT215" s="84">
        <v>0</v>
      </c>
      <c r="AU215" s="84"/>
      <c r="AV215" s="84"/>
      <c r="AW215" s="84"/>
      <c r="AX215" s="84"/>
      <c r="AY215" s="84"/>
      <c r="AZ215" s="84"/>
      <c r="BA215" s="84"/>
      <c r="BB215" s="84"/>
      <c r="BC215">
        <v>1</v>
      </c>
      <c r="BD215" s="83" t="str">
        <f>REPLACE(INDEX(GroupVertices[Group],MATCH(Edges[[#This Row],[Vertex 1]],GroupVertices[Vertex],0)),1,1,"")</f>
        <v>3</v>
      </c>
      <c r="BE215" s="83" t="str">
        <f>REPLACE(INDEX(GroupVertices[Group],MATCH(Edges[[#This Row],[Vertex 2]],GroupVertices[Vertex],0)),1,1,"")</f>
        <v>3</v>
      </c>
      <c r="BF215" s="49">
        <v>0</v>
      </c>
      <c r="BG215" s="50">
        <v>0</v>
      </c>
      <c r="BH215" s="49">
        <v>0</v>
      </c>
      <c r="BI215" s="50">
        <v>0</v>
      </c>
      <c r="BJ215" s="49">
        <v>0</v>
      </c>
      <c r="BK215" s="50">
        <v>0</v>
      </c>
      <c r="BL215" s="49">
        <v>28</v>
      </c>
      <c r="BM215" s="50">
        <v>100</v>
      </c>
      <c r="BN215" s="49">
        <v>28</v>
      </c>
    </row>
    <row r="216" spans="1:66" ht="15">
      <c r="A216" s="68" t="s">
        <v>325</v>
      </c>
      <c r="B216" s="68" t="s">
        <v>389</v>
      </c>
      <c r="C216" s="69" t="s">
        <v>5208</v>
      </c>
      <c r="D216" s="70">
        <v>1</v>
      </c>
      <c r="E216" s="71" t="s">
        <v>132</v>
      </c>
      <c r="F216" s="72">
        <v>32</v>
      </c>
      <c r="G216" s="69" t="s">
        <v>51</v>
      </c>
      <c r="H216" s="73"/>
      <c r="I216" s="74"/>
      <c r="J216" s="74"/>
      <c r="K216" s="35" t="s">
        <v>65</v>
      </c>
      <c r="L216" s="82">
        <v>216</v>
      </c>
      <c r="M216" s="82"/>
      <c r="N216" s="76"/>
      <c r="O216" s="84" t="s">
        <v>439</v>
      </c>
      <c r="P216" s="86">
        <v>44085.718935185185</v>
      </c>
      <c r="Q216" s="84" t="s">
        <v>482</v>
      </c>
      <c r="R216" s="87" t="str">
        <f>HYPERLINK("http://www.globalbigdataconference.com/145761/big-datas-role-in-the-post-covid-era/industrynews-details.html")</f>
        <v>http://www.globalbigdataconference.com/145761/big-datas-role-in-the-post-covid-era/industrynews-details.html</v>
      </c>
      <c r="S216" s="84" t="s">
        <v>541</v>
      </c>
      <c r="T216" s="84" t="s">
        <v>598</v>
      </c>
      <c r="U216" s="84"/>
      <c r="V216" s="87" t="str">
        <f>HYPERLINK("http://pbs.twimg.com/profile_images/1071480273940824064/dJg1h7C4_normal.jpg")</f>
        <v>http://pbs.twimg.com/profile_images/1071480273940824064/dJg1h7C4_normal.jpg</v>
      </c>
      <c r="W216" s="86">
        <v>44085.718935185185</v>
      </c>
      <c r="X216" s="90">
        <v>44085</v>
      </c>
      <c r="Y216" s="92" t="s">
        <v>755</v>
      </c>
      <c r="Z216" s="87" t="str">
        <f>HYPERLINK("https://twitter.com/techsolzenastra/status/1304468565526011904")</f>
        <v>https://twitter.com/techsolzenastra/status/1304468565526011904</v>
      </c>
      <c r="AA216" s="84"/>
      <c r="AB216" s="84"/>
      <c r="AC216" s="92" t="s">
        <v>1149</v>
      </c>
      <c r="AD216" s="84"/>
      <c r="AE216" s="84" t="b">
        <v>0</v>
      </c>
      <c r="AF216" s="84">
        <v>0</v>
      </c>
      <c r="AG216" s="92" t="s">
        <v>1453</v>
      </c>
      <c r="AH216" s="84" t="b">
        <v>0</v>
      </c>
      <c r="AI216" s="84" t="s">
        <v>1456</v>
      </c>
      <c r="AJ216" s="84"/>
      <c r="AK216" s="92" t="s">
        <v>1453</v>
      </c>
      <c r="AL216" s="84" t="b">
        <v>0</v>
      </c>
      <c r="AM216" s="84">
        <v>22</v>
      </c>
      <c r="AN216" s="92" t="s">
        <v>1288</v>
      </c>
      <c r="AO216" s="84" t="s">
        <v>1487</v>
      </c>
      <c r="AP216" s="84" t="b">
        <v>0</v>
      </c>
      <c r="AQ216" s="92" t="s">
        <v>1288</v>
      </c>
      <c r="AR216" s="84" t="s">
        <v>187</v>
      </c>
      <c r="AS216" s="84">
        <v>0</v>
      </c>
      <c r="AT216" s="84">
        <v>0</v>
      </c>
      <c r="AU216" s="84"/>
      <c r="AV216" s="84"/>
      <c r="AW216" s="84"/>
      <c r="AX216" s="84"/>
      <c r="AY216" s="84"/>
      <c r="AZ216" s="84"/>
      <c r="BA216" s="84"/>
      <c r="BB216" s="84"/>
      <c r="BC216">
        <v>1</v>
      </c>
      <c r="BD216" s="83" t="str">
        <f>REPLACE(INDEX(GroupVertices[Group],MATCH(Edges[[#This Row],[Vertex 1]],GroupVertices[Vertex],0)),1,1,"")</f>
        <v>3</v>
      </c>
      <c r="BE216" s="83" t="str">
        <f>REPLACE(INDEX(GroupVertices[Group],MATCH(Edges[[#This Row],[Vertex 2]],GroupVertices[Vertex],0)),1,1,"")</f>
        <v>3</v>
      </c>
      <c r="BF216" s="49">
        <v>0</v>
      </c>
      <c r="BG216" s="50">
        <v>0</v>
      </c>
      <c r="BH216" s="49">
        <v>0</v>
      </c>
      <c r="BI216" s="50">
        <v>0</v>
      </c>
      <c r="BJ216" s="49">
        <v>0</v>
      </c>
      <c r="BK216" s="50">
        <v>0</v>
      </c>
      <c r="BL216" s="49">
        <v>28</v>
      </c>
      <c r="BM216" s="50">
        <v>100</v>
      </c>
      <c r="BN216" s="49">
        <v>28</v>
      </c>
    </row>
    <row r="217" spans="1:66" ht="15">
      <c r="A217" s="68" t="s">
        <v>326</v>
      </c>
      <c r="B217" s="68" t="s">
        <v>389</v>
      </c>
      <c r="C217" s="69" t="s">
        <v>5208</v>
      </c>
      <c r="D217" s="70">
        <v>1</v>
      </c>
      <c r="E217" s="71" t="s">
        <v>132</v>
      </c>
      <c r="F217" s="72">
        <v>32</v>
      </c>
      <c r="G217" s="69" t="s">
        <v>51</v>
      </c>
      <c r="H217" s="73"/>
      <c r="I217" s="74"/>
      <c r="J217" s="74"/>
      <c r="K217" s="35" t="s">
        <v>65</v>
      </c>
      <c r="L217" s="82">
        <v>217</v>
      </c>
      <c r="M217" s="82"/>
      <c r="N217" s="76"/>
      <c r="O217" s="84" t="s">
        <v>439</v>
      </c>
      <c r="P217" s="86">
        <v>44085.73269675926</v>
      </c>
      <c r="Q217" s="84" t="s">
        <v>482</v>
      </c>
      <c r="R217" s="87" t="str">
        <f>HYPERLINK("http://www.globalbigdataconference.com/145761/big-datas-role-in-the-post-covid-era/industrynews-details.html")</f>
        <v>http://www.globalbigdataconference.com/145761/big-datas-role-in-the-post-covid-era/industrynews-details.html</v>
      </c>
      <c r="S217" s="84" t="s">
        <v>541</v>
      </c>
      <c r="T217" s="84" t="s">
        <v>598</v>
      </c>
      <c r="U217" s="84"/>
      <c r="V217" s="87" t="str">
        <f>HYPERLINK("http://pbs.twimg.com/profile_images/1163450709653807104/vGmiJHgw_normal.jpg")</f>
        <v>http://pbs.twimg.com/profile_images/1163450709653807104/vGmiJHgw_normal.jpg</v>
      </c>
      <c r="W217" s="86">
        <v>44085.73269675926</v>
      </c>
      <c r="X217" s="90">
        <v>44085</v>
      </c>
      <c r="Y217" s="92" t="s">
        <v>756</v>
      </c>
      <c r="Z217" s="87" t="str">
        <f>HYPERLINK("https://twitter.com/melissablive/status/1304473554101186560")</f>
        <v>https://twitter.com/melissablive/status/1304473554101186560</v>
      </c>
      <c r="AA217" s="84"/>
      <c r="AB217" s="84"/>
      <c r="AC217" s="92" t="s">
        <v>1150</v>
      </c>
      <c r="AD217" s="84"/>
      <c r="AE217" s="84" t="b">
        <v>0</v>
      </c>
      <c r="AF217" s="84">
        <v>0</v>
      </c>
      <c r="AG217" s="92" t="s">
        <v>1453</v>
      </c>
      <c r="AH217" s="84" t="b">
        <v>0</v>
      </c>
      <c r="AI217" s="84" t="s">
        <v>1456</v>
      </c>
      <c r="AJ217" s="84"/>
      <c r="AK217" s="92" t="s">
        <v>1453</v>
      </c>
      <c r="AL217" s="84" t="b">
        <v>0</v>
      </c>
      <c r="AM217" s="84">
        <v>22</v>
      </c>
      <c r="AN217" s="92" t="s">
        <v>1288</v>
      </c>
      <c r="AO217" s="84" t="s">
        <v>1487</v>
      </c>
      <c r="AP217" s="84" t="b">
        <v>0</v>
      </c>
      <c r="AQ217" s="92" t="s">
        <v>1288</v>
      </c>
      <c r="AR217" s="84" t="s">
        <v>187</v>
      </c>
      <c r="AS217" s="84">
        <v>0</v>
      </c>
      <c r="AT217" s="84">
        <v>0</v>
      </c>
      <c r="AU217" s="84"/>
      <c r="AV217" s="84"/>
      <c r="AW217" s="84"/>
      <c r="AX217" s="84"/>
      <c r="AY217" s="84"/>
      <c r="AZ217" s="84"/>
      <c r="BA217" s="84"/>
      <c r="BB217" s="84"/>
      <c r="BC217">
        <v>1</v>
      </c>
      <c r="BD217" s="83" t="str">
        <f>REPLACE(INDEX(GroupVertices[Group],MATCH(Edges[[#This Row],[Vertex 1]],GroupVertices[Vertex],0)),1,1,"")</f>
        <v>3</v>
      </c>
      <c r="BE217" s="83" t="str">
        <f>REPLACE(INDEX(GroupVertices[Group],MATCH(Edges[[#This Row],[Vertex 2]],GroupVertices[Vertex],0)),1,1,"")</f>
        <v>3</v>
      </c>
      <c r="BF217" s="49">
        <v>0</v>
      </c>
      <c r="BG217" s="50">
        <v>0</v>
      </c>
      <c r="BH217" s="49">
        <v>0</v>
      </c>
      <c r="BI217" s="50">
        <v>0</v>
      </c>
      <c r="BJ217" s="49">
        <v>0</v>
      </c>
      <c r="BK217" s="50">
        <v>0</v>
      </c>
      <c r="BL217" s="49">
        <v>28</v>
      </c>
      <c r="BM217" s="50">
        <v>100</v>
      </c>
      <c r="BN217" s="49">
        <v>28</v>
      </c>
    </row>
    <row r="218" spans="1:66" ht="15">
      <c r="A218" s="68" t="s">
        <v>327</v>
      </c>
      <c r="B218" s="68" t="s">
        <v>389</v>
      </c>
      <c r="C218" s="69" t="s">
        <v>5209</v>
      </c>
      <c r="D218" s="70">
        <v>6.678367782143116</v>
      </c>
      <c r="E218" s="71" t="s">
        <v>132</v>
      </c>
      <c r="F218" s="72">
        <v>21</v>
      </c>
      <c r="G218" s="69" t="s">
        <v>51</v>
      </c>
      <c r="H218" s="73"/>
      <c r="I218" s="74"/>
      <c r="J218" s="74"/>
      <c r="K218" s="35" t="s">
        <v>65</v>
      </c>
      <c r="L218" s="82">
        <v>218</v>
      </c>
      <c r="M218" s="82"/>
      <c r="N218" s="76"/>
      <c r="O218" s="84" t="s">
        <v>439</v>
      </c>
      <c r="P218" s="86">
        <v>44083.953518518516</v>
      </c>
      <c r="Q218" s="84" t="s">
        <v>478</v>
      </c>
      <c r="R218" s="87" t="str">
        <f>HYPERLINK("http://www.globalbigdataconference.com/145756/combatting-covid-19-misinformation-with-machine-learning/industrynews-details.html")</f>
        <v>http://www.globalbigdataconference.com/145756/combatting-covid-19-misinformation-with-machine-learning/industrynews-details.html</v>
      </c>
      <c r="S218" s="84" t="s">
        <v>541</v>
      </c>
      <c r="T218" s="84" t="s">
        <v>580</v>
      </c>
      <c r="U218" s="84"/>
      <c r="V218" s="87" t="str">
        <f>HYPERLINK("http://pbs.twimg.com/profile_images/1203160322330284032/97rec9oK_normal.jpg")</f>
        <v>http://pbs.twimg.com/profile_images/1203160322330284032/97rec9oK_normal.jpg</v>
      </c>
      <c r="W218" s="86">
        <v>44083.953518518516</v>
      </c>
      <c r="X218" s="90">
        <v>44083</v>
      </c>
      <c r="Y218" s="92" t="s">
        <v>757</v>
      </c>
      <c r="Z218" s="87" t="str">
        <f>HYPERLINK("https://twitter.com/neuralnetwork_/status/1303828798941601793")</f>
        <v>https://twitter.com/neuralnetwork_/status/1303828798941601793</v>
      </c>
      <c r="AA218" s="84"/>
      <c r="AB218" s="84"/>
      <c r="AC218" s="92" t="s">
        <v>1151</v>
      </c>
      <c r="AD218" s="84"/>
      <c r="AE218" s="84" t="b">
        <v>0</v>
      </c>
      <c r="AF218" s="84">
        <v>0</v>
      </c>
      <c r="AG218" s="92" t="s">
        <v>1453</v>
      </c>
      <c r="AH218" s="84" t="b">
        <v>0</v>
      </c>
      <c r="AI218" s="84" t="s">
        <v>1456</v>
      </c>
      <c r="AJ218" s="84"/>
      <c r="AK218" s="92" t="s">
        <v>1453</v>
      </c>
      <c r="AL218" s="84" t="b">
        <v>0</v>
      </c>
      <c r="AM218" s="84">
        <v>25</v>
      </c>
      <c r="AN218" s="92" t="s">
        <v>1287</v>
      </c>
      <c r="AO218" s="84" t="s">
        <v>1487</v>
      </c>
      <c r="AP218" s="84" t="b">
        <v>0</v>
      </c>
      <c r="AQ218" s="92" t="s">
        <v>1287</v>
      </c>
      <c r="AR218" s="84" t="s">
        <v>187</v>
      </c>
      <c r="AS218" s="84">
        <v>0</v>
      </c>
      <c r="AT218" s="84">
        <v>0</v>
      </c>
      <c r="AU218" s="84"/>
      <c r="AV218" s="84"/>
      <c r="AW218" s="84"/>
      <c r="AX218" s="84"/>
      <c r="AY218" s="84"/>
      <c r="AZ218" s="84"/>
      <c r="BA218" s="84"/>
      <c r="BB218" s="84"/>
      <c r="BC218">
        <v>2</v>
      </c>
      <c r="BD218" s="83" t="str">
        <f>REPLACE(INDEX(GroupVertices[Group],MATCH(Edges[[#This Row],[Vertex 1]],GroupVertices[Vertex],0)),1,1,"")</f>
        <v>3</v>
      </c>
      <c r="BE218" s="83" t="str">
        <f>REPLACE(INDEX(GroupVertices[Group],MATCH(Edges[[#This Row],[Vertex 2]],GroupVertices[Vertex],0)),1,1,"")</f>
        <v>3</v>
      </c>
      <c r="BF218" s="49">
        <v>0</v>
      </c>
      <c r="BG218" s="50">
        <v>0</v>
      </c>
      <c r="BH218" s="49">
        <v>0</v>
      </c>
      <c r="BI218" s="50">
        <v>0</v>
      </c>
      <c r="BJ218" s="49">
        <v>0</v>
      </c>
      <c r="BK218" s="50">
        <v>0</v>
      </c>
      <c r="BL218" s="49">
        <v>25</v>
      </c>
      <c r="BM218" s="50">
        <v>100</v>
      </c>
      <c r="BN218" s="49">
        <v>25</v>
      </c>
    </row>
    <row r="219" spans="1:66" ht="15">
      <c r="A219" s="68" t="s">
        <v>327</v>
      </c>
      <c r="B219" s="68" t="s">
        <v>389</v>
      </c>
      <c r="C219" s="69" t="s">
        <v>5209</v>
      </c>
      <c r="D219" s="70">
        <v>6.678367782143116</v>
      </c>
      <c r="E219" s="71" t="s">
        <v>132</v>
      </c>
      <c r="F219" s="72">
        <v>21</v>
      </c>
      <c r="G219" s="69" t="s">
        <v>51</v>
      </c>
      <c r="H219" s="73"/>
      <c r="I219" s="74"/>
      <c r="J219" s="74"/>
      <c r="K219" s="35" t="s">
        <v>65</v>
      </c>
      <c r="L219" s="82">
        <v>219</v>
      </c>
      <c r="M219" s="82"/>
      <c r="N219" s="76"/>
      <c r="O219" s="84" t="s">
        <v>439</v>
      </c>
      <c r="P219" s="86">
        <v>44085.76672453704</v>
      </c>
      <c r="Q219" s="84" t="s">
        <v>482</v>
      </c>
      <c r="R219" s="87" t="str">
        <f>HYPERLINK("http://www.globalbigdataconference.com/145761/big-datas-role-in-the-post-covid-era/industrynews-details.html")</f>
        <v>http://www.globalbigdataconference.com/145761/big-datas-role-in-the-post-covid-era/industrynews-details.html</v>
      </c>
      <c r="S219" s="84" t="s">
        <v>541</v>
      </c>
      <c r="T219" s="84" t="s">
        <v>598</v>
      </c>
      <c r="U219" s="84"/>
      <c r="V219" s="87" t="str">
        <f>HYPERLINK("http://pbs.twimg.com/profile_images/1203160322330284032/97rec9oK_normal.jpg")</f>
        <v>http://pbs.twimg.com/profile_images/1203160322330284032/97rec9oK_normal.jpg</v>
      </c>
      <c r="W219" s="86">
        <v>44085.76672453704</v>
      </c>
      <c r="X219" s="90">
        <v>44085</v>
      </c>
      <c r="Y219" s="92" t="s">
        <v>758</v>
      </c>
      <c r="Z219" s="87" t="str">
        <f>HYPERLINK("https://twitter.com/neuralnetwork_/status/1304485884910358530")</f>
        <v>https://twitter.com/neuralnetwork_/status/1304485884910358530</v>
      </c>
      <c r="AA219" s="84"/>
      <c r="AB219" s="84"/>
      <c r="AC219" s="92" t="s">
        <v>1152</v>
      </c>
      <c r="AD219" s="84"/>
      <c r="AE219" s="84" t="b">
        <v>0</v>
      </c>
      <c r="AF219" s="84">
        <v>0</v>
      </c>
      <c r="AG219" s="92" t="s">
        <v>1453</v>
      </c>
      <c r="AH219" s="84" t="b">
        <v>0</v>
      </c>
      <c r="AI219" s="84" t="s">
        <v>1456</v>
      </c>
      <c r="AJ219" s="84"/>
      <c r="AK219" s="92" t="s">
        <v>1453</v>
      </c>
      <c r="AL219" s="84" t="b">
        <v>0</v>
      </c>
      <c r="AM219" s="84">
        <v>22</v>
      </c>
      <c r="AN219" s="92" t="s">
        <v>1288</v>
      </c>
      <c r="AO219" s="84" t="s">
        <v>1487</v>
      </c>
      <c r="AP219" s="84" t="b">
        <v>0</v>
      </c>
      <c r="AQ219" s="92" t="s">
        <v>1288</v>
      </c>
      <c r="AR219" s="84" t="s">
        <v>187</v>
      </c>
      <c r="AS219" s="84">
        <v>0</v>
      </c>
      <c r="AT219" s="84">
        <v>0</v>
      </c>
      <c r="AU219" s="84"/>
      <c r="AV219" s="84"/>
      <c r="AW219" s="84"/>
      <c r="AX219" s="84"/>
      <c r="AY219" s="84"/>
      <c r="AZ219" s="84"/>
      <c r="BA219" s="84"/>
      <c r="BB219" s="84"/>
      <c r="BC219">
        <v>2</v>
      </c>
      <c r="BD219" s="83" t="str">
        <f>REPLACE(INDEX(GroupVertices[Group],MATCH(Edges[[#This Row],[Vertex 1]],GroupVertices[Vertex],0)),1,1,"")</f>
        <v>3</v>
      </c>
      <c r="BE219" s="83" t="str">
        <f>REPLACE(INDEX(GroupVertices[Group],MATCH(Edges[[#This Row],[Vertex 2]],GroupVertices[Vertex],0)),1,1,"")</f>
        <v>3</v>
      </c>
      <c r="BF219" s="49">
        <v>0</v>
      </c>
      <c r="BG219" s="50">
        <v>0</v>
      </c>
      <c r="BH219" s="49">
        <v>0</v>
      </c>
      <c r="BI219" s="50">
        <v>0</v>
      </c>
      <c r="BJ219" s="49">
        <v>0</v>
      </c>
      <c r="BK219" s="50">
        <v>0</v>
      </c>
      <c r="BL219" s="49">
        <v>28</v>
      </c>
      <c r="BM219" s="50">
        <v>100</v>
      </c>
      <c r="BN219" s="49">
        <v>28</v>
      </c>
    </row>
    <row r="220" spans="1:66" ht="15">
      <c r="A220" s="68" t="s">
        <v>328</v>
      </c>
      <c r="B220" s="68" t="s">
        <v>423</v>
      </c>
      <c r="C220" s="69" t="s">
        <v>5208</v>
      </c>
      <c r="D220" s="70">
        <v>1</v>
      </c>
      <c r="E220" s="71" t="s">
        <v>132</v>
      </c>
      <c r="F220" s="72">
        <v>32</v>
      </c>
      <c r="G220" s="69" t="s">
        <v>51</v>
      </c>
      <c r="H220" s="73"/>
      <c r="I220" s="74"/>
      <c r="J220" s="74"/>
      <c r="K220" s="35" t="s">
        <v>65</v>
      </c>
      <c r="L220" s="82">
        <v>220</v>
      </c>
      <c r="M220" s="82"/>
      <c r="N220" s="76"/>
      <c r="O220" s="84" t="s">
        <v>439</v>
      </c>
      <c r="P220" s="86">
        <v>44084.13979166667</v>
      </c>
      <c r="Q220" s="84" t="s">
        <v>459</v>
      </c>
      <c r="R220" s="84"/>
      <c r="S220" s="84"/>
      <c r="T220" s="84" t="s">
        <v>578</v>
      </c>
      <c r="U220" s="87" t="str">
        <f>HYPERLINK("https://pbs.twimg.com/media/EhZc5KGWoAIz_Wo.jpg")</f>
        <v>https://pbs.twimg.com/media/EhZc5KGWoAIz_Wo.jpg</v>
      </c>
      <c r="V220" s="87" t="str">
        <f>HYPERLINK("https://pbs.twimg.com/media/EhZc5KGWoAIz_Wo.jpg")</f>
        <v>https://pbs.twimg.com/media/EhZc5KGWoAIz_Wo.jpg</v>
      </c>
      <c r="W220" s="86">
        <v>44084.13979166667</v>
      </c>
      <c r="X220" s="90">
        <v>44084</v>
      </c>
      <c r="Y220" s="92" t="s">
        <v>759</v>
      </c>
      <c r="Z220" s="87" t="str">
        <f>HYPERLINK("https://twitter.com/thomashilbig2/status/1303896304569942016")</f>
        <v>https://twitter.com/thomashilbig2/status/1303896304569942016</v>
      </c>
      <c r="AA220" s="84"/>
      <c r="AB220" s="84"/>
      <c r="AC220" s="92" t="s">
        <v>1153</v>
      </c>
      <c r="AD220" s="84"/>
      <c r="AE220" s="84" t="b">
        <v>0</v>
      </c>
      <c r="AF220" s="84">
        <v>0</v>
      </c>
      <c r="AG220" s="92" t="s">
        <v>1453</v>
      </c>
      <c r="AH220" s="84" t="b">
        <v>0</v>
      </c>
      <c r="AI220" s="84" t="s">
        <v>1456</v>
      </c>
      <c r="AJ220" s="84"/>
      <c r="AK220" s="92" t="s">
        <v>1453</v>
      </c>
      <c r="AL220" s="84" t="b">
        <v>0</v>
      </c>
      <c r="AM220" s="84">
        <v>44</v>
      </c>
      <c r="AN220" s="92" t="s">
        <v>1428</v>
      </c>
      <c r="AO220" s="84" t="s">
        <v>1496</v>
      </c>
      <c r="AP220" s="84" t="b">
        <v>0</v>
      </c>
      <c r="AQ220" s="92" t="s">
        <v>1428</v>
      </c>
      <c r="AR220" s="84" t="s">
        <v>187</v>
      </c>
      <c r="AS220" s="84">
        <v>0</v>
      </c>
      <c r="AT220" s="84">
        <v>0</v>
      </c>
      <c r="AU220" s="84"/>
      <c r="AV220" s="84"/>
      <c r="AW220" s="84"/>
      <c r="AX220" s="84"/>
      <c r="AY220" s="84"/>
      <c r="AZ220" s="84"/>
      <c r="BA220" s="84"/>
      <c r="BB220" s="84"/>
      <c r="BC220">
        <v>1</v>
      </c>
      <c r="BD220" s="83" t="str">
        <f>REPLACE(INDEX(GroupVertices[Group],MATCH(Edges[[#This Row],[Vertex 1]],GroupVertices[Vertex],0)),1,1,"")</f>
        <v>3</v>
      </c>
      <c r="BE220" s="83" t="str">
        <f>REPLACE(INDEX(GroupVertices[Group],MATCH(Edges[[#This Row],[Vertex 2]],GroupVertices[Vertex],0)),1,1,"")</f>
        <v>1</v>
      </c>
      <c r="BF220" s="49">
        <v>0</v>
      </c>
      <c r="BG220" s="50">
        <v>0</v>
      </c>
      <c r="BH220" s="49">
        <v>0</v>
      </c>
      <c r="BI220" s="50">
        <v>0</v>
      </c>
      <c r="BJ220" s="49">
        <v>0</v>
      </c>
      <c r="BK220" s="50">
        <v>0</v>
      </c>
      <c r="BL220" s="49">
        <v>30</v>
      </c>
      <c r="BM220" s="50">
        <v>100</v>
      </c>
      <c r="BN220" s="49">
        <v>30</v>
      </c>
    </row>
    <row r="221" spans="1:66" ht="15">
      <c r="A221" s="68" t="s">
        <v>328</v>
      </c>
      <c r="B221" s="68" t="s">
        <v>389</v>
      </c>
      <c r="C221" s="69" t="s">
        <v>5208</v>
      </c>
      <c r="D221" s="70">
        <v>1</v>
      </c>
      <c r="E221" s="71" t="s">
        <v>132</v>
      </c>
      <c r="F221" s="72">
        <v>32</v>
      </c>
      <c r="G221" s="69" t="s">
        <v>51</v>
      </c>
      <c r="H221" s="73"/>
      <c r="I221" s="74"/>
      <c r="J221" s="74"/>
      <c r="K221" s="35" t="s">
        <v>65</v>
      </c>
      <c r="L221" s="82">
        <v>221</v>
      </c>
      <c r="M221" s="82"/>
      <c r="N221" s="76"/>
      <c r="O221" s="84" t="s">
        <v>439</v>
      </c>
      <c r="P221" s="86">
        <v>44085.819560185184</v>
      </c>
      <c r="Q221" s="84" t="s">
        <v>482</v>
      </c>
      <c r="R221" s="87" t="str">
        <f>HYPERLINK("http://www.globalbigdataconference.com/145761/big-datas-role-in-the-post-covid-era/industrynews-details.html")</f>
        <v>http://www.globalbigdataconference.com/145761/big-datas-role-in-the-post-covid-era/industrynews-details.html</v>
      </c>
      <c r="S221" s="84" t="s">
        <v>541</v>
      </c>
      <c r="T221" s="84" t="s">
        <v>598</v>
      </c>
      <c r="U221" s="84"/>
      <c r="V221" s="87" t="str">
        <f>HYPERLINK("http://pbs.twimg.com/profile_images/1042035585970581510/oQfSazaq_normal.jpg")</f>
        <v>http://pbs.twimg.com/profile_images/1042035585970581510/oQfSazaq_normal.jpg</v>
      </c>
      <c r="W221" s="86">
        <v>44085.819560185184</v>
      </c>
      <c r="X221" s="90">
        <v>44085</v>
      </c>
      <c r="Y221" s="92" t="s">
        <v>760</v>
      </c>
      <c r="Z221" s="87" t="str">
        <f>HYPERLINK("https://twitter.com/thomashilbig2/status/1304505029437554690")</f>
        <v>https://twitter.com/thomashilbig2/status/1304505029437554690</v>
      </c>
      <c r="AA221" s="84"/>
      <c r="AB221" s="84"/>
      <c r="AC221" s="92" t="s">
        <v>1154</v>
      </c>
      <c r="AD221" s="84"/>
      <c r="AE221" s="84" t="b">
        <v>0</v>
      </c>
      <c r="AF221" s="84">
        <v>0</v>
      </c>
      <c r="AG221" s="92" t="s">
        <v>1453</v>
      </c>
      <c r="AH221" s="84" t="b">
        <v>0</v>
      </c>
      <c r="AI221" s="84" t="s">
        <v>1456</v>
      </c>
      <c r="AJ221" s="84"/>
      <c r="AK221" s="92" t="s">
        <v>1453</v>
      </c>
      <c r="AL221" s="84" t="b">
        <v>0</v>
      </c>
      <c r="AM221" s="84">
        <v>22</v>
      </c>
      <c r="AN221" s="92" t="s">
        <v>1288</v>
      </c>
      <c r="AO221" s="84" t="s">
        <v>1496</v>
      </c>
      <c r="AP221" s="84" t="b">
        <v>0</v>
      </c>
      <c r="AQ221" s="92" t="s">
        <v>1288</v>
      </c>
      <c r="AR221" s="84" t="s">
        <v>187</v>
      </c>
      <c r="AS221" s="84">
        <v>0</v>
      </c>
      <c r="AT221" s="84">
        <v>0</v>
      </c>
      <c r="AU221" s="84"/>
      <c r="AV221" s="84"/>
      <c r="AW221" s="84"/>
      <c r="AX221" s="84"/>
      <c r="AY221" s="84"/>
      <c r="AZ221" s="84"/>
      <c r="BA221" s="84"/>
      <c r="BB221" s="84"/>
      <c r="BC221">
        <v>1</v>
      </c>
      <c r="BD221" s="83" t="str">
        <f>REPLACE(INDEX(GroupVertices[Group],MATCH(Edges[[#This Row],[Vertex 1]],GroupVertices[Vertex],0)),1,1,"")</f>
        <v>3</v>
      </c>
      <c r="BE221" s="83" t="str">
        <f>REPLACE(INDEX(GroupVertices[Group],MATCH(Edges[[#This Row],[Vertex 2]],GroupVertices[Vertex],0)),1,1,"")</f>
        <v>3</v>
      </c>
      <c r="BF221" s="49">
        <v>0</v>
      </c>
      <c r="BG221" s="50">
        <v>0</v>
      </c>
      <c r="BH221" s="49">
        <v>0</v>
      </c>
      <c r="BI221" s="50">
        <v>0</v>
      </c>
      <c r="BJ221" s="49">
        <v>0</v>
      </c>
      <c r="BK221" s="50">
        <v>0</v>
      </c>
      <c r="BL221" s="49">
        <v>28</v>
      </c>
      <c r="BM221" s="50">
        <v>100</v>
      </c>
      <c r="BN221" s="49">
        <v>28</v>
      </c>
    </row>
    <row r="222" spans="1:66" ht="15">
      <c r="A222" s="68" t="s">
        <v>329</v>
      </c>
      <c r="B222" s="68" t="s">
        <v>389</v>
      </c>
      <c r="C222" s="69" t="s">
        <v>5208</v>
      </c>
      <c r="D222" s="70">
        <v>1</v>
      </c>
      <c r="E222" s="71" t="s">
        <v>132</v>
      </c>
      <c r="F222" s="72">
        <v>32</v>
      </c>
      <c r="G222" s="69" t="s">
        <v>51</v>
      </c>
      <c r="H222" s="73"/>
      <c r="I222" s="74"/>
      <c r="J222" s="74"/>
      <c r="K222" s="35" t="s">
        <v>65</v>
      </c>
      <c r="L222" s="82">
        <v>222</v>
      </c>
      <c r="M222" s="82"/>
      <c r="N222" s="76"/>
      <c r="O222" s="84" t="s">
        <v>439</v>
      </c>
      <c r="P222" s="86">
        <v>44085.82163194445</v>
      </c>
      <c r="Q222" s="84" t="s">
        <v>482</v>
      </c>
      <c r="R222" s="87" t="str">
        <f>HYPERLINK("http://www.globalbigdataconference.com/145761/big-datas-role-in-the-post-covid-era/industrynews-details.html")</f>
        <v>http://www.globalbigdataconference.com/145761/big-datas-role-in-the-post-covid-era/industrynews-details.html</v>
      </c>
      <c r="S222" s="84" t="s">
        <v>541</v>
      </c>
      <c r="T222" s="84" t="s">
        <v>598</v>
      </c>
      <c r="U222" s="84"/>
      <c r="V222" s="87" t="str">
        <f>HYPERLINK("http://pbs.twimg.com/profile_images/969886519921201153/6yhlHmIQ_normal.jpg")</f>
        <v>http://pbs.twimg.com/profile_images/969886519921201153/6yhlHmIQ_normal.jpg</v>
      </c>
      <c r="W222" s="86">
        <v>44085.82163194445</v>
      </c>
      <c r="X222" s="90">
        <v>44085</v>
      </c>
      <c r="Y222" s="92" t="s">
        <v>761</v>
      </c>
      <c r="Z222" s="87" t="str">
        <f>HYPERLINK("https://twitter.com/o_g_log/status/1304505780109037572")</f>
        <v>https://twitter.com/o_g_log/status/1304505780109037572</v>
      </c>
      <c r="AA222" s="84"/>
      <c r="AB222" s="84"/>
      <c r="AC222" s="92" t="s">
        <v>1155</v>
      </c>
      <c r="AD222" s="84"/>
      <c r="AE222" s="84" t="b">
        <v>0</v>
      </c>
      <c r="AF222" s="84">
        <v>0</v>
      </c>
      <c r="AG222" s="92" t="s">
        <v>1453</v>
      </c>
      <c r="AH222" s="84" t="b">
        <v>0</v>
      </c>
      <c r="AI222" s="84" t="s">
        <v>1456</v>
      </c>
      <c r="AJ222" s="84"/>
      <c r="AK222" s="92" t="s">
        <v>1453</v>
      </c>
      <c r="AL222" s="84" t="b">
        <v>0</v>
      </c>
      <c r="AM222" s="84">
        <v>22</v>
      </c>
      <c r="AN222" s="92" t="s">
        <v>1288</v>
      </c>
      <c r="AO222" s="84" t="s">
        <v>1467</v>
      </c>
      <c r="AP222" s="84" t="b">
        <v>0</v>
      </c>
      <c r="AQ222" s="92" t="s">
        <v>1288</v>
      </c>
      <c r="AR222" s="84" t="s">
        <v>187</v>
      </c>
      <c r="AS222" s="84">
        <v>0</v>
      </c>
      <c r="AT222" s="84">
        <v>0</v>
      </c>
      <c r="AU222" s="84"/>
      <c r="AV222" s="84"/>
      <c r="AW222" s="84"/>
      <c r="AX222" s="84"/>
      <c r="AY222" s="84"/>
      <c r="AZ222" s="84"/>
      <c r="BA222" s="84"/>
      <c r="BB222" s="84"/>
      <c r="BC222">
        <v>1</v>
      </c>
      <c r="BD222" s="83" t="str">
        <f>REPLACE(INDEX(GroupVertices[Group],MATCH(Edges[[#This Row],[Vertex 1]],GroupVertices[Vertex],0)),1,1,"")</f>
        <v>3</v>
      </c>
      <c r="BE222" s="83" t="str">
        <f>REPLACE(INDEX(GroupVertices[Group],MATCH(Edges[[#This Row],[Vertex 2]],GroupVertices[Vertex],0)),1,1,"")</f>
        <v>3</v>
      </c>
      <c r="BF222" s="49">
        <v>0</v>
      </c>
      <c r="BG222" s="50">
        <v>0</v>
      </c>
      <c r="BH222" s="49">
        <v>0</v>
      </c>
      <c r="BI222" s="50">
        <v>0</v>
      </c>
      <c r="BJ222" s="49">
        <v>0</v>
      </c>
      <c r="BK222" s="50">
        <v>0</v>
      </c>
      <c r="BL222" s="49">
        <v>28</v>
      </c>
      <c r="BM222" s="50">
        <v>100</v>
      </c>
      <c r="BN222" s="49">
        <v>28</v>
      </c>
    </row>
    <row r="223" spans="1:66" ht="15">
      <c r="A223" s="68" t="s">
        <v>330</v>
      </c>
      <c r="B223" s="68" t="s">
        <v>389</v>
      </c>
      <c r="C223" s="69" t="s">
        <v>5209</v>
      </c>
      <c r="D223" s="70">
        <v>6.678367782143116</v>
      </c>
      <c r="E223" s="71" t="s">
        <v>132</v>
      </c>
      <c r="F223" s="72">
        <v>21</v>
      </c>
      <c r="G223" s="69" t="s">
        <v>51</v>
      </c>
      <c r="H223" s="73"/>
      <c r="I223" s="74"/>
      <c r="J223" s="74"/>
      <c r="K223" s="35" t="s">
        <v>65</v>
      </c>
      <c r="L223" s="82">
        <v>223</v>
      </c>
      <c r="M223" s="82"/>
      <c r="N223" s="76"/>
      <c r="O223" s="84" t="s">
        <v>439</v>
      </c>
      <c r="P223" s="86">
        <v>44084.04662037037</v>
      </c>
      <c r="Q223" s="84" t="s">
        <v>478</v>
      </c>
      <c r="R223" s="87" t="str">
        <f>HYPERLINK("http://www.globalbigdataconference.com/145756/combatting-covid-19-misinformation-with-machine-learning/industrynews-details.html")</f>
        <v>http://www.globalbigdataconference.com/145756/combatting-covid-19-misinformation-with-machine-learning/industrynews-details.html</v>
      </c>
      <c r="S223" s="84" t="s">
        <v>541</v>
      </c>
      <c r="T223" s="84" t="s">
        <v>580</v>
      </c>
      <c r="U223" s="84"/>
      <c r="V223" s="87" t="str">
        <f>HYPERLINK("http://pbs.twimg.com/profile_images/1296179324131966976/fy9tjo_S_normal.jpg")</f>
        <v>http://pbs.twimg.com/profile_images/1296179324131966976/fy9tjo_S_normal.jpg</v>
      </c>
      <c r="W223" s="86">
        <v>44084.04662037037</v>
      </c>
      <c r="X223" s="90">
        <v>44084</v>
      </c>
      <c r="Y223" s="92" t="s">
        <v>762</v>
      </c>
      <c r="Z223" s="87" t="str">
        <f>HYPERLINK("https://twitter.com/ga7actic/status/1303862537352511488")</f>
        <v>https://twitter.com/ga7actic/status/1303862537352511488</v>
      </c>
      <c r="AA223" s="84"/>
      <c r="AB223" s="84"/>
      <c r="AC223" s="92" t="s">
        <v>1156</v>
      </c>
      <c r="AD223" s="84"/>
      <c r="AE223" s="84" t="b">
        <v>0</v>
      </c>
      <c r="AF223" s="84">
        <v>0</v>
      </c>
      <c r="AG223" s="92" t="s">
        <v>1453</v>
      </c>
      <c r="AH223" s="84" t="b">
        <v>0</v>
      </c>
      <c r="AI223" s="84" t="s">
        <v>1456</v>
      </c>
      <c r="AJ223" s="84"/>
      <c r="AK223" s="92" t="s">
        <v>1453</v>
      </c>
      <c r="AL223" s="84" t="b">
        <v>0</v>
      </c>
      <c r="AM223" s="84">
        <v>25</v>
      </c>
      <c r="AN223" s="92" t="s">
        <v>1287</v>
      </c>
      <c r="AO223" s="84" t="s">
        <v>1487</v>
      </c>
      <c r="AP223" s="84" t="b">
        <v>0</v>
      </c>
      <c r="AQ223" s="92" t="s">
        <v>1287</v>
      </c>
      <c r="AR223" s="84" t="s">
        <v>187</v>
      </c>
      <c r="AS223" s="84">
        <v>0</v>
      </c>
      <c r="AT223" s="84">
        <v>0</v>
      </c>
      <c r="AU223" s="84"/>
      <c r="AV223" s="84"/>
      <c r="AW223" s="84"/>
      <c r="AX223" s="84"/>
      <c r="AY223" s="84"/>
      <c r="AZ223" s="84"/>
      <c r="BA223" s="84"/>
      <c r="BB223" s="84"/>
      <c r="BC223">
        <v>2</v>
      </c>
      <c r="BD223" s="83" t="str">
        <f>REPLACE(INDEX(GroupVertices[Group],MATCH(Edges[[#This Row],[Vertex 1]],GroupVertices[Vertex],0)),1,1,"")</f>
        <v>3</v>
      </c>
      <c r="BE223" s="83" t="str">
        <f>REPLACE(INDEX(GroupVertices[Group],MATCH(Edges[[#This Row],[Vertex 2]],GroupVertices[Vertex],0)),1,1,"")</f>
        <v>3</v>
      </c>
      <c r="BF223" s="49">
        <v>0</v>
      </c>
      <c r="BG223" s="50">
        <v>0</v>
      </c>
      <c r="BH223" s="49">
        <v>0</v>
      </c>
      <c r="BI223" s="50">
        <v>0</v>
      </c>
      <c r="BJ223" s="49">
        <v>0</v>
      </c>
      <c r="BK223" s="50">
        <v>0</v>
      </c>
      <c r="BL223" s="49">
        <v>25</v>
      </c>
      <c r="BM223" s="50">
        <v>100</v>
      </c>
      <c r="BN223" s="49">
        <v>25</v>
      </c>
    </row>
    <row r="224" spans="1:66" ht="15">
      <c r="A224" s="68" t="s">
        <v>330</v>
      </c>
      <c r="B224" s="68" t="s">
        <v>389</v>
      </c>
      <c r="C224" s="69" t="s">
        <v>5209</v>
      </c>
      <c r="D224" s="70">
        <v>6.678367782143116</v>
      </c>
      <c r="E224" s="71" t="s">
        <v>132</v>
      </c>
      <c r="F224" s="72">
        <v>21</v>
      </c>
      <c r="G224" s="69" t="s">
        <v>51</v>
      </c>
      <c r="H224" s="73"/>
      <c r="I224" s="74"/>
      <c r="J224" s="74"/>
      <c r="K224" s="35" t="s">
        <v>65</v>
      </c>
      <c r="L224" s="82">
        <v>224</v>
      </c>
      <c r="M224" s="82"/>
      <c r="N224" s="76"/>
      <c r="O224" s="84" t="s">
        <v>439</v>
      </c>
      <c r="P224" s="86">
        <v>44085.87997685185</v>
      </c>
      <c r="Q224" s="84" t="s">
        <v>482</v>
      </c>
      <c r="R224" s="87" t="str">
        <f>HYPERLINK("http://www.globalbigdataconference.com/145761/big-datas-role-in-the-post-covid-era/industrynews-details.html")</f>
        <v>http://www.globalbigdataconference.com/145761/big-datas-role-in-the-post-covid-era/industrynews-details.html</v>
      </c>
      <c r="S224" s="84" t="s">
        <v>541</v>
      </c>
      <c r="T224" s="84" t="s">
        <v>598</v>
      </c>
      <c r="U224" s="84"/>
      <c r="V224" s="87" t="str">
        <f>HYPERLINK("http://pbs.twimg.com/profile_images/1296179324131966976/fy9tjo_S_normal.jpg")</f>
        <v>http://pbs.twimg.com/profile_images/1296179324131966976/fy9tjo_S_normal.jpg</v>
      </c>
      <c r="W224" s="86">
        <v>44085.87997685185</v>
      </c>
      <c r="X224" s="90">
        <v>44085</v>
      </c>
      <c r="Y224" s="92" t="s">
        <v>763</v>
      </c>
      <c r="Z224" s="87" t="str">
        <f>HYPERLINK("https://twitter.com/ga7actic/status/1304526926309191680")</f>
        <v>https://twitter.com/ga7actic/status/1304526926309191680</v>
      </c>
      <c r="AA224" s="84"/>
      <c r="AB224" s="84"/>
      <c r="AC224" s="92" t="s">
        <v>1157</v>
      </c>
      <c r="AD224" s="84"/>
      <c r="AE224" s="84" t="b">
        <v>0</v>
      </c>
      <c r="AF224" s="84">
        <v>0</v>
      </c>
      <c r="AG224" s="92" t="s">
        <v>1453</v>
      </c>
      <c r="AH224" s="84" t="b">
        <v>0</v>
      </c>
      <c r="AI224" s="84" t="s">
        <v>1456</v>
      </c>
      <c r="AJ224" s="84"/>
      <c r="AK224" s="92" t="s">
        <v>1453</v>
      </c>
      <c r="AL224" s="84" t="b">
        <v>0</v>
      </c>
      <c r="AM224" s="84">
        <v>22</v>
      </c>
      <c r="AN224" s="92" t="s">
        <v>1288</v>
      </c>
      <c r="AO224" s="84" t="s">
        <v>1487</v>
      </c>
      <c r="AP224" s="84" t="b">
        <v>0</v>
      </c>
      <c r="AQ224" s="92" t="s">
        <v>1288</v>
      </c>
      <c r="AR224" s="84" t="s">
        <v>187</v>
      </c>
      <c r="AS224" s="84">
        <v>0</v>
      </c>
      <c r="AT224" s="84">
        <v>0</v>
      </c>
      <c r="AU224" s="84"/>
      <c r="AV224" s="84"/>
      <c r="AW224" s="84"/>
      <c r="AX224" s="84"/>
      <c r="AY224" s="84"/>
      <c r="AZ224" s="84"/>
      <c r="BA224" s="84"/>
      <c r="BB224" s="84"/>
      <c r="BC224">
        <v>2</v>
      </c>
      <c r="BD224" s="83" t="str">
        <f>REPLACE(INDEX(GroupVertices[Group],MATCH(Edges[[#This Row],[Vertex 1]],GroupVertices[Vertex],0)),1,1,"")</f>
        <v>3</v>
      </c>
      <c r="BE224" s="83" t="str">
        <f>REPLACE(INDEX(GroupVertices[Group],MATCH(Edges[[#This Row],[Vertex 2]],GroupVertices[Vertex],0)),1,1,"")</f>
        <v>3</v>
      </c>
      <c r="BF224" s="49">
        <v>0</v>
      </c>
      <c r="BG224" s="50">
        <v>0</v>
      </c>
      <c r="BH224" s="49">
        <v>0</v>
      </c>
      <c r="BI224" s="50">
        <v>0</v>
      </c>
      <c r="BJ224" s="49">
        <v>0</v>
      </c>
      <c r="BK224" s="50">
        <v>0</v>
      </c>
      <c r="BL224" s="49">
        <v>28</v>
      </c>
      <c r="BM224" s="50">
        <v>100</v>
      </c>
      <c r="BN224" s="49">
        <v>28</v>
      </c>
    </row>
    <row r="225" spans="1:66" ht="15">
      <c r="A225" s="68" t="s">
        <v>331</v>
      </c>
      <c r="B225" s="68" t="s">
        <v>389</v>
      </c>
      <c r="C225" s="69" t="s">
        <v>5208</v>
      </c>
      <c r="D225" s="70">
        <v>1</v>
      </c>
      <c r="E225" s="71" t="s">
        <v>132</v>
      </c>
      <c r="F225" s="72">
        <v>32</v>
      </c>
      <c r="G225" s="69" t="s">
        <v>51</v>
      </c>
      <c r="H225" s="73"/>
      <c r="I225" s="74"/>
      <c r="J225" s="74"/>
      <c r="K225" s="35" t="s">
        <v>65</v>
      </c>
      <c r="L225" s="82">
        <v>225</v>
      </c>
      <c r="M225" s="82"/>
      <c r="N225" s="76"/>
      <c r="O225" s="84" t="s">
        <v>439</v>
      </c>
      <c r="P225" s="86">
        <v>44085.91056712963</v>
      </c>
      <c r="Q225" s="84" t="s">
        <v>482</v>
      </c>
      <c r="R225" s="87" t="str">
        <f>HYPERLINK("http://www.globalbigdataconference.com/145761/big-datas-role-in-the-post-covid-era/industrynews-details.html")</f>
        <v>http://www.globalbigdataconference.com/145761/big-datas-role-in-the-post-covid-era/industrynews-details.html</v>
      </c>
      <c r="S225" s="84" t="s">
        <v>541</v>
      </c>
      <c r="T225" s="84" t="s">
        <v>598</v>
      </c>
      <c r="U225" s="84"/>
      <c r="V225" s="87" t="str">
        <f>HYPERLINK("http://pbs.twimg.com/profile_images/1234794854355369984/b5uzwAtt_normal.jpg")</f>
        <v>http://pbs.twimg.com/profile_images/1234794854355369984/b5uzwAtt_normal.jpg</v>
      </c>
      <c r="W225" s="86">
        <v>44085.91056712963</v>
      </c>
      <c r="X225" s="90">
        <v>44085</v>
      </c>
      <c r="Y225" s="92" t="s">
        <v>764</v>
      </c>
      <c r="Z225" s="87" t="str">
        <f>HYPERLINK("https://twitter.com/pawansomanchi/status/1304538010650898445")</f>
        <v>https://twitter.com/pawansomanchi/status/1304538010650898445</v>
      </c>
      <c r="AA225" s="84"/>
      <c r="AB225" s="84"/>
      <c r="AC225" s="92" t="s">
        <v>1158</v>
      </c>
      <c r="AD225" s="84"/>
      <c r="AE225" s="84" t="b">
        <v>0</v>
      </c>
      <c r="AF225" s="84">
        <v>0</v>
      </c>
      <c r="AG225" s="92" t="s">
        <v>1453</v>
      </c>
      <c r="AH225" s="84" t="b">
        <v>0</v>
      </c>
      <c r="AI225" s="84" t="s">
        <v>1456</v>
      </c>
      <c r="AJ225" s="84"/>
      <c r="AK225" s="92" t="s">
        <v>1453</v>
      </c>
      <c r="AL225" s="84" t="b">
        <v>0</v>
      </c>
      <c r="AM225" s="84">
        <v>22</v>
      </c>
      <c r="AN225" s="92" t="s">
        <v>1288</v>
      </c>
      <c r="AO225" s="84" t="s">
        <v>1487</v>
      </c>
      <c r="AP225" s="84" t="b">
        <v>0</v>
      </c>
      <c r="AQ225" s="92" t="s">
        <v>1288</v>
      </c>
      <c r="AR225" s="84" t="s">
        <v>187</v>
      </c>
      <c r="AS225" s="84">
        <v>0</v>
      </c>
      <c r="AT225" s="84">
        <v>0</v>
      </c>
      <c r="AU225" s="84"/>
      <c r="AV225" s="84"/>
      <c r="AW225" s="84"/>
      <c r="AX225" s="84"/>
      <c r="AY225" s="84"/>
      <c r="AZ225" s="84"/>
      <c r="BA225" s="84"/>
      <c r="BB225" s="84"/>
      <c r="BC225">
        <v>1</v>
      </c>
      <c r="BD225" s="83" t="str">
        <f>REPLACE(INDEX(GroupVertices[Group],MATCH(Edges[[#This Row],[Vertex 1]],GroupVertices[Vertex],0)),1,1,"")</f>
        <v>3</v>
      </c>
      <c r="BE225" s="83" t="str">
        <f>REPLACE(INDEX(GroupVertices[Group],MATCH(Edges[[#This Row],[Vertex 2]],GroupVertices[Vertex],0)),1,1,"")</f>
        <v>3</v>
      </c>
      <c r="BF225" s="49">
        <v>0</v>
      </c>
      <c r="BG225" s="50">
        <v>0</v>
      </c>
      <c r="BH225" s="49">
        <v>0</v>
      </c>
      <c r="BI225" s="50">
        <v>0</v>
      </c>
      <c r="BJ225" s="49">
        <v>0</v>
      </c>
      <c r="BK225" s="50">
        <v>0</v>
      </c>
      <c r="BL225" s="49">
        <v>28</v>
      </c>
      <c r="BM225" s="50">
        <v>100</v>
      </c>
      <c r="BN225" s="49">
        <v>28</v>
      </c>
    </row>
    <row r="226" spans="1:66" ht="15">
      <c r="A226" s="68" t="s">
        <v>332</v>
      </c>
      <c r="B226" s="68" t="s">
        <v>389</v>
      </c>
      <c r="C226" s="69" t="s">
        <v>5208</v>
      </c>
      <c r="D226" s="70">
        <v>1</v>
      </c>
      <c r="E226" s="71" t="s">
        <v>132</v>
      </c>
      <c r="F226" s="72">
        <v>32</v>
      </c>
      <c r="G226" s="69" t="s">
        <v>51</v>
      </c>
      <c r="H226" s="73"/>
      <c r="I226" s="74"/>
      <c r="J226" s="74"/>
      <c r="K226" s="35" t="s">
        <v>65</v>
      </c>
      <c r="L226" s="82">
        <v>226</v>
      </c>
      <c r="M226" s="82"/>
      <c r="N226" s="76"/>
      <c r="O226" s="84" t="s">
        <v>439</v>
      </c>
      <c r="P226" s="86">
        <v>44085.987974537034</v>
      </c>
      <c r="Q226" s="84" t="s">
        <v>482</v>
      </c>
      <c r="R226" s="87" t="str">
        <f>HYPERLINK("http://www.globalbigdataconference.com/145761/big-datas-role-in-the-post-covid-era/industrynews-details.html")</f>
        <v>http://www.globalbigdataconference.com/145761/big-datas-role-in-the-post-covid-era/industrynews-details.html</v>
      </c>
      <c r="S226" s="84" t="s">
        <v>541</v>
      </c>
      <c r="T226" s="84" t="s">
        <v>598</v>
      </c>
      <c r="U226" s="84"/>
      <c r="V226" s="87" t="str">
        <f>HYPERLINK("http://pbs.twimg.com/profile_images/1201246977150922755/lKxY2XSy_normal.jpg")</f>
        <v>http://pbs.twimg.com/profile_images/1201246977150922755/lKxY2XSy_normal.jpg</v>
      </c>
      <c r="W226" s="86">
        <v>44085.987974537034</v>
      </c>
      <c r="X226" s="90">
        <v>44085</v>
      </c>
      <c r="Y226" s="92" t="s">
        <v>765</v>
      </c>
      <c r="Z226" s="87" t="str">
        <f>HYPERLINK("https://twitter.com/techfuturenew/status/1304566063582138372")</f>
        <v>https://twitter.com/techfuturenew/status/1304566063582138372</v>
      </c>
      <c r="AA226" s="84"/>
      <c r="AB226" s="84"/>
      <c r="AC226" s="92" t="s">
        <v>1159</v>
      </c>
      <c r="AD226" s="84"/>
      <c r="AE226" s="84" t="b">
        <v>0</v>
      </c>
      <c r="AF226" s="84">
        <v>0</v>
      </c>
      <c r="AG226" s="92" t="s">
        <v>1453</v>
      </c>
      <c r="AH226" s="84" t="b">
        <v>0</v>
      </c>
      <c r="AI226" s="84" t="s">
        <v>1456</v>
      </c>
      <c r="AJ226" s="84"/>
      <c r="AK226" s="92" t="s">
        <v>1453</v>
      </c>
      <c r="AL226" s="84" t="b">
        <v>0</v>
      </c>
      <c r="AM226" s="84">
        <v>22</v>
      </c>
      <c r="AN226" s="92" t="s">
        <v>1288</v>
      </c>
      <c r="AO226" s="84" t="s">
        <v>1487</v>
      </c>
      <c r="AP226" s="84" t="b">
        <v>0</v>
      </c>
      <c r="AQ226" s="92" t="s">
        <v>1288</v>
      </c>
      <c r="AR226" s="84" t="s">
        <v>187</v>
      </c>
      <c r="AS226" s="84">
        <v>0</v>
      </c>
      <c r="AT226" s="84">
        <v>0</v>
      </c>
      <c r="AU226" s="84"/>
      <c r="AV226" s="84"/>
      <c r="AW226" s="84"/>
      <c r="AX226" s="84"/>
      <c r="AY226" s="84"/>
      <c r="AZ226" s="84"/>
      <c r="BA226" s="84"/>
      <c r="BB226" s="84"/>
      <c r="BC226">
        <v>1</v>
      </c>
      <c r="BD226" s="83" t="str">
        <f>REPLACE(INDEX(GroupVertices[Group],MATCH(Edges[[#This Row],[Vertex 1]],GroupVertices[Vertex],0)),1,1,"")</f>
        <v>3</v>
      </c>
      <c r="BE226" s="83" t="str">
        <f>REPLACE(INDEX(GroupVertices[Group],MATCH(Edges[[#This Row],[Vertex 2]],GroupVertices[Vertex],0)),1,1,"")</f>
        <v>3</v>
      </c>
      <c r="BF226" s="49">
        <v>0</v>
      </c>
      <c r="BG226" s="50">
        <v>0</v>
      </c>
      <c r="BH226" s="49">
        <v>0</v>
      </c>
      <c r="BI226" s="50">
        <v>0</v>
      </c>
      <c r="BJ226" s="49">
        <v>0</v>
      </c>
      <c r="BK226" s="50">
        <v>0</v>
      </c>
      <c r="BL226" s="49">
        <v>28</v>
      </c>
      <c r="BM226" s="50">
        <v>100</v>
      </c>
      <c r="BN226" s="49">
        <v>28</v>
      </c>
    </row>
    <row r="227" spans="1:66" ht="15">
      <c r="A227" s="68" t="s">
        <v>333</v>
      </c>
      <c r="B227" s="68" t="s">
        <v>333</v>
      </c>
      <c r="C227" s="69" t="s">
        <v>5208</v>
      </c>
      <c r="D227" s="70">
        <v>1</v>
      </c>
      <c r="E227" s="71" t="s">
        <v>132</v>
      </c>
      <c r="F227" s="72">
        <v>32</v>
      </c>
      <c r="G227" s="69" t="s">
        <v>51</v>
      </c>
      <c r="H227" s="73"/>
      <c r="I227" s="74"/>
      <c r="J227" s="74"/>
      <c r="K227" s="35" t="s">
        <v>65</v>
      </c>
      <c r="L227" s="82">
        <v>227</v>
      </c>
      <c r="M227" s="82"/>
      <c r="N227" s="76"/>
      <c r="O227" s="84" t="s">
        <v>187</v>
      </c>
      <c r="P227" s="86">
        <v>44086.02075231481</v>
      </c>
      <c r="Q227" s="84" t="s">
        <v>483</v>
      </c>
      <c r="R227" s="84"/>
      <c r="S227" s="84"/>
      <c r="T227" s="84" t="s">
        <v>599</v>
      </c>
      <c r="U227" s="87" t="str">
        <f>HYPERLINK("https://pbs.twimg.com/media/EhrKuUgWkAIPMD5.jpg")</f>
        <v>https://pbs.twimg.com/media/EhrKuUgWkAIPMD5.jpg</v>
      </c>
      <c r="V227" s="87" t="str">
        <f>HYPERLINK("https://pbs.twimg.com/media/EhrKuUgWkAIPMD5.jpg")</f>
        <v>https://pbs.twimg.com/media/EhrKuUgWkAIPMD5.jpg</v>
      </c>
      <c r="W227" s="86">
        <v>44086.02075231481</v>
      </c>
      <c r="X227" s="90">
        <v>44086</v>
      </c>
      <c r="Y227" s="92" t="s">
        <v>766</v>
      </c>
      <c r="Z227" s="87" t="str">
        <f>HYPERLINK("https://twitter.com/metintokerer/status/1304577941813243904")</f>
        <v>https://twitter.com/metintokerer/status/1304577941813243904</v>
      </c>
      <c r="AA227" s="84"/>
      <c r="AB227" s="84"/>
      <c r="AC227" s="92" t="s">
        <v>1160</v>
      </c>
      <c r="AD227" s="84"/>
      <c r="AE227" s="84" t="b">
        <v>0</v>
      </c>
      <c r="AF227" s="84">
        <v>6</v>
      </c>
      <c r="AG227" s="92" t="s">
        <v>1453</v>
      </c>
      <c r="AH227" s="84" t="b">
        <v>0</v>
      </c>
      <c r="AI227" s="84" t="s">
        <v>1458</v>
      </c>
      <c r="AJ227" s="84"/>
      <c r="AK227" s="92" t="s">
        <v>1453</v>
      </c>
      <c r="AL227" s="84" t="b">
        <v>0</v>
      </c>
      <c r="AM227" s="84">
        <v>1</v>
      </c>
      <c r="AN227" s="92" t="s">
        <v>1453</v>
      </c>
      <c r="AO227" s="84" t="s">
        <v>1464</v>
      </c>
      <c r="AP227" s="84" t="b">
        <v>0</v>
      </c>
      <c r="AQ227" s="92" t="s">
        <v>1160</v>
      </c>
      <c r="AR227" s="84" t="s">
        <v>187</v>
      </c>
      <c r="AS227" s="84">
        <v>0</v>
      </c>
      <c r="AT227" s="84">
        <v>0</v>
      </c>
      <c r="AU227" s="84"/>
      <c r="AV227" s="84"/>
      <c r="AW227" s="84"/>
      <c r="AX227" s="84"/>
      <c r="AY227" s="84"/>
      <c r="AZ227" s="84"/>
      <c r="BA227" s="84"/>
      <c r="BB227" s="84"/>
      <c r="BC227">
        <v>1</v>
      </c>
      <c r="BD227" s="83" t="str">
        <f>REPLACE(INDEX(GroupVertices[Group],MATCH(Edges[[#This Row],[Vertex 1]],GroupVertices[Vertex],0)),1,1,"")</f>
        <v>6</v>
      </c>
      <c r="BE227" s="83" t="str">
        <f>REPLACE(INDEX(GroupVertices[Group],MATCH(Edges[[#This Row],[Vertex 2]],GroupVertices[Vertex],0)),1,1,"")</f>
        <v>6</v>
      </c>
      <c r="BF227" s="49">
        <v>0</v>
      </c>
      <c r="BG227" s="50">
        <v>0</v>
      </c>
      <c r="BH227" s="49">
        <v>0</v>
      </c>
      <c r="BI227" s="50">
        <v>0</v>
      </c>
      <c r="BJ227" s="49">
        <v>0</v>
      </c>
      <c r="BK227" s="50">
        <v>0</v>
      </c>
      <c r="BL227" s="49">
        <v>7</v>
      </c>
      <c r="BM227" s="50">
        <v>100</v>
      </c>
      <c r="BN227" s="49">
        <v>7</v>
      </c>
    </row>
    <row r="228" spans="1:66" ht="15">
      <c r="A228" s="68" t="s">
        <v>334</v>
      </c>
      <c r="B228" s="68" t="s">
        <v>334</v>
      </c>
      <c r="C228" s="69" t="s">
        <v>5208</v>
      </c>
      <c r="D228" s="70">
        <v>1</v>
      </c>
      <c r="E228" s="71" t="s">
        <v>132</v>
      </c>
      <c r="F228" s="72">
        <v>32</v>
      </c>
      <c r="G228" s="69" t="s">
        <v>51</v>
      </c>
      <c r="H228" s="73"/>
      <c r="I228" s="74"/>
      <c r="J228" s="74"/>
      <c r="K228" s="35" t="s">
        <v>65</v>
      </c>
      <c r="L228" s="82">
        <v>228</v>
      </c>
      <c r="M228" s="82"/>
      <c r="N228" s="76"/>
      <c r="O228" s="84" t="s">
        <v>187</v>
      </c>
      <c r="P228" s="86">
        <v>44083.09986111111</v>
      </c>
      <c r="Q228" s="84" t="s">
        <v>476</v>
      </c>
      <c r="R228" s="87" t="str">
        <f>HYPERLINK("https://towardsdatascience.com/visualization-of-covid-19-new-cases-over-time-in-python-8c6ac4620c88")</f>
        <v>https://towardsdatascience.com/visualization-of-covid-19-new-cases-over-time-in-python-8c6ac4620c88</v>
      </c>
      <c r="S228" s="84" t="s">
        <v>546</v>
      </c>
      <c r="T228" s="84" t="s">
        <v>593</v>
      </c>
      <c r="U228" s="87" t="str">
        <f>HYPERLINK("https://pbs.twimg.com/media/EhcH6hyWsAI7pGV.png")</f>
        <v>https://pbs.twimg.com/media/EhcH6hyWsAI7pGV.png</v>
      </c>
      <c r="V228" s="87" t="str">
        <f>HYPERLINK("https://pbs.twimg.com/media/EhcH6hyWsAI7pGV.png")</f>
        <v>https://pbs.twimg.com/media/EhcH6hyWsAI7pGV.png</v>
      </c>
      <c r="W228" s="86">
        <v>44083.09986111111</v>
      </c>
      <c r="X228" s="90">
        <v>44083</v>
      </c>
      <c r="Y228" s="92" t="s">
        <v>767</v>
      </c>
      <c r="Z228" s="87" t="str">
        <f>HYPERLINK("https://twitter.com/jrbowling/status/1303519446166798339")</f>
        <v>https://twitter.com/jrbowling/status/1303519446166798339</v>
      </c>
      <c r="AA228" s="84"/>
      <c r="AB228" s="84"/>
      <c r="AC228" s="92" t="s">
        <v>1161</v>
      </c>
      <c r="AD228" s="84"/>
      <c r="AE228" s="84" t="b">
        <v>0</v>
      </c>
      <c r="AF228" s="84">
        <v>4</v>
      </c>
      <c r="AG228" s="92" t="s">
        <v>1453</v>
      </c>
      <c r="AH228" s="84" t="b">
        <v>0</v>
      </c>
      <c r="AI228" s="84" t="s">
        <v>1456</v>
      </c>
      <c r="AJ228" s="84"/>
      <c r="AK228" s="92" t="s">
        <v>1453</v>
      </c>
      <c r="AL228" s="84" t="b">
        <v>0</v>
      </c>
      <c r="AM228" s="84">
        <v>4</v>
      </c>
      <c r="AN228" s="92" t="s">
        <v>1453</v>
      </c>
      <c r="AO228" s="84" t="s">
        <v>1465</v>
      </c>
      <c r="AP228" s="84" t="b">
        <v>0</v>
      </c>
      <c r="AQ228" s="92" t="s">
        <v>1161</v>
      </c>
      <c r="AR228" s="84" t="s">
        <v>187</v>
      </c>
      <c r="AS228" s="84">
        <v>0</v>
      </c>
      <c r="AT228" s="84">
        <v>0</v>
      </c>
      <c r="AU228" s="84"/>
      <c r="AV228" s="84"/>
      <c r="AW228" s="84"/>
      <c r="AX228" s="84"/>
      <c r="AY228" s="84"/>
      <c r="AZ228" s="84"/>
      <c r="BA228" s="84"/>
      <c r="BB228" s="84"/>
      <c r="BC228">
        <v>1</v>
      </c>
      <c r="BD228" s="83" t="str">
        <f>REPLACE(INDEX(GroupVertices[Group],MATCH(Edges[[#This Row],[Vertex 1]],GroupVertices[Vertex],0)),1,1,"")</f>
        <v>11</v>
      </c>
      <c r="BE228" s="83" t="str">
        <f>REPLACE(INDEX(GroupVertices[Group],MATCH(Edges[[#This Row],[Vertex 2]],GroupVertices[Vertex],0)),1,1,"")</f>
        <v>11</v>
      </c>
      <c r="BF228" s="49">
        <v>0</v>
      </c>
      <c r="BG228" s="50">
        <v>0</v>
      </c>
      <c r="BH228" s="49">
        <v>0</v>
      </c>
      <c r="BI228" s="50">
        <v>0</v>
      </c>
      <c r="BJ228" s="49">
        <v>0</v>
      </c>
      <c r="BK228" s="50">
        <v>0</v>
      </c>
      <c r="BL228" s="49">
        <v>32</v>
      </c>
      <c r="BM228" s="50">
        <v>100</v>
      </c>
      <c r="BN228" s="49">
        <v>32</v>
      </c>
    </row>
    <row r="229" spans="1:66" ht="15">
      <c r="A229" s="68" t="s">
        <v>335</v>
      </c>
      <c r="B229" s="68" t="s">
        <v>334</v>
      </c>
      <c r="C229" s="69" t="s">
        <v>5208</v>
      </c>
      <c r="D229" s="70">
        <v>1</v>
      </c>
      <c r="E229" s="71" t="s">
        <v>132</v>
      </c>
      <c r="F229" s="72">
        <v>32</v>
      </c>
      <c r="G229" s="69" t="s">
        <v>51</v>
      </c>
      <c r="H229" s="73"/>
      <c r="I229" s="74"/>
      <c r="J229" s="74"/>
      <c r="K229" s="35" t="s">
        <v>65</v>
      </c>
      <c r="L229" s="82">
        <v>229</v>
      </c>
      <c r="M229" s="82"/>
      <c r="N229" s="76"/>
      <c r="O229" s="84" t="s">
        <v>439</v>
      </c>
      <c r="P229" s="86">
        <v>44086.213159722225</v>
      </c>
      <c r="Q229" s="84" t="s">
        <v>476</v>
      </c>
      <c r="R229" s="87" t="str">
        <f>HYPERLINK("https://towardsdatascience.com/visualization-of-covid-19-new-cases-over-time-in-python-8c6ac4620c88")</f>
        <v>https://towardsdatascience.com/visualization-of-covid-19-new-cases-over-time-in-python-8c6ac4620c88</v>
      </c>
      <c r="S229" s="84" t="s">
        <v>546</v>
      </c>
      <c r="T229" s="84" t="s">
        <v>593</v>
      </c>
      <c r="U229" s="87" t="str">
        <f>HYPERLINK("https://pbs.twimg.com/media/EhcH6hyWsAI7pGV.png")</f>
        <v>https://pbs.twimg.com/media/EhcH6hyWsAI7pGV.png</v>
      </c>
      <c r="V229" s="87" t="str">
        <f>HYPERLINK("https://pbs.twimg.com/media/EhcH6hyWsAI7pGV.png")</f>
        <v>https://pbs.twimg.com/media/EhcH6hyWsAI7pGV.png</v>
      </c>
      <c r="W229" s="86">
        <v>44086.213159722225</v>
      </c>
      <c r="X229" s="90">
        <v>44086</v>
      </c>
      <c r="Y229" s="92" t="s">
        <v>768</v>
      </c>
      <c r="Z229" s="87" t="str">
        <f>HYPERLINK("https://twitter.com/paigedi85253011/status/1304647665213493248")</f>
        <v>https://twitter.com/paigedi85253011/status/1304647665213493248</v>
      </c>
      <c r="AA229" s="84"/>
      <c r="AB229" s="84"/>
      <c r="AC229" s="92" t="s">
        <v>1162</v>
      </c>
      <c r="AD229" s="84"/>
      <c r="AE229" s="84" t="b">
        <v>0</v>
      </c>
      <c r="AF229" s="84">
        <v>0</v>
      </c>
      <c r="AG229" s="92" t="s">
        <v>1453</v>
      </c>
      <c r="AH229" s="84" t="b">
        <v>0</v>
      </c>
      <c r="AI229" s="84" t="s">
        <v>1456</v>
      </c>
      <c r="AJ229" s="84"/>
      <c r="AK229" s="92" t="s">
        <v>1453</v>
      </c>
      <c r="AL229" s="84" t="b">
        <v>0</v>
      </c>
      <c r="AM229" s="84">
        <v>4</v>
      </c>
      <c r="AN229" s="92" t="s">
        <v>1161</v>
      </c>
      <c r="AO229" s="84" t="s">
        <v>1465</v>
      </c>
      <c r="AP229" s="84" t="b">
        <v>0</v>
      </c>
      <c r="AQ229" s="92" t="s">
        <v>1161</v>
      </c>
      <c r="AR229" s="84" t="s">
        <v>187</v>
      </c>
      <c r="AS229" s="84">
        <v>0</v>
      </c>
      <c r="AT229" s="84">
        <v>0</v>
      </c>
      <c r="AU229" s="84"/>
      <c r="AV229" s="84"/>
      <c r="AW229" s="84"/>
      <c r="AX229" s="84"/>
      <c r="AY229" s="84"/>
      <c r="AZ229" s="84"/>
      <c r="BA229" s="84"/>
      <c r="BB229" s="84"/>
      <c r="BC229">
        <v>1</v>
      </c>
      <c r="BD229" s="83" t="str">
        <f>REPLACE(INDEX(GroupVertices[Group],MATCH(Edges[[#This Row],[Vertex 1]],GroupVertices[Vertex],0)),1,1,"")</f>
        <v>11</v>
      </c>
      <c r="BE229" s="83" t="str">
        <f>REPLACE(INDEX(GroupVertices[Group],MATCH(Edges[[#This Row],[Vertex 2]],GroupVertices[Vertex],0)),1,1,"")</f>
        <v>11</v>
      </c>
      <c r="BF229" s="49">
        <v>0</v>
      </c>
      <c r="BG229" s="50">
        <v>0</v>
      </c>
      <c r="BH229" s="49">
        <v>0</v>
      </c>
      <c r="BI229" s="50">
        <v>0</v>
      </c>
      <c r="BJ229" s="49">
        <v>0</v>
      </c>
      <c r="BK229" s="50">
        <v>0</v>
      </c>
      <c r="BL229" s="49">
        <v>32</v>
      </c>
      <c r="BM229" s="50">
        <v>100</v>
      </c>
      <c r="BN229" s="49">
        <v>32</v>
      </c>
    </row>
    <row r="230" spans="1:66" ht="15">
      <c r="A230" s="68" t="s">
        <v>336</v>
      </c>
      <c r="B230" s="68" t="s">
        <v>387</v>
      </c>
      <c r="C230" s="69" t="s">
        <v>5208</v>
      </c>
      <c r="D230" s="70">
        <v>1</v>
      </c>
      <c r="E230" s="71" t="s">
        <v>132</v>
      </c>
      <c r="F230" s="72">
        <v>32</v>
      </c>
      <c r="G230" s="69" t="s">
        <v>51</v>
      </c>
      <c r="H230" s="73"/>
      <c r="I230" s="74"/>
      <c r="J230" s="74"/>
      <c r="K230" s="35" t="s">
        <v>65</v>
      </c>
      <c r="L230" s="82">
        <v>230</v>
      </c>
      <c r="M230" s="82"/>
      <c r="N230" s="76"/>
      <c r="O230" s="84" t="s">
        <v>439</v>
      </c>
      <c r="P230" s="86">
        <v>44083.2562962963</v>
      </c>
      <c r="Q230" s="84" t="s">
        <v>468</v>
      </c>
      <c r="R230" s="87" t="str">
        <f>HYPERLINK("https://jovian.ml/forum/t/data-science-daily-newsletter-september-8-2020/11527")</f>
        <v>https://jovian.ml/forum/t/data-science-daily-newsletter-september-8-2020/11527</v>
      </c>
      <c r="S230" s="84" t="s">
        <v>543</v>
      </c>
      <c r="T230" s="84" t="s">
        <v>585</v>
      </c>
      <c r="U230" s="84"/>
      <c r="V230" s="87" t="str">
        <f>HYPERLINK("http://pbs.twimg.com/profile_images/1146772070547841024/u1aKb70M_normal.jpg")</f>
        <v>http://pbs.twimg.com/profile_images/1146772070547841024/u1aKb70M_normal.jpg</v>
      </c>
      <c r="W230" s="86">
        <v>44083.2562962963</v>
      </c>
      <c r="X230" s="90">
        <v>44083</v>
      </c>
      <c r="Y230" s="92" t="s">
        <v>769</v>
      </c>
      <c r="Z230" s="87" t="str">
        <f>HYPERLINK("https://twitter.com/thecuriousluke/status/1303576135440179201")</f>
        <v>https://twitter.com/thecuriousluke/status/1303576135440179201</v>
      </c>
      <c r="AA230" s="84"/>
      <c r="AB230" s="84"/>
      <c r="AC230" s="92" t="s">
        <v>1163</v>
      </c>
      <c r="AD230" s="84"/>
      <c r="AE230" s="84" t="b">
        <v>0</v>
      </c>
      <c r="AF230" s="84">
        <v>0</v>
      </c>
      <c r="AG230" s="92" t="s">
        <v>1453</v>
      </c>
      <c r="AH230" s="84" t="b">
        <v>0</v>
      </c>
      <c r="AI230" s="84" t="s">
        <v>1456</v>
      </c>
      <c r="AJ230" s="84"/>
      <c r="AK230" s="92" t="s">
        <v>1453</v>
      </c>
      <c r="AL230" s="84" t="b">
        <v>0</v>
      </c>
      <c r="AM230" s="84">
        <v>11</v>
      </c>
      <c r="AN230" s="92" t="s">
        <v>1254</v>
      </c>
      <c r="AO230" s="84" t="s">
        <v>1497</v>
      </c>
      <c r="AP230" s="84" t="b">
        <v>0</v>
      </c>
      <c r="AQ230" s="92" t="s">
        <v>1254</v>
      </c>
      <c r="AR230" s="84" t="s">
        <v>187</v>
      </c>
      <c r="AS230" s="84">
        <v>0</v>
      </c>
      <c r="AT230" s="84">
        <v>0</v>
      </c>
      <c r="AU230" s="84"/>
      <c r="AV230" s="84"/>
      <c r="AW230" s="84"/>
      <c r="AX230" s="84"/>
      <c r="AY230" s="84"/>
      <c r="AZ230" s="84"/>
      <c r="BA230" s="84"/>
      <c r="BB230" s="84"/>
      <c r="BC230">
        <v>1</v>
      </c>
      <c r="BD230" s="83" t="str">
        <f>REPLACE(INDEX(GroupVertices[Group],MATCH(Edges[[#This Row],[Vertex 1]],GroupVertices[Vertex],0)),1,1,"")</f>
        <v>5</v>
      </c>
      <c r="BE230" s="83" t="str">
        <f>REPLACE(INDEX(GroupVertices[Group],MATCH(Edges[[#This Row],[Vertex 2]],GroupVertices[Vertex],0)),1,1,"")</f>
        <v>5</v>
      </c>
      <c r="BF230" s="49">
        <v>0</v>
      </c>
      <c r="BG230" s="50">
        <v>0</v>
      </c>
      <c r="BH230" s="49">
        <v>0</v>
      </c>
      <c r="BI230" s="50">
        <v>0</v>
      </c>
      <c r="BJ230" s="49">
        <v>0</v>
      </c>
      <c r="BK230" s="50">
        <v>0</v>
      </c>
      <c r="BL230" s="49">
        <v>31</v>
      </c>
      <c r="BM230" s="50">
        <v>100</v>
      </c>
      <c r="BN230" s="49">
        <v>31</v>
      </c>
    </row>
    <row r="231" spans="1:66" ht="15">
      <c r="A231" s="68" t="s">
        <v>336</v>
      </c>
      <c r="B231" s="68" t="s">
        <v>425</v>
      </c>
      <c r="C231" s="69" t="s">
        <v>5208</v>
      </c>
      <c r="D231" s="70">
        <v>1</v>
      </c>
      <c r="E231" s="71" t="s">
        <v>132</v>
      </c>
      <c r="F231" s="72">
        <v>32</v>
      </c>
      <c r="G231" s="69" t="s">
        <v>51</v>
      </c>
      <c r="H231" s="73"/>
      <c r="I231" s="74"/>
      <c r="J231" s="74"/>
      <c r="K231" s="35" t="s">
        <v>65</v>
      </c>
      <c r="L231" s="82">
        <v>231</v>
      </c>
      <c r="M231" s="82"/>
      <c r="N231" s="76"/>
      <c r="O231" s="84" t="s">
        <v>439</v>
      </c>
      <c r="P231" s="86">
        <v>44083.3750462963</v>
      </c>
      <c r="Q231" s="84" t="s">
        <v>472</v>
      </c>
      <c r="R231" s="87" t="str">
        <f>HYPERLINK("https://techairesearch.com/comparative-study-of-best-time-series-models-for-urgent-pandemic-management-2/")</f>
        <v>https://techairesearch.com/comparative-study-of-best-time-series-models-for-urgent-pandemic-management-2/</v>
      </c>
      <c r="S231" s="84" t="s">
        <v>544</v>
      </c>
      <c r="T231" s="84" t="s">
        <v>589</v>
      </c>
      <c r="U231" s="84"/>
      <c r="V231" s="87" t="str">
        <f>HYPERLINK("http://pbs.twimg.com/profile_images/1146772070547841024/u1aKb70M_normal.jpg")</f>
        <v>http://pbs.twimg.com/profile_images/1146772070547841024/u1aKb70M_normal.jpg</v>
      </c>
      <c r="W231" s="86">
        <v>44083.3750462963</v>
      </c>
      <c r="X231" s="90">
        <v>44083</v>
      </c>
      <c r="Y231" s="92" t="s">
        <v>770</v>
      </c>
      <c r="Z231" s="87" t="str">
        <f>HYPERLINK("https://twitter.com/thecuriousluke/status/1303619167493459969")</f>
        <v>https://twitter.com/thecuriousluke/status/1303619167493459969</v>
      </c>
      <c r="AA231" s="84"/>
      <c r="AB231" s="84"/>
      <c r="AC231" s="92" t="s">
        <v>1164</v>
      </c>
      <c r="AD231" s="84"/>
      <c r="AE231" s="84" t="b">
        <v>0</v>
      </c>
      <c r="AF231" s="84">
        <v>0</v>
      </c>
      <c r="AG231" s="92" t="s">
        <v>1453</v>
      </c>
      <c r="AH231" s="84" t="b">
        <v>0</v>
      </c>
      <c r="AI231" s="84" t="s">
        <v>1456</v>
      </c>
      <c r="AJ231" s="84"/>
      <c r="AK231" s="92" t="s">
        <v>1453</v>
      </c>
      <c r="AL231" s="84" t="b">
        <v>0</v>
      </c>
      <c r="AM231" s="84">
        <v>12</v>
      </c>
      <c r="AN231" s="92" t="s">
        <v>1431</v>
      </c>
      <c r="AO231" s="84" t="s">
        <v>1497</v>
      </c>
      <c r="AP231" s="84" t="b">
        <v>0</v>
      </c>
      <c r="AQ231" s="92" t="s">
        <v>1431</v>
      </c>
      <c r="AR231" s="84" t="s">
        <v>187</v>
      </c>
      <c r="AS231" s="84">
        <v>0</v>
      </c>
      <c r="AT231" s="84">
        <v>0</v>
      </c>
      <c r="AU231" s="84"/>
      <c r="AV231" s="84"/>
      <c r="AW231" s="84"/>
      <c r="AX231" s="84"/>
      <c r="AY231" s="84"/>
      <c r="AZ231" s="84"/>
      <c r="BA231" s="84"/>
      <c r="BB231" s="84"/>
      <c r="BC231">
        <v>1</v>
      </c>
      <c r="BD231" s="83" t="str">
        <f>REPLACE(INDEX(GroupVertices[Group],MATCH(Edges[[#This Row],[Vertex 1]],GroupVertices[Vertex],0)),1,1,"")</f>
        <v>5</v>
      </c>
      <c r="BE231" s="83" t="str">
        <f>REPLACE(INDEX(GroupVertices[Group],MATCH(Edges[[#This Row],[Vertex 2]],GroupVertices[Vertex],0)),1,1,"")</f>
        <v>5</v>
      </c>
      <c r="BF231" s="49">
        <v>0</v>
      </c>
      <c r="BG231" s="50">
        <v>0</v>
      </c>
      <c r="BH231" s="49">
        <v>0</v>
      </c>
      <c r="BI231" s="50">
        <v>0</v>
      </c>
      <c r="BJ231" s="49">
        <v>0</v>
      </c>
      <c r="BK231" s="50">
        <v>0</v>
      </c>
      <c r="BL231" s="49">
        <v>26</v>
      </c>
      <c r="BM231" s="50">
        <v>100</v>
      </c>
      <c r="BN231" s="49">
        <v>26</v>
      </c>
    </row>
    <row r="232" spans="1:66" ht="15">
      <c r="A232" s="68" t="s">
        <v>336</v>
      </c>
      <c r="B232" s="68" t="s">
        <v>389</v>
      </c>
      <c r="C232" s="69" t="s">
        <v>5208</v>
      </c>
      <c r="D232" s="70">
        <v>1</v>
      </c>
      <c r="E232" s="71" t="s">
        <v>132</v>
      </c>
      <c r="F232" s="72">
        <v>32</v>
      </c>
      <c r="G232" s="69" t="s">
        <v>51</v>
      </c>
      <c r="H232" s="73"/>
      <c r="I232" s="74"/>
      <c r="J232" s="74"/>
      <c r="K232" s="35" t="s">
        <v>65</v>
      </c>
      <c r="L232" s="82">
        <v>232</v>
      </c>
      <c r="M232" s="82"/>
      <c r="N232" s="76"/>
      <c r="O232" s="84" t="s">
        <v>439</v>
      </c>
      <c r="P232" s="86">
        <v>44084.04802083333</v>
      </c>
      <c r="Q232" s="84" t="s">
        <v>478</v>
      </c>
      <c r="R232" s="87" t="str">
        <f>HYPERLINK("http://www.globalbigdataconference.com/145756/combatting-covid-19-misinformation-with-machine-learning/industrynews-details.html")</f>
        <v>http://www.globalbigdataconference.com/145756/combatting-covid-19-misinformation-with-machine-learning/industrynews-details.html</v>
      </c>
      <c r="S232" s="84" t="s">
        <v>541</v>
      </c>
      <c r="T232" s="84" t="s">
        <v>580</v>
      </c>
      <c r="U232" s="84"/>
      <c r="V232" s="87" t="str">
        <f>HYPERLINK("http://pbs.twimg.com/profile_images/1146772070547841024/u1aKb70M_normal.jpg")</f>
        <v>http://pbs.twimg.com/profile_images/1146772070547841024/u1aKb70M_normal.jpg</v>
      </c>
      <c r="W232" s="86">
        <v>44084.04802083333</v>
      </c>
      <c r="X232" s="90">
        <v>44084</v>
      </c>
      <c r="Y232" s="92" t="s">
        <v>771</v>
      </c>
      <c r="Z232" s="87" t="str">
        <f>HYPERLINK("https://twitter.com/thecuriousluke/status/1303863044674646021")</f>
        <v>https://twitter.com/thecuriousluke/status/1303863044674646021</v>
      </c>
      <c r="AA232" s="84"/>
      <c r="AB232" s="84"/>
      <c r="AC232" s="92" t="s">
        <v>1165</v>
      </c>
      <c r="AD232" s="84"/>
      <c r="AE232" s="84" t="b">
        <v>0</v>
      </c>
      <c r="AF232" s="84">
        <v>0</v>
      </c>
      <c r="AG232" s="92" t="s">
        <v>1453</v>
      </c>
      <c r="AH232" s="84" t="b">
        <v>0</v>
      </c>
      <c r="AI232" s="84" t="s">
        <v>1456</v>
      </c>
      <c r="AJ232" s="84"/>
      <c r="AK232" s="92" t="s">
        <v>1453</v>
      </c>
      <c r="AL232" s="84" t="b">
        <v>0</v>
      </c>
      <c r="AM232" s="84">
        <v>25</v>
      </c>
      <c r="AN232" s="92" t="s">
        <v>1287</v>
      </c>
      <c r="AO232" s="84" t="s">
        <v>1497</v>
      </c>
      <c r="AP232" s="84" t="b">
        <v>0</v>
      </c>
      <c r="AQ232" s="92" t="s">
        <v>1287</v>
      </c>
      <c r="AR232" s="84" t="s">
        <v>187</v>
      </c>
      <c r="AS232" s="84">
        <v>0</v>
      </c>
      <c r="AT232" s="84">
        <v>0</v>
      </c>
      <c r="AU232" s="84"/>
      <c r="AV232" s="84"/>
      <c r="AW232" s="84"/>
      <c r="AX232" s="84"/>
      <c r="AY232" s="84"/>
      <c r="AZ232" s="84"/>
      <c r="BA232" s="84"/>
      <c r="BB232" s="84"/>
      <c r="BC232">
        <v>1</v>
      </c>
      <c r="BD232" s="83" t="str">
        <f>REPLACE(INDEX(GroupVertices[Group],MATCH(Edges[[#This Row],[Vertex 1]],GroupVertices[Vertex],0)),1,1,"")</f>
        <v>5</v>
      </c>
      <c r="BE232" s="83" t="str">
        <f>REPLACE(INDEX(GroupVertices[Group],MATCH(Edges[[#This Row],[Vertex 2]],GroupVertices[Vertex],0)),1,1,"")</f>
        <v>3</v>
      </c>
      <c r="BF232" s="49">
        <v>0</v>
      </c>
      <c r="BG232" s="50">
        <v>0</v>
      </c>
      <c r="BH232" s="49">
        <v>0</v>
      </c>
      <c r="BI232" s="50">
        <v>0</v>
      </c>
      <c r="BJ232" s="49">
        <v>0</v>
      </c>
      <c r="BK232" s="50">
        <v>0</v>
      </c>
      <c r="BL232" s="49">
        <v>25</v>
      </c>
      <c r="BM232" s="50">
        <v>100</v>
      </c>
      <c r="BN232" s="49">
        <v>25</v>
      </c>
    </row>
    <row r="233" spans="1:66" ht="15">
      <c r="A233" s="68" t="s">
        <v>336</v>
      </c>
      <c r="B233" s="68" t="s">
        <v>435</v>
      </c>
      <c r="C233" s="69" t="s">
        <v>5208</v>
      </c>
      <c r="D233" s="70">
        <v>1</v>
      </c>
      <c r="E233" s="71" t="s">
        <v>132</v>
      </c>
      <c r="F233" s="72">
        <v>32</v>
      </c>
      <c r="G233" s="69" t="s">
        <v>51</v>
      </c>
      <c r="H233" s="73"/>
      <c r="I233" s="74"/>
      <c r="J233" s="74"/>
      <c r="K233" s="35" t="s">
        <v>65</v>
      </c>
      <c r="L233" s="82">
        <v>233</v>
      </c>
      <c r="M233" s="82"/>
      <c r="N233" s="76"/>
      <c r="O233" s="84" t="s">
        <v>440</v>
      </c>
      <c r="P233" s="86">
        <v>44086.36671296296</v>
      </c>
      <c r="Q233" s="84" t="s">
        <v>484</v>
      </c>
      <c r="R233" s="87" t="str">
        <f>HYPERLINK("https://www.weforum.org/agenda/2020/09/prevent-post-covid-carmageddon")</f>
        <v>https://www.weforum.org/agenda/2020/09/prevent-post-covid-carmageddon</v>
      </c>
      <c r="S233" s="84" t="s">
        <v>549</v>
      </c>
      <c r="T233" s="84" t="s">
        <v>600</v>
      </c>
      <c r="U233" s="84"/>
      <c r="V233" s="87" t="str">
        <f>HYPERLINK("http://pbs.twimg.com/profile_images/1146772070547841024/u1aKb70M_normal.jpg")</f>
        <v>http://pbs.twimg.com/profile_images/1146772070547841024/u1aKb70M_normal.jpg</v>
      </c>
      <c r="W233" s="86">
        <v>44086.36671296296</v>
      </c>
      <c r="X233" s="90">
        <v>44086</v>
      </c>
      <c r="Y233" s="92" t="s">
        <v>772</v>
      </c>
      <c r="Z233" s="87" t="str">
        <f>HYPERLINK("https://twitter.com/thecuriousluke/status/1304703310990127104")</f>
        <v>https://twitter.com/thecuriousluke/status/1304703310990127104</v>
      </c>
      <c r="AA233" s="84"/>
      <c r="AB233" s="84"/>
      <c r="AC233" s="92" t="s">
        <v>1166</v>
      </c>
      <c r="AD233" s="84"/>
      <c r="AE233" s="84" t="b">
        <v>0</v>
      </c>
      <c r="AF233" s="84">
        <v>0</v>
      </c>
      <c r="AG233" s="92" t="s">
        <v>1453</v>
      </c>
      <c r="AH233" s="84" t="b">
        <v>0</v>
      </c>
      <c r="AI233" s="84" t="s">
        <v>1456</v>
      </c>
      <c r="AJ233" s="84"/>
      <c r="AK233" s="92" t="s">
        <v>1453</v>
      </c>
      <c r="AL233" s="84" t="b">
        <v>0</v>
      </c>
      <c r="AM233" s="84">
        <v>36</v>
      </c>
      <c r="AN233" s="92" t="s">
        <v>1401</v>
      </c>
      <c r="AO233" s="84" t="s">
        <v>1497</v>
      </c>
      <c r="AP233" s="84" t="b">
        <v>0</v>
      </c>
      <c r="AQ233" s="92" t="s">
        <v>1401</v>
      </c>
      <c r="AR233" s="84" t="s">
        <v>187</v>
      </c>
      <c r="AS233" s="84">
        <v>0</v>
      </c>
      <c r="AT233" s="84">
        <v>0</v>
      </c>
      <c r="AU233" s="84"/>
      <c r="AV233" s="84"/>
      <c r="AW233" s="84"/>
      <c r="AX233" s="84"/>
      <c r="AY233" s="84"/>
      <c r="AZ233" s="84"/>
      <c r="BA233" s="84"/>
      <c r="BB233" s="84"/>
      <c r="BC233">
        <v>1</v>
      </c>
      <c r="BD233" s="83" t="str">
        <f>REPLACE(INDEX(GroupVertices[Group],MATCH(Edges[[#This Row],[Vertex 1]],GroupVertices[Vertex],0)),1,1,"")</f>
        <v>5</v>
      </c>
      <c r="BE233" s="83" t="str">
        <f>REPLACE(INDEX(GroupVertices[Group],MATCH(Edges[[#This Row],[Vertex 2]],GroupVertices[Vertex],0)),1,1,"")</f>
        <v>1</v>
      </c>
      <c r="BF233" s="49">
        <v>0</v>
      </c>
      <c r="BG233" s="50">
        <v>0</v>
      </c>
      <c r="BH233" s="49">
        <v>0</v>
      </c>
      <c r="BI233" s="50">
        <v>0</v>
      </c>
      <c r="BJ233" s="49">
        <v>0</v>
      </c>
      <c r="BK233" s="50">
        <v>0</v>
      </c>
      <c r="BL233" s="49">
        <v>31</v>
      </c>
      <c r="BM233" s="50">
        <v>100</v>
      </c>
      <c r="BN233" s="49">
        <v>31</v>
      </c>
    </row>
    <row r="234" spans="1:66" ht="15">
      <c r="A234" s="68" t="s">
        <v>336</v>
      </c>
      <c r="B234" s="68" t="s">
        <v>390</v>
      </c>
      <c r="C234" s="69" t="s">
        <v>5208</v>
      </c>
      <c r="D234" s="70">
        <v>1</v>
      </c>
      <c r="E234" s="71" t="s">
        <v>132</v>
      </c>
      <c r="F234" s="72">
        <v>32</v>
      </c>
      <c r="G234" s="69" t="s">
        <v>51</v>
      </c>
      <c r="H234" s="73"/>
      <c r="I234" s="74"/>
      <c r="J234" s="74"/>
      <c r="K234" s="35" t="s">
        <v>65</v>
      </c>
      <c r="L234" s="82">
        <v>234</v>
      </c>
      <c r="M234" s="82"/>
      <c r="N234" s="76"/>
      <c r="O234" s="84" t="s">
        <v>439</v>
      </c>
      <c r="P234" s="86">
        <v>44086.36671296296</v>
      </c>
      <c r="Q234" s="84" t="s">
        <v>484</v>
      </c>
      <c r="R234" s="87" t="str">
        <f>HYPERLINK("https://www.weforum.org/agenda/2020/09/prevent-post-covid-carmageddon")</f>
        <v>https://www.weforum.org/agenda/2020/09/prevent-post-covid-carmageddon</v>
      </c>
      <c r="S234" s="84" t="s">
        <v>549</v>
      </c>
      <c r="T234" s="84" t="s">
        <v>600</v>
      </c>
      <c r="U234" s="84"/>
      <c r="V234" s="87" t="str">
        <f>HYPERLINK("http://pbs.twimg.com/profile_images/1146772070547841024/u1aKb70M_normal.jpg")</f>
        <v>http://pbs.twimg.com/profile_images/1146772070547841024/u1aKb70M_normal.jpg</v>
      </c>
      <c r="W234" s="86">
        <v>44086.36671296296</v>
      </c>
      <c r="X234" s="90">
        <v>44086</v>
      </c>
      <c r="Y234" s="92" t="s">
        <v>772</v>
      </c>
      <c r="Z234" s="87" t="str">
        <f>HYPERLINK("https://twitter.com/thecuriousluke/status/1304703310990127104")</f>
        <v>https://twitter.com/thecuriousluke/status/1304703310990127104</v>
      </c>
      <c r="AA234" s="84"/>
      <c r="AB234" s="84"/>
      <c r="AC234" s="92" t="s">
        <v>1166</v>
      </c>
      <c r="AD234" s="84"/>
      <c r="AE234" s="84" t="b">
        <v>0</v>
      </c>
      <c r="AF234" s="84">
        <v>0</v>
      </c>
      <c r="AG234" s="92" t="s">
        <v>1453</v>
      </c>
      <c r="AH234" s="84" t="b">
        <v>0</v>
      </c>
      <c r="AI234" s="84" t="s">
        <v>1456</v>
      </c>
      <c r="AJ234" s="84"/>
      <c r="AK234" s="92" t="s">
        <v>1453</v>
      </c>
      <c r="AL234" s="84" t="b">
        <v>0</v>
      </c>
      <c r="AM234" s="84">
        <v>36</v>
      </c>
      <c r="AN234" s="92" t="s">
        <v>1401</v>
      </c>
      <c r="AO234" s="84" t="s">
        <v>1497</v>
      </c>
      <c r="AP234" s="84" t="b">
        <v>0</v>
      </c>
      <c r="AQ234" s="92" t="s">
        <v>1401</v>
      </c>
      <c r="AR234" s="84" t="s">
        <v>187</v>
      </c>
      <c r="AS234" s="84">
        <v>0</v>
      </c>
      <c r="AT234" s="84">
        <v>0</v>
      </c>
      <c r="AU234" s="84"/>
      <c r="AV234" s="84"/>
      <c r="AW234" s="84"/>
      <c r="AX234" s="84"/>
      <c r="AY234" s="84"/>
      <c r="AZ234" s="84"/>
      <c r="BA234" s="84"/>
      <c r="BB234" s="84"/>
      <c r="BC234">
        <v>1</v>
      </c>
      <c r="BD234" s="83" t="str">
        <f>REPLACE(INDEX(GroupVertices[Group],MATCH(Edges[[#This Row],[Vertex 1]],GroupVertices[Vertex],0)),1,1,"")</f>
        <v>5</v>
      </c>
      <c r="BE234" s="83" t="str">
        <f>REPLACE(INDEX(GroupVertices[Group],MATCH(Edges[[#This Row],[Vertex 2]],GroupVertices[Vertex],0)),1,1,"")</f>
        <v>1</v>
      </c>
      <c r="BF234" s="49"/>
      <c r="BG234" s="50"/>
      <c r="BH234" s="49"/>
      <c r="BI234" s="50"/>
      <c r="BJ234" s="49"/>
      <c r="BK234" s="50"/>
      <c r="BL234" s="49"/>
      <c r="BM234" s="50"/>
      <c r="BN234" s="49"/>
    </row>
    <row r="235" spans="1:66" ht="15">
      <c r="A235" s="68" t="s">
        <v>337</v>
      </c>
      <c r="B235" s="68" t="s">
        <v>435</v>
      </c>
      <c r="C235" s="69" t="s">
        <v>5208</v>
      </c>
      <c r="D235" s="70">
        <v>1</v>
      </c>
      <c r="E235" s="71" t="s">
        <v>132</v>
      </c>
      <c r="F235" s="72">
        <v>32</v>
      </c>
      <c r="G235" s="69" t="s">
        <v>51</v>
      </c>
      <c r="H235" s="73"/>
      <c r="I235" s="74"/>
      <c r="J235" s="74"/>
      <c r="K235" s="35" t="s">
        <v>65</v>
      </c>
      <c r="L235" s="82">
        <v>235</v>
      </c>
      <c r="M235" s="82"/>
      <c r="N235" s="76"/>
      <c r="O235" s="84" t="s">
        <v>440</v>
      </c>
      <c r="P235" s="86">
        <v>44086.36740740741</v>
      </c>
      <c r="Q235" s="84" t="s">
        <v>484</v>
      </c>
      <c r="R235" s="87" t="str">
        <f>HYPERLINK("https://www.weforum.org/agenda/2020/09/prevent-post-covid-carmageddon")</f>
        <v>https://www.weforum.org/agenda/2020/09/prevent-post-covid-carmageddon</v>
      </c>
      <c r="S235" s="84" t="s">
        <v>549</v>
      </c>
      <c r="T235" s="84" t="s">
        <v>600</v>
      </c>
      <c r="U235" s="84"/>
      <c r="V235" s="87" t="str">
        <f>HYPERLINK("http://pbs.twimg.com/profile_images/797477411059302400/ZAG-LPx6_normal.jpg")</f>
        <v>http://pbs.twimg.com/profile_images/797477411059302400/ZAG-LPx6_normal.jpg</v>
      </c>
      <c r="W235" s="86">
        <v>44086.36740740741</v>
      </c>
      <c r="X235" s="90">
        <v>44086</v>
      </c>
      <c r="Y235" s="92" t="s">
        <v>773</v>
      </c>
      <c r="Z235" s="87" t="str">
        <f>HYPERLINK("https://twitter.com/sheilagivens4/status/1304703565584306177")</f>
        <v>https://twitter.com/sheilagivens4/status/1304703565584306177</v>
      </c>
      <c r="AA235" s="84"/>
      <c r="AB235" s="84"/>
      <c r="AC235" s="92" t="s">
        <v>1167</v>
      </c>
      <c r="AD235" s="84"/>
      <c r="AE235" s="84" t="b">
        <v>0</v>
      </c>
      <c r="AF235" s="84">
        <v>0</v>
      </c>
      <c r="AG235" s="92" t="s">
        <v>1453</v>
      </c>
      <c r="AH235" s="84" t="b">
        <v>0</v>
      </c>
      <c r="AI235" s="84" t="s">
        <v>1456</v>
      </c>
      <c r="AJ235" s="84"/>
      <c r="AK235" s="92" t="s">
        <v>1453</v>
      </c>
      <c r="AL235" s="84" t="b">
        <v>0</v>
      </c>
      <c r="AM235" s="84">
        <v>36</v>
      </c>
      <c r="AN235" s="92" t="s">
        <v>1401</v>
      </c>
      <c r="AO235" s="84" t="s">
        <v>337</v>
      </c>
      <c r="AP235" s="84" t="b">
        <v>0</v>
      </c>
      <c r="AQ235" s="92" t="s">
        <v>1401</v>
      </c>
      <c r="AR235" s="84" t="s">
        <v>187</v>
      </c>
      <c r="AS235" s="84">
        <v>0</v>
      </c>
      <c r="AT235" s="84">
        <v>0</v>
      </c>
      <c r="AU235" s="84"/>
      <c r="AV235" s="84"/>
      <c r="AW235" s="84"/>
      <c r="AX235" s="84"/>
      <c r="AY235" s="84"/>
      <c r="AZ235" s="84"/>
      <c r="BA235" s="84"/>
      <c r="BB235" s="84"/>
      <c r="BC235">
        <v>1</v>
      </c>
      <c r="BD235" s="83" t="str">
        <f>REPLACE(INDEX(GroupVertices[Group],MATCH(Edges[[#This Row],[Vertex 1]],GroupVertices[Vertex],0)),1,1,"")</f>
        <v>1</v>
      </c>
      <c r="BE235" s="83" t="str">
        <f>REPLACE(INDEX(GroupVertices[Group],MATCH(Edges[[#This Row],[Vertex 2]],GroupVertices[Vertex],0)),1,1,"")</f>
        <v>1</v>
      </c>
      <c r="BF235" s="49"/>
      <c r="BG235" s="50"/>
      <c r="BH235" s="49"/>
      <c r="BI235" s="50"/>
      <c r="BJ235" s="49"/>
      <c r="BK235" s="50"/>
      <c r="BL235" s="49"/>
      <c r="BM235" s="50"/>
      <c r="BN235" s="49"/>
    </row>
    <row r="236" spans="1:66" ht="15">
      <c r="A236" s="68" t="s">
        <v>337</v>
      </c>
      <c r="B236" s="68" t="s">
        <v>390</v>
      </c>
      <c r="C236" s="69" t="s">
        <v>5208</v>
      </c>
      <c r="D236" s="70">
        <v>1</v>
      </c>
      <c r="E236" s="71" t="s">
        <v>132</v>
      </c>
      <c r="F236" s="72">
        <v>32</v>
      </c>
      <c r="G236" s="69" t="s">
        <v>51</v>
      </c>
      <c r="H236" s="73"/>
      <c r="I236" s="74"/>
      <c r="J236" s="74"/>
      <c r="K236" s="35" t="s">
        <v>65</v>
      </c>
      <c r="L236" s="82">
        <v>236</v>
      </c>
      <c r="M236" s="82"/>
      <c r="N236" s="76"/>
      <c r="O236" s="84" t="s">
        <v>439</v>
      </c>
      <c r="P236" s="86">
        <v>44086.36740740741</v>
      </c>
      <c r="Q236" s="84" t="s">
        <v>484</v>
      </c>
      <c r="R236" s="87" t="str">
        <f>HYPERLINK("https://www.weforum.org/agenda/2020/09/prevent-post-covid-carmageddon")</f>
        <v>https://www.weforum.org/agenda/2020/09/prevent-post-covid-carmageddon</v>
      </c>
      <c r="S236" s="84" t="s">
        <v>549</v>
      </c>
      <c r="T236" s="84" t="s">
        <v>600</v>
      </c>
      <c r="U236" s="84"/>
      <c r="V236" s="87" t="str">
        <f>HYPERLINK("http://pbs.twimg.com/profile_images/797477411059302400/ZAG-LPx6_normal.jpg")</f>
        <v>http://pbs.twimg.com/profile_images/797477411059302400/ZAG-LPx6_normal.jpg</v>
      </c>
      <c r="W236" s="86">
        <v>44086.36740740741</v>
      </c>
      <c r="X236" s="90">
        <v>44086</v>
      </c>
      <c r="Y236" s="92" t="s">
        <v>773</v>
      </c>
      <c r="Z236" s="87" t="str">
        <f>HYPERLINK("https://twitter.com/sheilagivens4/status/1304703565584306177")</f>
        <v>https://twitter.com/sheilagivens4/status/1304703565584306177</v>
      </c>
      <c r="AA236" s="84"/>
      <c r="AB236" s="84"/>
      <c r="AC236" s="92" t="s">
        <v>1167</v>
      </c>
      <c r="AD236" s="84"/>
      <c r="AE236" s="84" t="b">
        <v>0</v>
      </c>
      <c r="AF236" s="84">
        <v>0</v>
      </c>
      <c r="AG236" s="92" t="s">
        <v>1453</v>
      </c>
      <c r="AH236" s="84" t="b">
        <v>0</v>
      </c>
      <c r="AI236" s="84" t="s">
        <v>1456</v>
      </c>
      <c r="AJ236" s="84"/>
      <c r="AK236" s="92" t="s">
        <v>1453</v>
      </c>
      <c r="AL236" s="84" t="b">
        <v>0</v>
      </c>
      <c r="AM236" s="84">
        <v>36</v>
      </c>
      <c r="AN236" s="92" t="s">
        <v>1401</v>
      </c>
      <c r="AO236" s="84" t="s">
        <v>337</v>
      </c>
      <c r="AP236" s="84" t="b">
        <v>0</v>
      </c>
      <c r="AQ236" s="92" t="s">
        <v>1401</v>
      </c>
      <c r="AR236" s="84" t="s">
        <v>187</v>
      </c>
      <c r="AS236" s="84">
        <v>0</v>
      </c>
      <c r="AT236" s="84">
        <v>0</v>
      </c>
      <c r="AU236" s="84"/>
      <c r="AV236" s="84"/>
      <c r="AW236" s="84"/>
      <c r="AX236" s="84"/>
      <c r="AY236" s="84"/>
      <c r="AZ236" s="84"/>
      <c r="BA236" s="84"/>
      <c r="BB236" s="84"/>
      <c r="BC236">
        <v>1</v>
      </c>
      <c r="BD236" s="83" t="str">
        <f>REPLACE(INDEX(GroupVertices[Group],MATCH(Edges[[#This Row],[Vertex 1]],GroupVertices[Vertex],0)),1,1,"")</f>
        <v>1</v>
      </c>
      <c r="BE236" s="83" t="str">
        <f>REPLACE(INDEX(GroupVertices[Group],MATCH(Edges[[#This Row],[Vertex 2]],GroupVertices[Vertex],0)),1,1,"")</f>
        <v>1</v>
      </c>
      <c r="BF236" s="49">
        <v>0</v>
      </c>
      <c r="BG236" s="50">
        <v>0</v>
      </c>
      <c r="BH236" s="49">
        <v>0</v>
      </c>
      <c r="BI236" s="50">
        <v>0</v>
      </c>
      <c r="BJ236" s="49">
        <v>0</v>
      </c>
      <c r="BK236" s="50">
        <v>0</v>
      </c>
      <c r="BL236" s="49">
        <v>31</v>
      </c>
      <c r="BM236" s="50">
        <v>100</v>
      </c>
      <c r="BN236" s="49">
        <v>31</v>
      </c>
    </row>
    <row r="237" spans="1:66" ht="15">
      <c r="A237" s="68" t="s">
        <v>338</v>
      </c>
      <c r="B237" s="68" t="s">
        <v>435</v>
      </c>
      <c r="C237" s="69" t="s">
        <v>5208</v>
      </c>
      <c r="D237" s="70">
        <v>1</v>
      </c>
      <c r="E237" s="71" t="s">
        <v>132</v>
      </c>
      <c r="F237" s="72">
        <v>32</v>
      </c>
      <c r="G237" s="69" t="s">
        <v>51</v>
      </c>
      <c r="H237" s="73"/>
      <c r="I237" s="74"/>
      <c r="J237" s="74"/>
      <c r="K237" s="35" t="s">
        <v>65</v>
      </c>
      <c r="L237" s="82">
        <v>237</v>
      </c>
      <c r="M237" s="82"/>
      <c r="N237" s="76"/>
      <c r="O237" s="84" t="s">
        <v>440</v>
      </c>
      <c r="P237" s="86">
        <v>44086.3690162037</v>
      </c>
      <c r="Q237" s="84" t="s">
        <v>484</v>
      </c>
      <c r="R237" s="87" t="str">
        <f>HYPERLINK("https://www.weforum.org/agenda/2020/09/prevent-post-covid-carmageddon")</f>
        <v>https://www.weforum.org/agenda/2020/09/prevent-post-covid-carmageddon</v>
      </c>
      <c r="S237" s="84" t="s">
        <v>549</v>
      </c>
      <c r="T237" s="84" t="s">
        <v>600</v>
      </c>
      <c r="U237" s="84"/>
      <c r="V237" s="87" t="str">
        <f>HYPERLINK("http://pbs.twimg.com/profile_images/717345483199356928/JwLjQsoU_normal.jpg")</f>
        <v>http://pbs.twimg.com/profile_images/717345483199356928/JwLjQsoU_normal.jpg</v>
      </c>
      <c r="W237" s="86">
        <v>44086.3690162037</v>
      </c>
      <c r="X237" s="90">
        <v>44086</v>
      </c>
      <c r="Y237" s="92" t="s">
        <v>774</v>
      </c>
      <c r="Z237" s="87" t="str">
        <f>HYPERLINK("https://twitter.com/meyoumusicboy/status/1304704146424107009")</f>
        <v>https://twitter.com/meyoumusicboy/status/1304704146424107009</v>
      </c>
      <c r="AA237" s="84"/>
      <c r="AB237" s="84"/>
      <c r="AC237" s="92" t="s">
        <v>1168</v>
      </c>
      <c r="AD237" s="84"/>
      <c r="AE237" s="84" t="b">
        <v>0</v>
      </c>
      <c r="AF237" s="84">
        <v>0</v>
      </c>
      <c r="AG237" s="92" t="s">
        <v>1453</v>
      </c>
      <c r="AH237" s="84" t="b">
        <v>0</v>
      </c>
      <c r="AI237" s="84" t="s">
        <v>1456</v>
      </c>
      <c r="AJ237" s="84"/>
      <c r="AK237" s="92" t="s">
        <v>1453</v>
      </c>
      <c r="AL237" s="84" t="b">
        <v>0</v>
      </c>
      <c r="AM237" s="84">
        <v>36</v>
      </c>
      <c r="AN237" s="92" t="s">
        <v>1401</v>
      </c>
      <c r="AO237" s="84" t="s">
        <v>1498</v>
      </c>
      <c r="AP237" s="84" t="b">
        <v>0</v>
      </c>
      <c r="AQ237" s="92" t="s">
        <v>1401</v>
      </c>
      <c r="AR237" s="84" t="s">
        <v>187</v>
      </c>
      <c r="AS237" s="84">
        <v>0</v>
      </c>
      <c r="AT237" s="84">
        <v>0</v>
      </c>
      <c r="AU237" s="84"/>
      <c r="AV237" s="84"/>
      <c r="AW237" s="84"/>
      <c r="AX237" s="84"/>
      <c r="AY237" s="84"/>
      <c r="AZ237" s="84"/>
      <c r="BA237" s="84"/>
      <c r="BB237" s="84"/>
      <c r="BC237">
        <v>1</v>
      </c>
      <c r="BD237" s="83" t="str">
        <f>REPLACE(INDEX(GroupVertices[Group],MATCH(Edges[[#This Row],[Vertex 1]],GroupVertices[Vertex],0)),1,1,"")</f>
        <v>1</v>
      </c>
      <c r="BE237" s="83" t="str">
        <f>REPLACE(INDEX(GroupVertices[Group],MATCH(Edges[[#This Row],[Vertex 2]],GroupVertices[Vertex],0)),1,1,"")</f>
        <v>1</v>
      </c>
      <c r="BF237" s="49"/>
      <c r="BG237" s="50"/>
      <c r="BH237" s="49"/>
      <c r="BI237" s="50"/>
      <c r="BJ237" s="49"/>
      <c r="BK237" s="50"/>
      <c r="BL237" s="49"/>
      <c r="BM237" s="50"/>
      <c r="BN237" s="49"/>
    </row>
    <row r="238" spans="1:66" ht="15">
      <c r="A238" s="68" t="s">
        <v>338</v>
      </c>
      <c r="B238" s="68" t="s">
        <v>390</v>
      </c>
      <c r="C238" s="69" t="s">
        <v>5208</v>
      </c>
      <c r="D238" s="70">
        <v>1</v>
      </c>
      <c r="E238" s="71" t="s">
        <v>132</v>
      </c>
      <c r="F238" s="72">
        <v>32</v>
      </c>
      <c r="G238" s="69" t="s">
        <v>51</v>
      </c>
      <c r="H238" s="73"/>
      <c r="I238" s="74"/>
      <c r="J238" s="74"/>
      <c r="K238" s="35" t="s">
        <v>65</v>
      </c>
      <c r="L238" s="82">
        <v>238</v>
      </c>
      <c r="M238" s="82"/>
      <c r="N238" s="76"/>
      <c r="O238" s="84" t="s">
        <v>439</v>
      </c>
      <c r="P238" s="86">
        <v>44086.3690162037</v>
      </c>
      <c r="Q238" s="84" t="s">
        <v>484</v>
      </c>
      <c r="R238" s="87" t="str">
        <f>HYPERLINK("https://www.weforum.org/agenda/2020/09/prevent-post-covid-carmageddon")</f>
        <v>https://www.weforum.org/agenda/2020/09/prevent-post-covid-carmageddon</v>
      </c>
      <c r="S238" s="84" t="s">
        <v>549</v>
      </c>
      <c r="T238" s="84" t="s">
        <v>600</v>
      </c>
      <c r="U238" s="84"/>
      <c r="V238" s="87" t="str">
        <f>HYPERLINK("http://pbs.twimg.com/profile_images/717345483199356928/JwLjQsoU_normal.jpg")</f>
        <v>http://pbs.twimg.com/profile_images/717345483199356928/JwLjQsoU_normal.jpg</v>
      </c>
      <c r="W238" s="86">
        <v>44086.3690162037</v>
      </c>
      <c r="X238" s="90">
        <v>44086</v>
      </c>
      <c r="Y238" s="92" t="s">
        <v>774</v>
      </c>
      <c r="Z238" s="87" t="str">
        <f>HYPERLINK("https://twitter.com/meyoumusicboy/status/1304704146424107009")</f>
        <v>https://twitter.com/meyoumusicboy/status/1304704146424107009</v>
      </c>
      <c r="AA238" s="84"/>
      <c r="AB238" s="84"/>
      <c r="AC238" s="92" t="s">
        <v>1168</v>
      </c>
      <c r="AD238" s="84"/>
      <c r="AE238" s="84" t="b">
        <v>0</v>
      </c>
      <c r="AF238" s="84">
        <v>0</v>
      </c>
      <c r="AG238" s="92" t="s">
        <v>1453</v>
      </c>
      <c r="AH238" s="84" t="b">
        <v>0</v>
      </c>
      <c r="AI238" s="84" t="s">
        <v>1456</v>
      </c>
      <c r="AJ238" s="84"/>
      <c r="AK238" s="92" t="s">
        <v>1453</v>
      </c>
      <c r="AL238" s="84" t="b">
        <v>0</v>
      </c>
      <c r="AM238" s="84">
        <v>36</v>
      </c>
      <c r="AN238" s="92" t="s">
        <v>1401</v>
      </c>
      <c r="AO238" s="84" t="s">
        <v>1498</v>
      </c>
      <c r="AP238" s="84" t="b">
        <v>0</v>
      </c>
      <c r="AQ238" s="92" t="s">
        <v>1401</v>
      </c>
      <c r="AR238" s="84" t="s">
        <v>187</v>
      </c>
      <c r="AS238" s="84">
        <v>0</v>
      </c>
      <c r="AT238" s="84">
        <v>0</v>
      </c>
      <c r="AU238" s="84"/>
      <c r="AV238" s="84"/>
      <c r="AW238" s="84"/>
      <c r="AX238" s="84"/>
      <c r="AY238" s="84"/>
      <c r="AZ238" s="84"/>
      <c r="BA238" s="84"/>
      <c r="BB238" s="84"/>
      <c r="BC238">
        <v>1</v>
      </c>
      <c r="BD238" s="83" t="str">
        <f>REPLACE(INDEX(GroupVertices[Group],MATCH(Edges[[#This Row],[Vertex 1]],GroupVertices[Vertex],0)),1,1,"")</f>
        <v>1</v>
      </c>
      <c r="BE238" s="83" t="str">
        <f>REPLACE(INDEX(GroupVertices[Group],MATCH(Edges[[#This Row],[Vertex 2]],GroupVertices[Vertex],0)),1,1,"")</f>
        <v>1</v>
      </c>
      <c r="BF238" s="49">
        <v>0</v>
      </c>
      <c r="BG238" s="50">
        <v>0</v>
      </c>
      <c r="BH238" s="49">
        <v>0</v>
      </c>
      <c r="BI238" s="50">
        <v>0</v>
      </c>
      <c r="BJ238" s="49">
        <v>0</v>
      </c>
      <c r="BK238" s="50">
        <v>0</v>
      </c>
      <c r="BL238" s="49">
        <v>31</v>
      </c>
      <c r="BM238" s="50">
        <v>100</v>
      </c>
      <c r="BN238" s="49">
        <v>31</v>
      </c>
    </row>
    <row r="239" spans="1:66" ht="15">
      <c r="A239" s="68" t="s">
        <v>339</v>
      </c>
      <c r="B239" s="68" t="s">
        <v>392</v>
      </c>
      <c r="C239" s="69" t="s">
        <v>5208</v>
      </c>
      <c r="D239" s="70">
        <v>1</v>
      </c>
      <c r="E239" s="71" t="s">
        <v>132</v>
      </c>
      <c r="F239" s="72">
        <v>32</v>
      </c>
      <c r="G239" s="69" t="s">
        <v>51</v>
      </c>
      <c r="H239" s="73"/>
      <c r="I239" s="74"/>
      <c r="J239" s="74"/>
      <c r="K239" s="35" t="s">
        <v>65</v>
      </c>
      <c r="L239" s="82">
        <v>239</v>
      </c>
      <c r="M239" s="82"/>
      <c r="N239" s="76"/>
      <c r="O239" s="84" t="s">
        <v>439</v>
      </c>
      <c r="P239" s="86">
        <v>44082.5178125</v>
      </c>
      <c r="Q239" s="84" t="s">
        <v>456</v>
      </c>
      <c r="R239" s="87" t="str">
        <f>HYPERLINK("https://www.ituneed.com/post/working-from-home-top-5-cybersecurity-threats-businesses-should-be-aware-of-during-covid-19")</f>
        <v>https://www.ituneed.com/post/working-from-home-top-5-cybersecurity-threats-businesses-should-be-aware-of-during-covid-19</v>
      </c>
      <c r="S239" s="84" t="s">
        <v>538</v>
      </c>
      <c r="T239" s="84" t="s">
        <v>575</v>
      </c>
      <c r="U239" s="87" t="str">
        <f>HYPERLINK("https://pbs.twimg.com/media/EhZGFTvXYAAT_YE.jpg")</f>
        <v>https://pbs.twimg.com/media/EhZGFTvXYAAT_YE.jpg</v>
      </c>
      <c r="V239" s="87" t="str">
        <f>HYPERLINK("https://pbs.twimg.com/media/EhZGFTvXYAAT_YE.jpg")</f>
        <v>https://pbs.twimg.com/media/EhZGFTvXYAAT_YE.jpg</v>
      </c>
      <c r="W239" s="86">
        <v>44082.5178125</v>
      </c>
      <c r="X239" s="90">
        <v>44082</v>
      </c>
      <c r="Y239" s="92" t="s">
        <v>775</v>
      </c>
      <c r="Z239" s="87" t="str">
        <f>HYPERLINK("https://twitter.com/linuxdreams/status/1303308518238433280")</f>
        <v>https://twitter.com/linuxdreams/status/1303308518238433280</v>
      </c>
      <c r="AA239" s="84"/>
      <c r="AB239" s="84"/>
      <c r="AC239" s="92" t="s">
        <v>1169</v>
      </c>
      <c r="AD239" s="84"/>
      <c r="AE239" s="84" t="b">
        <v>0</v>
      </c>
      <c r="AF239" s="84">
        <v>0</v>
      </c>
      <c r="AG239" s="92" t="s">
        <v>1453</v>
      </c>
      <c r="AH239" s="84" t="b">
        <v>0</v>
      </c>
      <c r="AI239" s="84" t="s">
        <v>1456</v>
      </c>
      <c r="AJ239" s="84"/>
      <c r="AK239" s="92" t="s">
        <v>1453</v>
      </c>
      <c r="AL239" s="84" t="b">
        <v>0</v>
      </c>
      <c r="AM239" s="84">
        <v>10</v>
      </c>
      <c r="AN239" s="92" t="s">
        <v>1293</v>
      </c>
      <c r="AO239" s="84" t="s">
        <v>1499</v>
      </c>
      <c r="AP239" s="84" t="b">
        <v>0</v>
      </c>
      <c r="AQ239" s="92" t="s">
        <v>1293</v>
      </c>
      <c r="AR239" s="84" t="s">
        <v>187</v>
      </c>
      <c r="AS239" s="84">
        <v>0</v>
      </c>
      <c r="AT239" s="84">
        <v>0</v>
      </c>
      <c r="AU239" s="84"/>
      <c r="AV239" s="84"/>
      <c r="AW239" s="84"/>
      <c r="AX239" s="84"/>
      <c r="AY239" s="84"/>
      <c r="AZ239" s="84"/>
      <c r="BA239" s="84"/>
      <c r="BB239" s="84"/>
      <c r="BC239">
        <v>1</v>
      </c>
      <c r="BD239" s="83" t="str">
        <f>REPLACE(INDEX(GroupVertices[Group],MATCH(Edges[[#This Row],[Vertex 1]],GroupVertices[Vertex],0)),1,1,"")</f>
        <v>1</v>
      </c>
      <c r="BE239" s="83" t="str">
        <f>REPLACE(INDEX(GroupVertices[Group],MATCH(Edges[[#This Row],[Vertex 2]],GroupVertices[Vertex],0)),1,1,"")</f>
        <v>2</v>
      </c>
      <c r="BF239" s="49">
        <v>0</v>
      </c>
      <c r="BG239" s="50">
        <v>0</v>
      </c>
      <c r="BH239" s="49">
        <v>0</v>
      </c>
      <c r="BI239" s="50">
        <v>0</v>
      </c>
      <c r="BJ239" s="49">
        <v>0</v>
      </c>
      <c r="BK239" s="50">
        <v>0</v>
      </c>
      <c r="BL239" s="49">
        <v>30</v>
      </c>
      <c r="BM239" s="50">
        <v>100</v>
      </c>
      <c r="BN239" s="49">
        <v>30</v>
      </c>
    </row>
    <row r="240" spans="1:66" ht="15">
      <c r="A240" s="68" t="s">
        <v>339</v>
      </c>
      <c r="B240" s="68" t="s">
        <v>435</v>
      </c>
      <c r="C240" s="69" t="s">
        <v>5208</v>
      </c>
      <c r="D240" s="70">
        <v>1</v>
      </c>
      <c r="E240" s="71" t="s">
        <v>132</v>
      </c>
      <c r="F240" s="72">
        <v>32</v>
      </c>
      <c r="G240" s="69" t="s">
        <v>51</v>
      </c>
      <c r="H240" s="73"/>
      <c r="I240" s="74"/>
      <c r="J240" s="74"/>
      <c r="K240" s="35" t="s">
        <v>65</v>
      </c>
      <c r="L240" s="82">
        <v>240</v>
      </c>
      <c r="M240" s="82"/>
      <c r="N240" s="76"/>
      <c r="O240" s="84" t="s">
        <v>440</v>
      </c>
      <c r="P240" s="86">
        <v>44086.373923611114</v>
      </c>
      <c r="Q240" s="84" t="s">
        <v>484</v>
      </c>
      <c r="R240" s="87" t="str">
        <f>HYPERLINK("https://www.weforum.org/agenda/2020/09/prevent-post-covid-carmageddon")</f>
        <v>https://www.weforum.org/agenda/2020/09/prevent-post-covid-carmageddon</v>
      </c>
      <c r="S240" s="84" t="s">
        <v>549</v>
      </c>
      <c r="T240" s="84" t="s">
        <v>600</v>
      </c>
      <c r="U240" s="84"/>
      <c r="V240" s="87" t="str">
        <f>HYPERLINK("http://pbs.twimg.com/profile_images/1153139246024286213/VIdgxJuX_normal.jpg")</f>
        <v>http://pbs.twimg.com/profile_images/1153139246024286213/VIdgxJuX_normal.jpg</v>
      </c>
      <c r="W240" s="86">
        <v>44086.373923611114</v>
      </c>
      <c r="X240" s="90">
        <v>44086</v>
      </c>
      <c r="Y240" s="92" t="s">
        <v>776</v>
      </c>
      <c r="Z240" s="87" t="str">
        <f>HYPERLINK("https://twitter.com/linuxdreams/status/1304705926553833472")</f>
        <v>https://twitter.com/linuxdreams/status/1304705926553833472</v>
      </c>
      <c r="AA240" s="84"/>
      <c r="AB240" s="84"/>
      <c r="AC240" s="92" t="s">
        <v>1170</v>
      </c>
      <c r="AD240" s="84"/>
      <c r="AE240" s="84" t="b">
        <v>0</v>
      </c>
      <c r="AF240" s="84">
        <v>0</v>
      </c>
      <c r="AG240" s="92" t="s">
        <v>1453</v>
      </c>
      <c r="AH240" s="84" t="b">
        <v>0</v>
      </c>
      <c r="AI240" s="84" t="s">
        <v>1456</v>
      </c>
      <c r="AJ240" s="84"/>
      <c r="AK240" s="92" t="s">
        <v>1453</v>
      </c>
      <c r="AL240" s="84" t="b">
        <v>0</v>
      </c>
      <c r="AM240" s="84">
        <v>36</v>
      </c>
      <c r="AN240" s="92" t="s">
        <v>1401</v>
      </c>
      <c r="AO240" s="84" t="s">
        <v>1499</v>
      </c>
      <c r="AP240" s="84" t="b">
        <v>0</v>
      </c>
      <c r="AQ240" s="92" t="s">
        <v>1401</v>
      </c>
      <c r="AR240" s="84" t="s">
        <v>187</v>
      </c>
      <c r="AS240" s="84">
        <v>0</v>
      </c>
      <c r="AT240" s="84">
        <v>0</v>
      </c>
      <c r="AU240" s="84"/>
      <c r="AV240" s="84"/>
      <c r="AW240" s="84"/>
      <c r="AX240" s="84"/>
      <c r="AY240" s="84"/>
      <c r="AZ240" s="84"/>
      <c r="BA240" s="84"/>
      <c r="BB240" s="84"/>
      <c r="BC240">
        <v>1</v>
      </c>
      <c r="BD240" s="83" t="str">
        <f>REPLACE(INDEX(GroupVertices[Group],MATCH(Edges[[#This Row],[Vertex 1]],GroupVertices[Vertex],0)),1,1,"")</f>
        <v>1</v>
      </c>
      <c r="BE240" s="83" t="str">
        <f>REPLACE(INDEX(GroupVertices[Group],MATCH(Edges[[#This Row],[Vertex 2]],GroupVertices[Vertex],0)),1,1,"")</f>
        <v>1</v>
      </c>
      <c r="BF240" s="49"/>
      <c r="BG240" s="50"/>
      <c r="BH240" s="49"/>
      <c r="BI240" s="50"/>
      <c r="BJ240" s="49"/>
      <c r="BK240" s="50"/>
      <c r="BL240" s="49"/>
      <c r="BM240" s="50"/>
      <c r="BN240" s="49"/>
    </row>
    <row r="241" spans="1:66" ht="15">
      <c r="A241" s="68" t="s">
        <v>339</v>
      </c>
      <c r="B241" s="68" t="s">
        <v>390</v>
      </c>
      <c r="C241" s="69" t="s">
        <v>5208</v>
      </c>
      <c r="D241" s="70">
        <v>1</v>
      </c>
      <c r="E241" s="71" t="s">
        <v>132</v>
      </c>
      <c r="F241" s="72">
        <v>32</v>
      </c>
      <c r="G241" s="69" t="s">
        <v>51</v>
      </c>
      <c r="H241" s="73"/>
      <c r="I241" s="74"/>
      <c r="J241" s="74"/>
      <c r="K241" s="35" t="s">
        <v>65</v>
      </c>
      <c r="L241" s="82">
        <v>241</v>
      </c>
      <c r="M241" s="82"/>
      <c r="N241" s="76"/>
      <c r="O241" s="84" t="s">
        <v>439</v>
      </c>
      <c r="P241" s="86">
        <v>44086.373923611114</v>
      </c>
      <c r="Q241" s="84" t="s">
        <v>484</v>
      </c>
      <c r="R241" s="87" t="str">
        <f>HYPERLINK("https://www.weforum.org/agenda/2020/09/prevent-post-covid-carmageddon")</f>
        <v>https://www.weforum.org/agenda/2020/09/prevent-post-covid-carmageddon</v>
      </c>
      <c r="S241" s="84" t="s">
        <v>549</v>
      </c>
      <c r="T241" s="84" t="s">
        <v>600</v>
      </c>
      <c r="U241" s="84"/>
      <c r="V241" s="87" t="str">
        <f>HYPERLINK("http://pbs.twimg.com/profile_images/1153139246024286213/VIdgxJuX_normal.jpg")</f>
        <v>http://pbs.twimg.com/profile_images/1153139246024286213/VIdgxJuX_normal.jpg</v>
      </c>
      <c r="W241" s="86">
        <v>44086.373923611114</v>
      </c>
      <c r="X241" s="90">
        <v>44086</v>
      </c>
      <c r="Y241" s="92" t="s">
        <v>776</v>
      </c>
      <c r="Z241" s="87" t="str">
        <f>HYPERLINK("https://twitter.com/linuxdreams/status/1304705926553833472")</f>
        <v>https://twitter.com/linuxdreams/status/1304705926553833472</v>
      </c>
      <c r="AA241" s="84"/>
      <c r="AB241" s="84"/>
      <c r="AC241" s="92" t="s">
        <v>1170</v>
      </c>
      <c r="AD241" s="84"/>
      <c r="AE241" s="84" t="b">
        <v>0</v>
      </c>
      <c r="AF241" s="84">
        <v>0</v>
      </c>
      <c r="AG241" s="92" t="s">
        <v>1453</v>
      </c>
      <c r="AH241" s="84" t="b">
        <v>0</v>
      </c>
      <c r="AI241" s="84" t="s">
        <v>1456</v>
      </c>
      <c r="AJ241" s="84"/>
      <c r="AK241" s="92" t="s">
        <v>1453</v>
      </c>
      <c r="AL241" s="84" t="b">
        <v>0</v>
      </c>
      <c r="AM241" s="84">
        <v>36</v>
      </c>
      <c r="AN241" s="92" t="s">
        <v>1401</v>
      </c>
      <c r="AO241" s="84" t="s">
        <v>1499</v>
      </c>
      <c r="AP241" s="84" t="b">
        <v>0</v>
      </c>
      <c r="AQ241" s="92" t="s">
        <v>1401</v>
      </c>
      <c r="AR241" s="84" t="s">
        <v>187</v>
      </c>
      <c r="AS241" s="84">
        <v>0</v>
      </c>
      <c r="AT241" s="84">
        <v>0</v>
      </c>
      <c r="AU241" s="84"/>
      <c r="AV241" s="84"/>
      <c r="AW241" s="84"/>
      <c r="AX241" s="84"/>
      <c r="AY241" s="84"/>
      <c r="AZ241" s="84"/>
      <c r="BA241" s="84"/>
      <c r="BB241" s="84"/>
      <c r="BC241">
        <v>1</v>
      </c>
      <c r="BD241" s="83" t="str">
        <f>REPLACE(INDEX(GroupVertices[Group],MATCH(Edges[[#This Row],[Vertex 1]],GroupVertices[Vertex],0)),1,1,"")</f>
        <v>1</v>
      </c>
      <c r="BE241" s="83" t="str">
        <f>REPLACE(INDEX(GroupVertices[Group],MATCH(Edges[[#This Row],[Vertex 2]],GroupVertices[Vertex],0)),1,1,"")</f>
        <v>1</v>
      </c>
      <c r="BF241" s="49">
        <v>0</v>
      </c>
      <c r="BG241" s="50">
        <v>0</v>
      </c>
      <c r="BH241" s="49">
        <v>0</v>
      </c>
      <c r="BI241" s="50">
        <v>0</v>
      </c>
      <c r="BJ241" s="49">
        <v>0</v>
      </c>
      <c r="BK241" s="50">
        <v>0</v>
      </c>
      <c r="BL241" s="49">
        <v>31</v>
      </c>
      <c r="BM241" s="50">
        <v>100</v>
      </c>
      <c r="BN241" s="49">
        <v>31</v>
      </c>
    </row>
    <row r="242" spans="1:66" ht="15">
      <c r="A242" s="68" t="s">
        <v>340</v>
      </c>
      <c r="B242" s="68" t="s">
        <v>435</v>
      </c>
      <c r="C242" s="69" t="s">
        <v>5208</v>
      </c>
      <c r="D242" s="70">
        <v>1</v>
      </c>
      <c r="E242" s="71" t="s">
        <v>132</v>
      </c>
      <c r="F242" s="72">
        <v>32</v>
      </c>
      <c r="G242" s="69" t="s">
        <v>51</v>
      </c>
      <c r="H242" s="73"/>
      <c r="I242" s="74"/>
      <c r="J242" s="74"/>
      <c r="K242" s="35" t="s">
        <v>65</v>
      </c>
      <c r="L242" s="82">
        <v>242</v>
      </c>
      <c r="M242" s="82"/>
      <c r="N242" s="76"/>
      <c r="O242" s="84" t="s">
        <v>440</v>
      </c>
      <c r="P242" s="86">
        <v>44086.37486111111</v>
      </c>
      <c r="Q242" s="84" t="s">
        <v>484</v>
      </c>
      <c r="R242" s="87" t="str">
        <f>HYPERLINK("https://www.weforum.org/agenda/2020/09/prevent-post-covid-carmageddon")</f>
        <v>https://www.weforum.org/agenda/2020/09/prevent-post-covid-carmageddon</v>
      </c>
      <c r="S242" s="84" t="s">
        <v>549</v>
      </c>
      <c r="T242" s="84" t="s">
        <v>600</v>
      </c>
      <c r="U242" s="84"/>
      <c r="V242" s="87" t="str">
        <f>HYPERLINK("http://pbs.twimg.com/profile_images/794313582326534149/Ez9NwjWq_normal.jpg")</f>
        <v>http://pbs.twimg.com/profile_images/794313582326534149/Ez9NwjWq_normal.jpg</v>
      </c>
      <c r="W242" s="86">
        <v>44086.37486111111</v>
      </c>
      <c r="X242" s="90">
        <v>44086</v>
      </c>
      <c r="Y242" s="92" t="s">
        <v>777</v>
      </c>
      <c r="Z242" s="87" t="str">
        <f>HYPERLINK("https://twitter.com/smuvdj/status/1304706265218719744")</f>
        <v>https://twitter.com/smuvdj/status/1304706265218719744</v>
      </c>
      <c r="AA242" s="84"/>
      <c r="AB242" s="84"/>
      <c r="AC242" s="92" t="s">
        <v>1171</v>
      </c>
      <c r="AD242" s="84"/>
      <c r="AE242" s="84" t="b">
        <v>0</v>
      </c>
      <c r="AF242" s="84">
        <v>0</v>
      </c>
      <c r="AG242" s="92" t="s">
        <v>1453</v>
      </c>
      <c r="AH242" s="84" t="b">
        <v>0</v>
      </c>
      <c r="AI242" s="84" t="s">
        <v>1456</v>
      </c>
      <c r="AJ242" s="84"/>
      <c r="AK242" s="92" t="s">
        <v>1453</v>
      </c>
      <c r="AL242" s="84" t="b">
        <v>0</v>
      </c>
      <c r="AM242" s="84">
        <v>36</v>
      </c>
      <c r="AN242" s="92" t="s">
        <v>1401</v>
      </c>
      <c r="AO242" s="84" t="s">
        <v>340</v>
      </c>
      <c r="AP242" s="84" t="b">
        <v>0</v>
      </c>
      <c r="AQ242" s="92" t="s">
        <v>1401</v>
      </c>
      <c r="AR242" s="84" t="s">
        <v>187</v>
      </c>
      <c r="AS242" s="84">
        <v>0</v>
      </c>
      <c r="AT242" s="84">
        <v>0</v>
      </c>
      <c r="AU242" s="84"/>
      <c r="AV242" s="84"/>
      <c r="AW242" s="84"/>
      <c r="AX242" s="84"/>
      <c r="AY242" s="84"/>
      <c r="AZ242" s="84"/>
      <c r="BA242" s="84"/>
      <c r="BB242" s="84"/>
      <c r="BC242">
        <v>1</v>
      </c>
      <c r="BD242" s="83" t="str">
        <f>REPLACE(INDEX(GroupVertices[Group],MATCH(Edges[[#This Row],[Vertex 1]],GroupVertices[Vertex],0)),1,1,"")</f>
        <v>1</v>
      </c>
      <c r="BE242" s="83" t="str">
        <f>REPLACE(INDEX(GroupVertices[Group],MATCH(Edges[[#This Row],[Vertex 2]],GroupVertices[Vertex],0)),1,1,"")</f>
        <v>1</v>
      </c>
      <c r="BF242" s="49"/>
      <c r="BG242" s="50"/>
      <c r="BH242" s="49"/>
      <c r="BI242" s="50"/>
      <c r="BJ242" s="49"/>
      <c r="BK242" s="50"/>
      <c r="BL242" s="49"/>
      <c r="BM242" s="50"/>
      <c r="BN242" s="49"/>
    </row>
    <row r="243" spans="1:66" ht="15">
      <c r="A243" s="68" t="s">
        <v>340</v>
      </c>
      <c r="B243" s="68" t="s">
        <v>390</v>
      </c>
      <c r="C243" s="69" t="s">
        <v>5208</v>
      </c>
      <c r="D243" s="70">
        <v>1</v>
      </c>
      <c r="E243" s="71" t="s">
        <v>132</v>
      </c>
      <c r="F243" s="72">
        <v>32</v>
      </c>
      <c r="G243" s="69" t="s">
        <v>51</v>
      </c>
      <c r="H243" s="73"/>
      <c r="I243" s="74"/>
      <c r="J243" s="74"/>
      <c r="K243" s="35" t="s">
        <v>65</v>
      </c>
      <c r="L243" s="82">
        <v>243</v>
      </c>
      <c r="M243" s="82"/>
      <c r="N243" s="76"/>
      <c r="O243" s="84" t="s">
        <v>439</v>
      </c>
      <c r="P243" s="86">
        <v>44086.37486111111</v>
      </c>
      <c r="Q243" s="84" t="s">
        <v>484</v>
      </c>
      <c r="R243" s="87" t="str">
        <f>HYPERLINK("https://www.weforum.org/agenda/2020/09/prevent-post-covid-carmageddon")</f>
        <v>https://www.weforum.org/agenda/2020/09/prevent-post-covid-carmageddon</v>
      </c>
      <c r="S243" s="84" t="s">
        <v>549</v>
      </c>
      <c r="T243" s="84" t="s">
        <v>600</v>
      </c>
      <c r="U243" s="84"/>
      <c r="V243" s="87" t="str">
        <f>HYPERLINK("http://pbs.twimg.com/profile_images/794313582326534149/Ez9NwjWq_normal.jpg")</f>
        <v>http://pbs.twimg.com/profile_images/794313582326534149/Ez9NwjWq_normal.jpg</v>
      </c>
      <c r="W243" s="86">
        <v>44086.37486111111</v>
      </c>
      <c r="X243" s="90">
        <v>44086</v>
      </c>
      <c r="Y243" s="92" t="s">
        <v>777</v>
      </c>
      <c r="Z243" s="87" t="str">
        <f>HYPERLINK("https://twitter.com/smuvdj/status/1304706265218719744")</f>
        <v>https://twitter.com/smuvdj/status/1304706265218719744</v>
      </c>
      <c r="AA243" s="84"/>
      <c r="AB243" s="84"/>
      <c r="AC243" s="92" t="s">
        <v>1171</v>
      </c>
      <c r="AD243" s="84"/>
      <c r="AE243" s="84" t="b">
        <v>0</v>
      </c>
      <c r="AF243" s="84">
        <v>0</v>
      </c>
      <c r="AG243" s="92" t="s">
        <v>1453</v>
      </c>
      <c r="AH243" s="84" t="b">
        <v>0</v>
      </c>
      <c r="AI243" s="84" t="s">
        <v>1456</v>
      </c>
      <c r="AJ243" s="84"/>
      <c r="AK243" s="92" t="s">
        <v>1453</v>
      </c>
      <c r="AL243" s="84" t="b">
        <v>0</v>
      </c>
      <c r="AM243" s="84">
        <v>36</v>
      </c>
      <c r="AN243" s="92" t="s">
        <v>1401</v>
      </c>
      <c r="AO243" s="84" t="s">
        <v>340</v>
      </c>
      <c r="AP243" s="84" t="b">
        <v>0</v>
      </c>
      <c r="AQ243" s="92" t="s">
        <v>1401</v>
      </c>
      <c r="AR243" s="84" t="s">
        <v>187</v>
      </c>
      <c r="AS243" s="84">
        <v>0</v>
      </c>
      <c r="AT243" s="84">
        <v>0</v>
      </c>
      <c r="AU243" s="84"/>
      <c r="AV243" s="84"/>
      <c r="AW243" s="84"/>
      <c r="AX243" s="84"/>
      <c r="AY243" s="84"/>
      <c r="AZ243" s="84"/>
      <c r="BA243" s="84"/>
      <c r="BB243" s="84"/>
      <c r="BC243">
        <v>1</v>
      </c>
      <c r="BD243" s="83" t="str">
        <f>REPLACE(INDEX(GroupVertices[Group],MATCH(Edges[[#This Row],[Vertex 1]],GroupVertices[Vertex],0)),1,1,"")</f>
        <v>1</v>
      </c>
      <c r="BE243" s="83" t="str">
        <f>REPLACE(INDEX(GroupVertices[Group],MATCH(Edges[[#This Row],[Vertex 2]],GroupVertices[Vertex],0)),1,1,"")</f>
        <v>1</v>
      </c>
      <c r="BF243" s="49">
        <v>0</v>
      </c>
      <c r="BG243" s="50">
        <v>0</v>
      </c>
      <c r="BH243" s="49">
        <v>0</v>
      </c>
      <c r="BI243" s="50">
        <v>0</v>
      </c>
      <c r="BJ243" s="49">
        <v>0</v>
      </c>
      <c r="BK243" s="50">
        <v>0</v>
      </c>
      <c r="BL243" s="49">
        <v>31</v>
      </c>
      <c r="BM243" s="50">
        <v>100</v>
      </c>
      <c r="BN243" s="49">
        <v>31</v>
      </c>
    </row>
    <row r="244" spans="1:66" ht="15">
      <c r="A244" s="68" t="s">
        <v>341</v>
      </c>
      <c r="B244" s="68" t="s">
        <v>389</v>
      </c>
      <c r="C244" s="69" t="s">
        <v>5208</v>
      </c>
      <c r="D244" s="70">
        <v>1</v>
      </c>
      <c r="E244" s="71" t="s">
        <v>132</v>
      </c>
      <c r="F244" s="72">
        <v>32</v>
      </c>
      <c r="G244" s="69" t="s">
        <v>51</v>
      </c>
      <c r="H244" s="73"/>
      <c r="I244" s="74"/>
      <c r="J244" s="74"/>
      <c r="K244" s="35" t="s">
        <v>65</v>
      </c>
      <c r="L244" s="82">
        <v>244</v>
      </c>
      <c r="M244" s="82"/>
      <c r="N244" s="76"/>
      <c r="O244" s="84" t="s">
        <v>439</v>
      </c>
      <c r="P244" s="86">
        <v>44084.404953703706</v>
      </c>
      <c r="Q244" s="84" t="s">
        <v>478</v>
      </c>
      <c r="R244" s="87" t="str">
        <f>HYPERLINK("http://www.globalbigdataconference.com/145756/combatting-covid-19-misinformation-with-machine-learning/industrynews-details.html")</f>
        <v>http://www.globalbigdataconference.com/145756/combatting-covid-19-misinformation-with-machine-learning/industrynews-details.html</v>
      </c>
      <c r="S244" s="84" t="s">
        <v>541</v>
      </c>
      <c r="T244" s="84" t="s">
        <v>580</v>
      </c>
      <c r="U244" s="84"/>
      <c r="V244" s="87" t="str">
        <f>HYPERLINK("http://pbs.twimg.com/profile_images/1276760536705724417/ol2P_j0e_normal.jpg")</f>
        <v>http://pbs.twimg.com/profile_images/1276760536705724417/ol2P_j0e_normal.jpg</v>
      </c>
      <c r="W244" s="86">
        <v>44084.404953703706</v>
      </c>
      <c r="X244" s="90">
        <v>44084</v>
      </c>
      <c r="Y244" s="92" t="s">
        <v>778</v>
      </c>
      <c r="Z244" s="87" t="str">
        <f>HYPERLINK("https://twitter.com/iotvishal/status/1303992394182832129")</f>
        <v>https://twitter.com/iotvishal/status/1303992394182832129</v>
      </c>
      <c r="AA244" s="84"/>
      <c r="AB244" s="84"/>
      <c r="AC244" s="92" t="s">
        <v>1172</v>
      </c>
      <c r="AD244" s="84"/>
      <c r="AE244" s="84" t="b">
        <v>0</v>
      </c>
      <c r="AF244" s="84">
        <v>0</v>
      </c>
      <c r="AG244" s="92" t="s">
        <v>1453</v>
      </c>
      <c r="AH244" s="84" t="b">
        <v>0</v>
      </c>
      <c r="AI244" s="84" t="s">
        <v>1456</v>
      </c>
      <c r="AJ244" s="84"/>
      <c r="AK244" s="92" t="s">
        <v>1453</v>
      </c>
      <c r="AL244" s="84" t="b">
        <v>0</v>
      </c>
      <c r="AM244" s="84">
        <v>25</v>
      </c>
      <c r="AN244" s="92" t="s">
        <v>1287</v>
      </c>
      <c r="AO244" s="84"/>
      <c r="AP244" s="84" t="b">
        <v>0</v>
      </c>
      <c r="AQ244" s="92" t="s">
        <v>1287</v>
      </c>
      <c r="AR244" s="84" t="s">
        <v>187</v>
      </c>
      <c r="AS244" s="84">
        <v>0</v>
      </c>
      <c r="AT244" s="84">
        <v>0</v>
      </c>
      <c r="AU244" s="84"/>
      <c r="AV244" s="84"/>
      <c r="AW244" s="84"/>
      <c r="AX244" s="84"/>
      <c r="AY244" s="84"/>
      <c r="AZ244" s="84"/>
      <c r="BA244" s="84"/>
      <c r="BB244" s="84"/>
      <c r="BC244">
        <v>1</v>
      </c>
      <c r="BD244" s="83" t="str">
        <f>REPLACE(INDEX(GroupVertices[Group],MATCH(Edges[[#This Row],[Vertex 1]],GroupVertices[Vertex],0)),1,1,"")</f>
        <v>1</v>
      </c>
      <c r="BE244" s="83" t="str">
        <f>REPLACE(INDEX(GroupVertices[Group],MATCH(Edges[[#This Row],[Vertex 2]],GroupVertices[Vertex],0)),1,1,"")</f>
        <v>3</v>
      </c>
      <c r="BF244" s="49">
        <v>0</v>
      </c>
      <c r="BG244" s="50">
        <v>0</v>
      </c>
      <c r="BH244" s="49">
        <v>0</v>
      </c>
      <c r="BI244" s="50">
        <v>0</v>
      </c>
      <c r="BJ244" s="49">
        <v>0</v>
      </c>
      <c r="BK244" s="50">
        <v>0</v>
      </c>
      <c r="BL244" s="49">
        <v>25</v>
      </c>
      <c r="BM244" s="50">
        <v>100</v>
      </c>
      <c r="BN244" s="49">
        <v>25</v>
      </c>
    </row>
    <row r="245" spans="1:66" ht="15">
      <c r="A245" s="68" t="s">
        <v>341</v>
      </c>
      <c r="B245" s="68" t="s">
        <v>435</v>
      </c>
      <c r="C245" s="69" t="s">
        <v>5208</v>
      </c>
      <c r="D245" s="70">
        <v>1</v>
      </c>
      <c r="E245" s="71" t="s">
        <v>132</v>
      </c>
      <c r="F245" s="72">
        <v>32</v>
      </c>
      <c r="G245" s="69" t="s">
        <v>51</v>
      </c>
      <c r="H245" s="73"/>
      <c r="I245" s="74"/>
      <c r="J245" s="74"/>
      <c r="K245" s="35" t="s">
        <v>65</v>
      </c>
      <c r="L245" s="82">
        <v>245</v>
      </c>
      <c r="M245" s="82"/>
      <c r="N245" s="76"/>
      <c r="O245" s="84" t="s">
        <v>440</v>
      </c>
      <c r="P245" s="86">
        <v>44086.37644675926</v>
      </c>
      <c r="Q245" s="84" t="s">
        <v>484</v>
      </c>
      <c r="R245" s="87" t="str">
        <f>HYPERLINK("https://www.weforum.org/agenda/2020/09/prevent-post-covid-carmageddon")</f>
        <v>https://www.weforum.org/agenda/2020/09/prevent-post-covid-carmageddon</v>
      </c>
      <c r="S245" s="84" t="s">
        <v>549</v>
      </c>
      <c r="T245" s="84" t="s">
        <v>600</v>
      </c>
      <c r="U245" s="84"/>
      <c r="V245" s="87" t="str">
        <f>HYPERLINK("http://pbs.twimg.com/profile_images/1276760536705724417/ol2P_j0e_normal.jpg")</f>
        <v>http://pbs.twimg.com/profile_images/1276760536705724417/ol2P_j0e_normal.jpg</v>
      </c>
      <c r="W245" s="86">
        <v>44086.37644675926</v>
      </c>
      <c r="X245" s="90">
        <v>44086</v>
      </c>
      <c r="Y245" s="92" t="s">
        <v>779</v>
      </c>
      <c r="Z245" s="87" t="str">
        <f>HYPERLINK("https://twitter.com/iotvishal/status/1304706839326547970")</f>
        <v>https://twitter.com/iotvishal/status/1304706839326547970</v>
      </c>
      <c r="AA245" s="84"/>
      <c r="AB245" s="84"/>
      <c r="AC245" s="92" t="s">
        <v>1173</v>
      </c>
      <c r="AD245" s="84"/>
      <c r="AE245" s="84" t="b">
        <v>0</v>
      </c>
      <c r="AF245" s="84">
        <v>0</v>
      </c>
      <c r="AG245" s="92" t="s">
        <v>1453</v>
      </c>
      <c r="AH245" s="84" t="b">
        <v>0</v>
      </c>
      <c r="AI245" s="84" t="s">
        <v>1456</v>
      </c>
      <c r="AJ245" s="84"/>
      <c r="AK245" s="92" t="s">
        <v>1453</v>
      </c>
      <c r="AL245" s="84" t="b">
        <v>0</v>
      </c>
      <c r="AM245" s="84">
        <v>36</v>
      </c>
      <c r="AN245" s="92" t="s">
        <v>1401</v>
      </c>
      <c r="AO245" s="84"/>
      <c r="AP245" s="84" t="b">
        <v>0</v>
      </c>
      <c r="AQ245" s="92" t="s">
        <v>1401</v>
      </c>
      <c r="AR245" s="84" t="s">
        <v>187</v>
      </c>
      <c r="AS245" s="84">
        <v>0</v>
      </c>
      <c r="AT245" s="84">
        <v>0</v>
      </c>
      <c r="AU245" s="84"/>
      <c r="AV245" s="84"/>
      <c r="AW245" s="84"/>
      <c r="AX245" s="84"/>
      <c r="AY245" s="84"/>
      <c r="AZ245" s="84"/>
      <c r="BA245" s="84"/>
      <c r="BB245" s="84"/>
      <c r="BC245">
        <v>1</v>
      </c>
      <c r="BD245" s="83" t="str">
        <f>REPLACE(INDEX(GroupVertices[Group],MATCH(Edges[[#This Row],[Vertex 1]],GroupVertices[Vertex],0)),1,1,"")</f>
        <v>1</v>
      </c>
      <c r="BE245" s="83" t="str">
        <f>REPLACE(INDEX(GroupVertices[Group],MATCH(Edges[[#This Row],[Vertex 2]],GroupVertices[Vertex],0)),1,1,"")</f>
        <v>1</v>
      </c>
      <c r="BF245" s="49"/>
      <c r="BG245" s="50"/>
      <c r="BH245" s="49"/>
      <c r="BI245" s="50"/>
      <c r="BJ245" s="49"/>
      <c r="BK245" s="50"/>
      <c r="BL245" s="49"/>
      <c r="BM245" s="50"/>
      <c r="BN245" s="49"/>
    </row>
    <row r="246" spans="1:66" ht="15">
      <c r="A246" s="68" t="s">
        <v>341</v>
      </c>
      <c r="B246" s="68" t="s">
        <v>390</v>
      </c>
      <c r="C246" s="69" t="s">
        <v>5208</v>
      </c>
      <c r="D246" s="70">
        <v>1</v>
      </c>
      <c r="E246" s="71" t="s">
        <v>132</v>
      </c>
      <c r="F246" s="72">
        <v>32</v>
      </c>
      <c r="G246" s="69" t="s">
        <v>51</v>
      </c>
      <c r="H246" s="73"/>
      <c r="I246" s="74"/>
      <c r="J246" s="74"/>
      <c r="K246" s="35" t="s">
        <v>65</v>
      </c>
      <c r="L246" s="82">
        <v>246</v>
      </c>
      <c r="M246" s="82"/>
      <c r="N246" s="76"/>
      <c r="O246" s="84" t="s">
        <v>439</v>
      </c>
      <c r="P246" s="86">
        <v>44086.37644675926</v>
      </c>
      <c r="Q246" s="84" t="s">
        <v>484</v>
      </c>
      <c r="R246" s="87" t="str">
        <f>HYPERLINK("https://www.weforum.org/agenda/2020/09/prevent-post-covid-carmageddon")</f>
        <v>https://www.weforum.org/agenda/2020/09/prevent-post-covid-carmageddon</v>
      </c>
      <c r="S246" s="84" t="s">
        <v>549</v>
      </c>
      <c r="T246" s="84" t="s">
        <v>600</v>
      </c>
      <c r="U246" s="84"/>
      <c r="V246" s="87" t="str">
        <f>HYPERLINK("http://pbs.twimg.com/profile_images/1276760536705724417/ol2P_j0e_normal.jpg")</f>
        <v>http://pbs.twimg.com/profile_images/1276760536705724417/ol2P_j0e_normal.jpg</v>
      </c>
      <c r="W246" s="86">
        <v>44086.37644675926</v>
      </c>
      <c r="X246" s="90">
        <v>44086</v>
      </c>
      <c r="Y246" s="92" t="s">
        <v>779</v>
      </c>
      <c r="Z246" s="87" t="str">
        <f>HYPERLINK("https://twitter.com/iotvishal/status/1304706839326547970")</f>
        <v>https://twitter.com/iotvishal/status/1304706839326547970</v>
      </c>
      <c r="AA246" s="84"/>
      <c r="AB246" s="84"/>
      <c r="AC246" s="92" t="s">
        <v>1173</v>
      </c>
      <c r="AD246" s="84"/>
      <c r="AE246" s="84" t="b">
        <v>0</v>
      </c>
      <c r="AF246" s="84">
        <v>0</v>
      </c>
      <c r="AG246" s="92" t="s">
        <v>1453</v>
      </c>
      <c r="AH246" s="84" t="b">
        <v>0</v>
      </c>
      <c r="AI246" s="84" t="s">
        <v>1456</v>
      </c>
      <c r="AJ246" s="84"/>
      <c r="AK246" s="92" t="s">
        <v>1453</v>
      </c>
      <c r="AL246" s="84" t="b">
        <v>0</v>
      </c>
      <c r="AM246" s="84">
        <v>36</v>
      </c>
      <c r="AN246" s="92" t="s">
        <v>1401</v>
      </c>
      <c r="AO246" s="84"/>
      <c r="AP246" s="84" t="b">
        <v>0</v>
      </c>
      <c r="AQ246" s="92" t="s">
        <v>1401</v>
      </c>
      <c r="AR246" s="84" t="s">
        <v>187</v>
      </c>
      <c r="AS246" s="84">
        <v>0</v>
      </c>
      <c r="AT246" s="84">
        <v>0</v>
      </c>
      <c r="AU246" s="84"/>
      <c r="AV246" s="84"/>
      <c r="AW246" s="84"/>
      <c r="AX246" s="84"/>
      <c r="AY246" s="84"/>
      <c r="AZ246" s="84"/>
      <c r="BA246" s="84"/>
      <c r="BB246" s="84"/>
      <c r="BC246">
        <v>1</v>
      </c>
      <c r="BD246" s="83" t="str">
        <f>REPLACE(INDEX(GroupVertices[Group],MATCH(Edges[[#This Row],[Vertex 1]],GroupVertices[Vertex],0)),1,1,"")</f>
        <v>1</v>
      </c>
      <c r="BE246" s="83" t="str">
        <f>REPLACE(INDEX(GroupVertices[Group],MATCH(Edges[[#This Row],[Vertex 2]],GroupVertices[Vertex],0)),1,1,"")</f>
        <v>1</v>
      </c>
      <c r="BF246" s="49">
        <v>0</v>
      </c>
      <c r="BG246" s="50">
        <v>0</v>
      </c>
      <c r="BH246" s="49">
        <v>0</v>
      </c>
      <c r="BI246" s="50">
        <v>0</v>
      </c>
      <c r="BJ246" s="49">
        <v>0</v>
      </c>
      <c r="BK246" s="50">
        <v>0</v>
      </c>
      <c r="BL246" s="49">
        <v>31</v>
      </c>
      <c r="BM246" s="50">
        <v>100</v>
      </c>
      <c r="BN246" s="49">
        <v>31</v>
      </c>
    </row>
    <row r="247" spans="1:66" ht="15">
      <c r="A247" s="68" t="s">
        <v>342</v>
      </c>
      <c r="B247" s="68" t="s">
        <v>435</v>
      </c>
      <c r="C247" s="69" t="s">
        <v>5208</v>
      </c>
      <c r="D247" s="70">
        <v>1</v>
      </c>
      <c r="E247" s="71" t="s">
        <v>132</v>
      </c>
      <c r="F247" s="72">
        <v>32</v>
      </c>
      <c r="G247" s="69" t="s">
        <v>51</v>
      </c>
      <c r="H247" s="73"/>
      <c r="I247" s="74"/>
      <c r="J247" s="74"/>
      <c r="K247" s="35" t="s">
        <v>65</v>
      </c>
      <c r="L247" s="82">
        <v>247</v>
      </c>
      <c r="M247" s="82"/>
      <c r="N247" s="76"/>
      <c r="O247" s="84" t="s">
        <v>440</v>
      </c>
      <c r="P247" s="86">
        <v>44086.46324074074</v>
      </c>
      <c r="Q247" s="84" t="s">
        <v>484</v>
      </c>
      <c r="R247" s="87" t="str">
        <f>HYPERLINK("https://www.weforum.org/agenda/2020/09/prevent-post-covid-carmageddon")</f>
        <v>https://www.weforum.org/agenda/2020/09/prevent-post-covid-carmageddon</v>
      </c>
      <c r="S247" s="84" t="s">
        <v>549</v>
      </c>
      <c r="T247" s="84" t="s">
        <v>600</v>
      </c>
      <c r="U247" s="84"/>
      <c r="V247" s="87" t="str">
        <f>HYPERLINK("http://pbs.twimg.com/profile_images/1009625260008718336/9dsSgvwL_normal.jpg")</f>
        <v>http://pbs.twimg.com/profile_images/1009625260008718336/9dsSgvwL_normal.jpg</v>
      </c>
      <c r="W247" s="86">
        <v>44086.46324074074</v>
      </c>
      <c r="X247" s="90">
        <v>44086</v>
      </c>
      <c r="Y247" s="92" t="s">
        <v>780</v>
      </c>
      <c r="Z247" s="87" t="str">
        <f>HYPERLINK("https://twitter.com/digitogether/status/1304738291103805442")</f>
        <v>https://twitter.com/digitogether/status/1304738291103805442</v>
      </c>
      <c r="AA247" s="84"/>
      <c r="AB247" s="84"/>
      <c r="AC247" s="92" t="s">
        <v>1174</v>
      </c>
      <c r="AD247" s="84"/>
      <c r="AE247" s="84" t="b">
        <v>0</v>
      </c>
      <c r="AF247" s="84">
        <v>0</v>
      </c>
      <c r="AG247" s="92" t="s">
        <v>1453</v>
      </c>
      <c r="AH247" s="84" t="b">
        <v>0</v>
      </c>
      <c r="AI247" s="84" t="s">
        <v>1456</v>
      </c>
      <c r="AJ247" s="84"/>
      <c r="AK247" s="92" t="s">
        <v>1453</v>
      </c>
      <c r="AL247" s="84" t="b">
        <v>0</v>
      </c>
      <c r="AM247" s="84">
        <v>36</v>
      </c>
      <c r="AN247" s="92" t="s">
        <v>1401</v>
      </c>
      <c r="AO247" s="84" t="s">
        <v>1487</v>
      </c>
      <c r="AP247" s="84" t="b">
        <v>0</v>
      </c>
      <c r="AQ247" s="92" t="s">
        <v>1401</v>
      </c>
      <c r="AR247" s="84" t="s">
        <v>187</v>
      </c>
      <c r="AS247" s="84">
        <v>0</v>
      </c>
      <c r="AT247" s="84">
        <v>0</v>
      </c>
      <c r="AU247" s="84"/>
      <c r="AV247" s="84"/>
      <c r="AW247" s="84"/>
      <c r="AX247" s="84"/>
      <c r="AY247" s="84"/>
      <c r="AZ247" s="84"/>
      <c r="BA247" s="84"/>
      <c r="BB247" s="84"/>
      <c r="BC247">
        <v>1</v>
      </c>
      <c r="BD247" s="83" t="str">
        <f>REPLACE(INDEX(GroupVertices[Group],MATCH(Edges[[#This Row],[Vertex 1]],GroupVertices[Vertex],0)),1,1,"")</f>
        <v>1</v>
      </c>
      <c r="BE247" s="83" t="str">
        <f>REPLACE(INDEX(GroupVertices[Group],MATCH(Edges[[#This Row],[Vertex 2]],GroupVertices[Vertex],0)),1,1,"")</f>
        <v>1</v>
      </c>
      <c r="BF247" s="49"/>
      <c r="BG247" s="50"/>
      <c r="BH247" s="49"/>
      <c r="BI247" s="50"/>
      <c r="BJ247" s="49"/>
      <c r="BK247" s="50"/>
      <c r="BL247" s="49"/>
      <c r="BM247" s="50"/>
      <c r="BN247" s="49"/>
    </row>
    <row r="248" spans="1:66" ht="15">
      <c r="A248" s="68" t="s">
        <v>342</v>
      </c>
      <c r="B248" s="68" t="s">
        <v>390</v>
      </c>
      <c r="C248" s="69" t="s">
        <v>5208</v>
      </c>
      <c r="D248" s="70">
        <v>1</v>
      </c>
      <c r="E248" s="71" t="s">
        <v>132</v>
      </c>
      <c r="F248" s="72">
        <v>32</v>
      </c>
      <c r="G248" s="69" t="s">
        <v>51</v>
      </c>
      <c r="H248" s="73"/>
      <c r="I248" s="74"/>
      <c r="J248" s="74"/>
      <c r="K248" s="35" t="s">
        <v>65</v>
      </c>
      <c r="L248" s="82">
        <v>248</v>
      </c>
      <c r="M248" s="82"/>
      <c r="N248" s="76"/>
      <c r="O248" s="84" t="s">
        <v>439</v>
      </c>
      <c r="P248" s="86">
        <v>44086.46324074074</v>
      </c>
      <c r="Q248" s="84" t="s">
        <v>484</v>
      </c>
      <c r="R248" s="87" t="str">
        <f>HYPERLINK("https://www.weforum.org/agenda/2020/09/prevent-post-covid-carmageddon")</f>
        <v>https://www.weforum.org/agenda/2020/09/prevent-post-covid-carmageddon</v>
      </c>
      <c r="S248" s="84" t="s">
        <v>549</v>
      </c>
      <c r="T248" s="84" t="s">
        <v>600</v>
      </c>
      <c r="U248" s="84"/>
      <c r="V248" s="87" t="str">
        <f>HYPERLINK("http://pbs.twimg.com/profile_images/1009625260008718336/9dsSgvwL_normal.jpg")</f>
        <v>http://pbs.twimg.com/profile_images/1009625260008718336/9dsSgvwL_normal.jpg</v>
      </c>
      <c r="W248" s="86">
        <v>44086.46324074074</v>
      </c>
      <c r="X248" s="90">
        <v>44086</v>
      </c>
      <c r="Y248" s="92" t="s">
        <v>780</v>
      </c>
      <c r="Z248" s="87" t="str">
        <f>HYPERLINK("https://twitter.com/digitogether/status/1304738291103805442")</f>
        <v>https://twitter.com/digitogether/status/1304738291103805442</v>
      </c>
      <c r="AA248" s="84"/>
      <c r="AB248" s="84"/>
      <c r="AC248" s="92" t="s">
        <v>1174</v>
      </c>
      <c r="AD248" s="84"/>
      <c r="AE248" s="84" t="b">
        <v>0</v>
      </c>
      <c r="AF248" s="84">
        <v>0</v>
      </c>
      <c r="AG248" s="92" t="s">
        <v>1453</v>
      </c>
      <c r="AH248" s="84" t="b">
        <v>0</v>
      </c>
      <c r="AI248" s="84" t="s">
        <v>1456</v>
      </c>
      <c r="AJ248" s="84"/>
      <c r="AK248" s="92" t="s">
        <v>1453</v>
      </c>
      <c r="AL248" s="84" t="b">
        <v>0</v>
      </c>
      <c r="AM248" s="84">
        <v>36</v>
      </c>
      <c r="AN248" s="92" t="s">
        <v>1401</v>
      </c>
      <c r="AO248" s="84" t="s">
        <v>1487</v>
      </c>
      <c r="AP248" s="84" t="b">
        <v>0</v>
      </c>
      <c r="AQ248" s="92" t="s">
        <v>1401</v>
      </c>
      <c r="AR248" s="84" t="s">
        <v>187</v>
      </c>
      <c r="AS248" s="84">
        <v>0</v>
      </c>
      <c r="AT248" s="84">
        <v>0</v>
      </c>
      <c r="AU248" s="84"/>
      <c r="AV248" s="84"/>
      <c r="AW248" s="84"/>
      <c r="AX248" s="84"/>
      <c r="AY248" s="84"/>
      <c r="AZ248" s="84"/>
      <c r="BA248" s="84"/>
      <c r="BB248" s="84"/>
      <c r="BC248">
        <v>1</v>
      </c>
      <c r="BD248" s="83" t="str">
        <f>REPLACE(INDEX(GroupVertices[Group],MATCH(Edges[[#This Row],[Vertex 1]],GroupVertices[Vertex],0)),1,1,"")</f>
        <v>1</v>
      </c>
      <c r="BE248" s="83" t="str">
        <f>REPLACE(INDEX(GroupVertices[Group],MATCH(Edges[[#This Row],[Vertex 2]],GroupVertices[Vertex],0)),1,1,"")</f>
        <v>1</v>
      </c>
      <c r="BF248" s="49">
        <v>0</v>
      </c>
      <c r="BG248" s="50">
        <v>0</v>
      </c>
      <c r="BH248" s="49">
        <v>0</v>
      </c>
      <c r="BI248" s="50">
        <v>0</v>
      </c>
      <c r="BJ248" s="49">
        <v>0</v>
      </c>
      <c r="BK248" s="50">
        <v>0</v>
      </c>
      <c r="BL248" s="49">
        <v>31</v>
      </c>
      <c r="BM248" s="50">
        <v>100</v>
      </c>
      <c r="BN248" s="49">
        <v>31</v>
      </c>
    </row>
    <row r="249" spans="1:66" ht="15">
      <c r="A249" s="68" t="s">
        <v>343</v>
      </c>
      <c r="B249" s="68" t="s">
        <v>435</v>
      </c>
      <c r="C249" s="69" t="s">
        <v>5208</v>
      </c>
      <c r="D249" s="70">
        <v>1</v>
      </c>
      <c r="E249" s="71" t="s">
        <v>132</v>
      </c>
      <c r="F249" s="72">
        <v>32</v>
      </c>
      <c r="G249" s="69" t="s">
        <v>51</v>
      </c>
      <c r="H249" s="73"/>
      <c r="I249" s="74"/>
      <c r="J249" s="74"/>
      <c r="K249" s="35" t="s">
        <v>65</v>
      </c>
      <c r="L249" s="82">
        <v>249</v>
      </c>
      <c r="M249" s="82"/>
      <c r="N249" s="76"/>
      <c r="O249" s="84" t="s">
        <v>440</v>
      </c>
      <c r="P249" s="86">
        <v>44086.46493055556</v>
      </c>
      <c r="Q249" s="84" t="s">
        <v>484</v>
      </c>
      <c r="R249" s="87" t="str">
        <f>HYPERLINK("https://www.weforum.org/agenda/2020/09/prevent-post-covid-carmageddon")</f>
        <v>https://www.weforum.org/agenda/2020/09/prevent-post-covid-carmageddon</v>
      </c>
      <c r="S249" s="84" t="s">
        <v>549</v>
      </c>
      <c r="T249" s="84" t="s">
        <v>600</v>
      </c>
      <c r="U249" s="84"/>
      <c r="V249" s="87" t="str">
        <f>HYPERLINK("http://pbs.twimg.com/profile_images/1039067213267959808/57HeKZJm_normal.jpg")</f>
        <v>http://pbs.twimg.com/profile_images/1039067213267959808/57HeKZJm_normal.jpg</v>
      </c>
      <c r="W249" s="86">
        <v>44086.46493055556</v>
      </c>
      <c r="X249" s="90">
        <v>44086</v>
      </c>
      <c r="Y249" s="92" t="s">
        <v>781</v>
      </c>
      <c r="Z249" s="87" t="str">
        <f>HYPERLINK("https://twitter.com/taymobtopdog/status/1304738906093608960")</f>
        <v>https://twitter.com/taymobtopdog/status/1304738906093608960</v>
      </c>
      <c r="AA249" s="84"/>
      <c r="AB249" s="84"/>
      <c r="AC249" s="92" t="s">
        <v>1175</v>
      </c>
      <c r="AD249" s="84"/>
      <c r="AE249" s="84" t="b">
        <v>0</v>
      </c>
      <c r="AF249" s="84">
        <v>0</v>
      </c>
      <c r="AG249" s="92" t="s">
        <v>1453</v>
      </c>
      <c r="AH249" s="84" t="b">
        <v>0</v>
      </c>
      <c r="AI249" s="84" t="s">
        <v>1456</v>
      </c>
      <c r="AJ249" s="84"/>
      <c r="AK249" s="92" t="s">
        <v>1453</v>
      </c>
      <c r="AL249" s="84" t="b">
        <v>0</v>
      </c>
      <c r="AM249" s="84">
        <v>36</v>
      </c>
      <c r="AN249" s="92" t="s">
        <v>1401</v>
      </c>
      <c r="AO249" s="84" t="s">
        <v>1500</v>
      </c>
      <c r="AP249" s="84" t="b">
        <v>0</v>
      </c>
      <c r="AQ249" s="92" t="s">
        <v>1401</v>
      </c>
      <c r="AR249" s="84" t="s">
        <v>187</v>
      </c>
      <c r="AS249" s="84">
        <v>0</v>
      </c>
      <c r="AT249" s="84">
        <v>0</v>
      </c>
      <c r="AU249" s="84"/>
      <c r="AV249" s="84"/>
      <c r="AW249" s="84"/>
      <c r="AX249" s="84"/>
      <c r="AY249" s="84"/>
      <c r="AZ249" s="84"/>
      <c r="BA249" s="84"/>
      <c r="BB249" s="84"/>
      <c r="BC249">
        <v>1</v>
      </c>
      <c r="BD249" s="83" t="str">
        <f>REPLACE(INDEX(GroupVertices[Group],MATCH(Edges[[#This Row],[Vertex 1]],GroupVertices[Vertex],0)),1,1,"")</f>
        <v>1</v>
      </c>
      <c r="BE249" s="83" t="str">
        <f>REPLACE(INDEX(GroupVertices[Group],MATCH(Edges[[#This Row],[Vertex 2]],GroupVertices[Vertex],0)),1,1,"")</f>
        <v>1</v>
      </c>
      <c r="BF249" s="49"/>
      <c r="BG249" s="50"/>
      <c r="BH249" s="49"/>
      <c r="BI249" s="50"/>
      <c r="BJ249" s="49"/>
      <c r="BK249" s="50"/>
      <c r="BL249" s="49"/>
      <c r="BM249" s="50"/>
      <c r="BN249" s="49"/>
    </row>
    <row r="250" spans="1:66" ht="15">
      <c r="A250" s="68" t="s">
        <v>343</v>
      </c>
      <c r="B250" s="68" t="s">
        <v>390</v>
      </c>
      <c r="C250" s="69" t="s">
        <v>5208</v>
      </c>
      <c r="D250" s="70">
        <v>1</v>
      </c>
      <c r="E250" s="71" t="s">
        <v>132</v>
      </c>
      <c r="F250" s="72">
        <v>32</v>
      </c>
      <c r="G250" s="69" t="s">
        <v>51</v>
      </c>
      <c r="H250" s="73"/>
      <c r="I250" s="74"/>
      <c r="J250" s="74"/>
      <c r="K250" s="35" t="s">
        <v>65</v>
      </c>
      <c r="L250" s="82">
        <v>250</v>
      </c>
      <c r="M250" s="82"/>
      <c r="N250" s="76"/>
      <c r="O250" s="84" t="s">
        <v>439</v>
      </c>
      <c r="P250" s="86">
        <v>44086.46493055556</v>
      </c>
      <c r="Q250" s="84" t="s">
        <v>484</v>
      </c>
      <c r="R250" s="87" t="str">
        <f>HYPERLINK("https://www.weforum.org/agenda/2020/09/prevent-post-covid-carmageddon")</f>
        <v>https://www.weforum.org/agenda/2020/09/prevent-post-covid-carmageddon</v>
      </c>
      <c r="S250" s="84" t="s">
        <v>549</v>
      </c>
      <c r="T250" s="84" t="s">
        <v>600</v>
      </c>
      <c r="U250" s="84"/>
      <c r="V250" s="87" t="str">
        <f>HYPERLINK("http://pbs.twimg.com/profile_images/1039067213267959808/57HeKZJm_normal.jpg")</f>
        <v>http://pbs.twimg.com/profile_images/1039067213267959808/57HeKZJm_normal.jpg</v>
      </c>
      <c r="W250" s="86">
        <v>44086.46493055556</v>
      </c>
      <c r="X250" s="90">
        <v>44086</v>
      </c>
      <c r="Y250" s="92" t="s">
        <v>781</v>
      </c>
      <c r="Z250" s="87" t="str">
        <f>HYPERLINK("https://twitter.com/taymobtopdog/status/1304738906093608960")</f>
        <v>https://twitter.com/taymobtopdog/status/1304738906093608960</v>
      </c>
      <c r="AA250" s="84"/>
      <c r="AB250" s="84"/>
      <c r="AC250" s="92" t="s">
        <v>1175</v>
      </c>
      <c r="AD250" s="84"/>
      <c r="AE250" s="84" t="b">
        <v>0</v>
      </c>
      <c r="AF250" s="84">
        <v>0</v>
      </c>
      <c r="AG250" s="92" t="s">
        <v>1453</v>
      </c>
      <c r="AH250" s="84" t="b">
        <v>0</v>
      </c>
      <c r="AI250" s="84" t="s">
        <v>1456</v>
      </c>
      <c r="AJ250" s="84"/>
      <c r="AK250" s="92" t="s">
        <v>1453</v>
      </c>
      <c r="AL250" s="84" t="b">
        <v>0</v>
      </c>
      <c r="AM250" s="84">
        <v>36</v>
      </c>
      <c r="AN250" s="92" t="s">
        <v>1401</v>
      </c>
      <c r="AO250" s="84" t="s">
        <v>1500</v>
      </c>
      <c r="AP250" s="84" t="b">
        <v>0</v>
      </c>
      <c r="AQ250" s="92" t="s">
        <v>1401</v>
      </c>
      <c r="AR250" s="84" t="s">
        <v>187</v>
      </c>
      <c r="AS250" s="84">
        <v>0</v>
      </c>
      <c r="AT250" s="84">
        <v>0</v>
      </c>
      <c r="AU250" s="84"/>
      <c r="AV250" s="84"/>
      <c r="AW250" s="84"/>
      <c r="AX250" s="84"/>
      <c r="AY250" s="84"/>
      <c r="AZ250" s="84"/>
      <c r="BA250" s="84"/>
      <c r="BB250" s="84"/>
      <c r="BC250">
        <v>1</v>
      </c>
      <c r="BD250" s="83" t="str">
        <f>REPLACE(INDEX(GroupVertices[Group],MATCH(Edges[[#This Row],[Vertex 1]],GroupVertices[Vertex],0)),1,1,"")</f>
        <v>1</v>
      </c>
      <c r="BE250" s="83" t="str">
        <f>REPLACE(INDEX(GroupVertices[Group],MATCH(Edges[[#This Row],[Vertex 2]],GroupVertices[Vertex],0)),1,1,"")</f>
        <v>1</v>
      </c>
      <c r="BF250" s="49">
        <v>0</v>
      </c>
      <c r="BG250" s="50">
        <v>0</v>
      </c>
      <c r="BH250" s="49">
        <v>0</v>
      </c>
      <c r="BI250" s="50">
        <v>0</v>
      </c>
      <c r="BJ250" s="49">
        <v>0</v>
      </c>
      <c r="BK250" s="50">
        <v>0</v>
      </c>
      <c r="BL250" s="49">
        <v>31</v>
      </c>
      <c r="BM250" s="50">
        <v>100</v>
      </c>
      <c r="BN250" s="49">
        <v>31</v>
      </c>
    </row>
    <row r="251" spans="1:66" ht="15">
      <c r="A251" s="68" t="s">
        <v>344</v>
      </c>
      <c r="B251" s="68" t="s">
        <v>344</v>
      </c>
      <c r="C251" s="69" t="s">
        <v>5208</v>
      </c>
      <c r="D251" s="70">
        <v>1</v>
      </c>
      <c r="E251" s="71" t="s">
        <v>132</v>
      </c>
      <c r="F251" s="72">
        <v>32</v>
      </c>
      <c r="G251" s="69" t="s">
        <v>51</v>
      </c>
      <c r="H251" s="73"/>
      <c r="I251" s="74"/>
      <c r="J251" s="74"/>
      <c r="K251" s="35" t="s">
        <v>65</v>
      </c>
      <c r="L251" s="82">
        <v>251</v>
      </c>
      <c r="M251" s="82"/>
      <c r="N251" s="76"/>
      <c r="O251" s="84" t="s">
        <v>187</v>
      </c>
      <c r="P251" s="86">
        <v>44085.68310185185</v>
      </c>
      <c r="Q251" s="84" t="s">
        <v>485</v>
      </c>
      <c r="R251" s="87" t="str">
        <f>HYPERLINK("http://www.globalbigdataconference.com/145761/big-datas-role-in-the-post-covid-era/industrynews-details.html")</f>
        <v>http://www.globalbigdataconference.com/145761/big-datas-role-in-the-post-covid-era/industrynews-details.html</v>
      </c>
      <c r="S251" s="84" t="s">
        <v>541</v>
      </c>
      <c r="T251" s="84" t="s">
        <v>601</v>
      </c>
      <c r="U251" s="84"/>
      <c r="V251" s="87" t="str">
        <f>HYPERLINK("http://pbs.twimg.com/profile_images/652742010873319424/tcg4A-2U_normal.jpg")</f>
        <v>http://pbs.twimg.com/profile_images/652742010873319424/tcg4A-2U_normal.jpg</v>
      </c>
      <c r="W251" s="86">
        <v>44085.68310185185</v>
      </c>
      <c r="X251" s="90">
        <v>44085</v>
      </c>
      <c r="Y251" s="92" t="s">
        <v>782</v>
      </c>
      <c r="Z251" s="87" t="str">
        <f>HYPERLINK("https://twitter.com/chanduanus/status/1304455579377647616")</f>
        <v>https://twitter.com/chanduanus/status/1304455579377647616</v>
      </c>
      <c r="AA251" s="84"/>
      <c r="AB251" s="84"/>
      <c r="AC251" s="92" t="s">
        <v>1176</v>
      </c>
      <c r="AD251" s="84"/>
      <c r="AE251" s="84" t="b">
        <v>0</v>
      </c>
      <c r="AF251" s="84">
        <v>0</v>
      </c>
      <c r="AG251" s="92" t="s">
        <v>1453</v>
      </c>
      <c r="AH251" s="84" t="b">
        <v>0</v>
      </c>
      <c r="AI251" s="84" t="s">
        <v>1456</v>
      </c>
      <c r="AJ251" s="84"/>
      <c r="AK251" s="92" t="s">
        <v>1453</v>
      </c>
      <c r="AL251" s="84" t="b">
        <v>0</v>
      </c>
      <c r="AM251" s="84">
        <v>1</v>
      </c>
      <c r="AN251" s="92" t="s">
        <v>1453</v>
      </c>
      <c r="AO251" s="84" t="s">
        <v>1465</v>
      </c>
      <c r="AP251" s="84" t="b">
        <v>0</v>
      </c>
      <c r="AQ251" s="92" t="s">
        <v>1176</v>
      </c>
      <c r="AR251" s="84" t="s">
        <v>439</v>
      </c>
      <c r="AS251" s="84">
        <v>0</v>
      </c>
      <c r="AT251" s="84">
        <v>0</v>
      </c>
      <c r="AU251" s="84"/>
      <c r="AV251" s="84"/>
      <c r="AW251" s="84"/>
      <c r="AX251" s="84"/>
      <c r="AY251" s="84"/>
      <c r="AZ251" s="84"/>
      <c r="BA251" s="84"/>
      <c r="BB251" s="84"/>
      <c r="BC251">
        <v>1</v>
      </c>
      <c r="BD251" s="83" t="str">
        <f>REPLACE(INDEX(GroupVertices[Group],MATCH(Edges[[#This Row],[Vertex 1]],GroupVertices[Vertex],0)),1,1,"")</f>
        <v>9</v>
      </c>
      <c r="BE251" s="83" t="str">
        <f>REPLACE(INDEX(GroupVertices[Group],MATCH(Edges[[#This Row],[Vertex 2]],GroupVertices[Vertex],0)),1,1,"")</f>
        <v>9</v>
      </c>
      <c r="BF251" s="49">
        <v>0</v>
      </c>
      <c r="BG251" s="50">
        <v>0</v>
      </c>
      <c r="BH251" s="49">
        <v>0</v>
      </c>
      <c r="BI251" s="50">
        <v>0</v>
      </c>
      <c r="BJ251" s="49">
        <v>0</v>
      </c>
      <c r="BK251" s="50">
        <v>0</v>
      </c>
      <c r="BL251" s="49">
        <v>28</v>
      </c>
      <c r="BM251" s="50">
        <v>100</v>
      </c>
      <c r="BN251" s="49">
        <v>28</v>
      </c>
    </row>
    <row r="252" spans="1:66" ht="15">
      <c r="A252" s="68" t="s">
        <v>345</v>
      </c>
      <c r="B252" s="68" t="s">
        <v>344</v>
      </c>
      <c r="C252" s="69" t="s">
        <v>5208</v>
      </c>
      <c r="D252" s="70">
        <v>1</v>
      </c>
      <c r="E252" s="71" t="s">
        <v>132</v>
      </c>
      <c r="F252" s="72">
        <v>32</v>
      </c>
      <c r="G252" s="69" t="s">
        <v>51</v>
      </c>
      <c r="H252" s="73"/>
      <c r="I252" s="74"/>
      <c r="J252" s="74"/>
      <c r="K252" s="35" t="s">
        <v>65</v>
      </c>
      <c r="L252" s="82">
        <v>252</v>
      </c>
      <c r="M252" s="82"/>
      <c r="N252" s="76"/>
      <c r="O252" s="84" t="s">
        <v>439</v>
      </c>
      <c r="P252" s="86">
        <v>44085.68315972222</v>
      </c>
      <c r="Q252" s="84" t="s">
        <v>485</v>
      </c>
      <c r="R252" s="87" t="str">
        <f>HYPERLINK("http://www.globalbigdataconference.com/145761/big-datas-role-in-the-post-covid-era/industrynews-details.html")</f>
        <v>http://www.globalbigdataconference.com/145761/big-datas-role-in-the-post-covid-era/industrynews-details.html</v>
      </c>
      <c r="S252" s="84" t="s">
        <v>541</v>
      </c>
      <c r="T252" s="84" t="s">
        <v>598</v>
      </c>
      <c r="U252" s="84"/>
      <c r="V252" s="87" t="str">
        <f>HYPERLINK("http://pbs.twimg.com/profile_images/973611685822058497/yRRo9D52_normal.jpg")</f>
        <v>http://pbs.twimg.com/profile_images/973611685822058497/yRRo9D52_normal.jpg</v>
      </c>
      <c r="W252" s="86">
        <v>44085.68315972222</v>
      </c>
      <c r="X252" s="90">
        <v>44085</v>
      </c>
      <c r="Y252" s="92" t="s">
        <v>783</v>
      </c>
      <c r="Z252" s="87" t="str">
        <f>HYPERLINK("https://twitter.com/serverlessfan/status/1304455601754382336")</f>
        <v>https://twitter.com/serverlessfan/status/1304455601754382336</v>
      </c>
      <c r="AA252" s="84"/>
      <c r="AB252" s="84"/>
      <c r="AC252" s="92" t="s">
        <v>1177</v>
      </c>
      <c r="AD252" s="84"/>
      <c r="AE252" s="84" t="b">
        <v>0</v>
      </c>
      <c r="AF252" s="84">
        <v>0</v>
      </c>
      <c r="AG252" s="92" t="s">
        <v>1453</v>
      </c>
      <c r="AH252" s="84" t="b">
        <v>0</v>
      </c>
      <c r="AI252" s="84" t="s">
        <v>1456</v>
      </c>
      <c r="AJ252" s="84"/>
      <c r="AK252" s="92" t="s">
        <v>1453</v>
      </c>
      <c r="AL252" s="84" t="b">
        <v>0</v>
      </c>
      <c r="AM252" s="84">
        <v>1</v>
      </c>
      <c r="AN252" s="92" t="s">
        <v>1176</v>
      </c>
      <c r="AO252" s="84" t="s">
        <v>1501</v>
      </c>
      <c r="AP252" s="84" t="b">
        <v>0</v>
      </c>
      <c r="AQ252" s="92" t="s">
        <v>1176</v>
      </c>
      <c r="AR252" s="84" t="s">
        <v>187</v>
      </c>
      <c r="AS252" s="84">
        <v>0</v>
      </c>
      <c r="AT252" s="84">
        <v>0</v>
      </c>
      <c r="AU252" s="84"/>
      <c r="AV252" s="84"/>
      <c r="AW252" s="84"/>
      <c r="AX252" s="84"/>
      <c r="AY252" s="84"/>
      <c r="AZ252" s="84"/>
      <c r="BA252" s="84"/>
      <c r="BB252" s="84"/>
      <c r="BC252">
        <v>1</v>
      </c>
      <c r="BD252" s="83" t="str">
        <f>REPLACE(INDEX(GroupVertices[Group],MATCH(Edges[[#This Row],[Vertex 1]],GroupVertices[Vertex],0)),1,1,"")</f>
        <v>9</v>
      </c>
      <c r="BE252" s="83" t="str">
        <f>REPLACE(INDEX(GroupVertices[Group],MATCH(Edges[[#This Row],[Vertex 2]],GroupVertices[Vertex],0)),1,1,"")</f>
        <v>9</v>
      </c>
      <c r="BF252" s="49">
        <v>0</v>
      </c>
      <c r="BG252" s="50">
        <v>0</v>
      </c>
      <c r="BH252" s="49">
        <v>0</v>
      </c>
      <c r="BI252" s="50">
        <v>0</v>
      </c>
      <c r="BJ252" s="49">
        <v>0</v>
      </c>
      <c r="BK252" s="50">
        <v>0</v>
      </c>
      <c r="BL252" s="49">
        <v>28</v>
      </c>
      <c r="BM252" s="50">
        <v>100</v>
      </c>
      <c r="BN252" s="49">
        <v>28</v>
      </c>
    </row>
    <row r="253" spans="1:66" ht="15">
      <c r="A253" s="68" t="s">
        <v>345</v>
      </c>
      <c r="B253" s="68" t="s">
        <v>425</v>
      </c>
      <c r="C253" s="69" t="s">
        <v>5208</v>
      </c>
      <c r="D253" s="70">
        <v>1</v>
      </c>
      <c r="E253" s="71" t="s">
        <v>132</v>
      </c>
      <c r="F253" s="72">
        <v>32</v>
      </c>
      <c r="G253" s="69" t="s">
        <v>51</v>
      </c>
      <c r="H253" s="73"/>
      <c r="I253" s="74"/>
      <c r="J253" s="74"/>
      <c r="K253" s="35" t="s">
        <v>65</v>
      </c>
      <c r="L253" s="82">
        <v>253</v>
      </c>
      <c r="M253" s="82"/>
      <c r="N253" s="76"/>
      <c r="O253" s="84" t="s">
        <v>439</v>
      </c>
      <c r="P253" s="86">
        <v>44083.375069444446</v>
      </c>
      <c r="Q253" s="84" t="s">
        <v>472</v>
      </c>
      <c r="R253" s="87" t="str">
        <f>HYPERLINK("https://techairesearch.com/comparative-study-of-best-time-series-models-for-urgent-pandemic-management-2/")</f>
        <v>https://techairesearch.com/comparative-study-of-best-time-series-models-for-urgent-pandemic-management-2/</v>
      </c>
      <c r="S253" s="84" t="s">
        <v>544</v>
      </c>
      <c r="T253" s="84" t="s">
        <v>589</v>
      </c>
      <c r="U253" s="84"/>
      <c r="V253" s="87" t="str">
        <f>HYPERLINK("http://pbs.twimg.com/profile_images/973611685822058497/yRRo9D52_normal.jpg")</f>
        <v>http://pbs.twimg.com/profile_images/973611685822058497/yRRo9D52_normal.jpg</v>
      </c>
      <c r="W253" s="86">
        <v>44083.375069444446</v>
      </c>
      <c r="X253" s="90">
        <v>44083</v>
      </c>
      <c r="Y253" s="92" t="s">
        <v>784</v>
      </c>
      <c r="Z253" s="87" t="str">
        <f>HYPERLINK("https://twitter.com/serverlessfan/status/1303619178864275456")</f>
        <v>https://twitter.com/serverlessfan/status/1303619178864275456</v>
      </c>
      <c r="AA253" s="84"/>
      <c r="AB253" s="84"/>
      <c r="AC253" s="92" t="s">
        <v>1178</v>
      </c>
      <c r="AD253" s="84"/>
      <c r="AE253" s="84" t="b">
        <v>0</v>
      </c>
      <c r="AF253" s="84">
        <v>0</v>
      </c>
      <c r="AG253" s="92" t="s">
        <v>1453</v>
      </c>
      <c r="AH253" s="84" t="b">
        <v>0</v>
      </c>
      <c r="AI253" s="84" t="s">
        <v>1456</v>
      </c>
      <c r="AJ253" s="84"/>
      <c r="AK253" s="92" t="s">
        <v>1453</v>
      </c>
      <c r="AL253" s="84" t="b">
        <v>0</v>
      </c>
      <c r="AM253" s="84">
        <v>12</v>
      </c>
      <c r="AN253" s="92" t="s">
        <v>1431</v>
      </c>
      <c r="AO253" s="84" t="s">
        <v>1501</v>
      </c>
      <c r="AP253" s="84" t="b">
        <v>0</v>
      </c>
      <c r="AQ253" s="92" t="s">
        <v>1431</v>
      </c>
      <c r="AR253" s="84" t="s">
        <v>187</v>
      </c>
      <c r="AS253" s="84">
        <v>0</v>
      </c>
      <c r="AT253" s="84">
        <v>0</v>
      </c>
      <c r="AU253" s="84"/>
      <c r="AV253" s="84"/>
      <c r="AW253" s="84"/>
      <c r="AX253" s="84"/>
      <c r="AY253" s="84"/>
      <c r="AZ253" s="84"/>
      <c r="BA253" s="84"/>
      <c r="BB253" s="84"/>
      <c r="BC253">
        <v>1</v>
      </c>
      <c r="BD253" s="83" t="str">
        <f>REPLACE(INDEX(GroupVertices[Group],MATCH(Edges[[#This Row],[Vertex 1]],GroupVertices[Vertex],0)),1,1,"")</f>
        <v>9</v>
      </c>
      <c r="BE253" s="83" t="str">
        <f>REPLACE(INDEX(GroupVertices[Group],MATCH(Edges[[#This Row],[Vertex 2]],GroupVertices[Vertex],0)),1,1,"")</f>
        <v>5</v>
      </c>
      <c r="BF253" s="49">
        <v>0</v>
      </c>
      <c r="BG253" s="50">
        <v>0</v>
      </c>
      <c r="BH253" s="49">
        <v>0</v>
      </c>
      <c r="BI253" s="50">
        <v>0</v>
      </c>
      <c r="BJ253" s="49">
        <v>0</v>
      </c>
      <c r="BK253" s="50">
        <v>0</v>
      </c>
      <c r="BL253" s="49">
        <v>26</v>
      </c>
      <c r="BM253" s="50">
        <v>100</v>
      </c>
      <c r="BN253" s="49">
        <v>26</v>
      </c>
    </row>
    <row r="254" spans="1:66" ht="15">
      <c r="A254" s="68" t="s">
        <v>345</v>
      </c>
      <c r="B254" s="68" t="s">
        <v>389</v>
      </c>
      <c r="C254" s="69" t="s">
        <v>5210</v>
      </c>
      <c r="D254" s="70">
        <v>10</v>
      </c>
      <c r="E254" s="71" t="s">
        <v>132</v>
      </c>
      <c r="F254" s="72">
        <v>10</v>
      </c>
      <c r="G254" s="69" t="s">
        <v>51</v>
      </c>
      <c r="H254" s="73"/>
      <c r="I254" s="74"/>
      <c r="J254" s="74"/>
      <c r="K254" s="35" t="s">
        <v>65</v>
      </c>
      <c r="L254" s="82">
        <v>254</v>
      </c>
      <c r="M254" s="82"/>
      <c r="N254" s="76"/>
      <c r="O254" s="84" t="s">
        <v>439</v>
      </c>
      <c r="P254" s="86">
        <v>44083.76048611111</v>
      </c>
      <c r="Q254" s="84" t="s">
        <v>478</v>
      </c>
      <c r="R254" s="87" t="str">
        <f>HYPERLINK("http://www.globalbigdataconference.com/145756/combatting-covid-19-misinformation-with-machine-learning/industrynews-details.html")</f>
        <v>http://www.globalbigdataconference.com/145756/combatting-covid-19-misinformation-with-machine-learning/industrynews-details.html</v>
      </c>
      <c r="S254" s="84" t="s">
        <v>541</v>
      </c>
      <c r="T254" s="84" t="s">
        <v>580</v>
      </c>
      <c r="U254" s="84"/>
      <c r="V254" s="87" t="str">
        <f>HYPERLINK("http://pbs.twimg.com/profile_images/973611685822058497/yRRo9D52_normal.jpg")</f>
        <v>http://pbs.twimg.com/profile_images/973611685822058497/yRRo9D52_normal.jpg</v>
      </c>
      <c r="W254" s="86">
        <v>44083.76048611111</v>
      </c>
      <c r="X254" s="90">
        <v>44083</v>
      </c>
      <c r="Y254" s="92" t="s">
        <v>785</v>
      </c>
      <c r="Z254" s="87" t="str">
        <f>HYPERLINK("https://twitter.com/serverlessfan/status/1303758846939234305")</f>
        <v>https://twitter.com/serverlessfan/status/1303758846939234305</v>
      </c>
      <c r="AA254" s="84"/>
      <c r="AB254" s="84"/>
      <c r="AC254" s="92" t="s">
        <v>1179</v>
      </c>
      <c r="AD254" s="84"/>
      <c r="AE254" s="84" t="b">
        <v>0</v>
      </c>
      <c r="AF254" s="84">
        <v>0</v>
      </c>
      <c r="AG254" s="92" t="s">
        <v>1453</v>
      </c>
      <c r="AH254" s="84" t="b">
        <v>0</v>
      </c>
      <c r="AI254" s="84" t="s">
        <v>1456</v>
      </c>
      <c r="AJ254" s="84"/>
      <c r="AK254" s="92" t="s">
        <v>1453</v>
      </c>
      <c r="AL254" s="84" t="b">
        <v>0</v>
      </c>
      <c r="AM254" s="84">
        <v>25</v>
      </c>
      <c r="AN254" s="92" t="s">
        <v>1287</v>
      </c>
      <c r="AO254" s="84" t="s">
        <v>1501</v>
      </c>
      <c r="AP254" s="84" t="b">
        <v>0</v>
      </c>
      <c r="AQ254" s="92" t="s">
        <v>1287</v>
      </c>
      <c r="AR254" s="84" t="s">
        <v>187</v>
      </c>
      <c r="AS254" s="84">
        <v>0</v>
      </c>
      <c r="AT254" s="84">
        <v>0</v>
      </c>
      <c r="AU254" s="84"/>
      <c r="AV254" s="84"/>
      <c r="AW254" s="84"/>
      <c r="AX254" s="84"/>
      <c r="AY254" s="84"/>
      <c r="AZ254" s="84"/>
      <c r="BA254" s="84"/>
      <c r="BB254" s="84"/>
      <c r="BC254">
        <v>3</v>
      </c>
      <c r="BD254" s="83" t="str">
        <f>REPLACE(INDEX(GroupVertices[Group],MATCH(Edges[[#This Row],[Vertex 1]],GroupVertices[Vertex],0)),1,1,"")</f>
        <v>9</v>
      </c>
      <c r="BE254" s="83" t="str">
        <f>REPLACE(INDEX(GroupVertices[Group],MATCH(Edges[[#This Row],[Vertex 2]],GroupVertices[Vertex],0)),1,1,"")</f>
        <v>3</v>
      </c>
      <c r="BF254" s="49">
        <v>0</v>
      </c>
      <c r="BG254" s="50">
        <v>0</v>
      </c>
      <c r="BH254" s="49">
        <v>0</v>
      </c>
      <c r="BI254" s="50">
        <v>0</v>
      </c>
      <c r="BJ254" s="49">
        <v>0</v>
      </c>
      <c r="BK254" s="50">
        <v>0</v>
      </c>
      <c r="BL254" s="49">
        <v>25</v>
      </c>
      <c r="BM254" s="50">
        <v>100</v>
      </c>
      <c r="BN254" s="49">
        <v>25</v>
      </c>
    </row>
    <row r="255" spans="1:66" ht="15">
      <c r="A255" s="68" t="s">
        <v>345</v>
      </c>
      <c r="B255" s="68" t="s">
        <v>389</v>
      </c>
      <c r="C255" s="69" t="s">
        <v>5210</v>
      </c>
      <c r="D255" s="70">
        <v>10</v>
      </c>
      <c r="E255" s="71" t="s">
        <v>132</v>
      </c>
      <c r="F255" s="72">
        <v>10</v>
      </c>
      <c r="G255" s="69" t="s">
        <v>51</v>
      </c>
      <c r="H255" s="73"/>
      <c r="I255" s="74"/>
      <c r="J255" s="74"/>
      <c r="K255" s="35" t="s">
        <v>65</v>
      </c>
      <c r="L255" s="82">
        <v>255</v>
      </c>
      <c r="M255" s="82"/>
      <c r="N255" s="76"/>
      <c r="O255" s="84" t="s">
        <v>439</v>
      </c>
      <c r="P255" s="86">
        <v>44085.65980324074</v>
      </c>
      <c r="Q255" s="84" t="s">
        <v>482</v>
      </c>
      <c r="R255" s="87" t="str">
        <f>HYPERLINK("http://www.globalbigdataconference.com/145761/big-datas-role-in-the-post-covid-era/industrynews-details.html")</f>
        <v>http://www.globalbigdataconference.com/145761/big-datas-role-in-the-post-covid-era/industrynews-details.html</v>
      </c>
      <c r="S255" s="84" t="s">
        <v>541</v>
      </c>
      <c r="T255" s="84" t="s">
        <v>598</v>
      </c>
      <c r="U255" s="84"/>
      <c r="V255" s="87" t="str">
        <f>HYPERLINK("http://pbs.twimg.com/profile_images/973611685822058497/yRRo9D52_normal.jpg")</f>
        <v>http://pbs.twimg.com/profile_images/973611685822058497/yRRo9D52_normal.jpg</v>
      </c>
      <c r="W255" s="86">
        <v>44085.65980324074</v>
      </c>
      <c r="X255" s="90">
        <v>44085</v>
      </c>
      <c r="Y255" s="92" t="s">
        <v>786</v>
      </c>
      <c r="Z255" s="87" t="str">
        <f>HYPERLINK("https://twitter.com/serverlessfan/status/1304447137309167617")</f>
        <v>https://twitter.com/serverlessfan/status/1304447137309167617</v>
      </c>
      <c r="AA255" s="84"/>
      <c r="AB255" s="84"/>
      <c r="AC255" s="92" t="s">
        <v>1180</v>
      </c>
      <c r="AD255" s="84"/>
      <c r="AE255" s="84" t="b">
        <v>0</v>
      </c>
      <c r="AF255" s="84">
        <v>0</v>
      </c>
      <c r="AG255" s="92" t="s">
        <v>1453</v>
      </c>
      <c r="AH255" s="84" t="b">
        <v>0</v>
      </c>
      <c r="AI255" s="84" t="s">
        <v>1456</v>
      </c>
      <c r="AJ255" s="84"/>
      <c r="AK255" s="92" t="s">
        <v>1453</v>
      </c>
      <c r="AL255" s="84" t="b">
        <v>0</v>
      </c>
      <c r="AM255" s="84">
        <v>22</v>
      </c>
      <c r="AN255" s="92" t="s">
        <v>1288</v>
      </c>
      <c r="AO255" s="84" t="s">
        <v>1501</v>
      </c>
      <c r="AP255" s="84" t="b">
        <v>0</v>
      </c>
      <c r="AQ255" s="92" t="s">
        <v>1288</v>
      </c>
      <c r="AR255" s="84" t="s">
        <v>187</v>
      </c>
      <c r="AS255" s="84">
        <v>0</v>
      </c>
      <c r="AT255" s="84">
        <v>0</v>
      </c>
      <c r="AU255" s="84"/>
      <c r="AV255" s="84"/>
      <c r="AW255" s="84"/>
      <c r="AX255" s="84"/>
      <c r="AY255" s="84"/>
      <c r="AZ255" s="84"/>
      <c r="BA255" s="84"/>
      <c r="BB255" s="84"/>
      <c r="BC255">
        <v>3</v>
      </c>
      <c r="BD255" s="83" t="str">
        <f>REPLACE(INDEX(GroupVertices[Group],MATCH(Edges[[#This Row],[Vertex 1]],GroupVertices[Vertex],0)),1,1,"")</f>
        <v>9</v>
      </c>
      <c r="BE255" s="83" t="str">
        <f>REPLACE(INDEX(GroupVertices[Group],MATCH(Edges[[#This Row],[Vertex 2]],GroupVertices[Vertex],0)),1,1,"")</f>
        <v>3</v>
      </c>
      <c r="BF255" s="49">
        <v>0</v>
      </c>
      <c r="BG255" s="50">
        <v>0</v>
      </c>
      <c r="BH255" s="49">
        <v>0</v>
      </c>
      <c r="BI255" s="50">
        <v>0</v>
      </c>
      <c r="BJ255" s="49">
        <v>0</v>
      </c>
      <c r="BK255" s="50">
        <v>0</v>
      </c>
      <c r="BL255" s="49">
        <v>28</v>
      </c>
      <c r="BM255" s="50">
        <v>100</v>
      </c>
      <c r="BN255" s="49">
        <v>28</v>
      </c>
    </row>
    <row r="256" spans="1:66" ht="15">
      <c r="A256" s="68" t="s">
        <v>345</v>
      </c>
      <c r="B256" s="68" t="s">
        <v>415</v>
      </c>
      <c r="C256" s="69" t="s">
        <v>5208</v>
      </c>
      <c r="D256" s="70">
        <v>1</v>
      </c>
      <c r="E256" s="71" t="s">
        <v>132</v>
      </c>
      <c r="F256" s="72">
        <v>32</v>
      </c>
      <c r="G256" s="69" t="s">
        <v>51</v>
      </c>
      <c r="H256" s="73"/>
      <c r="I256" s="74"/>
      <c r="J256" s="74"/>
      <c r="K256" s="35" t="s">
        <v>65</v>
      </c>
      <c r="L256" s="82">
        <v>256</v>
      </c>
      <c r="M256" s="82"/>
      <c r="N256" s="76"/>
      <c r="O256" s="84" t="s">
        <v>440</v>
      </c>
      <c r="P256" s="86">
        <v>44086.3094212963</v>
      </c>
      <c r="Q256" s="84" t="s">
        <v>486</v>
      </c>
      <c r="R256" s="84"/>
      <c r="S256" s="84"/>
      <c r="T256" s="84" t="s">
        <v>602</v>
      </c>
      <c r="U256" s="87" t="str">
        <f>HYPERLINK("https://pbs.twimg.com/media/EhrUf4qX0AAV6wn.png")</f>
        <v>https://pbs.twimg.com/media/EhrUf4qX0AAV6wn.png</v>
      </c>
      <c r="V256" s="87" t="str">
        <f>HYPERLINK("https://pbs.twimg.com/media/EhrUf4qX0AAV6wn.png")</f>
        <v>https://pbs.twimg.com/media/EhrUf4qX0AAV6wn.png</v>
      </c>
      <c r="W256" s="86">
        <v>44086.3094212963</v>
      </c>
      <c r="X256" s="90">
        <v>44086</v>
      </c>
      <c r="Y256" s="92" t="s">
        <v>787</v>
      </c>
      <c r="Z256" s="87" t="str">
        <f>HYPERLINK("https://twitter.com/serverlessfan/status/1304682549885706241")</f>
        <v>https://twitter.com/serverlessfan/status/1304682549885706241</v>
      </c>
      <c r="AA256" s="84"/>
      <c r="AB256" s="84"/>
      <c r="AC256" s="92" t="s">
        <v>1181</v>
      </c>
      <c r="AD256" s="84"/>
      <c r="AE256" s="84" t="b">
        <v>0</v>
      </c>
      <c r="AF256" s="84">
        <v>0</v>
      </c>
      <c r="AG256" s="92" t="s">
        <v>1453</v>
      </c>
      <c r="AH256" s="84" t="b">
        <v>0</v>
      </c>
      <c r="AI256" s="84" t="s">
        <v>1456</v>
      </c>
      <c r="AJ256" s="84"/>
      <c r="AK256" s="92" t="s">
        <v>1453</v>
      </c>
      <c r="AL256" s="84" t="b">
        <v>0</v>
      </c>
      <c r="AM256" s="84">
        <v>3</v>
      </c>
      <c r="AN256" s="92" t="s">
        <v>1311</v>
      </c>
      <c r="AO256" s="84" t="s">
        <v>1501</v>
      </c>
      <c r="AP256" s="84" t="b">
        <v>0</v>
      </c>
      <c r="AQ256" s="92" t="s">
        <v>1311</v>
      </c>
      <c r="AR256" s="84" t="s">
        <v>187</v>
      </c>
      <c r="AS256" s="84">
        <v>0</v>
      </c>
      <c r="AT256" s="84">
        <v>0</v>
      </c>
      <c r="AU256" s="84"/>
      <c r="AV256" s="84"/>
      <c r="AW256" s="84"/>
      <c r="AX256" s="84"/>
      <c r="AY256" s="84"/>
      <c r="AZ256" s="84"/>
      <c r="BA256" s="84"/>
      <c r="BB256" s="84"/>
      <c r="BC256">
        <v>1</v>
      </c>
      <c r="BD256" s="83" t="str">
        <f>REPLACE(INDEX(GroupVertices[Group],MATCH(Edges[[#This Row],[Vertex 1]],GroupVertices[Vertex],0)),1,1,"")</f>
        <v>9</v>
      </c>
      <c r="BE256" s="83" t="str">
        <f>REPLACE(INDEX(GroupVertices[Group],MATCH(Edges[[#This Row],[Vertex 2]],GroupVertices[Vertex],0)),1,1,"")</f>
        <v>9</v>
      </c>
      <c r="BF256" s="49"/>
      <c r="BG256" s="50"/>
      <c r="BH256" s="49"/>
      <c r="BI256" s="50"/>
      <c r="BJ256" s="49"/>
      <c r="BK256" s="50"/>
      <c r="BL256" s="49"/>
      <c r="BM256" s="50"/>
      <c r="BN256" s="49"/>
    </row>
    <row r="257" spans="1:66" ht="15">
      <c r="A257" s="68" t="s">
        <v>345</v>
      </c>
      <c r="B257" s="68" t="s">
        <v>394</v>
      </c>
      <c r="C257" s="69" t="s">
        <v>5208</v>
      </c>
      <c r="D257" s="70">
        <v>1</v>
      </c>
      <c r="E257" s="71" t="s">
        <v>132</v>
      </c>
      <c r="F257" s="72">
        <v>32</v>
      </c>
      <c r="G257" s="69" t="s">
        <v>51</v>
      </c>
      <c r="H257" s="73"/>
      <c r="I257" s="74"/>
      <c r="J257" s="74"/>
      <c r="K257" s="35" t="s">
        <v>65</v>
      </c>
      <c r="L257" s="82">
        <v>257</v>
      </c>
      <c r="M257" s="82"/>
      <c r="N257" s="76"/>
      <c r="O257" s="84" t="s">
        <v>440</v>
      </c>
      <c r="P257" s="86">
        <v>44086.3094212963</v>
      </c>
      <c r="Q257" s="84" t="s">
        <v>486</v>
      </c>
      <c r="R257" s="84"/>
      <c r="S257" s="84"/>
      <c r="T257" s="84" t="s">
        <v>602</v>
      </c>
      <c r="U257" s="87" t="str">
        <f>HYPERLINK("https://pbs.twimg.com/media/EhrUf4qX0AAV6wn.png")</f>
        <v>https://pbs.twimg.com/media/EhrUf4qX0AAV6wn.png</v>
      </c>
      <c r="V257" s="87" t="str">
        <f>HYPERLINK("https://pbs.twimg.com/media/EhrUf4qX0AAV6wn.png")</f>
        <v>https://pbs.twimg.com/media/EhrUf4qX0AAV6wn.png</v>
      </c>
      <c r="W257" s="86">
        <v>44086.3094212963</v>
      </c>
      <c r="X257" s="90">
        <v>44086</v>
      </c>
      <c r="Y257" s="92" t="s">
        <v>787</v>
      </c>
      <c r="Z257" s="87" t="str">
        <f>HYPERLINK("https://twitter.com/serverlessfan/status/1304682549885706241")</f>
        <v>https://twitter.com/serverlessfan/status/1304682549885706241</v>
      </c>
      <c r="AA257" s="84"/>
      <c r="AB257" s="84"/>
      <c r="AC257" s="92" t="s">
        <v>1181</v>
      </c>
      <c r="AD257" s="84"/>
      <c r="AE257" s="84" t="b">
        <v>0</v>
      </c>
      <c r="AF257" s="84">
        <v>0</v>
      </c>
      <c r="AG257" s="92" t="s">
        <v>1453</v>
      </c>
      <c r="AH257" s="84" t="b">
        <v>0</v>
      </c>
      <c r="AI257" s="84" t="s">
        <v>1456</v>
      </c>
      <c r="AJ257" s="84"/>
      <c r="AK257" s="92" t="s">
        <v>1453</v>
      </c>
      <c r="AL257" s="84" t="b">
        <v>0</v>
      </c>
      <c r="AM257" s="84">
        <v>3</v>
      </c>
      <c r="AN257" s="92" t="s">
        <v>1311</v>
      </c>
      <c r="AO257" s="84" t="s">
        <v>1501</v>
      </c>
      <c r="AP257" s="84" t="b">
        <v>0</v>
      </c>
      <c r="AQ257" s="92" t="s">
        <v>1311</v>
      </c>
      <c r="AR257" s="84" t="s">
        <v>187</v>
      </c>
      <c r="AS257" s="84">
        <v>0</v>
      </c>
      <c r="AT257" s="84">
        <v>0</v>
      </c>
      <c r="AU257" s="84"/>
      <c r="AV257" s="84"/>
      <c r="AW257" s="84"/>
      <c r="AX257" s="84"/>
      <c r="AY257" s="84"/>
      <c r="AZ257" s="84"/>
      <c r="BA257" s="84"/>
      <c r="BB257" s="84"/>
      <c r="BC257">
        <v>1</v>
      </c>
      <c r="BD257" s="83" t="str">
        <f>REPLACE(INDEX(GroupVertices[Group],MATCH(Edges[[#This Row],[Vertex 1]],GroupVertices[Vertex],0)),1,1,"")</f>
        <v>9</v>
      </c>
      <c r="BE257" s="83" t="str">
        <f>REPLACE(INDEX(GroupVertices[Group],MATCH(Edges[[#This Row],[Vertex 2]],GroupVertices[Vertex],0)),1,1,"")</f>
        <v>9</v>
      </c>
      <c r="BF257" s="49"/>
      <c r="BG257" s="50"/>
      <c r="BH257" s="49"/>
      <c r="BI257" s="50"/>
      <c r="BJ257" s="49"/>
      <c r="BK257" s="50"/>
      <c r="BL257" s="49"/>
      <c r="BM257" s="50"/>
      <c r="BN257" s="49"/>
    </row>
    <row r="258" spans="1:66" ht="15">
      <c r="A258" s="68" t="s">
        <v>345</v>
      </c>
      <c r="B258" s="68" t="s">
        <v>358</v>
      </c>
      <c r="C258" s="69" t="s">
        <v>5208</v>
      </c>
      <c r="D258" s="70">
        <v>1</v>
      </c>
      <c r="E258" s="71" t="s">
        <v>132</v>
      </c>
      <c r="F258" s="72">
        <v>32</v>
      </c>
      <c r="G258" s="69" t="s">
        <v>51</v>
      </c>
      <c r="H258" s="73"/>
      <c r="I258" s="74"/>
      <c r="J258" s="74"/>
      <c r="K258" s="35" t="s">
        <v>65</v>
      </c>
      <c r="L258" s="82">
        <v>258</v>
      </c>
      <c r="M258" s="82"/>
      <c r="N258" s="76"/>
      <c r="O258" s="84" t="s">
        <v>439</v>
      </c>
      <c r="P258" s="86">
        <v>44086.3094212963</v>
      </c>
      <c r="Q258" s="84" t="s">
        <v>486</v>
      </c>
      <c r="R258" s="84"/>
      <c r="S258" s="84"/>
      <c r="T258" s="84" t="s">
        <v>602</v>
      </c>
      <c r="U258" s="87" t="str">
        <f>HYPERLINK("https://pbs.twimg.com/media/EhrUf4qX0AAV6wn.png")</f>
        <v>https://pbs.twimg.com/media/EhrUf4qX0AAV6wn.png</v>
      </c>
      <c r="V258" s="87" t="str">
        <f>HYPERLINK("https://pbs.twimg.com/media/EhrUf4qX0AAV6wn.png")</f>
        <v>https://pbs.twimg.com/media/EhrUf4qX0AAV6wn.png</v>
      </c>
      <c r="W258" s="86">
        <v>44086.3094212963</v>
      </c>
      <c r="X258" s="90">
        <v>44086</v>
      </c>
      <c r="Y258" s="92" t="s">
        <v>787</v>
      </c>
      <c r="Z258" s="87" t="str">
        <f>HYPERLINK("https://twitter.com/serverlessfan/status/1304682549885706241")</f>
        <v>https://twitter.com/serverlessfan/status/1304682549885706241</v>
      </c>
      <c r="AA258" s="84"/>
      <c r="AB258" s="84"/>
      <c r="AC258" s="92" t="s">
        <v>1181</v>
      </c>
      <c r="AD258" s="84"/>
      <c r="AE258" s="84" t="b">
        <v>0</v>
      </c>
      <c r="AF258" s="84">
        <v>0</v>
      </c>
      <c r="AG258" s="92" t="s">
        <v>1453</v>
      </c>
      <c r="AH258" s="84" t="b">
        <v>0</v>
      </c>
      <c r="AI258" s="84" t="s">
        <v>1456</v>
      </c>
      <c r="AJ258" s="84"/>
      <c r="AK258" s="92" t="s">
        <v>1453</v>
      </c>
      <c r="AL258" s="84" t="b">
        <v>0</v>
      </c>
      <c r="AM258" s="84">
        <v>3</v>
      </c>
      <c r="AN258" s="92" t="s">
        <v>1311</v>
      </c>
      <c r="AO258" s="84" t="s">
        <v>1501</v>
      </c>
      <c r="AP258" s="84" t="b">
        <v>0</v>
      </c>
      <c r="AQ258" s="92" t="s">
        <v>1311</v>
      </c>
      <c r="AR258" s="84" t="s">
        <v>187</v>
      </c>
      <c r="AS258" s="84">
        <v>0</v>
      </c>
      <c r="AT258" s="84">
        <v>0</v>
      </c>
      <c r="AU258" s="84"/>
      <c r="AV258" s="84"/>
      <c r="AW258" s="84"/>
      <c r="AX258" s="84"/>
      <c r="AY258" s="84"/>
      <c r="AZ258" s="84"/>
      <c r="BA258" s="84"/>
      <c r="BB258" s="84"/>
      <c r="BC258">
        <v>1</v>
      </c>
      <c r="BD258" s="83" t="str">
        <f>REPLACE(INDEX(GroupVertices[Group],MATCH(Edges[[#This Row],[Vertex 1]],GroupVertices[Vertex],0)),1,1,"")</f>
        <v>9</v>
      </c>
      <c r="BE258" s="83" t="str">
        <f>REPLACE(INDEX(GroupVertices[Group],MATCH(Edges[[#This Row],[Vertex 2]],GroupVertices[Vertex],0)),1,1,"")</f>
        <v>9</v>
      </c>
      <c r="BF258" s="49">
        <v>0</v>
      </c>
      <c r="BG258" s="50">
        <v>0</v>
      </c>
      <c r="BH258" s="49">
        <v>0</v>
      </c>
      <c r="BI258" s="50">
        <v>0</v>
      </c>
      <c r="BJ258" s="49">
        <v>0</v>
      </c>
      <c r="BK258" s="50">
        <v>0</v>
      </c>
      <c r="BL258" s="49">
        <v>30</v>
      </c>
      <c r="BM258" s="50">
        <v>100</v>
      </c>
      <c r="BN258" s="49">
        <v>30</v>
      </c>
    </row>
    <row r="259" spans="1:66" ht="15">
      <c r="A259" s="68" t="s">
        <v>345</v>
      </c>
      <c r="B259" s="68" t="s">
        <v>389</v>
      </c>
      <c r="C259" s="69" t="s">
        <v>5210</v>
      </c>
      <c r="D259" s="70">
        <v>10</v>
      </c>
      <c r="E259" s="71" t="s">
        <v>132</v>
      </c>
      <c r="F259" s="72">
        <v>10</v>
      </c>
      <c r="G259" s="69" t="s">
        <v>51</v>
      </c>
      <c r="H259" s="73"/>
      <c r="I259" s="74"/>
      <c r="J259" s="74"/>
      <c r="K259" s="35" t="s">
        <v>65</v>
      </c>
      <c r="L259" s="82">
        <v>259</v>
      </c>
      <c r="M259" s="82"/>
      <c r="N259" s="76"/>
      <c r="O259" s="84" t="s">
        <v>439</v>
      </c>
      <c r="P259" s="86">
        <v>44086.6877662037</v>
      </c>
      <c r="Q259" s="84" t="s">
        <v>487</v>
      </c>
      <c r="R259" s="87" t="str">
        <f>HYPERLINK("http://www.globalbigdataconference.com/news/145767/covid-19-made-your-data-set-worthless-now-what.html")</f>
        <v>http://www.globalbigdataconference.com/news/145767/covid-19-made-your-data-set-worthless-now-what.html</v>
      </c>
      <c r="S259" s="84" t="s">
        <v>541</v>
      </c>
      <c r="T259" s="84" t="s">
        <v>603</v>
      </c>
      <c r="U259" s="84"/>
      <c r="V259" s="87" t="str">
        <f>HYPERLINK("http://pbs.twimg.com/profile_images/973611685822058497/yRRo9D52_normal.jpg")</f>
        <v>http://pbs.twimg.com/profile_images/973611685822058497/yRRo9D52_normal.jpg</v>
      </c>
      <c r="W259" s="86">
        <v>44086.6877662037</v>
      </c>
      <c r="X259" s="90">
        <v>44086</v>
      </c>
      <c r="Y259" s="92" t="s">
        <v>788</v>
      </c>
      <c r="Z259" s="87" t="str">
        <f>HYPERLINK("https://twitter.com/serverlessfan/status/1304819657233358849")</f>
        <v>https://twitter.com/serverlessfan/status/1304819657233358849</v>
      </c>
      <c r="AA259" s="84"/>
      <c r="AB259" s="84"/>
      <c r="AC259" s="92" t="s">
        <v>1182</v>
      </c>
      <c r="AD259" s="84"/>
      <c r="AE259" s="84" t="b">
        <v>0</v>
      </c>
      <c r="AF259" s="84">
        <v>0</v>
      </c>
      <c r="AG259" s="92" t="s">
        <v>1453</v>
      </c>
      <c r="AH259" s="84" t="b">
        <v>0</v>
      </c>
      <c r="AI259" s="84" t="s">
        <v>1456</v>
      </c>
      <c r="AJ259" s="84"/>
      <c r="AK259" s="92" t="s">
        <v>1453</v>
      </c>
      <c r="AL259" s="84" t="b">
        <v>0</v>
      </c>
      <c r="AM259" s="84">
        <v>3</v>
      </c>
      <c r="AN259" s="92" t="s">
        <v>1289</v>
      </c>
      <c r="AO259" s="84" t="s">
        <v>1501</v>
      </c>
      <c r="AP259" s="84" t="b">
        <v>0</v>
      </c>
      <c r="AQ259" s="92" t="s">
        <v>1289</v>
      </c>
      <c r="AR259" s="84" t="s">
        <v>187</v>
      </c>
      <c r="AS259" s="84">
        <v>0</v>
      </c>
      <c r="AT259" s="84">
        <v>0</v>
      </c>
      <c r="AU259" s="84"/>
      <c r="AV259" s="84"/>
      <c r="AW259" s="84"/>
      <c r="AX259" s="84"/>
      <c r="AY259" s="84"/>
      <c r="AZ259" s="84"/>
      <c r="BA259" s="84"/>
      <c r="BB259" s="84"/>
      <c r="BC259">
        <v>3</v>
      </c>
      <c r="BD259" s="83" t="str">
        <f>REPLACE(INDEX(GroupVertices[Group],MATCH(Edges[[#This Row],[Vertex 1]],GroupVertices[Vertex],0)),1,1,"")</f>
        <v>9</v>
      </c>
      <c r="BE259" s="83" t="str">
        <f>REPLACE(INDEX(GroupVertices[Group],MATCH(Edges[[#This Row],[Vertex 2]],GroupVertices[Vertex],0)),1,1,"")</f>
        <v>3</v>
      </c>
      <c r="BF259" s="49">
        <v>0</v>
      </c>
      <c r="BG259" s="50">
        <v>0</v>
      </c>
      <c r="BH259" s="49">
        <v>0</v>
      </c>
      <c r="BI259" s="50">
        <v>0</v>
      </c>
      <c r="BJ259" s="49">
        <v>0</v>
      </c>
      <c r="BK259" s="50">
        <v>0</v>
      </c>
      <c r="BL259" s="49">
        <v>29</v>
      </c>
      <c r="BM259" s="50">
        <v>100</v>
      </c>
      <c r="BN259" s="49">
        <v>29</v>
      </c>
    </row>
    <row r="260" spans="1:66" ht="15">
      <c r="A260" s="68" t="s">
        <v>346</v>
      </c>
      <c r="B260" s="68" t="s">
        <v>389</v>
      </c>
      <c r="C260" s="69" t="s">
        <v>5208</v>
      </c>
      <c r="D260" s="70">
        <v>1</v>
      </c>
      <c r="E260" s="71" t="s">
        <v>132</v>
      </c>
      <c r="F260" s="72">
        <v>32</v>
      </c>
      <c r="G260" s="69" t="s">
        <v>51</v>
      </c>
      <c r="H260" s="73"/>
      <c r="I260" s="74"/>
      <c r="J260" s="74"/>
      <c r="K260" s="35" t="s">
        <v>65</v>
      </c>
      <c r="L260" s="82">
        <v>260</v>
      </c>
      <c r="M260" s="82"/>
      <c r="N260" s="76"/>
      <c r="O260" s="84" t="s">
        <v>439</v>
      </c>
      <c r="P260" s="86">
        <v>44086.689351851855</v>
      </c>
      <c r="Q260" s="84" t="s">
        <v>487</v>
      </c>
      <c r="R260" s="87" t="str">
        <f>HYPERLINK("http://www.globalbigdataconference.com/news/145767/covid-19-made-your-data-set-worthless-now-what.html")</f>
        <v>http://www.globalbigdataconference.com/news/145767/covid-19-made-your-data-set-worthless-now-what.html</v>
      </c>
      <c r="S260" s="84" t="s">
        <v>541</v>
      </c>
      <c r="T260" s="84" t="s">
        <v>603</v>
      </c>
      <c r="U260" s="84"/>
      <c r="V260" s="87" t="str">
        <f>HYPERLINK("http://pbs.twimg.com/profile_images/989796752327954432/Le52USlW_normal.jpg")</f>
        <v>http://pbs.twimg.com/profile_images/989796752327954432/Le52USlW_normal.jpg</v>
      </c>
      <c r="W260" s="86">
        <v>44086.689351851855</v>
      </c>
      <c r="X260" s="90">
        <v>44086</v>
      </c>
      <c r="Y260" s="92" t="s">
        <v>789</v>
      </c>
      <c r="Z260" s="87" t="str">
        <f>HYPERLINK("https://twitter.com/cloudcoopitaly/status/1304820232863862785")</f>
        <v>https://twitter.com/cloudcoopitaly/status/1304820232863862785</v>
      </c>
      <c r="AA260" s="84"/>
      <c r="AB260" s="84"/>
      <c r="AC260" s="92" t="s">
        <v>1183</v>
      </c>
      <c r="AD260" s="84"/>
      <c r="AE260" s="84" t="b">
        <v>0</v>
      </c>
      <c r="AF260" s="84">
        <v>0</v>
      </c>
      <c r="AG260" s="92" t="s">
        <v>1453</v>
      </c>
      <c r="AH260" s="84" t="b">
        <v>0</v>
      </c>
      <c r="AI260" s="84" t="s">
        <v>1456</v>
      </c>
      <c r="AJ260" s="84"/>
      <c r="AK260" s="92" t="s">
        <v>1453</v>
      </c>
      <c r="AL260" s="84" t="b">
        <v>0</v>
      </c>
      <c r="AM260" s="84">
        <v>3</v>
      </c>
      <c r="AN260" s="92" t="s">
        <v>1289</v>
      </c>
      <c r="AO260" s="84" t="s">
        <v>1502</v>
      </c>
      <c r="AP260" s="84" t="b">
        <v>0</v>
      </c>
      <c r="AQ260" s="92" t="s">
        <v>1289</v>
      </c>
      <c r="AR260" s="84" t="s">
        <v>187</v>
      </c>
      <c r="AS260" s="84">
        <v>0</v>
      </c>
      <c r="AT260" s="84">
        <v>0</v>
      </c>
      <c r="AU260" s="84"/>
      <c r="AV260" s="84"/>
      <c r="AW260" s="84"/>
      <c r="AX260" s="84"/>
      <c r="AY260" s="84"/>
      <c r="AZ260" s="84"/>
      <c r="BA260" s="84"/>
      <c r="BB260" s="84"/>
      <c r="BC260">
        <v>1</v>
      </c>
      <c r="BD260" s="83" t="str">
        <f>REPLACE(INDEX(GroupVertices[Group],MATCH(Edges[[#This Row],[Vertex 1]],GroupVertices[Vertex],0)),1,1,"")</f>
        <v>3</v>
      </c>
      <c r="BE260" s="83" t="str">
        <f>REPLACE(INDEX(GroupVertices[Group],MATCH(Edges[[#This Row],[Vertex 2]],GroupVertices[Vertex],0)),1,1,"")</f>
        <v>3</v>
      </c>
      <c r="BF260" s="49">
        <v>0</v>
      </c>
      <c r="BG260" s="50">
        <v>0</v>
      </c>
      <c r="BH260" s="49">
        <v>0</v>
      </c>
      <c r="BI260" s="50">
        <v>0</v>
      </c>
      <c r="BJ260" s="49">
        <v>0</v>
      </c>
      <c r="BK260" s="50">
        <v>0</v>
      </c>
      <c r="BL260" s="49">
        <v>29</v>
      </c>
      <c r="BM260" s="50">
        <v>100</v>
      </c>
      <c r="BN260" s="49">
        <v>29</v>
      </c>
    </row>
    <row r="261" spans="1:66" ht="15">
      <c r="A261" s="68" t="s">
        <v>347</v>
      </c>
      <c r="B261" s="68" t="s">
        <v>347</v>
      </c>
      <c r="C261" s="69" t="s">
        <v>5208</v>
      </c>
      <c r="D261" s="70">
        <v>1</v>
      </c>
      <c r="E261" s="71" t="s">
        <v>132</v>
      </c>
      <c r="F261" s="72">
        <v>32</v>
      </c>
      <c r="G261" s="69" t="s">
        <v>51</v>
      </c>
      <c r="H261" s="73"/>
      <c r="I261" s="74"/>
      <c r="J261" s="74"/>
      <c r="K261" s="35" t="s">
        <v>65</v>
      </c>
      <c r="L261" s="82">
        <v>261</v>
      </c>
      <c r="M261" s="82"/>
      <c r="N261" s="76"/>
      <c r="O261" s="84" t="s">
        <v>187</v>
      </c>
      <c r="P261" s="86">
        <v>44086.96262731482</v>
      </c>
      <c r="Q261" s="84" t="s">
        <v>488</v>
      </c>
      <c r="R261" s="87" t="str">
        <f>HYPERLINK("https://morioh.com/p/74bc220c6e09")</f>
        <v>https://morioh.com/p/74bc220c6e09</v>
      </c>
      <c r="S261" s="84" t="s">
        <v>545</v>
      </c>
      <c r="T261" s="84" t="s">
        <v>604</v>
      </c>
      <c r="U261" s="87" t="str">
        <f>HYPERLINK("https://pbs.twimg.com/media/EhwBJ2lXgAID_SI.jpg")</f>
        <v>https://pbs.twimg.com/media/EhwBJ2lXgAID_SI.jpg</v>
      </c>
      <c r="V261" s="87" t="str">
        <f>HYPERLINK("https://pbs.twimg.com/media/EhwBJ2lXgAID_SI.jpg")</f>
        <v>https://pbs.twimg.com/media/EhwBJ2lXgAID_SI.jpg</v>
      </c>
      <c r="W261" s="86">
        <v>44086.96262731482</v>
      </c>
      <c r="X261" s="90">
        <v>44086</v>
      </c>
      <c r="Y261" s="92" t="s">
        <v>790</v>
      </c>
      <c r="Z261" s="87" t="str">
        <f>HYPERLINK("https://twitter.com/iamawebdesiger/status/1304919262843281409")</f>
        <v>https://twitter.com/iamawebdesiger/status/1304919262843281409</v>
      </c>
      <c r="AA261" s="84"/>
      <c r="AB261" s="84"/>
      <c r="AC261" s="92" t="s">
        <v>1184</v>
      </c>
      <c r="AD261" s="84"/>
      <c r="AE261" s="84" t="b">
        <v>0</v>
      </c>
      <c r="AF261" s="84">
        <v>0</v>
      </c>
      <c r="AG261" s="92" t="s">
        <v>1453</v>
      </c>
      <c r="AH261" s="84" t="b">
        <v>0</v>
      </c>
      <c r="AI261" s="84" t="s">
        <v>1461</v>
      </c>
      <c r="AJ261" s="84"/>
      <c r="AK261" s="92" t="s">
        <v>1453</v>
      </c>
      <c r="AL261" s="84" t="b">
        <v>0</v>
      </c>
      <c r="AM261" s="84">
        <v>0</v>
      </c>
      <c r="AN261" s="92" t="s">
        <v>1453</v>
      </c>
      <c r="AO261" s="84" t="s">
        <v>1488</v>
      </c>
      <c r="AP261" s="84" t="b">
        <v>0</v>
      </c>
      <c r="AQ261" s="92" t="s">
        <v>1184</v>
      </c>
      <c r="AR261" s="84" t="s">
        <v>187</v>
      </c>
      <c r="AS261" s="84">
        <v>0</v>
      </c>
      <c r="AT261" s="84">
        <v>0</v>
      </c>
      <c r="AU261" s="84"/>
      <c r="AV261" s="84"/>
      <c r="AW261" s="84"/>
      <c r="AX261" s="84"/>
      <c r="AY261" s="84"/>
      <c r="AZ261" s="84"/>
      <c r="BA261" s="84"/>
      <c r="BB261" s="84"/>
      <c r="BC261">
        <v>1</v>
      </c>
      <c r="BD261" s="83" t="str">
        <f>REPLACE(INDEX(GroupVertices[Group],MATCH(Edges[[#This Row],[Vertex 1]],GroupVertices[Vertex],0)),1,1,"")</f>
        <v>6</v>
      </c>
      <c r="BE261" s="83" t="str">
        <f>REPLACE(INDEX(GroupVertices[Group],MATCH(Edges[[#This Row],[Vertex 2]],GroupVertices[Vertex],0)),1,1,"")</f>
        <v>6</v>
      </c>
      <c r="BF261" s="49">
        <v>0</v>
      </c>
      <c r="BG261" s="50">
        <v>0</v>
      </c>
      <c r="BH261" s="49">
        <v>0</v>
      </c>
      <c r="BI261" s="50">
        <v>0</v>
      </c>
      <c r="BJ261" s="49">
        <v>0</v>
      </c>
      <c r="BK261" s="50">
        <v>0</v>
      </c>
      <c r="BL261" s="49">
        <v>9</v>
      </c>
      <c r="BM261" s="50">
        <v>100</v>
      </c>
      <c r="BN261" s="49">
        <v>9</v>
      </c>
    </row>
    <row r="262" spans="1:66" ht="15">
      <c r="A262" s="68" t="s">
        <v>348</v>
      </c>
      <c r="B262" s="68" t="s">
        <v>348</v>
      </c>
      <c r="C262" s="69" t="s">
        <v>5208</v>
      </c>
      <c r="D262" s="70">
        <v>1</v>
      </c>
      <c r="E262" s="71" t="s">
        <v>132</v>
      </c>
      <c r="F262" s="72">
        <v>32</v>
      </c>
      <c r="G262" s="69" t="s">
        <v>51</v>
      </c>
      <c r="H262" s="73"/>
      <c r="I262" s="74"/>
      <c r="J262" s="74"/>
      <c r="K262" s="35" t="s">
        <v>65</v>
      </c>
      <c r="L262" s="82">
        <v>262</v>
      </c>
      <c r="M262" s="82"/>
      <c r="N262" s="76"/>
      <c r="O262" s="84" t="s">
        <v>187</v>
      </c>
      <c r="P262" s="86">
        <v>44087.06524305556</v>
      </c>
      <c r="Q262" s="84" t="s">
        <v>489</v>
      </c>
      <c r="R262" s="87" t="str">
        <f>HYPERLINK("https://it-online.co.za/2020/09/08/staff-repurposing-as-a-response-to-covid-19/")</f>
        <v>https://it-online.co.za/2020/09/08/staff-repurposing-as-a-response-to-covid-19/</v>
      </c>
      <c r="S262" s="84" t="s">
        <v>550</v>
      </c>
      <c r="T262" s="84" t="s">
        <v>605</v>
      </c>
      <c r="U262" s="84"/>
      <c r="V262" s="87" t="str">
        <f>HYPERLINK("http://pbs.twimg.com/profile_images/982830403538046976/Jk_5vRoe_normal.jpg")</f>
        <v>http://pbs.twimg.com/profile_images/982830403538046976/Jk_5vRoe_normal.jpg</v>
      </c>
      <c r="W262" s="86">
        <v>44087.06524305556</v>
      </c>
      <c r="X262" s="90">
        <v>44087</v>
      </c>
      <c r="Y262" s="92" t="s">
        <v>791</v>
      </c>
      <c r="Z262" s="87" t="str">
        <f>HYPERLINK("https://twitter.com/iamchuckrussell/status/1304956449890672641")</f>
        <v>https://twitter.com/iamchuckrussell/status/1304956449890672641</v>
      </c>
      <c r="AA262" s="84"/>
      <c r="AB262" s="84"/>
      <c r="AC262" s="92" t="s">
        <v>1185</v>
      </c>
      <c r="AD262" s="84"/>
      <c r="AE262" s="84" t="b">
        <v>0</v>
      </c>
      <c r="AF262" s="84">
        <v>0</v>
      </c>
      <c r="AG262" s="92" t="s">
        <v>1453</v>
      </c>
      <c r="AH262" s="84" t="b">
        <v>0</v>
      </c>
      <c r="AI262" s="84" t="s">
        <v>1456</v>
      </c>
      <c r="AJ262" s="84"/>
      <c r="AK262" s="92" t="s">
        <v>1453</v>
      </c>
      <c r="AL262" s="84" t="b">
        <v>0</v>
      </c>
      <c r="AM262" s="84">
        <v>2</v>
      </c>
      <c r="AN262" s="92" t="s">
        <v>1453</v>
      </c>
      <c r="AO262" s="84" t="s">
        <v>1503</v>
      </c>
      <c r="AP262" s="84" t="b">
        <v>0</v>
      </c>
      <c r="AQ262" s="92" t="s">
        <v>1185</v>
      </c>
      <c r="AR262" s="84" t="s">
        <v>187</v>
      </c>
      <c r="AS262" s="84">
        <v>0</v>
      </c>
      <c r="AT262" s="84">
        <v>0</v>
      </c>
      <c r="AU262" s="84"/>
      <c r="AV262" s="84"/>
      <c r="AW262" s="84"/>
      <c r="AX262" s="84"/>
      <c r="AY262" s="84"/>
      <c r="AZ262" s="84"/>
      <c r="BA262" s="84"/>
      <c r="BB262" s="84"/>
      <c r="BC262">
        <v>1</v>
      </c>
      <c r="BD262" s="83" t="str">
        <f>REPLACE(INDEX(GroupVertices[Group],MATCH(Edges[[#This Row],[Vertex 1]],GroupVertices[Vertex],0)),1,1,"")</f>
        <v>6</v>
      </c>
      <c r="BE262" s="83" t="str">
        <f>REPLACE(INDEX(GroupVertices[Group],MATCH(Edges[[#This Row],[Vertex 2]],GroupVertices[Vertex],0)),1,1,"")</f>
        <v>6</v>
      </c>
      <c r="BF262" s="49">
        <v>0</v>
      </c>
      <c r="BG262" s="50">
        <v>0</v>
      </c>
      <c r="BH262" s="49">
        <v>0</v>
      </c>
      <c r="BI262" s="50">
        <v>0</v>
      </c>
      <c r="BJ262" s="49">
        <v>0</v>
      </c>
      <c r="BK262" s="50">
        <v>0</v>
      </c>
      <c r="BL262" s="49">
        <v>19</v>
      </c>
      <c r="BM262" s="50">
        <v>100</v>
      </c>
      <c r="BN262" s="49">
        <v>19</v>
      </c>
    </row>
    <row r="263" spans="1:66" ht="15">
      <c r="A263" s="68" t="s">
        <v>349</v>
      </c>
      <c r="B263" s="68" t="s">
        <v>436</v>
      </c>
      <c r="C263" s="69" t="s">
        <v>5208</v>
      </c>
      <c r="D263" s="70">
        <v>1</v>
      </c>
      <c r="E263" s="71" t="s">
        <v>132</v>
      </c>
      <c r="F263" s="72">
        <v>32</v>
      </c>
      <c r="G263" s="69" t="s">
        <v>51</v>
      </c>
      <c r="H263" s="73"/>
      <c r="I263" s="74"/>
      <c r="J263" s="74"/>
      <c r="K263" s="35" t="s">
        <v>65</v>
      </c>
      <c r="L263" s="82">
        <v>263</v>
      </c>
      <c r="M263" s="82"/>
      <c r="N263" s="76"/>
      <c r="O263" s="84" t="s">
        <v>440</v>
      </c>
      <c r="P263" s="86">
        <v>44087.11362268519</v>
      </c>
      <c r="Q263" s="84" t="s">
        <v>490</v>
      </c>
      <c r="R263" s="87" t="str">
        <f>HYPERLINK("https://online-learning.harvard.edu/catalog")</f>
        <v>https://online-learning.harvard.edu/catalog</v>
      </c>
      <c r="S263" s="84" t="s">
        <v>551</v>
      </c>
      <c r="T263" s="84" t="s">
        <v>606</v>
      </c>
      <c r="U263" s="84"/>
      <c r="V263" s="87" t="str">
        <f>HYPERLINK("http://pbs.twimg.com/profile_images/1233969392834285569/DMA5tBjz_normal.jpg")</f>
        <v>http://pbs.twimg.com/profile_images/1233969392834285569/DMA5tBjz_normal.jpg</v>
      </c>
      <c r="W263" s="86">
        <v>44087.11362268519</v>
      </c>
      <c r="X263" s="90">
        <v>44087</v>
      </c>
      <c r="Y263" s="92" t="s">
        <v>792</v>
      </c>
      <c r="Z263" s="87" t="str">
        <f>HYPERLINK("https://twitter.com/hchoros/status/1304973983872319489")</f>
        <v>https://twitter.com/hchoros/status/1304973983872319489</v>
      </c>
      <c r="AA263" s="84"/>
      <c r="AB263" s="84"/>
      <c r="AC263" s="92" t="s">
        <v>1186</v>
      </c>
      <c r="AD263" s="84"/>
      <c r="AE263" s="84" t="b">
        <v>0</v>
      </c>
      <c r="AF263" s="84">
        <v>0</v>
      </c>
      <c r="AG263" s="92" t="s">
        <v>1453</v>
      </c>
      <c r="AH263" s="84" t="b">
        <v>0</v>
      </c>
      <c r="AI263" s="84" t="s">
        <v>1456</v>
      </c>
      <c r="AJ263" s="84"/>
      <c r="AK263" s="92" t="s">
        <v>1453</v>
      </c>
      <c r="AL263" s="84" t="b">
        <v>0</v>
      </c>
      <c r="AM263" s="84">
        <v>449</v>
      </c>
      <c r="AN263" s="92" t="s">
        <v>1406</v>
      </c>
      <c r="AO263" s="84" t="s">
        <v>1467</v>
      </c>
      <c r="AP263" s="84" t="b">
        <v>0</v>
      </c>
      <c r="AQ263" s="92" t="s">
        <v>1406</v>
      </c>
      <c r="AR263" s="84" t="s">
        <v>187</v>
      </c>
      <c r="AS263" s="84">
        <v>0</v>
      </c>
      <c r="AT263" s="84">
        <v>0</v>
      </c>
      <c r="AU263" s="84"/>
      <c r="AV263" s="84"/>
      <c r="AW263" s="84"/>
      <c r="AX263" s="84"/>
      <c r="AY263" s="84"/>
      <c r="AZ263" s="84"/>
      <c r="BA263" s="84"/>
      <c r="BB263" s="84"/>
      <c r="BC263">
        <v>1</v>
      </c>
      <c r="BD263" s="83" t="str">
        <f>REPLACE(INDEX(GroupVertices[Group],MATCH(Edges[[#This Row],[Vertex 1]],GroupVertices[Vertex],0)),1,1,"")</f>
        <v>1</v>
      </c>
      <c r="BE263" s="83" t="str">
        <f>REPLACE(INDEX(GroupVertices[Group],MATCH(Edges[[#This Row],[Vertex 2]],GroupVertices[Vertex],0)),1,1,"")</f>
        <v>1</v>
      </c>
      <c r="BF263" s="49"/>
      <c r="BG263" s="50"/>
      <c r="BH263" s="49"/>
      <c r="BI263" s="50"/>
      <c r="BJ263" s="49"/>
      <c r="BK263" s="50"/>
      <c r="BL263" s="49"/>
      <c r="BM263" s="50"/>
      <c r="BN263" s="49"/>
    </row>
    <row r="264" spans="1:66" ht="15">
      <c r="A264" s="68" t="s">
        <v>349</v>
      </c>
      <c r="B264" s="68" t="s">
        <v>418</v>
      </c>
      <c r="C264" s="69" t="s">
        <v>5208</v>
      </c>
      <c r="D264" s="70">
        <v>1</v>
      </c>
      <c r="E264" s="71" t="s">
        <v>132</v>
      </c>
      <c r="F264" s="72">
        <v>32</v>
      </c>
      <c r="G264" s="69" t="s">
        <v>51</v>
      </c>
      <c r="H264" s="73"/>
      <c r="I264" s="74"/>
      <c r="J264" s="74"/>
      <c r="K264" s="35" t="s">
        <v>65</v>
      </c>
      <c r="L264" s="82">
        <v>264</v>
      </c>
      <c r="M264" s="82"/>
      <c r="N264" s="76"/>
      <c r="O264" s="84" t="s">
        <v>439</v>
      </c>
      <c r="P264" s="86">
        <v>44087.11362268519</v>
      </c>
      <c r="Q264" s="84" t="s">
        <v>490</v>
      </c>
      <c r="R264" s="87" t="str">
        <f>HYPERLINK("https://online-learning.harvard.edu/catalog")</f>
        <v>https://online-learning.harvard.edu/catalog</v>
      </c>
      <c r="S264" s="84" t="s">
        <v>551</v>
      </c>
      <c r="T264" s="84" t="s">
        <v>606</v>
      </c>
      <c r="U264" s="84"/>
      <c r="V264" s="87" t="str">
        <f>HYPERLINK("http://pbs.twimg.com/profile_images/1233969392834285569/DMA5tBjz_normal.jpg")</f>
        <v>http://pbs.twimg.com/profile_images/1233969392834285569/DMA5tBjz_normal.jpg</v>
      </c>
      <c r="W264" s="86">
        <v>44087.11362268519</v>
      </c>
      <c r="X264" s="90">
        <v>44087</v>
      </c>
      <c r="Y264" s="92" t="s">
        <v>792</v>
      </c>
      <c r="Z264" s="87" t="str">
        <f>HYPERLINK("https://twitter.com/hchoros/status/1304973983872319489")</f>
        <v>https://twitter.com/hchoros/status/1304973983872319489</v>
      </c>
      <c r="AA264" s="84"/>
      <c r="AB264" s="84"/>
      <c r="AC264" s="92" t="s">
        <v>1186</v>
      </c>
      <c r="AD264" s="84"/>
      <c r="AE264" s="84" t="b">
        <v>0</v>
      </c>
      <c r="AF264" s="84">
        <v>0</v>
      </c>
      <c r="AG264" s="92" t="s">
        <v>1453</v>
      </c>
      <c r="AH264" s="84" t="b">
        <v>0</v>
      </c>
      <c r="AI264" s="84" t="s">
        <v>1456</v>
      </c>
      <c r="AJ264" s="84"/>
      <c r="AK264" s="92" t="s">
        <v>1453</v>
      </c>
      <c r="AL264" s="84" t="b">
        <v>0</v>
      </c>
      <c r="AM264" s="84">
        <v>449</v>
      </c>
      <c r="AN264" s="92" t="s">
        <v>1406</v>
      </c>
      <c r="AO264" s="84" t="s">
        <v>1467</v>
      </c>
      <c r="AP264" s="84" t="b">
        <v>0</v>
      </c>
      <c r="AQ264" s="92" t="s">
        <v>1406</v>
      </c>
      <c r="AR264" s="84" t="s">
        <v>187</v>
      </c>
      <c r="AS264" s="84">
        <v>0</v>
      </c>
      <c r="AT264" s="84">
        <v>0</v>
      </c>
      <c r="AU264" s="84"/>
      <c r="AV264" s="84"/>
      <c r="AW264" s="84"/>
      <c r="AX264" s="84"/>
      <c r="AY264" s="84"/>
      <c r="AZ264" s="84"/>
      <c r="BA264" s="84"/>
      <c r="BB264" s="84"/>
      <c r="BC264">
        <v>1</v>
      </c>
      <c r="BD264" s="83" t="str">
        <f>REPLACE(INDEX(GroupVertices[Group],MATCH(Edges[[#This Row],[Vertex 1]],GroupVertices[Vertex],0)),1,1,"")</f>
        <v>1</v>
      </c>
      <c r="BE264" s="83" t="str">
        <f>REPLACE(INDEX(GroupVertices[Group],MATCH(Edges[[#This Row],[Vertex 2]],GroupVertices[Vertex],0)),1,1,"")</f>
        <v>1</v>
      </c>
      <c r="BF264" s="49">
        <v>0</v>
      </c>
      <c r="BG264" s="50">
        <v>0</v>
      </c>
      <c r="BH264" s="49">
        <v>0</v>
      </c>
      <c r="BI264" s="50">
        <v>0</v>
      </c>
      <c r="BJ264" s="49">
        <v>0</v>
      </c>
      <c r="BK264" s="50">
        <v>0</v>
      </c>
      <c r="BL264" s="49">
        <v>25</v>
      </c>
      <c r="BM264" s="50">
        <v>100</v>
      </c>
      <c r="BN264" s="49">
        <v>25</v>
      </c>
    </row>
    <row r="265" spans="1:66" ht="15">
      <c r="A265" s="68" t="s">
        <v>350</v>
      </c>
      <c r="B265" s="68" t="s">
        <v>436</v>
      </c>
      <c r="C265" s="69" t="s">
        <v>5208</v>
      </c>
      <c r="D265" s="70">
        <v>1</v>
      </c>
      <c r="E265" s="71" t="s">
        <v>132</v>
      </c>
      <c r="F265" s="72">
        <v>32</v>
      </c>
      <c r="G265" s="69" t="s">
        <v>51</v>
      </c>
      <c r="H265" s="73"/>
      <c r="I265" s="74"/>
      <c r="J265" s="74"/>
      <c r="K265" s="35" t="s">
        <v>65</v>
      </c>
      <c r="L265" s="82">
        <v>265</v>
      </c>
      <c r="M265" s="82"/>
      <c r="N265" s="76"/>
      <c r="O265" s="84" t="s">
        <v>440</v>
      </c>
      <c r="P265" s="86">
        <v>44087.11369212963</v>
      </c>
      <c r="Q265" s="84" t="s">
        <v>490</v>
      </c>
      <c r="R265" s="87" t="str">
        <f>HYPERLINK("https://online-learning.harvard.edu/catalog")</f>
        <v>https://online-learning.harvard.edu/catalog</v>
      </c>
      <c r="S265" s="84" t="s">
        <v>551</v>
      </c>
      <c r="T265" s="84" t="s">
        <v>606</v>
      </c>
      <c r="U265" s="84"/>
      <c r="V265" s="87" t="str">
        <f>HYPERLINK("http://pbs.twimg.com/profile_images/1164716874/favicon-triada-azul_normal.png")</f>
        <v>http://pbs.twimg.com/profile_images/1164716874/favicon-triada-azul_normal.png</v>
      </c>
      <c r="W265" s="86">
        <v>44087.11369212963</v>
      </c>
      <c r="X265" s="90">
        <v>44087</v>
      </c>
      <c r="Y265" s="92" t="s">
        <v>793</v>
      </c>
      <c r="Z265" s="87" t="str">
        <f>HYPERLINK("https://twitter.com/itknowingness/status/1304974006471348229")</f>
        <v>https://twitter.com/itknowingness/status/1304974006471348229</v>
      </c>
      <c r="AA265" s="84"/>
      <c r="AB265" s="84"/>
      <c r="AC265" s="92" t="s">
        <v>1187</v>
      </c>
      <c r="AD265" s="84"/>
      <c r="AE265" s="84" t="b">
        <v>0</v>
      </c>
      <c r="AF265" s="84">
        <v>0</v>
      </c>
      <c r="AG265" s="92" t="s">
        <v>1453</v>
      </c>
      <c r="AH265" s="84" t="b">
        <v>0</v>
      </c>
      <c r="AI265" s="84" t="s">
        <v>1456</v>
      </c>
      <c r="AJ265" s="84"/>
      <c r="AK265" s="92" t="s">
        <v>1453</v>
      </c>
      <c r="AL265" s="84" t="b">
        <v>0</v>
      </c>
      <c r="AM265" s="84">
        <v>449</v>
      </c>
      <c r="AN265" s="92" t="s">
        <v>1406</v>
      </c>
      <c r="AO265" s="84" t="s">
        <v>1504</v>
      </c>
      <c r="AP265" s="84" t="b">
        <v>0</v>
      </c>
      <c r="AQ265" s="92" t="s">
        <v>1406</v>
      </c>
      <c r="AR265" s="84" t="s">
        <v>187</v>
      </c>
      <c r="AS265" s="84">
        <v>0</v>
      </c>
      <c r="AT265" s="84">
        <v>0</v>
      </c>
      <c r="AU265" s="84"/>
      <c r="AV265" s="84"/>
      <c r="AW265" s="84"/>
      <c r="AX265" s="84"/>
      <c r="AY265" s="84"/>
      <c r="AZ265" s="84"/>
      <c r="BA265" s="84"/>
      <c r="BB265" s="84"/>
      <c r="BC265">
        <v>1</v>
      </c>
      <c r="BD265" s="83" t="str">
        <f>REPLACE(INDEX(GroupVertices[Group],MATCH(Edges[[#This Row],[Vertex 1]],GroupVertices[Vertex],0)),1,1,"")</f>
        <v>1</v>
      </c>
      <c r="BE265" s="83" t="str">
        <f>REPLACE(INDEX(GroupVertices[Group],MATCH(Edges[[#This Row],[Vertex 2]],GroupVertices[Vertex],0)),1,1,"")</f>
        <v>1</v>
      </c>
      <c r="BF265" s="49"/>
      <c r="BG265" s="50"/>
      <c r="BH265" s="49"/>
      <c r="BI265" s="50"/>
      <c r="BJ265" s="49"/>
      <c r="BK265" s="50"/>
      <c r="BL265" s="49"/>
      <c r="BM265" s="50"/>
      <c r="BN265" s="49"/>
    </row>
    <row r="266" spans="1:66" ht="15">
      <c r="A266" s="68" t="s">
        <v>350</v>
      </c>
      <c r="B266" s="68" t="s">
        <v>418</v>
      </c>
      <c r="C266" s="69" t="s">
        <v>5208</v>
      </c>
      <c r="D266" s="70">
        <v>1</v>
      </c>
      <c r="E266" s="71" t="s">
        <v>132</v>
      </c>
      <c r="F266" s="72">
        <v>32</v>
      </c>
      <c r="G266" s="69" t="s">
        <v>51</v>
      </c>
      <c r="H266" s="73"/>
      <c r="I266" s="74"/>
      <c r="J266" s="74"/>
      <c r="K266" s="35" t="s">
        <v>65</v>
      </c>
      <c r="L266" s="82">
        <v>266</v>
      </c>
      <c r="M266" s="82"/>
      <c r="N266" s="76"/>
      <c r="O266" s="84" t="s">
        <v>439</v>
      </c>
      <c r="P266" s="86">
        <v>44087.11369212963</v>
      </c>
      <c r="Q266" s="84" t="s">
        <v>490</v>
      </c>
      <c r="R266" s="87" t="str">
        <f>HYPERLINK("https://online-learning.harvard.edu/catalog")</f>
        <v>https://online-learning.harvard.edu/catalog</v>
      </c>
      <c r="S266" s="84" t="s">
        <v>551</v>
      </c>
      <c r="T266" s="84" t="s">
        <v>606</v>
      </c>
      <c r="U266" s="84"/>
      <c r="V266" s="87" t="str">
        <f>HYPERLINK("http://pbs.twimg.com/profile_images/1164716874/favicon-triada-azul_normal.png")</f>
        <v>http://pbs.twimg.com/profile_images/1164716874/favicon-triada-azul_normal.png</v>
      </c>
      <c r="W266" s="86">
        <v>44087.11369212963</v>
      </c>
      <c r="X266" s="90">
        <v>44087</v>
      </c>
      <c r="Y266" s="92" t="s">
        <v>793</v>
      </c>
      <c r="Z266" s="87" t="str">
        <f>HYPERLINK("https://twitter.com/itknowingness/status/1304974006471348229")</f>
        <v>https://twitter.com/itknowingness/status/1304974006471348229</v>
      </c>
      <c r="AA266" s="84"/>
      <c r="AB266" s="84"/>
      <c r="AC266" s="92" t="s">
        <v>1187</v>
      </c>
      <c r="AD266" s="84"/>
      <c r="AE266" s="84" t="b">
        <v>0</v>
      </c>
      <c r="AF266" s="84">
        <v>0</v>
      </c>
      <c r="AG266" s="92" t="s">
        <v>1453</v>
      </c>
      <c r="AH266" s="84" t="b">
        <v>0</v>
      </c>
      <c r="AI266" s="84" t="s">
        <v>1456</v>
      </c>
      <c r="AJ266" s="84"/>
      <c r="AK266" s="92" t="s">
        <v>1453</v>
      </c>
      <c r="AL266" s="84" t="b">
        <v>0</v>
      </c>
      <c r="AM266" s="84">
        <v>449</v>
      </c>
      <c r="AN266" s="92" t="s">
        <v>1406</v>
      </c>
      <c r="AO266" s="84" t="s">
        <v>1504</v>
      </c>
      <c r="AP266" s="84" t="b">
        <v>0</v>
      </c>
      <c r="AQ266" s="92" t="s">
        <v>1406</v>
      </c>
      <c r="AR266" s="84" t="s">
        <v>187</v>
      </c>
      <c r="AS266" s="84">
        <v>0</v>
      </c>
      <c r="AT266" s="84">
        <v>0</v>
      </c>
      <c r="AU266" s="84"/>
      <c r="AV266" s="84"/>
      <c r="AW266" s="84"/>
      <c r="AX266" s="84"/>
      <c r="AY266" s="84"/>
      <c r="AZ266" s="84"/>
      <c r="BA266" s="84"/>
      <c r="BB266" s="84"/>
      <c r="BC266">
        <v>1</v>
      </c>
      <c r="BD266" s="83" t="str">
        <f>REPLACE(INDEX(GroupVertices[Group],MATCH(Edges[[#This Row],[Vertex 1]],GroupVertices[Vertex],0)),1,1,"")</f>
        <v>1</v>
      </c>
      <c r="BE266" s="83" t="str">
        <f>REPLACE(INDEX(GroupVertices[Group],MATCH(Edges[[#This Row],[Vertex 2]],GroupVertices[Vertex],0)),1,1,"")</f>
        <v>1</v>
      </c>
      <c r="BF266" s="49">
        <v>0</v>
      </c>
      <c r="BG266" s="50">
        <v>0</v>
      </c>
      <c r="BH266" s="49">
        <v>0</v>
      </c>
      <c r="BI266" s="50">
        <v>0</v>
      </c>
      <c r="BJ266" s="49">
        <v>0</v>
      </c>
      <c r="BK266" s="50">
        <v>0</v>
      </c>
      <c r="BL266" s="49">
        <v>25</v>
      </c>
      <c r="BM266" s="50">
        <v>100</v>
      </c>
      <c r="BN266" s="49">
        <v>25</v>
      </c>
    </row>
    <row r="267" spans="1:66" ht="15">
      <c r="A267" s="68" t="s">
        <v>351</v>
      </c>
      <c r="B267" s="68" t="s">
        <v>436</v>
      </c>
      <c r="C267" s="69" t="s">
        <v>5208</v>
      </c>
      <c r="D267" s="70">
        <v>1</v>
      </c>
      <c r="E267" s="71" t="s">
        <v>132</v>
      </c>
      <c r="F267" s="72">
        <v>32</v>
      </c>
      <c r="G267" s="69" t="s">
        <v>51</v>
      </c>
      <c r="H267" s="73"/>
      <c r="I267" s="74"/>
      <c r="J267" s="74"/>
      <c r="K267" s="35" t="s">
        <v>65</v>
      </c>
      <c r="L267" s="82">
        <v>267</v>
      </c>
      <c r="M267" s="82"/>
      <c r="N267" s="76"/>
      <c r="O267" s="84" t="s">
        <v>440</v>
      </c>
      <c r="P267" s="86">
        <v>44087.12181712963</v>
      </c>
      <c r="Q267" s="84" t="s">
        <v>490</v>
      </c>
      <c r="R267" s="87" t="str">
        <f>HYPERLINK("https://online-learning.harvard.edu/catalog")</f>
        <v>https://online-learning.harvard.edu/catalog</v>
      </c>
      <c r="S267" s="84" t="s">
        <v>551</v>
      </c>
      <c r="T267" s="84" t="s">
        <v>606</v>
      </c>
      <c r="U267" s="84"/>
      <c r="V267" s="87" t="str">
        <f>HYPERLINK("http://pbs.twimg.com/profile_images/1248171232488329216/3gxiyl_Z_normal.jpg")</f>
        <v>http://pbs.twimg.com/profile_images/1248171232488329216/3gxiyl_Z_normal.jpg</v>
      </c>
      <c r="W267" s="86">
        <v>44087.12181712963</v>
      </c>
      <c r="X267" s="90">
        <v>44087</v>
      </c>
      <c r="Y267" s="92" t="s">
        <v>794</v>
      </c>
      <c r="Z267" s="87" t="str">
        <f>HYPERLINK("https://twitter.com/maviebleue2/status/1304976951246028801")</f>
        <v>https://twitter.com/maviebleue2/status/1304976951246028801</v>
      </c>
      <c r="AA267" s="84"/>
      <c r="AB267" s="84"/>
      <c r="AC267" s="92" t="s">
        <v>1188</v>
      </c>
      <c r="AD267" s="84"/>
      <c r="AE267" s="84" t="b">
        <v>0</v>
      </c>
      <c r="AF267" s="84">
        <v>0</v>
      </c>
      <c r="AG267" s="92" t="s">
        <v>1453</v>
      </c>
      <c r="AH267" s="84" t="b">
        <v>0</v>
      </c>
      <c r="AI267" s="84" t="s">
        <v>1456</v>
      </c>
      <c r="AJ267" s="84"/>
      <c r="AK267" s="92" t="s">
        <v>1453</v>
      </c>
      <c r="AL267" s="84" t="b">
        <v>0</v>
      </c>
      <c r="AM267" s="84">
        <v>449</v>
      </c>
      <c r="AN267" s="92" t="s">
        <v>1406</v>
      </c>
      <c r="AO267" s="84" t="s">
        <v>1467</v>
      </c>
      <c r="AP267" s="84" t="b">
        <v>0</v>
      </c>
      <c r="AQ267" s="92" t="s">
        <v>1406</v>
      </c>
      <c r="AR267" s="84" t="s">
        <v>187</v>
      </c>
      <c r="AS267" s="84">
        <v>0</v>
      </c>
      <c r="AT267" s="84">
        <v>0</v>
      </c>
      <c r="AU267" s="84"/>
      <c r="AV267" s="84"/>
      <c r="AW267" s="84"/>
      <c r="AX267" s="84"/>
      <c r="AY267" s="84"/>
      <c r="AZ267" s="84"/>
      <c r="BA267" s="84"/>
      <c r="BB267" s="84"/>
      <c r="BC267">
        <v>1</v>
      </c>
      <c r="BD267" s="83" t="str">
        <f>REPLACE(INDEX(GroupVertices[Group],MATCH(Edges[[#This Row],[Vertex 1]],GroupVertices[Vertex],0)),1,1,"")</f>
        <v>1</v>
      </c>
      <c r="BE267" s="83" t="str">
        <f>REPLACE(INDEX(GroupVertices[Group],MATCH(Edges[[#This Row],[Vertex 2]],GroupVertices[Vertex],0)),1,1,"")</f>
        <v>1</v>
      </c>
      <c r="BF267" s="49"/>
      <c r="BG267" s="50"/>
      <c r="BH267" s="49"/>
      <c r="BI267" s="50"/>
      <c r="BJ267" s="49"/>
      <c r="BK267" s="50"/>
      <c r="BL267" s="49"/>
      <c r="BM267" s="50"/>
      <c r="BN267" s="49"/>
    </row>
    <row r="268" spans="1:66" ht="15">
      <c r="A268" s="68" t="s">
        <v>351</v>
      </c>
      <c r="B268" s="68" t="s">
        <v>418</v>
      </c>
      <c r="C268" s="69" t="s">
        <v>5208</v>
      </c>
      <c r="D268" s="70">
        <v>1</v>
      </c>
      <c r="E268" s="71" t="s">
        <v>132</v>
      </c>
      <c r="F268" s="72">
        <v>32</v>
      </c>
      <c r="G268" s="69" t="s">
        <v>51</v>
      </c>
      <c r="H268" s="73"/>
      <c r="I268" s="74"/>
      <c r="J268" s="74"/>
      <c r="K268" s="35" t="s">
        <v>65</v>
      </c>
      <c r="L268" s="82">
        <v>268</v>
      </c>
      <c r="M268" s="82"/>
      <c r="N268" s="76"/>
      <c r="O268" s="84" t="s">
        <v>439</v>
      </c>
      <c r="P268" s="86">
        <v>44087.12181712963</v>
      </c>
      <c r="Q268" s="84" t="s">
        <v>490</v>
      </c>
      <c r="R268" s="87" t="str">
        <f>HYPERLINK("https://online-learning.harvard.edu/catalog")</f>
        <v>https://online-learning.harvard.edu/catalog</v>
      </c>
      <c r="S268" s="84" t="s">
        <v>551</v>
      </c>
      <c r="T268" s="84" t="s">
        <v>606</v>
      </c>
      <c r="U268" s="84"/>
      <c r="V268" s="87" t="str">
        <f>HYPERLINK("http://pbs.twimg.com/profile_images/1248171232488329216/3gxiyl_Z_normal.jpg")</f>
        <v>http://pbs.twimg.com/profile_images/1248171232488329216/3gxiyl_Z_normal.jpg</v>
      </c>
      <c r="W268" s="86">
        <v>44087.12181712963</v>
      </c>
      <c r="X268" s="90">
        <v>44087</v>
      </c>
      <c r="Y268" s="92" t="s">
        <v>794</v>
      </c>
      <c r="Z268" s="87" t="str">
        <f>HYPERLINK("https://twitter.com/maviebleue2/status/1304976951246028801")</f>
        <v>https://twitter.com/maviebleue2/status/1304976951246028801</v>
      </c>
      <c r="AA268" s="84"/>
      <c r="AB268" s="84"/>
      <c r="AC268" s="92" t="s">
        <v>1188</v>
      </c>
      <c r="AD268" s="84"/>
      <c r="AE268" s="84" t="b">
        <v>0</v>
      </c>
      <c r="AF268" s="84">
        <v>0</v>
      </c>
      <c r="AG268" s="92" t="s">
        <v>1453</v>
      </c>
      <c r="AH268" s="84" t="b">
        <v>0</v>
      </c>
      <c r="AI268" s="84" t="s">
        <v>1456</v>
      </c>
      <c r="AJ268" s="84"/>
      <c r="AK268" s="92" t="s">
        <v>1453</v>
      </c>
      <c r="AL268" s="84" t="b">
        <v>0</v>
      </c>
      <c r="AM268" s="84">
        <v>449</v>
      </c>
      <c r="AN268" s="92" t="s">
        <v>1406</v>
      </c>
      <c r="AO268" s="84" t="s">
        <v>1467</v>
      </c>
      <c r="AP268" s="84" t="b">
        <v>0</v>
      </c>
      <c r="AQ268" s="92" t="s">
        <v>1406</v>
      </c>
      <c r="AR268" s="84" t="s">
        <v>187</v>
      </c>
      <c r="AS268" s="84">
        <v>0</v>
      </c>
      <c r="AT268" s="84">
        <v>0</v>
      </c>
      <c r="AU268" s="84"/>
      <c r="AV268" s="84"/>
      <c r="AW268" s="84"/>
      <c r="AX268" s="84"/>
      <c r="AY268" s="84"/>
      <c r="AZ268" s="84"/>
      <c r="BA268" s="84"/>
      <c r="BB268" s="84"/>
      <c r="BC268">
        <v>1</v>
      </c>
      <c r="BD268" s="83" t="str">
        <f>REPLACE(INDEX(GroupVertices[Group],MATCH(Edges[[#This Row],[Vertex 1]],GroupVertices[Vertex],0)),1,1,"")</f>
        <v>1</v>
      </c>
      <c r="BE268" s="83" t="str">
        <f>REPLACE(INDEX(GroupVertices[Group],MATCH(Edges[[#This Row],[Vertex 2]],GroupVertices[Vertex],0)),1,1,"")</f>
        <v>1</v>
      </c>
      <c r="BF268" s="49">
        <v>0</v>
      </c>
      <c r="BG268" s="50">
        <v>0</v>
      </c>
      <c r="BH268" s="49">
        <v>0</v>
      </c>
      <c r="BI268" s="50">
        <v>0</v>
      </c>
      <c r="BJ268" s="49">
        <v>0</v>
      </c>
      <c r="BK268" s="50">
        <v>0</v>
      </c>
      <c r="BL268" s="49">
        <v>25</v>
      </c>
      <c r="BM268" s="50">
        <v>100</v>
      </c>
      <c r="BN268" s="49">
        <v>25</v>
      </c>
    </row>
    <row r="269" spans="1:66" ht="15">
      <c r="A269" s="68" t="s">
        <v>352</v>
      </c>
      <c r="B269" s="68" t="s">
        <v>372</v>
      </c>
      <c r="C269" s="69" t="s">
        <v>5208</v>
      </c>
      <c r="D269" s="70">
        <v>1</v>
      </c>
      <c r="E269" s="71" t="s">
        <v>132</v>
      </c>
      <c r="F269" s="72">
        <v>32</v>
      </c>
      <c r="G269" s="69" t="s">
        <v>51</v>
      </c>
      <c r="H269" s="73"/>
      <c r="I269" s="74"/>
      <c r="J269" s="74"/>
      <c r="K269" s="35" t="s">
        <v>65</v>
      </c>
      <c r="L269" s="82">
        <v>269</v>
      </c>
      <c r="M269" s="82"/>
      <c r="N269" s="76"/>
      <c r="O269" s="84" t="s">
        <v>439</v>
      </c>
      <c r="P269" s="86">
        <v>44082.33813657407</v>
      </c>
      <c r="Q269" s="84" t="s">
        <v>452</v>
      </c>
      <c r="R269" s="84"/>
      <c r="S269" s="84"/>
      <c r="T269" s="84" t="s">
        <v>571</v>
      </c>
      <c r="U269" s="87" t="str">
        <f>HYPERLINK("https://pbs.twimg.com/media/EhYM46pUYAAagXV.jpg")</f>
        <v>https://pbs.twimg.com/media/EhYM46pUYAAagXV.jpg</v>
      </c>
      <c r="V269" s="87" t="str">
        <f>HYPERLINK("https://pbs.twimg.com/media/EhYM46pUYAAagXV.jpg")</f>
        <v>https://pbs.twimg.com/media/EhYM46pUYAAagXV.jpg</v>
      </c>
      <c r="W269" s="86">
        <v>44082.33813657407</v>
      </c>
      <c r="X269" s="90">
        <v>44082</v>
      </c>
      <c r="Y269" s="92" t="s">
        <v>795</v>
      </c>
      <c r="Z269" s="87" t="str">
        <f>HYPERLINK("https://twitter.com/blkhwk0ps/status/1303243404445446149")</f>
        <v>https://twitter.com/blkhwk0ps/status/1303243404445446149</v>
      </c>
      <c r="AA269" s="84"/>
      <c r="AB269" s="84"/>
      <c r="AC269" s="92" t="s">
        <v>1189</v>
      </c>
      <c r="AD269" s="84"/>
      <c r="AE269" s="84" t="b">
        <v>0</v>
      </c>
      <c r="AF269" s="84">
        <v>0</v>
      </c>
      <c r="AG269" s="92" t="s">
        <v>1453</v>
      </c>
      <c r="AH269" s="84" t="b">
        <v>0</v>
      </c>
      <c r="AI269" s="84" t="s">
        <v>1458</v>
      </c>
      <c r="AJ269" s="84"/>
      <c r="AK269" s="92" t="s">
        <v>1453</v>
      </c>
      <c r="AL269" s="84" t="b">
        <v>0</v>
      </c>
      <c r="AM269" s="84">
        <v>3</v>
      </c>
      <c r="AN269" s="92" t="s">
        <v>1223</v>
      </c>
      <c r="AO269" s="84" t="s">
        <v>1505</v>
      </c>
      <c r="AP269" s="84" t="b">
        <v>0</v>
      </c>
      <c r="AQ269" s="92" t="s">
        <v>1223</v>
      </c>
      <c r="AR269" s="84" t="s">
        <v>187</v>
      </c>
      <c r="AS269" s="84">
        <v>0</v>
      </c>
      <c r="AT269" s="84">
        <v>0</v>
      </c>
      <c r="AU269" s="84"/>
      <c r="AV269" s="84"/>
      <c r="AW269" s="84"/>
      <c r="AX269" s="84"/>
      <c r="AY269" s="84"/>
      <c r="AZ269" s="84"/>
      <c r="BA269" s="84"/>
      <c r="BB269" s="84"/>
      <c r="BC269">
        <v>1</v>
      </c>
      <c r="BD269" s="83" t="str">
        <f>REPLACE(INDEX(GroupVertices[Group],MATCH(Edges[[#This Row],[Vertex 1]],GroupVertices[Vertex],0)),1,1,"")</f>
        <v>2</v>
      </c>
      <c r="BE269" s="83" t="str">
        <f>REPLACE(INDEX(GroupVertices[Group],MATCH(Edges[[#This Row],[Vertex 2]],GroupVertices[Vertex],0)),1,1,"")</f>
        <v>2</v>
      </c>
      <c r="BF269" s="49">
        <v>0</v>
      </c>
      <c r="BG269" s="50">
        <v>0</v>
      </c>
      <c r="BH269" s="49">
        <v>0</v>
      </c>
      <c r="BI269" s="50">
        <v>0</v>
      </c>
      <c r="BJ269" s="49">
        <v>0</v>
      </c>
      <c r="BK269" s="50">
        <v>0</v>
      </c>
      <c r="BL269" s="49">
        <v>30</v>
      </c>
      <c r="BM269" s="50">
        <v>100</v>
      </c>
      <c r="BN269" s="49">
        <v>30</v>
      </c>
    </row>
    <row r="270" spans="1:66" ht="15">
      <c r="A270" s="68" t="s">
        <v>352</v>
      </c>
      <c r="B270" s="68" t="s">
        <v>389</v>
      </c>
      <c r="C270" s="69" t="s">
        <v>5208</v>
      </c>
      <c r="D270" s="70">
        <v>1</v>
      </c>
      <c r="E270" s="71" t="s">
        <v>132</v>
      </c>
      <c r="F270" s="72">
        <v>32</v>
      </c>
      <c r="G270" s="69" t="s">
        <v>51</v>
      </c>
      <c r="H270" s="73"/>
      <c r="I270" s="74"/>
      <c r="J270" s="74"/>
      <c r="K270" s="35" t="s">
        <v>65</v>
      </c>
      <c r="L270" s="82">
        <v>270</v>
      </c>
      <c r="M270" s="82"/>
      <c r="N270" s="76"/>
      <c r="O270" s="84" t="s">
        <v>439</v>
      </c>
      <c r="P270" s="86">
        <v>44083.853946759256</v>
      </c>
      <c r="Q270" s="84" t="s">
        <v>478</v>
      </c>
      <c r="R270" s="87" t="str">
        <f>HYPERLINK("http://www.globalbigdataconference.com/145756/combatting-covid-19-misinformation-with-machine-learning/industrynews-details.html")</f>
        <v>http://www.globalbigdataconference.com/145756/combatting-covid-19-misinformation-with-machine-learning/industrynews-details.html</v>
      </c>
      <c r="S270" s="84" t="s">
        <v>541</v>
      </c>
      <c r="T270" s="84" t="s">
        <v>580</v>
      </c>
      <c r="U270" s="84"/>
      <c r="V270" s="87" t="str">
        <f>HYPERLINK("http://pbs.twimg.com/profile_images/1231583573917958145/pr3PE9q__normal.jpg")</f>
        <v>http://pbs.twimg.com/profile_images/1231583573917958145/pr3PE9q__normal.jpg</v>
      </c>
      <c r="W270" s="86">
        <v>44083.853946759256</v>
      </c>
      <c r="X270" s="90">
        <v>44083</v>
      </c>
      <c r="Y270" s="92" t="s">
        <v>796</v>
      </c>
      <c r="Z270" s="87" t="str">
        <f>HYPERLINK("https://twitter.com/blkhwk0ps/status/1303792717915451394")</f>
        <v>https://twitter.com/blkhwk0ps/status/1303792717915451394</v>
      </c>
      <c r="AA270" s="84"/>
      <c r="AB270" s="84"/>
      <c r="AC270" s="92" t="s">
        <v>1190</v>
      </c>
      <c r="AD270" s="84"/>
      <c r="AE270" s="84" t="b">
        <v>0</v>
      </c>
      <c r="AF270" s="84">
        <v>0</v>
      </c>
      <c r="AG270" s="92" t="s">
        <v>1453</v>
      </c>
      <c r="AH270" s="84" t="b">
        <v>0</v>
      </c>
      <c r="AI270" s="84" t="s">
        <v>1456</v>
      </c>
      <c r="AJ270" s="84"/>
      <c r="AK270" s="92" t="s">
        <v>1453</v>
      </c>
      <c r="AL270" s="84" t="b">
        <v>0</v>
      </c>
      <c r="AM270" s="84">
        <v>25</v>
      </c>
      <c r="AN270" s="92" t="s">
        <v>1287</v>
      </c>
      <c r="AO270" s="84" t="s">
        <v>1505</v>
      </c>
      <c r="AP270" s="84" t="b">
        <v>0</v>
      </c>
      <c r="AQ270" s="92" t="s">
        <v>1287</v>
      </c>
      <c r="AR270" s="84" t="s">
        <v>187</v>
      </c>
      <c r="AS270" s="84">
        <v>0</v>
      </c>
      <c r="AT270" s="84">
        <v>0</v>
      </c>
      <c r="AU270" s="84"/>
      <c r="AV270" s="84"/>
      <c r="AW270" s="84"/>
      <c r="AX270" s="84"/>
      <c r="AY270" s="84"/>
      <c r="AZ270" s="84"/>
      <c r="BA270" s="84"/>
      <c r="BB270" s="84"/>
      <c r="BC270">
        <v>1</v>
      </c>
      <c r="BD270" s="83" t="str">
        <f>REPLACE(INDEX(GroupVertices[Group],MATCH(Edges[[#This Row],[Vertex 1]],GroupVertices[Vertex],0)),1,1,"")</f>
        <v>2</v>
      </c>
      <c r="BE270" s="83" t="str">
        <f>REPLACE(INDEX(GroupVertices[Group],MATCH(Edges[[#This Row],[Vertex 2]],GroupVertices[Vertex],0)),1,1,"")</f>
        <v>3</v>
      </c>
      <c r="BF270" s="49">
        <v>0</v>
      </c>
      <c r="BG270" s="50">
        <v>0</v>
      </c>
      <c r="BH270" s="49">
        <v>0</v>
      </c>
      <c r="BI270" s="50">
        <v>0</v>
      </c>
      <c r="BJ270" s="49">
        <v>0</v>
      </c>
      <c r="BK270" s="50">
        <v>0</v>
      </c>
      <c r="BL270" s="49">
        <v>25</v>
      </c>
      <c r="BM270" s="50">
        <v>100</v>
      </c>
      <c r="BN270" s="49">
        <v>25</v>
      </c>
    </row>
    <row r="271" spans="1:66" ht="15">
      <c r="A271" s="68" t="s">
        <v>352</v>
      </c>
      <c r="B271" s="68" t="s">
        <v>436</v>
      </c>
      <c r="C271" s="69" t="s">
        <v>5208</v>
      </c>
      <c r="D271" s="70">
        <v>1</v>
      </c>
      <c r="E271" s="71" t="s">
        <v>132</v>
      </c>
      <c r="F271" s="72">
        <v>32</v>
      </c>
      <c r="G271" s="69" t="s">
        <v>51</v>
      </c>
      <c r="H271" s="73"/>
      <c r="I271" s="74"/>
      <c r="J271" s="74"/>
      <c r="K271" s="35" t="s">
        <v>65</v>
      </c>
      <c r="L271" s="82">
        <v>271</v>
      </c>
      <c r="M271" s="82"/>
      <c r="N271" s="76"/>
      <c r="O271" s="84" t="s">
        <v>440</v>
      </c>
      <c r="P271" s="86">
        <v>44087.17729166667</v>
      </c>
      <c r="Q271" s="84" t="s">
        <v>490</v>
      </c>
      <c r="R271" s="87" t="str">
        <f>HYPERLINK("https://online-learning.harvard.edu/catalog")</f>
        <v>https://online-learning.harvard.edu/catalog</v>
      </c>
      <c r="S271" s="84" t="s">
        <v>551</v>
      </c>
      <c r="T271" s="84" t="s">
        <v>606</v>
      </c>
      <c r="U271" s="84"/>
      <c r="V271" s="87" t="str">
        <f>HYPERLINK("http://pbs.twimg.com/profile_images/1231583573917958145/pr3PE9q__normal.jpg")</f>
        <v>http://pbs.twimg.com/profile_images/1231583573917958145/pr3PE9q__normal.jpg</v>
      </c>
      <c r="W271" s="86">
        <v>44087.17729166667</v>
      </c>
      <c r="X271" s="90">
        <v>44087</v>
      </c>
      <c r="Y271" s="92" t="s">
        <v>797</v>
      </c>
      <c r="Z271" s="87" t="str">
        <f>HYPERLINK("https://twitter.com/blkhwk0ps/status/1304997058055745542")</f>
        <v>https://twitter.com/blkhwk0ps/status/1304997058055745542</v>
      </c>
      <c r="AA271" s="84"/>
      <c r="AB271" s="84"/>
      <c r="AC271" s="92" t="s">
        <v>1191</v>
      </c>
      <c r="AD271" s="84"/>
      <c r="AE271" s="84" t="b">
        <v>0</v>
      </c>
      <c r="AF271" s="84">
        <v>0</v>
      </c>
      <c r="AG271" s="92" t="s">
        <v>1453</v>
      </c>
      <c r="AH271" s="84" t="b">
        <v>0</v>
      </c>
      <c r="AI271" s="84" t="s">
        <v>1456</v>
      </c>
      <c r="AJ271" s="84"/>
      <c r="AK271" s="92" t="s">
        <v>1453</v>
      </c>
      <c r="AL271" s="84" t="b">
        <v>0</v>
      </c>
      <c r="AM271" s="84">
        <v>449</v>
      </c>
      <c r="AN271" s="92" t="s">
        <v>1406</v>
      </c>
      <c r="AO271" s="84" t="s">
        <v>1505</v>
      </c>
      <c r="AP271" s="84" t="b">
        <v>0</v>
      </c>
      <c r="AQ271" s="92" t="s">
        <v>1406</v>
      </c>
      <c r="AR271" s="84" t="s">
        <v>187</v>
      </c>
      <c r="AS271" s="84">
        <v>0</v>
      </c>
      <c r="AT271" s="84">
        <v>0</v>
      </c>
      <c r="AU271" s="84"/>
      <c r="AV271" s="84"/>
      <c r="AW271" s="84"/>
      <c r="AX271" s="84"/>
      <c r="AY271" s="84"/>
      <c r="AZ271" s="84"/>
      <c r="BA271" s="84"/>
      <c r="BB271" s="84"/>
      <c r="BC271">
        <v>1</v>
      </c>
      <c r="BD271" s="83" t="str">
        <f>REPLACE(INDEX(GroupVertices[Group],MATCH(Edges[[#This Row],[Vertex 1]],GroupVertices[Vertex],0)),1,1,"")</f>
        <v>2</v>
      </c>
      <c r="BE271" s="83" t="str">
        <f>REPLACE(INDEX(GroupVertices[Group],MATCH(Edges[[#This Row],[Vertex 2]],GroupVertices[Vertex],0)),1,1,"")</f>
        <v>1</v>
      </c>
      <c r="BF271" s="49"/>
      <c r="BG271" s="50"/>
      <c r="BH271" s="49"/>
      <c r="BI271" s="50"/>
      <c r="BJ271" s="49"/>
      <c r="BK271" s="50"/>
      <c r="BL271" s="49"/>
      <c r="BM271" s="50"/>
      <c r="BN271" s="49"/>
    </row>
    <row r="272" spans="1:66" ht="15">
      <c r="A272" s="68" t="s">
        <v>352</v>
      </c>
      <c r="B272" s="68" t="s">
        <v>418</v>
      </c>
      <c r="C272" s="69" t="s">
        <v>5208</v>
      </c>
      <c r="D272" s="70">
        <v>1</v>
      </c>
      <c r="E272" s="71" t="s">
        <v>132</v>
      </c>
      <c r="F272" s="72">
        <v>32</v>
      </c>
      <c r="G272" s="69" t="s">
        <v>51</v>
      </c>
      <c r="H272" s="73"/>
      <c r="I272" s="74"/>
      <c r="J272" s="74"/>
      <c r="K272" s="35" t="s">
        <v>65</v>
      </c>
      <c r="L272" s="82">
        <v>272</v>
      </c>
      <c r="M272" s="82"/>
      <c r="N272" s="76"/>
      <c r="O272" s="84" t="s">
        <v>439</v>
      </c>
      <c r="P272" s="86">
        <v>44087.17729166667</v>
      </c>
      <c r="Q272" s="84" t="s">
        <v>490</v>
      </c>
      <c r="R272" s="87" t="str">
        <f>HYPERLINK("https://online-learning.harvard.edu/catalog")</f>
        <v>https://online-learning.harvard.edu/catalog</v>
      </c>
      <c r="S272" s="84" t="s">
        <v>551</v>
      </c>
      <c r="T272" s="84" t="s">
        <v>606</v>
      </c>
      <c r="U272" s="84"/>
      <c r="V272" s="87" t="str">
        <f>HYPERLINK("http://pbs.twimg.com/profile_images/1231583573917958145/pr3PE9q__normal.jpg")</f>
        <v>http://pbs.twimg.com/profile_images/1231583573917958145/pr3PE9q__normal.jpg</v>
      </c>
      <c r="W272" s="86">
        <v>44087.17729166667</v>
      </c>
      <c r="X272" s="90">
        <v>44087</v>
      </c>
      <c r="Y272" s="92" t="s">
        <v>797</v>
      </c>
      <c r="Z272" s="87" t="str">
        <f>HYPERLINK("https://twitter.com/blkhwk0ps/status/1304997058055745542")</f>
        <v>https://twitter.com/blkhwk0ps/status/1304997058055745542</v>
      </c>
      <c r="AA272" s="84"/>
      <c r="AB272" s="84"/>
      <c r="AC272" s="92" t="s">
        <v>1191</v>
      </c>
      <c r="AD272" s="84"/>
      <c r="AE272" s="84" t="b">
        <v>0</v>
      </c>
      <c r="AF272" s="84">
        <v>0</v>
      </c>
      <c r="AG272" s="92" t="s">
        <v>1453</v>
      </c>
      <c r="AH272" s="84" t="b">
        <v>0</v>
      </c>
      <c r="AI272" s="84" t="s">
        <v>1456</v>
      </c>
      <c r="AJ272" s="84"/>
      <c r="AK272" s="92" t="s">
        <v>1453</v>
      </c>
      <c r="AL272" s="84" t="b">
        <v>0</v>
      </c>
      <c r="AM272" s="84">
        <v>449</v>
      </c>
      <c r="AN272" s="92" t="s">
        <v>1406</v>
      </c>
      <c r="AO272" s="84" t="s">
        <v>1505</v>
      </c>
      <c r="AP272" s="84" t="b">
        <v>0</v>
      </c>
      <c r="AQ272" s="92" t="s">
        <v>1406</v>
      </c>
      <c r="AR272" s="84" t="s">
        <v>187</v>
      </c>
      <c r="AS272" s="84">
        <v>0</v>
      </c>
      <c r="AT272" s="84">
        <v>0</v>
      </c>
      <c r="AU272" s="84"/>
      <c r="AV272" s="84"/>
      <c r="AW272" s="84"/>
      <c r="AX272" s="84"/>
      <c r="AY272" s="84"/>
      <c r="AZ272" s="84"/>
      <c r="BA272" s="84"/>
      <c r="BB272" s="84"/>
      <c r="BC272">
        <v>1</v>
      </c>
      <c r="BD272" s="83" t="str">
        <f>REPLACE(INDEX(GroupVertices[Group],MATCH(Edges[[#This Row],[Vertex 1]],GroupVertices[Vertex],0)),1,1,"")</f>
        <v>2</v>
      </c>
      <c r="BE272" s="83" t="str">
        <f>REPLACE(INDEX(GroupVertices[Group],MATCH(Edges[[#This Row],[Vertex 2]],GroupVertices[Vertex],0)),1,1,"")</f>
        <v>1</v>
      </c>
      <c r="BF272" s="49">
        <v>0</v>
      </c>
      <c r="BG272" s="50">
        <v>0</v>
      </c>
      <c r="BH272" s="49">
        <v>0</v>
      </c>
      <c r="BI272" s="50">
        <v>0</v>
      </c>
      <c r="BJ272" s="49">
        <v>0</v>
      </c>
      <c r="BK272" s="50">
        <v>0</v>
      </c>
      <c r="BL272" s="49">
        <v>25</v>
      </c>
      <c r="BM272" s="50">
        <v>100</v>
      </c>
      <c r="BN272" s="49">
        <v>25</v>
      </c>
    </row>
    <row r="273" spans="1:66" ht="15">
      <c r="A273" s="68" t="s">
        <v>353</v>
      </c>
      <c r="B273" s="68" t="s">
        <v>436</v>
      </c>
      <c r="C273" s="69" t="s">
        <v>5208</v>
      </c>
      <c r="D273" s="70">
        <v>1</v>
      </c>
      <c r="E273" s="71" t="s">
        <v>132</v>
      </c>
      <c r="F273" s="72">
        <v>32</v>
      </c>
      <c r="G273" s="69" t="s">
        <v>51</v>
      </c>
      <c r="H273" s="73"/>
      <c r="I273" s="74"/>
      <c r="J273" s="74"/>
      <c r="K273" s="35" t="s">
        <v>65</v>
      </c>
      <c r="L273" s="82">
        <v>273</v>
      </c>
      <c r="M273" s="82"/>
      <c r="N273" s="76"/>
      <c r="O273" s="84" t="s">
        <v>440</v>
      </c>
      <c r="P273" s="86">
        <v>44087.17738425926</v>
      </c>
      <c r="Q273" s="84" t="s">
        <v>490</v>
      </c>
      <c r="R273" s="87" t="str">
        <f>HYPERLINK("https://online-learning.harvard.edu/catalog")</f>
        <v>https://online-learning.harvard.edu/catalog</v>
      </c>
      <c r="S273" s="84" t="s">
        <v>551</v>
      </c>
      <c r="T273" s="84" t="s">
        <v>606</v>
      </c>
      <c r="U273" s="84"/>
      <c r="V273" s="87" t="str">
        <f>HYPERLINK("http://pbs.twimg.com/profile_images/812556678344351744/SiRnLTqx_normal.jpg")</f>
        <v>http://pbs.twimg.com/profile_images/812556678344351744/SiRnLTqx_normal.jpg</v>
      </c>
      <c r="W273" s="86">
        <v>44087.17738425926</v>
      </c>
      <c r="X273" s="90">
        <v>44087</v>
      </c>
      <c r="Y273" s="92" t="s">
        <v>798</v>
      </c>
      <c r="Z273" s="87" t="str">
        <f>HYPERLINK("https://twitter.com/_reactdev/status/1304997091652108289")</f>
        <v>https://twitter.com/_reactdev/status/1304997091652108289</v>
      </c>
      <c r="AA273" s="84"/>
      <c r="AB273" s="84"/>
      <c r="AC273" s="92" t="s">
        <v>1192</v>
      </c>
      <c r="AD273" s="84"/>
      <c r="AE273" s="84" t="b">
        <v>0</v>
      </c>
      <c r="AF273" s="84">
        <v>0</v>
      </c>
      <c r="AG273" s="92" t="s">
        <v>1453</v>
      </c>
      <c r="AH273" s="84" t="b">
        <v>0</v>
      </c>
      <c r="AI273" s="84" t="s">
        <v>1456</v>
      </c>
      <c r="AJ273" s="84"/>
      <c r="AK273" s="92" t="s">
        <v>1453</v>
      </c>
      <c r="AL273" s="84" t="b">
        <v>0</v>
      </c>
      <c r="AM273" s="84">
        <v>449</v>
      </c>
      <c r="AN273" s="92" t="s">
        <v>1406</v>
      </c>
      <c r="AO273" s="84" t="s">
        <v>1506</v>
      </c>
      <c r="AP273" s="84" t="b">
        <v>0</v>
      </c>
      <c r="AQ273" s="92" t="s">
        <v>1406</v>
      </c>
      <c r="AR273" s="84" t="s">
        <v>187</v>
      </c>
      <c r="AS273" s="84">
        <v>0</v>
      </c>
      <c r="AT273" s="84">
        <v>0</v>
      </c>
      <c r="AU273" s="84"/>
      <c r="AV273" s="84"/>
      <c r="AW273" s="84"/>
      <c r="AX273" s="84"/>
      <c r="AY273" s="84"/>
      <c r="AZ273" s="84"/>
      <c r="BA273" s="84"/>
      <c r="BB273" s="84"/>
      <c r="BC273">
        <v>1</v>
      </c>
      <c r="BD273" s="83" t="str">
        <f>REPLACE(INDEX(GroupVertices[Group],MATCH(Edges[[#This Row],[Vertex 1]],GroupVertices[Vertex],0)),1,1,"")</f>
        <v>1</v>
      </c>
      <c r="BE273" s="83" t="str">
        <f>REPLACE(INDEX(GroupVertices[Group],MATCH(Edges[[#This Row],[Vertex 2]],GroupVertices[Vertex],0)),1,1,"")</f>
        <v>1</v>
      </c>
      <c r="BF273" s="49"/>
      <c r="BG273" s="50"/>
      <c r="BH273" s="49"/>
      <c r="BI273" s="50"/>
      <c r="BJ273" s="49"/>
      <c r="BK273" s="50"/>
      <c r="BL273" s="49"/>
      <c r="BM273" s="50"/>
      <c r="BN273" s="49"/>
    </row>
    <row r="274" spans="1:66" ht="15">
      <c r="A274" s="68" t="s">
        <v>353</v>
      </c>
      <c r="B274" s="68" t="s">
        <v>418</v>
      </c>
      <c r="C274" s="69" t="s">
        <v>5208</v>
      </c>
      <c r="D274" s="70">
        <v>1</v>
      </c>
      <c r="E274" s="71" t="s">
        <v>132</v>
      </c>
      <c r="F274" s="72">
        <v>32</v>
      </c>
      <c r="G274" s="69" t="s">
        <v>51</v>
      </c>
      <c r="H274" s="73"/>
      <c r="I274" s="74"/>
      <c r="J274" s="74"/>
      <c r="K274" s="35" t="s">
        <v>65</v>
      </c>
      <c r="L274" s="82">
        <v>274</v>
      </c>
      <c r="M274" s="82"/>
      <c r="N274" s="76"/>
      <c r="O274" s="84" t="s">
        <v>439</v>
      </c>
      <c r="P274" s="86">
        <v>44087.17738425926</v>
      </c>
      <c r="Q274" s="84" t="s">
        <v>490</v>
      </c>
      <c r="R274" s="87" t="str">
        <f>HYPERLINK("https://online-learning.harvard.edu/catalog")</f>
        <v>https://online-learning.harvard.edu/catalog</v>
      </c>
      <c r="S274" s="84" t="s">
        <v>551</v>
      </c>
      <c r="T274" s="84" t="s">
        <v>606</v>
      </c>
      <c r="U274" s="84"/>
      <c r="V274" s="87" t="str">
        <f>HYPERLINK("http://pbs.twimg.com/profile_images/812556678344351744/SiRnLTqx_normal.jpg")</f>
        <v>http://pbs.twimg.com/profile_images/812556678344351744/SiRnLTqx_normal.jpg</v>
      </c>
      <c r="W274" s="86">
        <v>44087.17738425926</v>
      </c>
      <c r="X274" s="90">
        <v>44087</v>
      </c>
      <c r="Y274" s="92" t="s">
        <v>798</v>
      </c>
      <c r="Z274" s="87" t="str">
        <f>HYPERLINK("https://twitter.com/_reactdev/status/1304997091652108289")</f>
        <v>https://twitter.com/_reactdev/status/1304997091652108289</v>
      </c>
      <c r="AA274" s="84"/>
      <c r="AB274" s="84"/>
      <c r="AC274" s="92" t="s">
        <v>1192</v>
      </c>
      <c r="AD274" s="84"/>
      <c r="AE274" s="84" t="b">
        <v>0</v>
      </c>
      <c r="AF274" s="84">
        <v>0</v>
      </c>
      <c r="AG274" s="92" t="s">
        <v>1453</v>
      </c>
      <c r="AH274" s="84" t="b">
        <v>0</v>
      </c>
      <c r="AI274" s="84" t="s">
        <v>1456</v>
      </c>
      <c r="AJ274" s="84"/>
      <c r="AK274" s="92" t="s">
        <v>1453</v>
      </c>
      <c r="AL274" s="84" t="b">
        <v>0</v>
      </c>
      <c r="AM274" s="84">
        <v>449</v>
      </c>
      <c r="AN274" s="92" t="s">
        <v>1406</v>
      </c>
      <c r="AO274" s="84" t="s">
        <v>1506</v>
      </c>
      <c r="AP274" s="84" t="b">
        <v>0</v>
      </c>
      <c r="AQ274" s="92" t="s">
        <v>1406</v>
      </c>
      <c r="AR274" s="84" t="s">
        <v>187</v>
      </c>
      <c r="AS274" s="84">
        <v>0</v>
      </c>
      <c r="AT274" s="84">
        <v>0</v>
      </c>
      <c r="AU274" s="84"/>
      <c r="AV274" s="84"/>
      <c r="AW274" s="84"/>
      <c r="AX274" s="84"/>
      <c r="AY274" s="84"/>
      <c r="AZ274" s="84"/>
      <c r="BA274" s="84"/>
      <c r="BB274" s="84"/>
      <c r="BC274">
        <v>1</v>
      </c>
      <c r="BD274" s="83" t="str">
        <f>REPLACE(INDEX(GroupVertices[Group],MATCH(Edges[[#This Row],[Vertex 1]],GroupVertices[Vertex],0)),1,1,"")</f>
        <v>1</v>
      </c>
      <c r="BE274" s="83" t="str">
        <f>REPLACE(INDEX(GroupVertices[Group],MATCH(Edges[[#This Row],[Vertex 2]],GroupVertices[Vertex],0)),1,1,"")</f>
        <v>1</v>
      </c>
      <c r="BF274" s="49">
        <v>0</v>
      </c>
      <c r="BG274" s="50">
        <v>0</v>
      </c>
      <c r="BH274" s="49">
        <v>0</v>
      </c>
      <c r="BI274" s="50">
        <v>0</v>
      </c>
      <c r="BJ274" s="49">
        <v>0</v>
      </c>
      <c r="BK274" s="50">
        <v>0</v>
      </c>
      <c r="BL274" s="49">
        <v>25</v>
      </c>
      <c r="BM274" s="50">
        <v>100</v>
      </c>
      <c r="BN274" s="49">
        <v>25</v>
      </c>
    </row>
    <row r="275" spans="1:66" ht="15">
      <c r="A275" s="68" t="s">
        <v>354</v>
      </c>
      <c r="B275" s="68" t="s">
        <v>436</v>
      </c>
      <c r="C275" s="69" t="s">
        <v>5208</v>
      </c>
      <c r="D275" s="70">
        <v>1</v>
      </c>
      <c r="E275" s="71" t="s">
        <v>132</v>
      </c>
      <c r="F275" s="72">
        <v>32</v>
      </c>
      <c r="G275" s="69" t="s">
        <v>51</v>
      </c>
      <c r="H275" s="73"/>
      <c r="I275" s="74"/>
      <c r="J275" s="74"/>
      <c r="K275" s="35" t="s">
        <v>65</v>
      </c>
      <c r="L275" s="82">
        <v>275</v>
      </c>
      <c r="M275" s="82"/>
      <c r="N275" s="76"/>
      <c r="O275" s="84" t="s">
        <v>440</v>
      </c>
      <c r="P275" s="86">
        <v>44087.18502314815</v>
      </c>
      <c r="Q275" s="84" t="s">
        <v>490</v>
      </c>
      <c r="R275" s="87" t="str">
        <f>HYPERLINK("https://online-learning.harvard.edu/catalog")</f>
        <v>https://online-learning.harvard.edu/catalog</v>
      </c>
      <c r="S275" s="84" t="s">
        <v>551</v>
      </c>
      <c r="T275" s="84" t="s">
        <v>606</v>
      </c>
      <c r="U275" s="84"/>
      <c r="V275" s="87" t="str">
        <f>HYPERLINK("http://pbs.twimg.com/profile_images/1181482969774657537/IfECzjxP_normal.jpg")</f>
        <v>http://pbs.twimg.com/profile_images/1181482969774657537/IfECzjxP_normal.jpg</v>
      </c>
      <c r="W275" s="86">
        <v>44087.18502314815</v>
      </c>
      <c r="X275" s="90">
        <v>44087</v>
      </c>
      <c r="Y275" s="92" t="s">
        <v>799</v>
      </c>
      <c r="Z275" s="87" t="str">
        <f>HYPERLINK("https://twitter.com/raymondmorrow/status/1304999858995171332")</f>
        <v>https://twitter.com/raymondmorrow/status/1304999858995171332</v>
      </c>
      <c r="AA275" s="84"/>
      <c r="AB275" s="84"/>
      <c r="AC275" s="92" t="s">
        <v>1193</v>
      </c>
      <c r="AD275" s="84"/>
      <c r="AE275" s="84" t="b">
        <v>0</v>
      </c>
      <c r="AF275" s="84">
        <v>0</v>
      </c>
      <c r="AG275" s="92" t="s">
        <v>1453</v>
      </c>
      <c r="AH275" s="84" t="b">
        <v>0</v>
      </c>
      <c r="AI275" s="84" t="s">
        <v>1456</v>
      </c>
      <c r="AJ275" s="84"/>
      <c r="AK275" s="92" t="s">
        <v>1453</v>
      </c>
      <c r="AL275" s="84" t="b">
        <v>0</v>
      </c>
      <c r="AM275" s="84">
        <v>449</v>
      </c>
      <c r="AN275" s="92" t="s">
        <v>1406</v>
      </c>
      <c r="AO275" s="84" t="s">
        <v>1491</v>
      </c>
      <c r="AP275" s="84" t="b">
        <v>0</v>
      </c>
      <c r="AQ275" s="92" t="s">
        <v>1406</v>
      </c>
      <c r="AR275" s="84" t="s">
        <v>187</v>
      </c>
      <c r="AS275" s="84">
        <v>0</v>
      </c>
      <c r="AT275" s="84">
        <v>0</v>
      </c>
      <c r="AU275" s="84"/>
      <c r="AV275" s="84"/>
      <c r="AW275" s="84"/>
      <c r="AX275" s="84"/>
      <c r="AY275" s="84"/>
      <c r="AZ275" s="84"/>
      <c r="BA275" s="84"/>
      <c r="BB275" s="84"/>
      <c r="BC275">
        <v>1</v>
      </c>
      <c r="BD275" s="83" t="str">
        <f>REPLACE(INDEX(GroupVertices[Group],MATCH(Edges[[#This Row],[Vertex 1]],GroupVertices[Vertex],0)),1,1,"")</f>
        <v>1</v>
      </c>
      <c r="BE275" s="83" t="str">
        <f>REPLACE(INDEX(GroupVertices[Group],MATCH(Edges[[#This Row],[Vertex 2]],GroupVertices[Vertex],0)),1,1,"")</f>
        <v>1</v>
      </c>
      <c r="BF275" s="49"/>
      <c r="BG275" s="50"/>
      <c r="BH275" s="49"/>
      <c r="BI275" s="50"/>
      <c r="BJ275" s="49"/>
      <c r="BK275" s="50"/>
      <c r="BL275" s="49"/>
      <c r="BM275" s="50"/>
      <c r="BN275" s="49"/>
    </row>
    <row r="276" spans="1:66" ht="15">
      <c r="A276" s="68" t="s">
        <v>354</v>
      </c>
      <c r="B276" s="68" t="s">
        <v>418</v>
      </c>
      <c r="C276" s="69" t="s">
        <v>5208</v>
      </c>
      <c r="D276" s="70">
        <v>1</v>
      </c>
      <c r="E276" s="71" t="s">
        <v>132</v>
      </c>
      <c r="F276" s="72">
        <v>32</v>
      </c>
      <c r="G276" s="69" t="s">
        <v>51</v>
      </c>
      <c r="H276" s="73"/>
      <c r="I276" s="74"/>
      <c r="J276" s="74"/>
      <c r="K276" s="35" t="s">
        <v>65</v>
      </c>
      <c r="L276" s="82">
        <v>276</v>
      </c>
      <c r="M276" s="82"/>
      <c r="N276" s="76"/>
      <c r="O276" s="84" t="s">
        <v>439</v>
      </c>
      <c r="P276" s="86">
        <v>44087.18502314815</v>
      </c>
      <c r="Q276" s="84" t="s">
        <v>490</v>
      </c>
      <c r="R276" s="87" t="str">
        <f>HYPERLINK("https://online-learning.harvard.edu/catalog")</f>
        <v>https://online-learning.harvard.edu/catalog</v>
      </c>
      <c r="S276" s="84" t="s">
        <v>551</v>
      </c>
      <c r="T276" s="84" t="s">
        <v>606</v>
      </c>
      <c r="U276" s="84"/>
      <c r="V276" s="87" t="str">
        <f>HYPERLINK("http://pbs.twimg.com/profile_images/1181482969774657537/IfECzjxP_normal.jpg")</f>
        <v>http://pbs.twimg.com/profile_images/1181482969774657537/IfECzjxP_normal.jpg</v>
      </c>
      <c r="W276" s="86">
        <v>44087.18502314815</v>
      </c>
      <c r="X276" s="90">
        <v>44087</v>
      </c>
      <c r="Y276" s="92" t="s">
        <v>799</v>
      </c>
      <c r="Z276" s="87" t="str">
        <f>HYPERLINK("https://twitter.com/raymondmorrow/status/1304999858995171332")</f>
        <v>https://twitter.com/raymondmorrow/status/1304999858995171332</v>
      </c>
      <c r="AA276" s="84"/>
      <c r="AB276" s="84"/>
      <c r="AC276" s="92" t="s">
        <v>1193</v>
      </c>
      <c r="AD276" s="84"/>
      <c r="AE276" s="84" t="b">
        <v>0</v>
      </c>
      <c r="AF276" s="84">
        <v>0</v>
      </c>
      <c r="AG276" s="92" t="s">
        <v>1453</v>
      </c>
      <c r="AH276" s="84" t="b">
        <v>0</v>
      </c>
      <c r="AI276" s="84" t="s">
        <v>1456</v>
      </c>
      <c r="AJ276" s="84"/>
      <c r="AK276" s="92" t="s">
        <v>1453</v>
      </c>
      <c r="AL276" s="84" t="b">
        <v>0</v>
      </c>
      <c r="AM276" s="84">
        <v>449</v>
      </c>
      <c r="AN276" s="92" t="s">
        <v>1406</v>
      </c>
      <c r="AO276" s="84" t="s">
        <v>1491</v>
      </c>
      <c r="AP276" s="84" t="b">
        <v>0</v>
      </c>
      <c r="AQ276" s="92" t="s">
        <v>1406</v>
      </c>
      <c r="AR276" s="84" t="s">
        <v>187</v>
      </c>
      <c r="AS276" s="84">
        <v>0</v>
      </c>
      <c r="AT276" s="84">
        <v>0</v>
      </c>
      <c r="AU276" s="84"/>
      <c r="AV276" s="84"/>
      <c r="AW276" s="84"/>
      <c r="AX276" s="84"/>
      <c r="AY276" s="84"/>
      <c r="AZ276" s="84"/>
      <c r="BA276" s="84"/>
      <c r="BB276" s="84"/>
      <c r="BC276">
        <v>1</v>
      </c>
      <c r="BD276" s="83" t="str">
        <f>REPLACE(INDEX(GroupVertices[Group],MATCH(Edges[[#This Row],[Vertex 1]],GroupVertices[Vertex],0)),1,1,"")</f>
        <v>1</v>
      </c>
      <c r="BE276" s="83" t="str">
        <f>REPLACE(INDEX(GroupVertices[Group],MATCH(Edges[[#This Row],[Vertex 2]],GroupVertices[Vertex],0)),1,1,"")</f>
        <v>1</v>
      </c>
      <c r="BF276" s="49">
        <v>0</v>
      </c>
      <c r="BG276" s="50">
        <v>0</v>
      </c>
      <c r="BH276" s="49">
        <v>0</v>
      </c>
      <c r="BI276" s="50">
        <v>0</v>
      </c>
      <c r="BJ276" s="49">
        <v>0</v>
      </c>
      <c r="BK276" s="50">
        <v>0</v>
      </c>
      <c r="BL276" s="49">
        <v>25</v>
      </c>
      <c r="BM276" s="50">
        <v>100</v>
      </c>
      <c r="BN276" s="49">
        <v>25</v>
      </c>
    </row>
    <row r="277" spans="1:66" ht="15">
      <c r="A277" s="68" t="s">
        <v>355</v>
      </c>
      <c r="B277" s="68" t="s">
        <v>414</v>
      </c>
      <c r="C277" s="69" t="s">
        <v>5208</v>
      </c>
      <c r="D277" s="70">
        <v>1</v>
      </c>
      <c r="E277" s="71" t="s">
        <v>132</v>
      </c>
      <c r="F277" s="72">
        <v>32</v>
      </c>
      <c r="G277" s="69" t="s">
        <v>51</v>
      </c>
      <c r="H277" s="73"/>
      <c r="I277" s="74"/>
      <c r="J277" s="74"/>
      <c r="K277" s="35" t="s">
        <v>65</v>
      </c>
      <c r="L277" s="82">
        <v>277</v>
      </c>
      <c r="M277" s="82"/>
      <c r="N277" s="76"/>
      <c r="O277" s="84" t="s">
        <v>439</v>
      </c>
      <c r="P277" s="86">
        <v>44087.31255787037</v>
      </c>
      <c r="Q277" s="84" t="s">
        <v>491</v>
      </c>
      <c r="R277" s="84" t="s">
        <v>527</v>
      </c>
      <c r="S277" s="84" t="s">
        <v>552</v>
      </c>
      <c r="T277" s="84" t="s">
        <v>607</v>
      </c>
      <c r="U277" s="87" t="str">
        <f>HYPERLINK("https://pbs.twimg.com/media/EhxkE21U0AEO4mg.jpg")</f>
        <v>https://pbs.twimg.com/media/EhxkE21U0AEO4mg.jpg</v>
      </c>
      <c r="V277" s="87" t="str">
        <f>HYPERLINK("https://pbs.twimg.com/media/EhxkE21U0AEO4mg.jpg")</f>
        <v>https://pbs.twimg.com/media/EhxkE21U0AEO4mg.jpg</v>
      </c>
      <c r="W277" s="86">
        <v>44087.31255787037</v>
      </c>
      <c r="X277" s="90">
        <v>44087</v>
      </c>
      <c r="Y277" s="92" t="s">
        <v>800</v>
      </c>
      <c r="Z277" s="87" t="str">
        <f>HYPERLINK("https://twitter.com/2bftawfik/status/1305046075313737728")</f>
        <v>https://twitter.com/2bftawfik/status/1305046075313737728</v>
      </c>
      <c r="AA277" s="84"/>
      <c r="AB277" s="84"/>
      <c r="AC277" s="92" t="s">
        <v>1194</v>
      </c>
      <c r="AD277" s="84"/>
      <c r="AE277" s="84" t="b">
        <v>0</v>
      </c>
      <c r="AF277" s="84">
        <v>0</v>
      </c>
      <c r="AG277" s="92" t="s">
        <v>1453</v>
      </c>
      <c r="AH277" s="84" t="b">
        <v>0</v>
      </c>
      <c r="AI277" s="84" t="s">
        <v>1456</v>
      </c>
      <c r="AJ277" s="84"/>
      <c r="AK277" s="92" t="s">
        <v>1453</v>
      </c>
      <c r="AL277" s="84" t="b">
        <v>0</v>
      </c>
      <c r="AM277" s="84">
        <v>12</v>
      </c>
      <c r="AN277" s="92" t="s">
        <v>1381</v>
      </c>
      <c r="AO277" s="84" t="s">
        <v>1507</v>
      </c>
      <c r="AP277" s="84" t="b">
        <v>0</v>
      </c>
      <c r="AQ277" s="92" t="s">
        <v>1381</v>
      </c>
      <c r="AR277" s="84" t="s">
        <v>187</v>
      </c>
      <c r="AS277" s="84">
        <v>0</v>
      </c>
      <c r="AT277" s="84">
        <v>0</v>
      </c>
      <c r="AU277" s="84"/>
      <c r="AV277" s="84"/>
      <c r="AW277" s="84"/>
      <c r="AX277" s="84"/>
      <c r="AY277" s="84"/>
      <c r="AZ277" s="84"/>
      <c r="BA277" s="84"/>
      <c r="BB277" s="84"/>
      <c r="BC277">
        <v>1</v>
      </c>
      <c r="BD277" s="83" t="str">
        <f>REPLACE(INDEX(GroupVertices[Group],MATCH(Edges[[#This Row],[Vertex 1]],GroupVertices[Vertex],0)),1,1,"")</f>
        <v>1</v>
      </c>
      <c r="BE277" s="83" t="str">
        <f>REPLACE(INDEX(GroupVertices[Group],MATCH(Edges[[#This Row],[Vertex 2]],GroupVertices[Vertex],0)),1,1,"")</f>
        <v>1</v>
      </c>
      <c r="BF277" s="49">
        <v>0</v>
      </c>
      <c r="BG277" s="50">
        <v>0</v>
      </c>
      <c r="BH277" s="49">
        <v>0</v>
      </c>
      <c r="BI277" s="50">
        <v>0</v>
      </c>
      <c r="BJ277" s="49">
        <v>0</v>
      </c>
      <c r="BK277" s="50">
        <v>0</v>
      </c>
      <c r="BL277" s="49">
        <v>40</v>
      </c>
      <c r="BM277" s="50">
        <v>100</v>
      </c>
      <c r="BN277" s="49">
        <v>40</v>
      </c>
    </row>
    <row r="278" spans="1:66" ht="15">
      <c r="A278" s="68" t="s">
        <v>356</v>
      </c>
      <c r="B278" s="68" t="s">
        <v>357</v>
      </c>
      <c r="C278" s="69" t="s">
        <v>5208</v>
      </c>
      <c r="D278" s="70">
        <v>1</v>
      </c>
      <c r="E278" s="71" t="s">
        <v>132</v>
      </c>
      <c r="F278" s="72">
        <v>32</v>
      </c>
      <c r="G278" s="69" t="s">
        <v>51</v>
      </c>
      <c r="H278" s="73"/>
      <c r="I278" s="74"/>
      <c r="J278" s="74"/>
      <c r="K278" s="35" t="s">
        <v>65</v>
      </c>
      <c r="L278" s="82">
        <v>278</v>
      </c>
      <c r="M278" s="82"/>
      <c r="N278" s="76"/>
      <c r="O278" s="84" t="s">
        <v>439</v>
      </c>
      <c r="P278" s="86">
        <v>44087.468506944446</v>
      </c>
      <c r="Q278" s="84" t="s">
        <v>492</v>
      </c>
      <c r="R278" s="87" t="str">
        <f>HYPERLINK("https://it-online.co.za/2020/09/08/staff-repurposing-as-a-response-to-covid-19/")</f>
        <v>https://it-online.co.za/2020/09/08/staff-repurposing-as-a-response-to-covid-19/</v>
      </c>
      <c r="S278" s="84" t="s">
        <v>550</v>
      </c>
      <c r="T278" s="84" t="s">
        <v>608</v>
      </c>
      <c r="U278" s="84"/>
      <c r="V278" s="87" t="str">
        <f>HYPERLINK("http://pbs.twimg.com/profile_images/987786740911038464/TFBbbcMV_normal.jpg")</f>
        <v>http://pbs.twimg.com/profile_images/987786740911038464/TFBbbcMV_normal.jpg</v>
      </c>
      <c r="W278" s="86">
        <v>44087.468506944446</v>
      </c>
      <c r="X278" s="90">
        <v>44087</v>
      </c>
      <c r="Y278" s="92" t="s">
        <v>801</v>
      </c>
      <c r="Z278" s="87" t="str">
        <f>HYPERLINK("https://twitter.com/brainroaring/status/1305102590728982528")</f>
        <v>https://twitter.com/brainroaring/status/1305102590728982528</v>
      </c>
      <c r="AA278" s="84"/>
      <c r="AB278" s="84"/>
      <c r="AC278" s="92" t="s">
        <v>1195</v>
      </c>
      <c r="AD278" s="84"/>
      <c r="AE278" s="84" t="b">
        <v>0</v>
      </c>
      <c r="AF278" s="84">
        <v>0</v>
      </c>
      <c r="AG278" s="92" t="s">
        <v>1453</v>
      </c>
      <c r="AH278" s="84" t="b">
        <v>0</v>
      </c>
      <c r="AI278" s="84" t="s">
        <v>1456</v>
      </c>
      <c r="AJ278" s="84"/>
      <c r="AK278" s="92" t="s">
        <v>1453</v>
      </c>
      <c r="AL278" s="84" t="b">
        <v>0</v>
      </c>
      <c r="AM278" s="84">
        <v>3</v>
      </c>
      <c r="AN278" s="92" t="s">
        <v>1196</v>
      </c>
      <c r="AO278" s="84" t="s">
        <v>1508</v>
      </c>
      <c r="AP278" s="84" t="b">
        <v>0</v>
      </c>
      <c r="AQ278" s="92" t="s">
        <v>1196</v>
      </c>
      <c r="AR278" s="84" t="s">
        <v>187</v>
      </c>
      <c r="AS278" s="84">
        <v>0</v>
      </c>
      <c r="AT278" s="84">
        <v>0</v>
      </c>
      <c r="AU278" s="84"/>
      <c r="AV278" s="84"/>
      <c r="AW278" s="84"/>
      <c r="AX278" s="84"/>
      <c r="AY278" s="84"/>
      <c r="AZ278" s="84"/>
      <c r="BA278" s="84"/>
      <c r="BB278" s="84"/>
      <c r="BC278">
        <v>1</v>
      </c>
      <c r="BD278" s="83" t="str">
        <f>REPLACE(INDEX(GroupVertices[Group],MATCH(Edges[[#This Row],[Vertex 1]],GroupVertices[Vertex],0)),1,1,"")</f>
        <v>9</v>
      </c>
      <c r="BE278" s="83" t="str">
        <f>REPLACE(INDEX(GroupVertices[Group],MATCH(Edges[[#This Row],[Vertex 2]],GroupVertices[Vertex],0)),1,1,"")</f>
        <v>9</v>
      </c>
      <c r="BF278" s="49">
        <v>0</v>
      </c>
      <c r="BG278" s="50">
        <v>0</v>
      </c>
      <c r="BH278" s="49">
        <v>0</v>
      </c>
      <c r="BI278" s="50">
        <v>0</v>
      </c>
      <c r="BJ278" s="49">
        <v>0</v>
      </c>
      <c r="BK278" s="50">
        <v>0</v>
      </c>
      <c r="BL278" s="49">
        <v>19</v>
      </c>
      <c r="BM278" s="50">
        <v>100</v>
      </c>
      <c r="BN278" s="49">
        <v>19</v>
      </c>
    </row>
    <row r="279" spans="1:66" ht="15">
      <c r="A279" s="68" t="s">
        <v>357</v>
      </c>
      <c r="B279" s="68" t="s">
        <v>357</v>
      </c>
      <c r="C279" s="69" t="s">
        <v>5208</v>
      </c>
      <c r="D279" s="70">
        <v>1</v>
      </c>
      <c r="E279" s="71" t="s">
        <v>132</v>
      </c>
      <c r="F279" s="72">
        <v>32</v>
      </c>
      <c r="G279" s="69" t="s">
        <v>51</v>
      </c>
      <c r="H279" s="73"/>
      <c r="I279" s="74"/>
      <c r="J279" s="74"/>
      <c r="K279" s="35" t="s">
        <v>65</v>
      </c>
      <c r="L279" s="82">
        <v>279</v>
      </c>
      <c r="M279" s="82"/>
      <c r="N279" s="76"/>
      <c r="O279" s="84" t="s">
        <v>187</v>
      </c>
      <c r="P279" s="86">
        <v>44087.46796296296</v>
      </c>
      <c r="Q279" s="84" t="s">
        <v>492</v>
      </c>
      <c r="R279" s="87" t="str">
        <f>HYPERLINK("https://it-online.co.za/2020/09/08/staff-repurposing-as-a-response-to-covid-19/")</f>
        <v>https://it-online.co.za/2020/09/08/staff-repurposing-as-a-response-to-covid-19/</v>
      </c>
      <c r="S279" s="84" t="s">
        <v>550</v>
      </c>
      <c r="T279" s="84" t="s">
        <v>608</v>
      </c>
      <c r="U279" s="84"/>
      <c r="V279" s="87" t="str">
        <f>HYPERLINK("http://pbs.twimg.com/profile_images/1071464844547760128/xMYEz39W_normal.jpg")</f>
        <v>http://pbs.twimg.com/profile_images/1071464844547760128/xMYEz39W_normal.jpg</v>
      </c>
      <c r="W279" s="86">
        <v>44087.46796296296</v>
      </c>
      <c r="X279" s="90">
        <v>44087</v>
      </c>
      <c r="Y279" s="92" t="s">
        <v>802</v>
      </c>
      <c r="Z279" s="87" t="str">
        <f>HYPERLINK("https://twitter.com/cichuck/status/1305102391793065984")</f>
        <v>https://twitter.com/cichuck/status/1305102391793065984</v>
      </c>
      <c r="AA279" s="84"/>
      <c r="AB279" s="84"/>
      <c r="AC279" s="92" t="s">
        <v>1196</v>
      </c>
      <c r="AD279" s="84"/>
      <c r="AE279" s="84" t="b">
        <v>0</v>
      </c>
      <c r="AF279" s="84">
        <v>1</v>
      </c>
      <c r="AG279" s="92" t="s">
        <v>1453</v>
      </c>
      <c r="AH279" s="84" t="b">
        <v>0</v>
      </c>
      <c r="AI279" s="84" t="s">
        <v>1456</v>
      </c>
      <c r="AJ279" s="84"/>
      <c r="AK279" s="92" t="s">
        <v>1453</v>
      </c>
      <c r="AL279" s="84" t="b">
        <v>0</v>
      </c>
      <c r="AM279" s="84">
        <v>3</v>
      </c>
      <c r="AN279" s="92" t="s">
        <v>1453</v>
      </c>
      <c r="AO279" s="84" t="s">
        <v>1509</v>
      </c>
      <c r="AP279" s="84" t="b">
        <v>0</v>
      </c>
      <c r="AQ279" s="92" t="s">
        <v>1196</v>
      </c>
      <c r="AR279" s="84" t="s">
        <v>187</v>
      </c>
      <c r="AS279" s="84">
        <v>0</v>
      </c>
      <c r="AT279" s="84">
        <v>0</v>
      </c>
      <c r="AU279" s="84"/>
      <c r="AV279" s="84"/>
      <c r="AW279" s="84"/>
      <c r="AX279" s="84"/>
      <c r="AY279" s="84"/>
      <c r="AZ279" s="84"/>
      <c r="BA279" s="84"/>
      <c r="BB279" s="84"/>
      <c r="BC279">
        <v>1</v>
      </c>
      <c r="BD279" s="83" t="str">
        <f>REPLACE(INDEX(GroupVertices[Group],MATCH(Edges[[#This Row],[Vertex 1]],GroupVertices[Vertex],0)),1,1,"")</f>
        <v>9</v>
      </c>
      <c r="BE279" s="83" t="str">
        <f>REPLACE(INDEX(GroupVertices[Group],MATCH(Edges[[#This Row],[Vertex 2]],GroupVertices[Vertex],0)),1,1,"")</f>
        <v>9</v>
      </c>
      <c r="BF279" s="49">
        <v>0</v>
      </c>
      <c r="BG279" s="50">
        <v>0</v>
      </c>
      <c r="BH279" s="49">
        <v>0</v>
      </c>
      <c r="BI279" s="50">
        <v>0</v>
      </c>
      <c r="BJ279" s="49">
        <v>0</v>
      </c>
      <c r="BK279" s="50">
        <v>0</v>
      </c>
      <c r="BL279" s="49">
        <v>19</v>
      </c>
      <c r="BM279" s="50">
        <v>100</v>
      </c>
      <c r="BN279" s="49">
        <v>19</v>
      </c>
    </row>
    <row r="280" spans="1:66" ht="15">
      <c r="A280" s="68" t="s">
        <v>358</v>
      </c>
      <c r="B280" s="68" t="s">
        <v>357</v>
      </c>
      <c r="C280" s="69" t="s">
        <v>5208</v>
      </c>
      <c r="D280" s="70">
        <v>1</v>
      </c>
      <c r="E280" s="71" t="s">
        <v>132</v>
      </c>
      <c r="F280" s="72">
        <v>32</v>
      </c>
      <c r="G280" s="69" t="s">
        <v>51</v>
      </c>
      <c r="H280" s="73"/>
      <c r="I280" s="74"/>
      <c r="J280" s="74"/>
      <c r="K280" s="35" t="s">
        <v>65</v>
      </c>
      <c r="L280" s="82">
        <v>280</v>
      </c>
      <c r="M280" s="82"/>
      <c r="N280" s="76"/>
      <c r="O280" s="84" t="s">
        <v>439</v>
      </c>
      <c r="P280" s="86">
        <v>44087.469988425924</v>
      </c>
      <c r="Q280" s="84" t="s">
        <v>492</v>
      </c>
      <c r="R280" s="87" t="str">
        <f>HYPERLINK("https://it-online.co.za/2020/09/08/staff-repurposing-as-a-response-to-covid-19/")</f>
        <v>https://it-online.co.za/2020/09/08/staff-repurposing-as-a-response-to-covid-19/</v>
      </c>
      <c r="S280" s="84" t="s">
        <v>550</v>
      </c>
      <c r="T280" s="84" t="s">
        <v>608</v>
      </c>
      <c r="U280" s="84"/>
      <c r="V280" s="87" t="str">
        <f>HYPERLINK("http://pbs.twimg.com/profile_images/1004235176082321408/sr8WYJoB_normal.jpg")</f>
        <v>http://pbs.twimg.com/profile_images/1004235176082321408/sr8WYJoB_normal.jpg</v>
      </c>
      <c r="W280" s="86">
        <v>44087.469988425924</v>
      </c>
      <c r="X280" s="90">
        <v>44087</v>
      </c>
      <c r="Y280" s="92" t="s">
        <v>803</v>
      </c>
      <c r="Z280" s="87" t="str">
        <f>HYPERLINK("https://twitter.com/machine_ml/status/1305103124076658688")</f>
        <v>https://twitter.com/machine_ml/status/1305103124076658688</v>
      </c>
      <c r="AA280" s="84"/>
      <c r="AB280" s="84"/>
      <c r="AC280" s="92" t="s">
        <v>1197</v>
      </c>
      <c r="AD280" s="84"/>
      <c r="AE280" s="84" t="b">
        <v>0</v>
      </c>
      <c r="AF280" s="84">
        <v>0</v>
      </c>
      <c r="AG280" s="92" t="s">
        <v>1453</v>
      </c>
      <c r="AH280" s="84" t="b">
        <v>0</v>
      </c>
      <c r="AI280" s="84" t="s">
        <v>1456</v>
      </c>
      <c r="AJ280" s="84"/>
      <c r="AK280" s="92" t="s">
        <v>1453</v>
      </c>
      <c r="AL280" s="84" t="b">
        <v>0</v>
      </c>
      <c r="AM280" s="84">
        <v>3</v>
      </c>
      <c r="AN280" s="92" t="s">
        <v>1196</v>
      </c>
      <c r="AO280" s="84" t="s">
        <v>1510</v>
      </c>
      <c r="AP280" s="84" t="b">
        <v>0</v>
      </c>
      <c r="AQ280" s="92" t="s">
        <v>1196</v>
      </c>
      <c r="AR280" s="84" t="s">
        <v>187</v>
      </c>
      <c r="AS280" s="84">
        <v>0</v>
      </c>
      <c r="AT280" s="84">
        <v>0</v>
      </c>
      <c r="AU280" s="84"/>
      <c r="AV280" s="84"/>
      <c r="AW280" s="84"/>
      <c r="AX280" s="84"/>
      <c r="AY280" s="84"/>
      <c r="AZ280" s="84"/>
      <c r="BA280" s="84"/>
      <c r="BB280" s="84"/>
      <c r="BC280">
        <v>1</v>
      </c>
      <c r="BD280" s="83" t="str">
        <f>REPLACE(INDEX(GroupVertices[Group],MATCH(Edges[[#This Row],[Vertex 1]],GroupVertices[Vertex],0)),1,1,"")</f>
        <v>9</v>
      </c>
      <c r="BE280" s="83" t="str">
        <f>REPLACE(INDEX(GroupVertices[Group],MATCH(Edges[[#This Row],[Vertex 2]],GroupVertices[Vertex],0)),1,1,"")</f>
        <v>9</v>
      </c>
      <c r="BF280" s="49">
        <v>0</v>
      </c>
      <c r="BG280" s="50">
        <v>0</v>
      </c>
      <c r="BH280" s="49">
        <v>0</v>
      </c>
      <c r="BI280" s="50">
        <v>0</v>
      </c>
      <c r="BJ280" s="49">
        <v>0</v>
      </c>
      <c r="BK280" s="50">
        <v>0</v>
      </c>
      <c r="BL280" s="49">
        <v>19</v>
      </c>
      <c r="BM280" s="50">
        <v>100</v>
      </c>
      <c r="BN280" s="49">
        <v>19</v>
      </c>
    </row>
    <row r="281" spans="1:66" ht="15">
      <c r="A281" s="68" t="s">
        <v>359</v>
      </c>
      <c r="B281" s="68" t="s">
        <v>414</v>
      </c>
      <c r="C281" s="69" t="s">
        <v>5208</v>
      </c>
      <c r="D281" s="70">
        <v>1</v>
      </c>
      <c r="E281" s="71" t="s">
        <v>132</v>
      </c>
      <c r="F281" s="72">
        <v>32</v>
      </c>
      <c r="G281" s="69" t="s">
        <v>51</v>
      </c>
      <c r="H281" s="73"/>
      <c r="I281" s="74"/>
      <c r="J281" s="74"/>
      <c r="K281" s="35" t="s">
        <v>65</v>
      </c>
      <c r="L281" s="82">
        <v>281</v>
      </c>
      <c r="M281" s="82"/>
      <c r="N281" s="76"/>
      <c r="O281" s="84" t="s">
        <v>439</v>
      </c>
      <c r="P281" s="86">
        <v>44087.507685185185</v>
      </c>
      <c r="Q281" s="84" t="s">
        <v>491</v>
      </c>
      <c r="R281" s="84" t="s">
        <v>527</v>
      </c>
      <c r="S281" s="84" t="s">
        <v>552</v>
      </c>
      <c r="T281" s="84" t="s">
        <v>607</v>
      </c>
      <c r="U281" s="87" t="str">
        <f>HYPERLINK("https://pbs.twimg.com/media/EhxkE21U0AEO4mg.jpg")</f>
        <v>https://pbs.twimg.com/media/EhxkE21U0AEO4mg.jpg</v>
      </c>
      <c r="V281" s="87" t="str">
        <f>HYPERLINK("https://pbs.twimg.com/media/EhxkE21U0AEO4mg.jpg")</f>
        <v>https://pbs.twimg.com/media/EhxkE21U0AEO4mg.jpg</v>
      </c>
      <c r="W281" s="86">
        <v>44087.507685185185</v>
      </c>
      <c r="X281" s="90">
        <v>44087</v>
      </c>
      <c r="Y281" s="92" t="s">
        <v>804</v>
      </c>
      <c r="Z281" s="87" t="str">
        <f>HYPERLINK("https://twitter.com/sriniwolfie/status/1305116787617472517")</f>
        <v>https://twitter.com/sriniwolfie/status/1305116787617472517</v>
      </c>
      <c r="AA281" s="84"/>
      <c r="AB281" s="84"/>
      <c r="AC281" s="92" t="s">
        <v>1198</v>
      </c>
      <c r="AD281" s="84"/>
      <c r="AE281" s="84" t="b">
        <v>0</v>
      </c>
      <c r="AF281" s="84">
        <v>0</v>
      </c>
      <c r="AG281" s="92" t="s">
        <v>1453</v>
      </c>
      <c r="AH281" s="84" t="b">
        <v>0</v>
      </c>
      <c r="AI281" s="84" t="s">
        <v>1456</v>
      </c>
      <c r="AJ281" s="84"/>
      <c r="AK281" s="92" t="s">
        <v>1453</v>
      </c>
      <c r="AL281" s="84" t="b">
        <v>0</v>
      </c>
      <c r="AM281" s="84">
        <v>12</v>
      </c>
      <c r="AN281" s="92" t="s">
        <v>1381</v>
      </c>
      <c r="AO281" s="84" t="s">
        <v>1464</v>
      </c>
      <c r="AP281" s="84" t="b">
        <v>0</v>
      </c>
      <c r="AQ281" s="92" t="s">
        <v>1381</v>
      </c>
      <c r="AR281" s="84" t="s">
        <v>187</v>
      </c>
      <c r="AS281" s="84">
        <v>0</v>
      </c>
      <c r="AT281" s="84">
        <v>0</v>
      </c>
      <c r="AU281" s="84"/>
      <c r="AV281" s="84"/>
      <c r="AW281" s="84"/>
      <c r="AX281" s="84"/>
      <c r="AY281" s="84"/>
      <c r="AZ281" s="84"/>
      <c r="BA281" s="84"/>
      <c r="BB281" s="84"/>
      <c r="BC281">
        <v>1</v>
      </c>
      <c r="BD281" s="83" t="str">
        <f>REPLACE(INDEX(GroupVertices[Group],MATCH(Edges[[#This Row],[Vertex 1]],GroupVertices[Vertex],0)),1,1,"")</f>
        <v>1</v>
      </c>
      <c r="BE281" s="83" t="str">
        <f>REPLACE(INDEX(GroupVertices[Group],MATCH(Edges[[#This Row],[Vertex 2]],GroupVertices[Vertex],0)),1,1,"")</f>
        <v>1</v>
      </c>
      <c r="BF281" s="49">
        <v>0</v>
      </c>
      <c r="BG281" s="50">
        <v>0</v>
      </c>
      <c r="BH281" s="49">
        <v>0</v>
      </c>
      <c r="BI281" s="50">
        <v>0</v>
      </c>
      <c r="BJ281" s="49">
        <v>0</v>
      </c>
      <c r="BK281" s="50">
        <v>0</v>
      </c>
      <c r="BL281" s="49">
        <v>40</v>
      </c>
      <c r="BM281" s="50">
        <v>100</v>
      </c>
      <c r="BN281" s="49">
        <v>40</v>
      </c>
    </row>
    <row r="282" spans="1:66" ht="15">
      <c r="A282" s="68" t="s">
        <v>360</v>
      </c>
      <c r="B282" s="68" t="s">
        <v>423</v>
      </c>
      <c r="C282" s="69" t="s">
        <v>5210</v>
      </c>
      <c r="D282" s="70">
        <v>10</v>
      </c>
      <c r="E282" s="71" t="s">
        <v>132</v>
      </c>
      <c r="F282" s="72">
        <v>10</v>
      </c>
      <c r="G282" s="69" t="s">
        <v>51</v>
      </c>
      <c r="H282" s="73"/>
      <c r="I282" s="74"/>
      <c r="J282" s="74"/>
      <c r="K282" s="35" t="s">
        <v>65</v>
      </c>
      <c r="L282" s="82">
        <v>282</v>
      </c>
      <c r="M282" s="82"/>
      <c r="N282" s="76"/>
      <c r="O282" s="84" t="s">
        <v>439</v>
      </c>
      <c r="P282" s="86">
        <v>44082.51957175926</v>
      </c>
      <c r="Q282" s="84" t="s">
        <v>457</v>
      </c>
      <c r="R282" s="84"/>
      <c r="S282" s="84"/>
      <c r="T282" s="84" t="s">
        <v>576</v>
      </c>
      <c r="U282" s="87" t="str">
        <f>HYPERLINK("https://pbs.twimg.com/media/Eg6GGrgXgAIxG2X.jpg")</f>
        <v>https://pbs.twimg.com/media/Eg6GGrgXgAIxG2X.jpg</v>
      </c>
      <c r="V282" s="87" t="str">
        <f>HYPERLINK("https://pbs.twimg.com/media/Eg6GGrgXgAIxG2X.jpg")</f>
        <v>https://pbs.twimg.com/media/Eg6GGrgXgAIxG2X.jpg</v>
      </c>
      <c r="W282" s="86">
        <v>44082.51957175926</v>
      </c>
      <c r="X282" s="90">
        <v>44082</v>
      </c>
      <c r="Y282" s="92" t="s">
        <v>805</v>
      </c>
      <c r="Z282" s="87" t="str">
        <f>HYPERLINK("https://twitter.com/codebloodedbot/status/1303309155642597377")</f>
        <v>https://twitter.com/codebloodedbot/status/1303309155642597377</v>
      </c>
      <c r="AA282" s="84"/>
      <c r="AB282" s="84"/>
      <c r="AC282" s="92" t="s">
        <v>1199</v>
      </c>
      <c r="AD282" s="84"/>
      <c r="AE282" s="84" t="b">
        <v>0</v>
      </c>
      <c r="AF282" s="84">
        <v>0</v>
      </c>
      <c r="AG282" s="92" t="s">
        <v>1453</v>
      </c>
      <c r="AH282" s="84" t="b">
        <v>0</v>
      </c>
      <c r="AI282" s="84" t="s">
        <v>1456</v>
      </c>
      <c r="AJ282" s="84"/>
      <c r="AK282" s="92" t="s">
        <v>1453</v>
      </c>
      <c r="AL282" s="84" t="b">
        <v>0</v>
      </c>
      <c r="AM282" s="84">
        <v>51</v>
      </c>
      <c r="AN282" s="92" t="s">
        <v>1425</v>
      </c>
      <c r="AO282" s="84"/>
      <c r="AP282" s="84" t="b">
        <v>0</v>
      </c>
      <c r="AQ282" s="92" t="s">
        <v>1425</v>
      </c>
      <c r="AR282" s="84" t="s">
        <v>187</v>
      </c>
      <c r="AS282" s="84">
        <v>0</v>
      </c>
      <c r="AT282" s="84">
        <v>0</v>
      </c>
      <c r="AU282" s="84"/>
      <c r="AV282" s="84"/>
      <c r="AW282" s="84"/>
      <c r="AX282" s="84"/>
      <c r="AY282" s="84"/>
      <c r="AZ282" s="84"/>
      <c r="BA282" s="84"/>
      <c r="BB282" s="84"/>
      <c r="BC282">
        <v>4</v>
      </c>
      <c r="BD282" s="83" t="str">
        <f>REPLACE(INDEX(GroupVertices[Group],MATCH(Edges[[#This Row],[Vertex 1]],GroupVertices[Vertex],0)),1,1,"")</f>
        <v>1</v>
      </c>
      <c r="BE282" s="83" t="str">
        <f>REPLACE(INDEX(GroupVertices[Group],MATCH(Edges[[#This Row],[Vertex 2]],GroupVertices[Vertex],0)),1,1,"")</f>
        <v>1</v>
      </c>
      <c r="BF282" s="49">
        <v>0</v>
      </c>
      <c r="BG282" s="50">
        <v>0</v>
      </c>
      <c r="BH282" s="49">
        <v>0</v>
      </c>
      <c r="BI282" s="50">
        <v>0</v>
      </c>
      <c r="BJ282" s="49">
        <v>0</v>
      </c>
      <c r="BK282" s="50">
        <v>0</v>
      </c>
      <c r="BL282" s="49">
        <v>34</v>
      </c>
      <c r="BM282" s="50">
        <v>100</v>
      </c>
      <c r="BN282" s="49">
        <v>34</v>
      </c>
    </row>
    <row r="283" spans="1:66" ht="15">
      <c r="A283" s="68" t="s">
        <v>360</v>
      </c>
      <c r="B283" s="68" t="s">
        <v>423</v>
      </c>
      <c r="C283" s="69" t="s">
        <v>5210</v>
      </c>
      <c r="D283" s="70">
        <v>10</v>
      </c>
      <c r="E283" s="71" t="s">
        <v>132</v>
      </c>
      <c r="F283" s="72">
        <v>10</v>
      </c>
      <c r="G283" s="69" t="s">
        <v>51</v>
      </c>
      <c r="H283" s="73"/>
      <c r="I283" s="74"/>
      <c r="J283" s="74"/>
      <c r="K283" s="35" t="s">
        <v>65</v>
      </c>
      <c r="L283" s="82">
        <v>283</v>
      </c>
      <c r="M283" s="82"/>
      <c r="N283" s="76"/>
      <c r="O283" s="84" t="s">
        <v>439</v>
      </c>
      <c r="P283" s="86">
        <v>44083.64702546296</v>
      </c>
      <c r="Q283" s="84" t="s">
        <v>474</v>
      </c>
      <c r="R283" s="84"/>
      <c r="S283" s="84"/>
      <c r="T283" s="84" t="s">
        <v>591</v>
      </c>
      <c r="U283" s="87" t="str">
        <f>HYPERLINK("https://pbs.twimg.com/media/EhOErS9WAAUfUqQ.jpg")</f>
        <v>https://pbs.twimg.com/media/EhOErS9WAAUfUqQ.jpg</v>
      </c>
      <c r="V283" s="87" t="str">
        <f>HYPERLINK("https://pbs.twimg.com/media/EhOErS9WAAUfUqQ.jpg")</f>
        <v>https://pbs.twimg.com/media/EhOErS9WAAUfUqQ.jpg</v>
      </c>
      <c r="W283" s="86">
        <v>44083.64702546296</v>
      </c>
      <c r="X283" s="90">
        <v>44083</v>
      </c>
      <c r="Y283" s="92" t="s">
        <v>806</v>
      </c>
      <c r="Z283" s="87" t="str">
        <f>HYPERLINK("https://twitter.com/codebloodedbot/status/1303717728549769216")</f>
        <v>https://twitter.com/codebloodedbot/status/1303717728549769216</v>
      </c>
      <c r="AA283" s="84"/>
      <c r="AB283" s="84"/>
      <c r="AC283" s="92" t="s">
        <v>1200</v>
      </c>
      <c r="AD283" s="84"/>
      <c r="AE283" s="84" t="b">
        <v>0</v>
      </c>
      <c r="AF283" s="84">
        <v>0</v>
      </c>
      <c r="AG283" s="92" t="s">
        <v>1453</v>
      </c>
      <c r="AH283" s="84" t="b">
        <v>0</v>
      </c>
      <c r="AI283" s="84" t="s">
        <v>1456</v>
      </c>
      <c r="AJ283" s="84"/>
      <c r="AK283" s="92" t="s">
        <v>1453</v>
      </c>
      <c r="AL283" s="84" t="b">
        <v>0</v>
      </c>
      <c r="AM283" s="84">
        <v>55</v>
      </c>
      <c r="AN283" s="92" t="s">
        <v>1426</v>
      </c>
      <c r="AO283" s="84"/>
      <c r="AP283" s="84" t="b">
        <v>0</v>
      </c>
      <c r="AQ283" s="92" t="s">
        <v>1426</v>
      </c>
      <c r="AR283" s="84" t="s">
        <v>187</v>
      </c>
      <c r="AS283" s="84">
        <v>0</v>
      </c>
      <c r="AT283" s="84">
        <v>0</v>
      </c>
      <c r="AU283" s="84"/>
      <c r="AV283" s="84"/>
      <c r="AW283" s="84"/>
      <c r="AX283" s="84"/>
      <c r="AY283" s="84"/>
      <c r="AZ283" s="84"/>
      <c r="BA283" s="84"/>
      <c r="BB283" s="84"/>
      <c r="BC283">
        <v>4</v>
      </c>
      <c r="BD283" s="83" t="str">
        <f>REPLACE(INDEX(GroupVertices[Group],MATCH(Edges[[#This Row],[Vertex 1]],GroupVertices[Vertex],0)),1,1,"")</f>
        <v>1</v>
      </c>
      <c r="BE283" s="83" t="str">
        <f>REPLACE(INDEX(GroupVertices[Group],MATCH(Edges[[#This Row],[Vertex 2]],GroupVertices[Vertex],0)),1,1,"")</f>
        <v>1</v>
      </c>
      <c r="BF283" s="49">
        <v>0</v>
      </c>
      <c r="BG283" s="50">
        <v>0</v>
      </c>
      <c r="BH283" s="49">
        <v>0</v>
      </c>
      <c r="BI283" s="50">
        <v>0</v>
      </c>
      <c r="BJ283" s="49">
        <v>0</v>
      </c>
      <c r="BK283" s="50">
        <v>0</v>
      </c>
      <c r="BL283" s="49">
        <v>31</v>
      </c>
      <c r="BM283" s="50">
        <v>100</v>
      </c>
      <c r="BN283" s="49">
        <v>31</v>
      </c>
    </row>
    <row r="284" spans="1:66" ht="15">
      <c r="A284" s="68" t="s">
        <v>360</v>
      </c>
      <c r="B284" s="68" t="s">
        <v>423</v>
      </c>
      <c r="C284" s="69" t="s">
        <v>5210</v>
      </c>
      <c r="D284" s="70">
        <v>10</v>
      </c>
      <c r="E284" s="71" t="s">
        <v>132</v>
      </c>
      <c r="F284" s="72">
        <v>10</v>
      </c>
      <c r="G284" s="69" t="s">
        <v>51</v>
      </c>
      <c r="H284" s="73"/>
      <c r="I284" s="74"/>
      <c r="J284" s="74"/>
      <c r="K284" s="35" t="s">
        <v>65</v>
      </c>
      <c r="L284" s="82">
        <v>284</v>
      </c>
      <c r="M284" s="82"/>
      <c r="N284" s="76"/>
      <c r="O284" s="84" t="s">
        <v>439</v>
      </c>
      <c r="P284" s="86">
        <v>44083.64702546296</v>
      </c>
      <c r="Q284" s="84" t="s">
        <v>474</v>
      </c>
      <c r="R284" s="84"/>
      <c r="S284" s="84"/>
      <c r="T284" s="84" t="s">
        <v>591</v>
      </c>
      <c r="U284" s="87" t="str">
        <f>HYPERLINK("https://pbs.twimg.com/media/EhOErS9WAAUfUqQ.jpg")</f>
        <v>https://pbs.twimg.com/media/EhOErS9WAAUfUqQ.jpg</v>
      </c>
      <c r="V284" s="87" t="str">
        <f>HYPERLINK("https://pbs.twimg.com/media/EhOErS9WAAUfUqQ.jpg")</f>
        <v>https://pbs.twimg.com/media/EhOErS9WAAUfUqQ.jpg</v>
      </c>
      <c r="W284" s="86">
        <v>44083.64702546296</v>
      </c>
      <c r="X284" s="90">
        <v>44083</v>
      </c>
      <c r="Y284" s="92" t="s">
        <v>806</v>
      </c>
      <c r="Z284" s="87" t="str">
        <f>HYPERLINK("https://twitter.com/codebloodedbot/status/1303717728604303360")</f>
        <v>https://twitter.com/codebloodedbot/status/1303717728604303360</v>
      </c>
      <c r="AA284" s="84"/>
      <c r="AB284" s="84"/>
      <c r="AC284" s="92" t="s">
        <v>1201</v>
      </c>
      <c r="AD284" s="84"/>
      <c r="AE284" s="84" t="b">
        <v>0</v>
      </c>
      <c r="AF284" s="84">
        <v>0</v>
      </c>
      <c r="AG284" s="92" t="s">
        <v>1453</v>
      </c>
      <c r="AH284" s="84" t="b">
        <v>0</v>
      </c>
      <c r="AI284" s="84" t="s">
        <v>1456</v>
      </c>
      <c r="AJ284" s="84"/>
      <c r="AK284" s="92" t="s">
        <v>1453</v>
      </c>
      <c r="AL284" s="84" t="b">
        <v>0</v>
      </c>
      <c r="AM284" s="84">
        <v>55</v>
      </c>
      <c r="AN284" s="92" t="s">
        <v>1426</v>
      </c>
      <c r="AO284" s="84"/>
      <c r="AP284" s="84" t="b">
        <v>0</v>
      </c>
      <c r="AQ284" s="92" t="s">
        <v>1426</v>
      </c>
      <c r="AR284" s="84" t="s">
        <v>187</v>
      </c>
      <c r="AS284" s="84">
        <v>0</v>
      </c>
      <c r="AT284" s="84">
        <v>0</v>
      </c>
      <c r="AU284" s="84"/>
      <c r="AV284" s="84"/>
      <c r="AW284" s="84"/>
      <c r="AX284" s="84"/>
      <c r="AY284" s="84"/>
      <c r="AZ284" s="84"/>
      <c r="BA284" s="84"/>
      <c r="BB284" s="84"/>
      <c r="BC284">
        <v>4</v>
      </c>
      <c r="BD284" s="83" t="str">
        <f>REPLACE(INDEX(GroupVertices[Group],MATCH(Edges[[#This Row],[Vertex 1]],GroupVertices[Vertex],0)),1,1,"")</f>
        <v>1</v>
      </c>
      <c r="BE284" s="83" t="str">
        <f>REPLACE(INDEX(GroupVertices[Group],MATCH(Edges[[#This Row],[Vertex 2]],GroupVertices[Vertex],0)),1,1,"")</f>
        <v>1</v>
      </c>
      <c r="BF284" s="49">
        <v>0</v>
      </c>
      <c r="BG284" s="50">
        <v>0</v>
      </c>
      <c r="BH284" s="49">
        <v>0</v>
      </c>
      <c r="BI284" s="50">
        <v>0</v>
      </c>
      <c r="BJ284" s="49">
        <v>0</v>
      </c>
      <c r="BK284" s="50">
        <v>0</v>
      </c>
      <c r="BL284" s="49">
        <v>31</v>
      </c>
      <c r="BM284" s="50">
        <v>100</v>
      </c>
      <c r="BN284" s="49">
        <v>31</v>
      </c>
    </row>
    <row r="285" spans="1:66" ht="15">
      <c r="A285" s="68" t="s">
        <v>360</v>
      </c>
      <c r="B285" s="68" t="s">
        <v>423</v>
      </c>
      <c r="C285" s="69" t="s">
        <v>5210</v>
      </c>
      <c r="D285" s="70">
        <v>10</v>
      </c>
      <c r="E285" s="71" t="s">
        <v>132</v>
      </c>
      <c r="F285" s="72">
        <v>10</v>
      </c>
      <c r="G285" s="69" t="s">
        <v>51</v>
      </c>
      <c r="H285" s="73"/>
      <c r="I285" s="74"/>
      <c r="J285" s="74"/>
      <c r="K285" s="35" t="s">
        <v>65</v>
      </c>
      <c r="L285" s="82">
        <v>285</v>
      </c>
      <c r="M285" s="82"/>
      <c r="N285" s="76"/>
      <c r="O285" s="84" t="s">
        <v>439</v>
      </c>
      <c r="P285" s="86">
        <v>44084.74675925926</v>
      </c>
      <c r="Q285" s="84" t="s">
        <v>474</v>
      </c>
      <c r="R285" s="84"/>
      <c r="S285" s="84"/>
      <c r="T285" s="84" t="s">
        <v>591</v>
      </c>
      <c r="U285" s="87" t="str">
        <f>HYPERLINK("https://pbs.twimg.com/media/EhOErS9WAAUfUqQ.jpg")</f>
        <v>https://pbs.twimg.com/media/EhOErS9WAAUfUqQ.jpg</v>
      </c>
      <c r="V285" s="87" t="str">
        <f>HYPERLINK("https://pbs.twimg.com/media/EhOErS9WAAUfUqQ.jpg")</f>
        <v>https://pbs.twimg.com/media/EhOErS9WAAUfUqQ.jpg</v>
      </c>
      <c r="W285" s="86">
        <v>44084.74675925926</v>
      </c>
      <c r="X285" s="90">
        <v>44084</v>
      </c>
      <c r="Y285" s="92" t="s">
        <v>807</v>
      </c>
      <c r="Z285" s="87" t="str">
        <f>HYPERLINK("https://twitter.com/codebloodedbot/status/1304116261270556674")</f>
        <v>https://twitter.com/codebloodedbot/status/1304116261270556674</v>
      </c>
      <c r="AA285" s="84"/>
      <c r="AB285" s="84"/>
      <c r="AC285" s="92" t="s">
        <v>1202</v>
      </c>
      <c r="AD285" s="84"/>
      <c r="AE285" s="84" t="b">
        <v>0</v>
      </c>
      <c r="AF285" s="84">
        <v>0</v>
      </c>
      <c r="AG285" s="92" t="s">
        <v>1453</v>
      </c>
      <c r="AH285" s="84" t="b">
        <v>0</v>
      </c>
      <c r="AI285" s="84" t="s">
        <v>1456</v>
      </c>
      <c r="AJ285" s="84"/>
      <c r="AK285" s="92" t="s">
        <v>1453</v>
      </c>
      <c r="AL285" s="84" t="b">
        <v>0</v>
      </c>
      <c r="AM285" s="84">
        <v>55</v>
      </c>
      <c r="AN285" s="92" t="s">
        <v>1426</v>
      </c>
      <c r="AO285" s="84"/>
      <c r="AP285" s="84" t="b">
        <v>0</v>
      </c>
      <c r="AQ285" s="92" t="s">
        <v>1426</v>
      </c>
      <c r="AR285" s="84" t="s">
        <v>187</v>
      </c>
      <c r="AS285" s="84">
        <v>0</v>
      </c>
      <c r="AT285" s="84">
        <v>0</v>
      </c>
      <c r="AU285" s="84"/>
      <c r="AV285" s="84"/>
      <c r="AW285" s="84"/>
      <c r="AX285" s="84"/>
      <c r="AY285" s="84"/>
      <c r="AZ285" s="84"/>
      <c r="BA285" s="84"/>
      <c r="BB285" s="84"/>
      <c r="BC285">
        <v>4</v>
      </c>
      <c r="BD285" s="83" t="str">
        <f>REPLACE(INDEX(GroupVertices[Group],MATCH(Edges[[#This Row],[Vertex 1]],GroupVertices[Vertex],0)),1,1,"")</f>
        <v>1</v>
      </c>
      <c r="BE285" s="83" t="str">
        <f>REPLACE(INDEX(GroupVertices[Group],MATCH(Edges[[#This Row],[Vertex 2]],GroupVertices[Vertex],0)),1,1,"")</f>
        <v>1</v>
      </c>
      <c r="BF285" s="49">
        <v>0</v>
      </c>
      <c r="BG285" s="50">
        <v>0</v>
      </c>
      <c r="BH285" s="49">
        <v>0</v>
      </c>
      <c r="BI285" s="50">
        <v>0</v>
      </c>
      <c r="BJ285" s="49">
        <v>0</v>
      </c>
      <c r="BK285" s="50">
        <v>0</v>
      </c>
      <c r="BL285" s="49">
        <v>31</v>
      </c>
      <c r="BM285" s="50">
        <v>100</v>
      </c>
      <c r="BN285" s="49">
        <v>31</v>
      </c>
    </row>
    <row r="286" spans="1:66" ht="15">
      <c r="A286" s="68" t="s">
        <v>360</v>
      </c>
      <c r="B286" s="68" t="s">
        <v>390</v>
      </c>
      <c r="C286" s="69" t="s">
        <v>5210</v>
      </c>
      <c r="D286" s="70">
        <v>10</v>
      </c>
      <c r="E286" s="71" t="s">
        <v>132</v>
      </c>
      <c r="F286" s="72">
        <v>10</v>
      </c>
      <c r="G286" s="69" t="s">
        <v>51</v>
      </c>
      <c r="H286" s="73"/>
      <c r="I286" s="74"/>
      <c r="J286" s="74"/>
      <c r="K286" s="35" t="s">
        <v>65</v>
      </c>
      <c r="L286" s="82">
        <v>286</v>
      </c>
      <c r="M286" s="82"/>
      <c r="N286" s="76"/>
      <c r="O286" s="84" t="s">
        <v>439</v>
      </c>
      <c r="P286" s="86">
        <v>44084.77315972222</v>
      </c>
      <c r="Q286" s="84" t="s">
        <v>481</v>
      </c>
      <c r="R286" s="87" t="str">
        <f>HYPERLINK("https://www.aitrends.com/ai-research/covid-19-ai-update-nih-developing-imaging-tools/")</f>
        <v>https://www.aitrends.com/ai-research/covid-19-ai-update-nih-developing-imaging-tools/</v>
      </c>
      <c r="S286" s="84" t="s">
        <v>548</v>
      </c>
      <c r="T286" s="84" t="s">
        <v>597</v>
      </c>
      <c r="U286" s="84"/>
      <c r="V286" s="87" t="str">
        <f>HYPERLINK("http://pbs.twimg.com/profile_images/1287310931106521088/1ygJdSq2_normal.jpg")</f>
        <v>http://pbs.twimg.com/profile_images/1287310931106521088/1ygJdSq2_normal.jpg</v>
      </c>
      <c r="W286" s="86">
        <v>44084.77315972222</v>
      </c>
      <c r="X286" s="90">
        <v>44084</v>
      </c>
      <c r="Y286" s="92" t="s">
        <v>808</v>
      </c>
      <c r="Z286" s="87" t="str">
        <f>HYPERLINK("https://twitter.com/codebloodedbot/status/1304125825789370369")</f>
        <v>https://twitter.com/codebloodedbot/status/1304125825789370369</v>
      </c>
      <c r="AA286" s="84"/>
      <c r="AB286" s="84"/>
      <c r="AC286" s="92" t="s">
        <v>1203</v>
      </c>
      <c r="AD286" s="84"/>
      <c r="AE286" s="84" t="b">
        <v>0</v>
      </c>
      <c r="AF286" s="84">
        <v>0</v>
      </c>
      <c r="AG286" s="92" t="s">
        <v>1453</v>
      </c>
      <c r="AH286" s="84" t="b">
        <v>0</v>
      </c>
      <c r="AI286" s="84" t="s">
        <v>1456</v>
      </c>
      <c r="AJ286" s="84"/>
      <c r="AK286" s="92" t="s">
        <v>1453</v>
      </c>
      <c r="AL286" s="84" t="b">
        <v>0</v>
      </c>
      <c r="AM286" s="84">
        <v>17</v>
      </c>
      <c r="AN286" s="92" t="s">
        <v>1405</v>
      </c>
      <c r="AO286" s="84"/>
      <c r="AP286" s="84" t="b">
        <v>0</v>
      </c>
      <c r="AQ286" s="92" t="s">
        <v>1405</v>
      </c>
      <c r="AR286" s="84" t="s">
        <v>187</v>
      </c>
      <c r="AS286" s="84">
        <v>0</v>
      </c>
      <c r="AT286" s="84">
        <v>0</v>
      </c>
      <c r="AU286" s="84"/>
      <c r="AV286" s="84"/>
      <c r="AW286" s="84"/>
      <c r="AX286" s="84"/>
      <c r="AY286" s="84"/>
      <c r="AZ286" s="84"/>
      <c r="BA286" s="84"/>
      <c r="BB286" s="84"/>
      <c r="BC286">
        <v>3</v>
      </c>
      <c r="BD286" s="83" t="str">
        <f>REPLACE(INDEX(GroupVertices[Group],MATCH(Edges[[#This Row],[Vertex 1]],GroupVertices[Vertex],0)),1,1,"")</f>
        <v>1</v>
      </c>
      <c r="BE286" s="83" t="str">
        <f>REPLACE(INDEX(GroupVertices[Group],MATCH(Edges[[#This Row],[Vertex 2]],GroupVertices[Vertex],0)),1,1,"")</f>
        <v>1</v>
      </c>
      <c r="BF286" s="49">
        <v>0</v>
      </c>
      <c r="BG286" s="50">
        <v>0</v>
      </c>
      <c r="BH286" s="49">
        <v>0</v>
      </c>
      <c r="BI286" s="50">
        <v>0</v>
      </c>
      <c r="BJ286" s="49">
        <v>0</v>
      </c>
      <c r="BK286" s="50">
        <v>0</v>
      </c>
      <c r="BL286" s="49">
        <v>28</v>
      </c>
      <c r="BM286" s="50">
        <v>100</v>
      </c>
      <c r="BN286" s="49">
        <v>28</v>
      </c>
    </row>
    <row r="287" spans="1:66" ht="15">
      <c r="A287" s="68" t="s">
        <v>360</v>
      </c>
      <c r="B287" s="68" t="s">
        <v>421</v>
      </c>
      <c r="C287" s="69" t="s">
        <v>5208</v>
      </c>
      <c r="D287" s="70">
        <v>1</v>
      </c>
      <c r="E287" s="71" t="s">
        <v>132</v>
      </c>
      <c r="F287" s="72">
        <v>32</v>
      </c>
      <c r="G287" s="69" t="s">
        <v>51</v>
      </c>
      <c r="H287" s="73"/>
      <c r="I287" s="74"/>
      <c r="J287" s="74"/>
      <c r="K287" s="35" t="s">
        <v>65</v>
      </c>
      <c r="L287" s="82">
        <v>287</v>
      </c>
      <c r="M287" s="82"/>
      <c r="N287" s="76"/>
      <c r="O287" s="84" t="s">
        <v>439</v>
      </c>
      <c r="P287" s="86">
        <v>44085.377175925925</v>
      </c>
      <c r="Q287" s="84" t="s">
        <v>479</v>
      </c>
      <c r="R287" s="87" t="str">
        <f>HYPERLINK("https://akashmishra75.herokuapp.com/")</f>
        <v>https://akashmishra75.herokuapp.com/</v>
      </c>
      <c r="S287" s="84" t="s">
        <v>547</v>
      </c>
      <c r="T287" s="84" t="s">
        <v>595</v>
      </c>
      <c r="U287" s="87" t="str">
        <f>HYPERLINK("https://pbs.twimg.com/ext_tw_video_thumb/1299340580011433985/pu/img/BLbI7sTMAVVWOb9h.jpg")</f>
        <v>https://pbs.twimg.com/ext_tw_video_thumb/1299340580011433985/pu/img/BLbI7sTMAVVWOb9h.jpg</v>
      </c>
      <c r="V287" s="87" t="str">
        <f>HYPERLINK("https://pbs.twimg.com/ext_tw_video_thumb/1299340580011433985/pu/img/BLbI7sTMAVVWOb9h.jpg")</f>
        <v>https://pbs.twimg.com/ext_tw_video_thumb/1299340580011433985/pu/img/BLbI7sTMAVVWOb9h.jpg</v>
      </c>
      <c r="W287" s="86">
        <v>44085.377175925925</v>
      </c>
      <c r="X287" s="90">
        <v>44085</v>
      </c>
      <c r="Y287" s="92" t="s">
        <v>809</v>
      </c>
      <c r="Z287" s="87" t="str">
        <f>HYPERLINK("https://twitter.com/codebloodedbot/status/1304344714049708033")</f>
        <v>https://twitter.com/codebloodedbot/status/1304344714049708033</v>
      </c>
      <c r="AA287" s="84"/>
      <c r="AB287" s="84"/>
      <c r="AC287" s="92" t="s">
        <v>1204</v>
      </c>
      <c r="AD287" s="84"/>
      <c r="AE287" s="84" t="b">
        <v>0</v>
      </c>
      <c r="AF287" s="84">
        <v>0</v>
      </c>
      <c r="AG287" s="92" t="s">
        <v>1453</v>
      </c>
      <c r="AH287" s="84" t="b">
        <v>0</v>
      </c>
      <c r="AI287" s="84" t="s">
        <v>1456</v>
      </c>
      <c r="AJ287" s="84"/>
      <c r="AK287" s="92" t="s">
        <v>1453</v>
      </c>
      <c r="AL287" s="84" t="b">
        <v>0</v>
      </c>
      <c r="AM287" s="84">
        <v>76</v>
      </c>
      <c r="AN287" s="92" t="s">
        <v>1418</v>
      </c>
      <c r="AO287" s="84"/>
      <c r="AP287" s="84" t="b">
        <v>0</v>
      </c>
      <c r="AQ287" s="92" t="s">
        <v>1418</v>
      </c>
      <c r="AR287" s="84" t="s">
        <v>187</v>
      </c>
      <c r="AS287" s="84">
        <v>0</v>
      </c>
      <c r="AT287" s="84">
        <v>0</v>
      </c>
      <c r="AU287" s="84"/>
      <c r="AV287" s="84"/>
      <c r="AW287" s="84"/>
      <c r="AX287" s="84"/>
      <c r="AY287" s="84"/>
      <c r="AZ287" s="84"/>
      <c r="BA287" s="84"/>
      <c r="BB287" s="84"/>
      <c r="BC287">
        <v>1</v>
      </c>
      <c r="BD287" s="83" t="str">
        <f>REPLACE(INDEX(GroupVertices[Group],MATCH(Edges[[#This Row],[Vertex 1]],GroupVertices[Vertex],0)),1,1,"")</f>
        <v>1</v>
      </c>
      <c r="BE287" s="83" t="str">
        <f>REPLACE(INDEX(GroupVertices[Group],MATCH(Edges[[#This Row],[Vertex 2]],GroupVertices[Vertex],0)),1,1,"")</f>
        <v>8</v>
      </c>
      <c r="BF287" s="49">
        <v>0</v>
      </c>
      <c r="BG287" s="50">
        <v>0</v>
      </c>
      <c r="BH287" s="49">
        <v>0</v>
      </c>
      <c r="BI287" s="50">
        <v>0</v>
      </c>
      <c r="BJ287" s="49">
        <v>0</v>
      </c>
      <c r="BK287" s="50">
        <v>0</v>
      </c>
      <c r="BL287" s="49">
        <v>42</v>
      </c>
      <c r="BM287" s="50">
        <v>100</v>
      </c>
      <c r="BN287" s="49">
        <v>42</v>
      </c>
    </row>
    <row r="288" spans="1:66" ht="15">
      <c r="A288" s="68" t="s">
        <v>360</v>
      </c>
      <c r="B288" s="68" t="s">
        <v>435</v>
      </c>
      <c r="C288" s="69" t="s">
        <v>5209</v>
      </c>
      <c r="D288" s="70">
        <v>6.678367782143116</v>
      </c>
      <c r="E288" s="71" t="s">
        <v>132</v>
      </c>
      <c r="F288" s="72">
        <v>21</v>
      </c>
      <c r="G288" s="69" t="s">
        <v>51</v>
      </c>
      <c r="H288" s="73"/>
      <c r="I288" s="74"/>
      <c r="J288" s="74"/>
      <c r="K288" s="35" t="s">
        <v>65</v>
      </c>
      <c r="L288" s="82">
        <v>288</v>
      </c>
      <c r="M288" s="82"/>
      <c r="N288" s="76"/>
      <c r="O288" s="84" t="s">
        <v>440</v>
      </c>
      <c r="P288" s="86">
        <v>44086.36769675926</v>
      </c>
      <c r="Q288" s="84" t="s">
        <v>484</v>
      </c>
      <c r="R288" s="87" t="str">
        <f>HYPERLINK("https://www.weforum.org/agenda/2020/09/prevent-post-covid-carmageddon")</f>
        <v>https://www.weforum.org/agenda/2020/09/prevent-post-covid-carmageddon</v>
      </c>
      <c r="S288" s="84" t="s">
        <v>549</v>
      </c>
      <c r="T288" s="84" t="s">
        <v>600</v>
      </c>
      <c r="U288" s="84"/>
      <c r="V288" s="87" t="str">
        <f>HYPERLINK("http://pbs.twimg.com/profile_images/1287310931106521088/1ygJdSq2_normal.jpg")</f>
        <v>http://pbs.twimg.com/profile_images/1287310931106521088/1ygJdSq2_normal.jpg</v>
      </c>
      <c r="W288" s="86">
        <v>44086.36769675926</v>
      </c>
      <c r="X288" s="90">
        <v>44086</v>
      </c>
      <c r="Y288" s="92" t="s">
        <v>810</v>
      </c>
      <c r="Z288" s="87" t="str">
        <f>HYPERLINK("https://twitter.com/codebloodedbot/status/1304703667984048135")</f>
        <v>https://twitter.com/codebloodedbot/status/1304703667984048135</v>
      </c>
      <c r="AA288" s="84"/>
      <c r="AB288" s="84"/>
      <c r="AC288" s="92" t="s">
        <v>1205</v>
      </c>
      <c r="AD288" s="84"/>
      <c r="AE288" s="84" t="b">
        <v>0</v>
      </c>
      <c r="AF288" s="84">
        <v>0</v>
      </c>
      <c r="AG288" s="92" t="s">
        <v>1453</v>
      </c>
      <c r="AH288" s="84" t="b">
        <v>0</v>
      </c>
      <c r="AI288" s="84" t="s">
        <v>1456</v>
      </c>
      <c r="AJ288" s="84"/>
      <c r="AK288" s="92" t="s">
        <v>1453</v>
      </c>
      <c r="AL288" s="84" t="b">
        <v>0</v>
      </c>
      <c r="AM288" s="84">
        <v>36</v>
      </c>
      <c r="AN288" s="92" t="s">
        <v>1401</v>
      </c>
      <c r="AO288" s="84"/>
      <c r="AP288" s="84" t="b">
        <v>0</v>
      </c>
      <c r="AQ288" s="92" t="s">
        <v>1401</v>
      </c>
      <c r="AR288" s="84" t="s">
        <v>187</v>
      </c>
      <c r="AS288" s="84">
        <v>0</v>
      </c>
      <c r="AT288" s="84">
        <v>0</v>
      </c>
      <c r="AU288" s="84"/>
      <c r="AV288" s="84"/>
      <c r="AW288" s="84"/>
      <c r="AX288" s="84"/>
      <c r="AY288" s="84"/>
      <c r="AZ288" s="84"/>
      <c r="BA288" s="84"/>
      <c r="BB288" s="84"/>
      <c r="BC288">
        <v>2</v>
      </c>
      <c r="BD288" s="83" t="str">
        <f>REPLACE(INDEX(GroupVertices[Group],MATCH(Edges[[#This Row],[Vertex 1]],GroupVertices[Vertex],0)),1,1,"")</f>
        <v>1</v>
      </c>
      <c r="BE288" s="83" t="str">
        <f>REPLACE(INDEX(GroupVertices[Group],MATCH(Edges[[#This Row],[Vertex 2]],GroupVertices[Vertex],0)),1,1,"")</f>
        <v>1</v>
      </c>
      <c r="BF288" s="49"/>
      <c r="BG288" s="50"/>
      <c r="BH288" s="49"/>
      <c r="BI288" s="50"/>
      <c r="BJ288" s="49"/>
      <c r="BK288" s="50"/>
      <c r="BL288" s="49"/>
      <c r="BM288" s="50"/>
      <c r="BN288" s="49"/>
    </row>
    <row r="289" spans="1:66" ht="15">
      <c r="A289" s="68" t="s">
        <v>360</v>
      </c>
      <c r="B289" s="68" t="s">
        <v>390</v>
      </c>
      <c r="C289" s="69" t="s">
        <v>5210</v>
      </c>
      <c r="D289" s="70">
        <v>10</v>
      </c>
      <c r="E289" s="71" t="s">
        <v>132</v>
      </c>
      <c r="F289" s="72">
        <v>10</v>
      </c>
      <c r="G289" s="69" t="s">
        <v>51</v>
      </c>
      <c r="H289" s="73"/>
      <c r="I289" s="74"/>
      <c r="J289" s="74"/>
      <c r="K289" s="35" t="s">
        <v>65</v>
      </c>
      <c r="L289" s="82">
        <v>289</v>
      </c>
      <c r="M289" s="82"/>
      <c r="N289" s="76"/>
      <c r="O289" s="84" t="s">
        <v>439</v>
      </c>
      <c r="P289" s="86">
        <v>44086.36769675926</v>
      </c>
      <c r="Q289" s="84" t="s">
        <v>484</v>
      </c>
      <c r="R289" s="87" t="str">
        <f>HYPERLINK("https://www.weforum.org/agenda/2020/09/prevent-post-covid-carmageddon")</f>
        <v>https://www.weforum.org/agenda/2020/09/prevent-post-covid-carmageddon</v>
      </c>
      <c r="S289" s="84" t="s">
        <v>549</v>
      </c>
      <c r="T289" s="84" t="s">
        <v>600</v>
      </c>
      <c r="U289" s="84"/>
      <c r="V289" s="87" t="str">
        <f>HYPERLINK("http://pbs.twimg.com/profile_images/1287310931106521088/1ygJdSq2_normal.jpg")</f>
        <v>http://pbs.twimg.com/profile_images/1287310931106521088/1ygJdSq2_normal.jpg</v>
      </c>
      <c r="W289" s="86">
        <v>44086.36769675926</v>
      </c>
      <c r="X289" s="90">
        <v>44086</v>
      </c>
      <c r="Y289" s="92" t="s">
        <v>810</v>
      </c>
      <c r="Z289" s="87" t="str">
        <f>HYPERLINK("https://twitter.com/codebloodedbot/status/1304703667984048135")</f>
        <v>https://twitter.com/codebloodedbot/status/1304703667984048135</v>
      </c>
      <c r="AA289" s="84"/>
      <c r="AB289" s="84"/>
      <c r="AC289" s="92" t="s">
        <v>1205</v>
      </c>
      <c r="AD289" s="84"/>
      <c r="AE289" s="84" t="b">
        <v>0</v>
      </c>
      <c r="AF289" s="84">
        <v>0</v>
      </c>
      <c r="AG289" s="92" t="s">
        <v>1453</v>
      </c>
      <c r="AH289" s="84" t="b">
        <v>0</v>
      </c>
      <c r="AI289" s="84" t="s">
        <v>1456</v>
      </c>
      <c r="AJ289" s="84"/>
      <c r="AK289" s="92" t="s">
        <v>1453</v>
      </c>
      <c r="AL289" s="84" t="b">
        <v>0</v>
      </c>
      <c r="AM289" s="84">
        <v>36</v>
      </c>
      <c r="AN289" s="92" t="s">
        <v>1401</v>
      </c>
      <c r="AO289" s="84"/>
      <c r="AP289" s="84" t="b">
        <v>0</v>
      </c>
      <c r="AQ289" s="92" t="s">
        <v>1401</v>
      </c>
      <c r="AR289" s="84" t="s">
        <v>187</v>
      </c>
      <c r="AS289" s="84">
        <v>0</v>
      </c>
      <c r="AT289" s="84">
        <v>0</v>
      </c>
      <c r="AU289" s="84"/>
      <c r="AV289" s="84"/>
      <c r="AW289" s="84"/>
      <c r="AX289" s="84"/>
      <c r="AY289" s="84"/>
      <c r="AZ289" s="84"/>
      <c r="BA289" s="84"/>
      <c r="BB289" s="84"/>
      <c r="BC289">
        <v>3</v>
      </c>
      <c r="BD289" s="83" t="str">
        <f>REPLACE(INDEX(GroupVertices[Group],MATCH(Edges[[#This Row],[Vertex 1]],GroupVertices[Vertex],0)),1,1,"")</f>
        <v>1</v>
      </c>
      <c r="BE289" s="83" t="str">
        <f>REPLACE(INDEX(GroupVertices[Group],MATCH(Edges[[#This Row],[Vertex 2]],GroupVertices[Vertex],0)),1,1,"")</f>
        <v>1</v>
      </c>
      <c r="BF289" s="49">
        <v>0</v>
      </c>
      <c r="BG289" s="50">
        <v>0</v>
      </c>
      <c r="BH289" s="49">
        <v>0</v>
      </c>
      <c r="BI289" s="50">
        <v>0</v>
      </c>
      <c r="BJ289" s="49">
        <v>0</v>
      </c>
      <c r="BK289" s="50">
        <v>0</v>
      </c>
      <c r="BL289" s="49">
        <v>31</v>
      </c>
      <c r="BM289" s="50">
        <v>100</v>
      </c>
      <c r="BN289" s="49">
        <v>31</v>
      </c>
    </row>
    <row r="290" spans="1:66" ht="15">
      <c r="A290" s="68" t="s">
        <v>360</v>
      </c>
      <c r="B290" s="68" t="s">
        <v>435</v>
      </c>
      <c r="C290" s="69" t="s">
        <v>5209</v>
      </c>
      <c r="D290" s="70">
        <v>6.678367782143116</v>
      </c>
      <c r="E290" s="71" t="s">
        <v>132</v>
      </c>
      <c r="F290" s="72">
        <v>21</v>
      </c>
      <c r="G290" s="69" t="s">
        <v>51</v>
      </c>
      <c r="H290" s="73"/>
      <c r="I290" s="74"/>
      <c r="J290" s="74"/>
      <c r="K290" s="35" t="s">
        <v>65</v>
      </c>
      <c r="L290" s="82">
        <v>290</v>
      </c>
      <c r="M290" s="82"/>
      <c r="N290" s="76"/>
      <c r="O290" s="84" t="s">
        <v>440</v>
      </c>
      <c r="P290" s="86">
        <v>44086.36769675926</v>
      </c>
      <c r="Q290" s="84" t="s">
        <v>484</v>
      </c>
      <c r="R290" s="87" t="str">
        <f>HYPERLINK("https://www.weforum.org/agenda/2020/09/prevent-post-covid-carmageddon")</f>
        <v>https://www.weforum.org/agenda/2020/09/prevent-post-covid-carmageddon</v>
      </c>
      <c r="S290" s="84" t="s">
        <v>549</v>
      </c>
      <c r="T290" s="84" t="s">
        <v>600</v>
      </c>
      <c r="U290" s="84"/>
      <c r="V290" s="87" t="str">
        <f>HYPERLINK("http://pbs.twimg.com/profile_images/1287310931106521088/1ygJdSq2_normal.jpg")</f>
        <v>http://pbs.twimg.com/profile_images/1287310931106521088/1ygJdSq2_normal.jpg</v>
      </c>
      <c r="W290" s="86">
        <v>44086.36769675926</v>
      </c>
      <c r="X290" s="90">
        <v>44086</v>
      </c>
      <c r="Y290" s="92" t="s">
        <v>810</v>
      </c>
      <c r="Z290" s="87" t="str">
        <f>HYPERLINK("https://twitter.com/codebloodedbot/status/1304703667996635136")</f>
        <v>https://twitter.com/codebloodedbot/status/1304703667996635136</v>
      </c>
      <c r="AA290" s="84"/>
      <c r="AB290" s="84"/>
      <c r="AC290" s="92" t="s">
        <v>1206</v>
      </c>
      <c r="AD290" s="84"/>
      <c r="AE290" s="84" t="b">
        <v>0</v>
      </c>
      <c r="AF290" s="84">
        <v>0</v>
      </c>
      <c r="AG290" s="92" t="s">
        <v>1453</v>
      </c>
      <c r="AH290" s="84" t="b">
        <v>0</v>
      </c>
      <c r="AI290" s="84" t="s">
        <v>1456</v>
      </c>
      <c r="AJ290" s="84"/>
      <c r="AK290" s="92" t="s">
        <v>1453</v>
      </c>
      <c r="AL290" s="84" t="b">
        <v>0</v>
      </c>
      <c r="AM290" s="84">
        <v>36</v>
      </c>
      <c r="AN290" s="92" t="s">
        <v>1401</v>
      </c>
      <c r="AO290" s="84"/>
      <c r="AP290" s="84" t="b">
        <v>0</v>
      </c>
      <c r="AQ290" s="92" t="s">
        <v>1401</v>
      </c>
      <c r="AR290" s="84" t="s">
        <v>187</v>
      </c>
      <c r="AS290" s="84">
        <v>0</v>
      </c>
      <c r="AT290" s="84">
        <v>0</v>
      </c>
      <c r="AU290" s="84"/>
      <c r="AV290" s="84"/>
      <c r="AW290" s="84"/>
      <c r="AX290" s="84"/>
      <c r="AY290" s="84"/>
      <c r="AZ290" s="84"/>
      <c r="BA290" s="84"/>
      <c r="BB290" s="84"/>
      <c r="BC290">
        <v>2</v>
      </c>
      <c r="BD290" s="83" t="str">
        <f>REPLACE(INDEX(GroupVertices[Group],MATCH(Edges[[#This Row],[Vertex 1]],GroupVertices[Vertex],0)),1,1,"")</f>
        <v>1</v>
      </c>
      <c r="BE290" s="83" t="str">
        <f>REPLACE(INDEX(GroupVertices[Group],MATCH(Edges[[#This Row],[Vertex 2]],GroupVertices[Vertex],0)),1,1,"")</f>
        <v>1</v>
      </c>
      <c r="BF290" s="49"/>
      <c r="BG290" s="50"/>
      <c r="BH290" s="49"/>
      <c r="BI290" s="50"/>
      <c r="BJ290" s="49"/>
      <c r="BK290" s="50"/>
      <c r="BL290" s="49"/>
      <c r="BM290" s="50"/>
      <c r="BN290" s="49"/>
    </row>
    <row r="291" spans="1:66" ht="15">
      <c r="A291" s="68" t="s">
        <v>360</v>
      </c>
      <c r="B291" s="68" t="s">
        <v>390</v>
      </c>
      <c r="C291" s="69" t="s">
        <v>5210</v>
      </c>
      <c r="D291" s="70">
        <v>10</v>
      </c>
      <c r="E291" s="71" t="s">
        <v>132</v>
      </c>
      <c r="F291" s="72">
        <v>10</v>
      </c>
      <c r="G291" s="69" t="s">
        <v>51</v>
      </c>
      <c r="H291" s="73"/>
      <c r="I291" s="74"/>
      <c r="J291" s="74"/>
      <c r="K291" s="35" t="s">
        <v>65</v>
      </c>
      <c r="L291" s="82">
        <v>291</v>
      </c>
      <c r="M291" s="82"/>
      <c r="N291" s="76"/>
      <c r="O291" s="84" t="s">
        <v>439</v>
      </c>
      <c r="P291" s="86">
        <v>44086.36769675926</v>
      </c>
      <c r="Q291" s="84" t="s">
        <v>484</v>
      </c>
      <c r="R291" s="87" t="str">
        <f>HYPERLINK("https://www.weforum.org/agenda/2020/09/prevent-post-covid-carmageddon")</f>
        <v>https://www.weforum.org/agenda/2020/09/prevent-post-covid-carmageddon</v>
      </c>
      <c r="S291" s="84" t="s">
        <v>549</v>
      </c>
      <c r="T291" s="84" t="s">
        <v>600</v>
      </c>
      <c r="U291" s="84"/>
      <c r="V291" s="87" t="str">
        <f>HYPERLINK("http://pbs.twimg.com/profile_images/1287310931106521088/1ygJdSq2_normal.jpg")</f>
        <v>http://pbs.twimg.com/profile_images/1287310931106521088/1ygJdSq2_normal.jpg</v>
      </c>
      <c r="W291" s="86">
        <v>44086.36769675926</v>
      </c>
      <c r="X291" s="90">
        <v>44086</v>
      </c>
      <c r="Y291" s="92" t="s">
        <v>810</v>
      </c>
      <c r="Z291" s="87" t="str">
        <f>HYPERLINK("https://twitter.com/codebloodedbot/status/1304703667996635136")</f>
        <v>https://twitter.com/codebloodedbot/status/1304703667996635136</v>
      </c>
      <c r="AA291" s="84"/>
      <c r="AB291" s="84"/>
      <c r="AC291" s="92" t="s">
        <v>1206</v>
      </c>
      <c r="AD291" s="84"/>
      <c r="AE291" s="84" t="b">
        <v>0</v>
      </c>
      <c r="AF291" s="84">
        <v>0</v>
      </c>
      <c r="AG291" s="92" t="s">
        <v>1453</v>
      </c>
      <c r="AH291" s="84" t="b">
        <v>0</v>
      </c>
      <c r="AI291" s="84" t="s">
        <v>1456</v>
      </c>
      <c r="AJ291" s="84"/>
      <c r="AK291" s="92" t="s">
        <v>1453</v>
      </c>
      <c r="AL291" s="84" t="b">
        <v>0</v>
      </c>
      <c r="AM291" s="84">
        <v>36</v>
      </c>
      <c r="AN291" s="92" t="s">
        <v>1401</v>
      </c>
      <c r="AO291" s="84"/>
      <c r="AP291" s="84" t="b">
        <v>0</v>
      </c>
      <c r="AQ291" s="92" t="s">
        <v>1401</v>
      </c>
      <c r="AR291" s="84" t="s">
        <v>187</v>
      </c>
      <c r="AS291" s="84">
        <v>0</v>
      </c>
      <c r="AT291" s="84">
        <v>0</v>
      </c>
      <c r="AU291" s="84"/>
      <c r="AV291" s="84"/>
      <c r="AW291" s="84"/>
      <c r="AX291" s="84"/>
      <c r="AY291" s="84"/>
      <c r="AZ291" s="84"/>
      <c r="BA291" s="84"/>
      <c r="BB291" s="84"/>
      <c r="BC291">
        <v>3</v>
      </c>
      <c r="BD291" s="83" t="str">
        <f>REPLACE(INDEX(GroupVertices[Group],MATCH(Edges[[#This Row],[Vertex 1]],GroupVertices[Vertex],0)),1,1,"")</f>
        <v>1</v>
      </c>
      <c r="BE291" s="83" t="str">
        <f>REPLACE(INDEX(GroupVertices[Group],MATCH(Edges[[#This Row],[Vertex 2]],GroupVertices[Vertex],0)),1,1,"")</f>
        <v>1</v>
      </c>
      <c r="BF291" s="49">
        <v>0</v>
      </c>
      <c r="BG291" s="50">
        <v>0</v>
      </c>
      <c r="BH291" s="49">
        <v>0</v>
      </c>
      <c r="BI291" s="50">
        <v>0</v>
      </c>
      <c r="BJ291" s="49">
        <v>0</v>
      </c>
      <c r="BK291" s="50">
        <v>0</v>
      </c>
      <c r="BL291" s="49">
        <v>31</v>
      </c>
      <c r="BM291" s="50">
        <v>100</v>
      </c>
      <c r="BN291" s="49">
        <v>31</v>
      </c>
    </row>
    <row r="292" spans="1:66" ht="15">
      <c r="A292" s="68" t="s">
        <v>360</v>
      </c>
      <c r="B292" s="68" t="s">
        <v>436</v>
      </c>
      <c r="C292" s="69" t="s">
        <v>5208</v>
      </c>
      <c r="D292" s="70">
        <v>1</v>
      </c>
      <c r="E292" s="71" t="s">
        <v>132</v>
      </c>
      <c r="F292" s="72">
        <v>32</v>
      </c>
      <c r="G292" s="69" t="s">
        <v>51</v>
      </c>
      <c r="H292" s="73"/>
      <c r="I292" s="74"/>
      <c r="J292" s="74"/>
      <c r="K292" s="35" t="s">
        <v>65</v>
      </c>
      <c r="L292" s="82">
        <v>292</v>
      </c>
      <c r="M292" s="82"/>
      <c r="N292" s="76"/>
      <c r="O292" s="84" t="s">
        <v>440</v>
      </c>
      <c r="P292" s="86">
        <v>44087.17689814815</v>
      </c>
      <c r="Q292" s="84" t="s">
        <v>490</v>
      </c>
      <c r="R292" s="87" t="str">
        <f>HYPERLINK("https://online-learning.harvard.edu/catalog")</f>
        <v>https://online-learning.harvard.edu/catalog</v>
      </c>
      <c r="S292" s="84" t="s">
        <v>551</v>
      </c>
      <c r="T292" s="84" t="s">
        <v>606</v>
      </c>
      <c r="U292" s="84"/>
      <c r="V292" s="87" t="str">
        <f>HYPERLINK("http://pbs.twimg.com/profile_images/1287310931106521088/1ygJdSq2_normal.jpg")</f>
        <v>http://pbs.twimg.com/profile_images/1287310931106521088/1ygJdSq2_normal.jpg</v>
      </c>
      <c r="W292" s="86">
        <v>44087.17689814815</v>
      </c>
      <c r="X292" s="90">
        <v>44087</v>
      </c>
      <c r="Y292" s="92" t="s">
        <v>811</v>
      </c>
      <c r="Z292" s="87" t="str">
        <f>HYPERLINK("https://twitter.com/codebloodedbot/status/1304996911779328006")</f>
        <v>https://twitter.com/codebloodedbot/status/1304996911779328006</v>
      </c>
      <c r="AA292" s="84"/>
      <c r="AB292" s="84"/>
      <c r="AC292" s="92" t="s">
        <v>1207</v>
      </c>
      <c r="AD292" s="84"/>
      <c r="AE292" s="84" t="b">
        <v>0</v>
      </c>
      <c r="AF292" s="84">
        <v>0</v>
      </c>
      <c r="AG292" s="92" t="s">
        <v>1453</v>
      </c>
      <c r="AH292" s="84" t="b">
        <v>0</v>
      </c>
      <c r="AI292" s="84" t="s">
        <v>1456</v>
      </c>
      <c r="AJ292" s="84"/>
      <c r="AK292" s="92" t="s">
        <v>1453</v>
      </c>
      <c r="AL292" s="84" t="b">
        <v>0</v>
      </c>
      <c r="AM292" s="84">
        <v>449</v>
      </c>
      <c r="AN292" s="92" t="s">
        <v>1406</v>
      </c>
      <c r="AO292" s="84"/>
      <c r="AP292" s="84" t="b">
        <v>0</v>
      </c>
      <c r="AQ292" s="92" t="s">
        <v>1406</v>
      </c>
      <c r="AR292" s="84" t="s">
        <v>187</v>
      </c>
      <c r="AS292" s="84">
        <v>0</v>
      </c>
      <c r="AT292" s="84">
        <v>0</v>
      </c>
      <c r="AU292" s="84"/>
      <c r="AV292" s="84"/>
      <c r="AW292" s="84"/>
      <c r="AX292" s="84"/>
      <c r="AY292" s="84"/>
      <c r="AZ292" s="84"/>
      <c r="BA292" s="84"/>
      <c r="BB292" s="84"/>
      <c r="BC292">
        <v>1</v>
      </c>
      <c r="BD292" s="83" t="str">
        <f>REPLACE(INDEX(GroupVertices[Group],MATCH(Edges[[#This Row],[Vertex 1]],GroupVertices[Vertex],0)),1,1,"")</f>
        <v>1</v>
      </c>
      <c r="BE292" s="83" t="str">
        <f>REPLACE(INDEX(GroupVertices[Group],MATCH(Edges[[#This Row],[Vertex 2]],GroupVertices[Vertex],0)),1,1,"")</f>
        <v>1</v>
      </c>
      <c r="BF292" s="49"/>
      <c r="BG292" s="50"/>
      <c r="BH292" s="49"/>
      <c r="BI292" s="50"/>
      <c r="BJ292" s="49"/>
      <c r="BK292" s="50"/>
      <c r="BL292" s="49"/>
      <c r="BM292" s="50"/>
      <c r="BN292" s="49"/>
    </row>
    <row r="293" spans="1:66" ht="15">
      <c r="A293" s="68" t="s">
        <v>360</v>
      </c>
      <c r="B293" s="68" t="s">
        <v>418</v>
      </c>
      <c r="C293" s="69" t="s">
        <v>5208</v>
      </c>
      <c r="D293" s="70">
        <v>1</v>
      </c>
      <c r="E293" s="71" t="s">
        <v>132</v>
      </c>
      <c r="F293" s="72">
        <v>32</v>
      </c>
      <c r="G293" s="69" t="s">
        <v>51</v>
      </c>
      <c r="H293" s="73"/>
      <c r="I293" s="74"/>
      <c r="J293" s="74"/>
      <c r="K293" s="35" t="s">
        <v>65</v>
      </c>
      <c r="L293" s="82">
        <v>293</v>
      </c>
      <c r="M293" s="82"/>
      <c r="N293" s="76"/>
      <c r="O293" s="84" t="s">
        <v>439</v>
      </c>
      <c r="P293" s="86">
        <v>44087.17689814815</v>
      </c>
      <c r="Q293" s="84" t="s">
        <v>490</v>
      </c>
      <c r="R293" s="87" t="str">
        <f>HYPERLINK("https://online-learning.harvard.edu/catalog")</f>
        <v>https://online-learning.harvard.edu/catalog</v>
      </c>
      <c r="S293" s="84" t="s">
        <v>551</v>
      </c>
      <c r="T293" s="84" t="s">
        <v>606</v>
      </c>
      <c r="U293" s="84"/>
      <c r="V293" s="87" t="str">
        <f>HYPERLINK("http://pbs.twimg.com/profile_images/1287310931106521088/1ygJdSq2_normal.jpg")</f>
        <v>http://pbs.twimg.com/profile_images/1287310931106521088/1ygJdSq2_normal.jpg</v>
      </c>
      <c r="W293" s="86">
        <v>44087.17689814815</v>
      </c>
      <c r="X293" s="90">
        <v>44087</v>
      </c>
      <c r="Y293" s="92" t="s">
        <v>811</v>
      </c>
      <c r="Z293" s="87" t="str">
        <f>HYPERLINK("https://twitter.com/codebloodedbot/status/1304996911779328006")</f>
        <v>https://twitter.com/codebloodedbot/status/1304996911779328006</v>
      </c>
      <c r="AA293" s="84"/>
      <c r="AB293" s="84"/>
      <c r="AC293" s="92" t="s">
        <v>1207</v>
      </c>
      <c r="AD293" s="84"/>
      <c r="AE293" s="84" t="b">
        <v>0</v>
      </c>
      <c r="AF293" s="84">
        <v>0</v>
      </c>
      <c r="AG293" s="92" t="s">
        <v>1453</v>
      </c>
      <c r="AH293" s="84" t="b">
        <v>0</v>
      </c>
      <c r="AI293" s="84" t="s">
        <v>1456</v>
      </c>
      <c r="AJ293" s="84"/>
      <c r="AK293" s="92" t="s">
        <v>1453</v>
      </c>
      <c r="AL293" s="84" t="b">
        <v>0</v>
      </c>
      <c r="AM293" s="84">
        <v>449</v>
      </c>
      <c r="AN293" s="92" t="s">
        <v>1406</v>
      </c>
      <c r="AO293" s="84"/>
      <c r="AP293" s="84" t="b">
        <v>0</v>
      </c>
      <c r="AQ293" s="92" t="s">
        <v>1406</v>
      </c>
      <c r="AR293" s="84" t="s">
        <v>187</v>
      </c>
      <c r="AS293" s="84">
        <v>0</v>
      </c>
      <c r="AT293" s="84">
        <v>0</v>
      </c>
      <c r="AU293" s="84"/>
      <c r="AV293" s="84"/>
      <c r="AW293" s="84"/>
      <c r="AX293" s="84"/>
      <c r="AY293" s="84"/>
      <c r="AZ293" s="84"/>
      <c r="BA293" s="84"/>
      <c r="BB293" s="84"/>
      <c r="BC293">
        <v>1</v>
      </c>
      <c r="BD293" s="83" t="str">
        <f>REPLACE(INDEX(GroupVertices[Group],MATCH(Edges[[#This Row],[Vertex 1]],GroupVertices[Vertex],0)),1,1,"")</f>
        <v>1</v>
      </c>
      <c r="BE293" s="83" t="str">
        <f>REPLACE(INDEX(GroupVertices[Group],MATCH(Edges[[#This Row],[Vertex 2]],GroupVertices[Vertex],0)),1,1,"")</f>
        <v>1</v>
      </c>
      <c r="BF293" s="49">
        <v>0</v>
      </c>
      <c r="BG293" s="50">
        <v>0</v>
      </c>
      <c r="BH293" s="49">
        <v>0</v>
      </c>
      <c r="BI293" s="50">
        <v>0</v>
      </c>
      <c r="BJ293" s="49">
        <v>0</v>
      </c>
      <c r="BK293" s="50">
        <v>0</v>
      </c>
      <c r="BL293" s="49">
        <v>25</v>
      </c>
      <c r="BM293" s="50">
        <v>100</v>
      </c>
      <c r="BN293" s="49">
        <v>25</v>
      </c>
    </row>
    <row r="294" spans="1:66" ht="15">
      <c r="A294" s="68" t="s">
        <v>360</v>
      </c>
      <c r="B294" s="68" t="s">
        <v>406</v>
      </c>
      <c r="C294" s="69" t="s">
        <v>5208</v>
      </c>
      <c r="D294" s="70">
        <v>1</v>
      </c>
      <c r="E294" s="71" t="s">
        <v>132</v>
      </c>
      <c r="F294" s="72">
        <v>32</v>
      </c>
      <c r="G294" s="69" t="s">
        <v>51</v>
      </c>
      <c r="H294" s="73"/>
      <c r="I294" s="74"/>
      <c r="J294" s="74"/>
      <c r="K294" s="35" t="s">
        <v>65</v>
      </c>
      <c r="L294" s="82">
        <v>294</v>
      </c>
      <c r="M294" s="82"/>
      <c r="N294" s="76"/>
      <c r="O294" s="84" t="s">
        <v>439</v>
      </c>
      <c r="P294" s="86">
        <v>44087.326828703706</v>
      </c>
      <c r="Q294" s="84" t="s">
        <v>493</v>
      </c>
      <c r="R294" s="84"/>
      <c r="S294" s="84"/>
      <c r="T294" s="84" t="s">
        <v>609</v>
      </c>
      <c r="U294" s="84"/>
      <c r="V294" s="87" t="str">
        <f>HYPERLINK("http://pbs.twimg.com/profile_images/1287310931106521088/1ygJdSq2_normal.jpg")</f>
        <v>http://pbs.twimg.com/profile_images/1287310931106521088/1ygJdSq2_normal.jpg</v>
      </c>
      <c r="W294" s="86">
        <v>44087.326828703706</v>
      </c>
      <c r="X294" s="90">
        <v>44087</v>
      </c>
      <c r="Y294" s="92" t="s">
        <v>812</v>
      </c>
      <c r="Z294" s="87" t="str">
        <f>HYPERLINK("https://twitter.com/codebloodedbot/status/1305051244621434880")</f>
        <v>https://twitter.com/codebloodedbot/status/1305051244621434880</v>
      </c>
      <c r="AA294" s="84"/>
      <c r="AB294" s="84"/>
      <c r="AC294" s="92" t="s">
        <v>1208</v>
      </c>
      <c r="AD294" s="84"/>
      <c r="AE294" s="84" t="b">
        <v>0</v>
      </c>
      <c r="AF294" s="84">
        <v>0</v>
      </c>
      <c r="AG294" s="92" t="s">
        <v>1453</v>
      </c>
      <c r="AH294" s="84" t="b">
        <v>0</v>
      </c>
      <c r="AI294" s="84" t="s">
        <v>1456</v>
      </c>
      <c r="AJ294" s="84"/>
      <c r="AK294" s="92" t="s">
        <v>1453</v>
      </c>
      <c r="AL294" s="84" t="b">
        <v>0</v>
      </c>
      <c r="AM294" s="84">
        <v>7</v>
      </c>
      <c r="AN294" s="92" t="s">
        <v>1358</v>
      </c>
      <c r="AO294" s="84"/>
      <c r="AP294" s="84" t="b">
        <v>0</v>
      </c>
      <c r="AQ294" s="92" t="s">
        <v>1358</v>
      </c>
      <c r="AR294" s="84" t="s">
        <v>187</v>
      </c>
      <c r="AS294" s="84">
        <v>0</v>
      </c>
      <c r="AT294" s="84">
        <v>0</v>
      </c>
      <c r="AU294" s="84"/>
      <c r="AV294" s="84"/>
      <c r="AW294" s="84"/>
      <c r="AX294" s="84"/>
      <c r="AY294" s="84"/>
      <c r="AZ294" s="84"/>
      <c r="BA294" s="84"/>
      <c r="BB294" s="84"/>
      <c r="BC294">
        <v>1</v>
      </c>
      <c r="BD294" s="83" t="str">
        <f>REPLACE(INDEX(GroupVertices[Group],MATCH(Edges[[#This Row],[Vertex 1]],GroupVertices[Vertex],0)),1,1,"")</f>
        <v>1</v>
      </c>
      <c r="BE294" s="83" t="str">
        <f>REPLACE(INDEX(GroupVertices[Group],MATCH(Edges[[#This Row],[Vertex 2]],GroupVertices[Vertex],0)),1,1,"")</f>
        <v>1</v>
      </c>
      <c r="BF294" s="49">
        <v>0</v>
      </c>
      <c r="BG294" s="50">
        <v>0</v>
      </c>
      <c r="BH294" s="49">
        <v>0</v>
      </c>
      <c r="BI294" s="50">
        <v>0</v>
      </c>
      <c r="BJ294" s="49">
        <v>0</v>
      </c>
      <c r="BK294" s="50">
        <v>0</v>
      </c>
      <c r="BL294" s="49">
        <v>22</v>
      </c>
      <c r="BM294" s="50">
        <v>100</v>
      </c>
      <c r="BN294" s="49">
        <v>22</v>
      </c>
    </row>
    <row r="295" spans="1:66" ht="15">
      <c r="A295" s="68" t="s">
        <v>360</v>
      </c>
      <c r="B295" s="68" t="s">
        <v>414</v>
      </c>
      <c r="C295" s="69" t="s">
        <v>5208</v>
      </c>
      <c r="D295" s="70">
        <v>1</v>
      </c>
      <c r="E295" s="71" t="s">
        <v>132</v>
      </c>
      <c r="F295" s="72">
        <v>32</v>
      </c>
      <c r="G295" s="69" t="s">
        <v>51</v>
      </c>
      <c r="H295" s="73"/>
      <c r="I295" s="74"/>
      <c r="J295" s="74"/>
      <c r="K295" s="35" t="s">
        <v>65</v>
      </c>
      <c r="L295" s="82">
        <v>295</v>
      </c>
      <c r="M295" s="82"/>
      <c r="N295" s="76"/>
      <c r="O295" s="84" t="s">
        <v>439</v>
      </c>
      <c r="P295" s="86">
        <v>44087.50811342592</v>
      </c>
      <c r="Q295" s="84" t="s">
        <v>491</v>
      </c>
      <c r="R295" s="84" t="s">
        <v>527</v>
      </c>
      <c r="S295" s="84" t="s">
        <v>552</v>
      </c>
      <c r="T295" s="84" t="s">
        <v>607</v>
      </c>
      <c r="U295" s="87" t="str">
        <f>HYPERLINK("https://pbs.twimg.com/media/EhxkE21U0AEO4mg.jpg")</f>
        <v>https://pbs.twimg.com/media/EhxkE21U0AEO4mg.jpg</v>
      </c>
      <c r="V295" s="87" t="str">
        <f>HYPERLINK("https://pbs.twimg.com/media/EhxkE21U0AEO4mg.jpg")</f>
        <v>https://pbs.twimg.com/media/EhxkE21U0AEO4mg.jpg</v>
      </c>
      <c r="W295" s="86">
        <v>44087.50811342592</v>
      </c>
      <c r="X295" s="90">
        <v>44087</v>
      </c>
      <c r="Y295" s="92" t="s">
        <v>813</v>
      </c>
      <c r="Z295" s="87" t="str">
        <f>HYPERLINK("https://twitter.com/codebloodedbot/status/1305116940067917825")</f>
        <v>https://twitter.com/codebloodedbot/status/1305116940067917825</v>
      </c>
      <c r="AA295" s="84"/>
      <c r="AB295" s="84"/>
      <c r="AC295" s="92" t="s">
        <v>1209</v>
      </c>
      <c r="AD295" s="84"/>
      <c r="AE295" s="84" t="b">
        <v>0</v>
      </c>
      <c r="AF295" s="84">
        <v>0</v>
      </c>
      <c r="AG295" s="92" t="s">
        <v>1453</v>
      </c>
      <c r="AH295" s="84" t="b">
        <v>0</v>
      </c>
      <c r="AI295" s="84" t="s">
        <v>1456</v>
      </c>
      <c r="AJ295" s="84"/>
      <c r="AK295" s="92" t="s">
        <v>1453</v>
      </c>
      <c r="AL295" s="84" t="b">
        <v>0</v>
      </c>
      <c r="AM295" s="84">
        <v>12</v>
      </c>
      <c r="AN295" s="92" t="s">
        <v>1381</v>
      </c>
      <c r="AO295" s="84"/>
      <c r="AP295" s="84" t="b">
        <v>0</v>
      </c>
      <c r="AQ295" s="92" t="s">
        <v>1381</v>
      </c>
      <c r="AR295" s="84" t="s">
        <v>187</v>
      </c>
      <c r="AS295" s="84">
        <v>0</v>
      </c>
      <c r="AT295" s="84">
        <v>0</v>
      </c>
      <c r="AU295" s="84"/>
      <c r="AV295" s="84"/>
      <c r="AW295" s="84"/>
      <c r="AX295" s="84"/>
      <c r="AY295" s="84"/>
      <c r="AZ295" s="84"/>
      <c r="BA295" s="84"/>
      <c r="BB295" s="84"/>
      <c r="BC295">
        <v>1</v>
      </c>
      <c r="BD295" s="83" t="str">
        <f>REPLACE(INDEX(GroupVertices[Group],MATCH(Edges[[#This Row],[Vertex 1]],GroupVertices[Vertex],0)),1,1,"")</f>
        <v>1</v>
      </c>
      <c r="BE295" s="83" t="str">
        <f>REPLACE(INDEX(GroupVertices[Group],MATCH(Edges[[#This Row],[Vertex 2]],GroupVertices[Vertex],0)),1,1,"")</f>
        <v>1</v>
      </c>
      <c r="BF295" s="49">
        <v>0</v>
      </c>
      <c r="BG295" s="50">
        <v>0</v>
      </c>
      <c r="BH295" s="49">
        <v>0</v>
      </c>
      <c r="BI295" s="50">
        <v>0</v>
      </c>
      <c r="BJ295" s="49">
        <v>0</v>
      </c>
      <c r="BK295" s="50">
        <v>0</v>
      </c>
      <c r="BL295" s="49">
        <v>40</v>
      </c>
      <c r="BM295" s="50">
        <v>100</v>
      </c>
      <c r="BN295" s="49">
        <v>40</v>
      </c>
    </row>
    <row r="296" spans="1:66" ht="15">
      <c r="A296" s="68" t="s">
        <v>361</v>
      </c>
      <c r="B296" s="68" t="s">
        <v>389</v>
      </c>
      <c r="C296" s="69" t="s">
        <v>5208</v>
      </c>
      <c r="D296" s="70">
        <v>1</v>
      </c>
      <c r="E296" s="71" t="s">
        <v>132</v>
      </c>
      <c r="F296" s="72">
        <v>32</v>
      </c>
      <c r="G296" s="69" t="s">
        <v>51</v>
      </c>
      <c r="H296" s="73"/>
      <c r="I296" s="74"/>
      <c r="J296" s="74"/>
      <c r="K296" s="35" t="s">
        <v>65</v>
      </c>
      <c r="L296" s="82">
        <v>296</v>
      </c>
      <c r="M296" s="82"/>
      <c r="N296" s="76"/>
      <c r="O296" s="84" t="s">
        <v>439</v>
      </c>
      <c r="P296" s="86">
        <v>44085.88548611111</v>
      </c>
      <c r="Q296" s="84" t="s">
        <v>482</v>
      </c>
      <c r="R296" s="87" t="str">
        <f>HYPERLINK("http://www.globalbigdataconference.com/145761/big-datas-role-in-the-post-covid-era/industrynews-details.html")</f>
        <v>http://www.globalbigdataconference.com/145761/big-datas-role-in-the-post-covid-era/industrynews-details.html</v>
      </c>
      <c r="S296" s="84" t="s">
        <v>541</v>
      </c>
      <c r="T296" s="84" t="s">
        <v>598</v>
      </c>
      <c r="U296" s="84"/>
      <c r="V296" s="87" t="str">
        <f>HYPERLINK("http://pbs.twimg.com/profile_images/1228401351278964736/CurD3OjX_normal.jpg")</f>
        <v>http://pbs.twimg.com/profile_images/1228401351278964736/CurD3OjX_normal.jpg</v>
      </c>
      <c r="W296" s="86">
        <v>44085.88548611111</v>
      </c>
      <c r="X296" s="90">
        <v>44085</v>
      </c>
      <c r="Y296" s="92" t="s">
        <v>814</v>
      </c>
      <c r="Z296" s="87" t="str">
        <f>HYPERLINK("https://twitter.com/powerbi_pros/status/1304528922512678912")</f>
        <v>https://twitter.com/powerbi_pros/status/1304528922512678912</v>
      </c>
      <c r="AA296" s="84"/>
      <c r="AB296" s="84"/>
      <c r="AC296" s="92" t="s">
        <v>1210</v>
      </c>
      <c r="AD296" s="84"/>
      <c r="AE296" s="84" t="b">
        <v>0</v>
      </c>
      <c r="AF296" s="84">
        <v>0</v>
      </c>
      <c r="AG296" s="92" t="s">
        <v>1453</v>
      </c>
      <c r="AH296" s="84" t="b">
        <v>0</v>
      </c>
      <c r="AI296" s="84" t="s">
        <v>1456</v>
      </c>
      <c r="AJ296" s="84"/>
      <c r="AK296" s="92" t="s">
        <v>1453</v>
      </c>
      <c r="AL296" s="84" t="b">
        <v>0</v>
      </c>
      <c r="AM296" s="84">
        <v>22</v>
      </c>
      <c r="AN296" s="92" t="s">
        <v>1288</v>
      </c>
      <c r="AO296" s="84" t="s">
        <v>1511</v>
      </c>
      <c r="AP296" s="84" t="b">
        <v>0</v>
      </c>
      <c r="AQ296" s="92" t="s">
        <v>1288</v>
      </c>
      <c r="AR296" s="84" t="s">
        <v>187</v>
      </c>
      <c r="AS296" s="84">
        <v>0</v>
      </c>
      <c r="AT296" s="84">
        <v>0</v>
      </c>
      <c r="AU296" s="84"/>
      <c r="AV296" s="84"/>
      <c r="AW296" s="84"/>
      <c r="AX296" s="84"/>
      <c r="AY296" s="84"/>
      <c r="AZ296" s="84"/>
      <c r="BA296" s="84"/>
      <c r="BB296" s="84"/>
      <c r="BC296">
        <v>1</v>
      </c>
      <c r="BD296" s="83" t="str">
        <f>REPLACE(INDEX(GroupVertices[Group],MATCH(Edges[[#This Row],[Vertex 1]],GroupVertices[Vertex],0)),1,1,"")</f>
        <v>3</v>
      </c>
      <c r="BE296" s="83" t="str">
        <f>REPLACE(INDEX(GroupVertices[Group],MATCH(Edges[[#This Row],[Vertex 2]],GroupVertices[Vertex],0)),1,1,"")</f>
        <v>3</v>
      </c>
      <c r="BF296" s="49">
        <v>0</v>
      </c>
      <c r="BG296" s="50">
        <v>0</v>
      </c>
      <c r="BH296" s="49">
        <v>0</v>
      </c>
      <c r="BI296" s="50">
        <v>0</v>
      </c>
      <c r="BJ296" s="49">
        <v>0</v>
      </c>
      <c r="BK296" s="50">
        <v>0</v>
      </c>
      <c r="BL296" s="49">
        <v>28</v>
      </c>
      <c r="BM296" s="50">
        <v>100</v>
      </c>
      <c r="BN296" s="49">
        <v>28</v>
      </c>
    </row>
    <row r="297" spans="1:66" ht="15">
      <c r="A297" s="68" t="s">
        <v>361</v>
      </c>
      <c r="B297" s="68" t="s">
        <v>414</v>
      </c>
      <c r="C297" s="69" t="s">
        <v>5208</v>
      </c>
      <c r="D297" s="70">
        <v>1</v>
      </c>
      <c r="E297" s="71" t="s">
        <v>132</v>
      </c>
      <c r="F297" s="72">
        <v>32</v>
      </c>
      <c r="G297" s="69" t="s">
        <v>51</v>
      </c>
      <c r="H297" s="73"/>
      <c r="I297" s="74"/>
      <c r="J297" s="74"/>
      <c r="K297" s="35" t="s">
        <v>65</v>
      </c>
      <c r="L297" s="82">
        <v>297</v>
      </c>
      <c r="M297" s="82"/>
      <c r="N297" s="76"/>
      <c r="O297" s="84" t="s">
        <v>439</v>
      </c>
      <c r="P297" s="86">
        <v>44087.51085648148</v>
      </c>
      <c r="Q297" s="84" t="s">
        <v>491</v>
      </c>
      <c r="R297" s="84" t="s">
        <v>527</v>
      </c>
      <c r="S297" s="84" t="s">
        <v>552</v>
      </c>
      <c r="T297" s="84" t="s">
        <v>607</v>
      </c>
      <c r="U297" s="87" t="str">
        <f>HYPERLINK("https://pbs.twimg.com/media/EhxkE21U0AEO4mg.jpg")</f>
        <v>https://pbs.twimg.com/media/EhxkE21U0AEO4mg.jpg</v>
      </c>
      <c r="V297" s="87" t="str">
        <f>HYPERLINK("https://pbs.twimg.com/media/EhxkE21U0AEO4mg.jpg")</f>
        <v>https://pbs.twimg.com/media/EhxkE21U0AEO4mg.jpg</v>
      </c>
      <c r="W297" s="86">
        <v>44087.51085648148</v>
      </c>
      <c r="X297" s="90">
        <v>44087</v>
      </c>
      <c r="Y297" s="92" t="s">
        <v>815</v>
      </c>
      <c r="Z297" s="87" t="str">
        <f>HYPERLINK("https://twitter.com/powerbi_pros/status/1305117936579944454")</f>
        <v>https://twitter.com/powerbi_pros/status/1305117936579944454</v>
      </c>
      <c r="AA297" s="84"/>
      <c r="AB297" s="84"/>
      <c r="AC297" s="92" t="s">
        <v>1211</v>
      </c>
      <c r="AD297" s="84"/>
      <c r="AE297" s="84" t="b">
        <v>0</v>
      </c>
      <c r="AF297" s="84">
        <v>0</v>
      </c>
      <c r="AG297" s="92" t="s">
        <v>1453</v>
      </c>
      <c r="AH297" s="84" t="b">
        <v>0</v>
      </c>
      <c r="AI297" s="84" t="s">
        <v>1456</v>
      </c>
      <c r="AJ297" s="84"/>
      <c r="AK297" s="92" t="s">
        <v>1453</v>
      </c>
      <c r="AL297" s="84" t="b">
        <v>0</v>
      </c>
      <c r="AM297" s="84">
        <v>12</v>
      </c>
      <c r="AN297" s="92" t="s">
        <v>1381</v>
      </c>
      <c r="AO297" s="84" t="s">
        <v>1511</v>
      </c>
      <c r="AP297" s="84" t="b">
        <v>0</v>
      </c>
      <c r="AQ297" s="92" t="s">
        <v>1381</v>
      </c>
      <c r="AR297" s="84" t="s">
        <v>187</v>
      </c>
      <c r="AS297" s="84">
        <v>0</v>
      </c>
      <c r="AT297" s="84">
        <v>0</v>
      </c>
      <c r="AU297" s="84"/>
      <c r="AV297" s="84"/>
      <c r="AW297" s="84"/>
      <c r="AX297" s="84"/>
      <c r="AY297" s="84"/>
      <c r="AZ297" s="84"/>
      <c r="BA297" s="84"/>
      <c r="BB297" s="84"/>
      <c r="BC297">
        <v>1</v>
      </c>
      <c r="BD297" s="83" t="str">
        <f>REPLACE(INDEX(GroupVertices[Group],MATCH(Edges[[#This Row],[Vertex 1]],GroupVertices[Vertex],0)),1,1,"")</f>
        <v>3</v>
      </c>
      <c r="BE297" s="83" t="str">
        <f>REPLACE(INDEX(GroupVertices[Group],MATCH(Edges[[#This Row],[Vertex 2]],GroupVertices[Vertex],0)),1,1,"")</f>
        <v>1</v>
      </c>
      <c r="BF297" s="49">
        <v>0</v>
      </c>
      <c r="BG297" s="50">
        <v>0</v>
      </c>
      <c r="BH297" s="49">
        <v>0</v>
      </c>
      <c r="BI297" s="50">
        <v>0</v>
      </c>
      <c r="BJ297" s="49">
        <v>0</v>
      </c>
      <c r="BK297" s="50">
        <v>0</v>
      </c>
      <c r="BL297" s="49">
        <v>40</v>
      </c>
      <c r="BM297" s="50">
        <v>100</v>
      </c>
      <c r="BN297" s="49">
        <v>40</v>
      </c>
    </row>
    <row r="298" spans="1:66" ht="15">
      <c r="A298" s="68" t="s">
        <v>362</v>
      </c>
      <c r="B298" s="68" t="s">
        <v>421</v>
      </c>
      <c r="C298" s="69" t="s">
        <v>5208</v>
      </c>
      <c r="D298" s="70">
        <v>1</v>
      </c>
      <c r="E298" s="71" t="s">
        <v>132</v>
      </c>
      <c r="F298" s="72">
        <v>32</v>
      </c>
      <c r="G298" s="69" t="s">
        <v>51</v>
      </c>
      <c r="H298" s="73"/>
      <c r="I298" s="74"/>
      <c r="J298" s="74"/>
      <c r="K298" s="35" t="s">
        <v>65</v>
      </c>
      <c r="L298" s="82">
        <v>298</v>
      </c>
      <c r="M298" s="82"/>
      <c r="N298" s="76"/>
      <c r="O298" s="84" t="s">
        <v>439</v>
      </c>
      <c r="P298" s="86">
        <v>44087.684432870374</v>
      </c>
      <c r="Q298" s="84" t="s">
        <v>479</v>
      </c>
      <c r="R298" s="87" t="str">
        <f>HYPERLINK("https://akashmishra75.herokuapp.com/")</f>
        <v>https://akashmishra75.herokuapp.com/</v>
      </c>
      <c r="S298" s="84" t="s">
        <v>547</v>
      </c>
      <c r="T298" s="84" t="s">
        <v>595</v>
      </c>
      <c r="U298" s="87" t="str">
        <f>HYPERLINK("https://pbs.twimg.com/ext_tw_video_thumb/1299340580011433985/pu/img/BLbI7sTMAVVWOb9h.jpg")</f>
        <v>https://pbs.twimg.com/ext_tw_video_thumb/1299340580011433985/pu/img/BLbI7sTMAVVWOb9h.jpg</v>
      </c>
      <c r="V298" s="87" t="str">
        <f>HYPERLINK("https://pbs.twimg.com/ext_tw_video_thumb/1299340580011433985/pu/img/BLbI7sTMAVVWOb9h.jpg")</f>
        <v>https://pbs.twimg.com/ext_tw_video_thumb/1299340580011433985/pu/img/BLbI7sTMAVVWOb9h.jpg</v>
      </c>
      <c r="W298" s="86">
        <v>44087.684432870374</v>
      </c>
      <c r="X298" s="90">
        <v>44087</v>
      </c>
      <c r="Y298" s="92" t="s">
        <v>816</v>
      </c>
      <c r="Z298" s="87" t="str">
        <f>HYPERLINK("https://twitter.com/techbiesblog/status/1305180836912754688")</f>
        <v>https://twitter.com/techbiesblog/status/1305180836912754688</v>
      </c>
      <c r="AA298" s="84"/>
      <c r="AB298" s="84"/>
      <c r="AC298" s="92" t="s">
        <v>1212</v>
      </c>
      <c r="AD298" s="84"/>
      <c r="AE298" s="84" t="b">
        <v>0</v>
      </c>
      <c r="AF298" s="84">
        <v>0</v>
      </c>
      <c r="AG298" s="92" t="s">
        <v>1453</v>
      </c>
      <c r="AH298" s="84" t="b">
        <v>0</v>
      </c>
      <c r="AI298" s="84" t="s">
        <v>1456</v>
      </c>
      <c r="AJ298" s="84"/>
      <c r="AK298" s="92" t="s">
        <v>1453</v>
      </c>
      <c r="AL298" s="84" t="b">
        <v>0</v>
      </c>
      <c r="AM298" s="84">
        <v>76</v>
      </c>
      <c r="AN298" s="92" t="s">
        <v>1418</v>
      </c>
      <c r="AO298" s="84" t="s">
        <v>1464</v>
      </c>
      <c r="AP298" s="84" t="b">
        <v>0</v>
      </c>
      <c r="AQ298" s="92" t="s">
        <v>1418</v>
      </c>
      <c r="AR298" s="84" t="s">
        <v>187</v>
      </c>
      <c r="AS298" s="84">
        <v>0</v>
      </c>
      <c r="AT298" s="84">
        <v>0</v>
      </c>
      <c r="AU298" s="84"/>
      <c r="AV298" s="84"/>
      <c r="AW298" s="84"/>
      <c r="AX298" s="84"/>
      <c r="AY298" s="84"/>
      <c r="AZ298" s="84"/>
      <c r="BA298" s="84"/>
      <c r="BB298" s="84"/>
      <c r="BC298">
        <v>1</v>
      </c>
      <c r="BD298" s="83" t="str">
        <f>REPLACE(INDEX(GroupVertices[Group],MATCH(Edges[[#This Row],[Vertex 1]],GroupVertices[Vertex],0)),1,1,"")</f>
        <v>8</v>
      </c>
      <c r="BE298" s="83" t="str">
        <f>REPLACE(INDEX(GroupVertices[Group],MATCH(Edges[[#This Row],[Vertex 2]],GroupVertices[Vertex],0)),1,1,"")</f>
        <v>8</v>
      </c>
      <c r="BF298" s="49">
        <v>0</v>
      </c>
      <c r="BG298" s="50">
        <v>0</v>
      </c>
      <c r="BH298" s="49">
        <v>0</v>
      </c>
      <c r="BI298" s="50">
        <v>0</v>
      </c>
      <c r="BJ298" s="49">
        <v>0</v>
      </c>
      <c r="BK298" s="50">
        <v>0</v>
      </c>
      <c r="BL298" s="49">
        <v>42</v>
      </c>
      <c r="BM298" s="50">
        <v>100</v>
      </c>
      <c r="BN298" s="49">
        <v>42</v>
      </c>
    </row>
    <row r="299" spans="1:66" ht="15">
      <c r="A299" s="68" t="s">
        <v>363</v>
      </c>
      <c r="B299" s="68" t="s">
        <v>421</v>
      </c>
      <c r="C299" s="69" t="s">
        <v>5208</v>
      </c>
      <c r="D299" s="70">
        <v>1</v>
      </c>
      <c r="E299" s="71" t="s">
        <v>132</v>
      </c>
      <c r="F299" s="72">
        <v>32</v>
      </c>
      <c r="G299" s="69" t="s">
        <v>51</v>
      </c>
      <c r="H299" s="73"/>
      <c r="I299" s="74"/>
      <c r="J299" s="74"/>
      <c r="K299" s="35" t="s">
        <v>65</v>
      </c>
      <c r="L299" s="82">
        <v>299</v>
      </c>
      <c r="M299" s="82"/>
      <c r="N299" s="76"/>
      <c r="O299" s="84" t="s">
        <v>439</v>
      </c>
      <c r="P299" s="86">
        <v>44087.68462962963</v>
      </c>
      <c r="Q299" s="84" t="s">
        <v>479</v>
      </c>
      <c r="R299" s="87" t="str">
        <f>HYPERLINK("https://akashmishra75.herokuapp.com/")</f>
        <v>https://akashmishra75.herokuapp.com/</v>
      </c>
      <c r="S299" s="84" t="s">
        <v>547</v>
      </c>
      <c r="T299" s="84" t="s">
        <v>595</v>
      </c>
      <c r="U299" s="87" t="str">
        <f>HYPERLINK("https://pbs.twimg.com/ext_tw_video_thumb/1299340580011433985/pu/img/BLbI7sTMAVVWOb9h.jpg")</f>
        <v>https://pbs.twimg.com/ext_tw_video_thumb/1299340580011433985/pu/img/BLbI7sTMAVVWOb9h.jpg</v>
      </c>
      <c r="V299" s="87" t="str">
        <f>HYPERLINK("https://pbs.twimg.com/ext_tw_video_thumb/1299340580011433985/pu/img/BLbI7sTMAVVWOb9h.jpg")</f>
        <v>https://pbs.twimg.com/ext_tw_video_thumb/1299340580011433985/pu/img/BLbI7sTMAVVWOb9h.jpg</v>
      </c>
      <c r="W299" s="86">
        <v>44087.68462962963</v>
      </c>
      <c r="X299" s="90">
        <v>44087</v>
      </c>
      <c r="Y299" s="92" t="s">
        <v>817</v>
      </c>
      <c r="Z299" s="87" t="str">
        <f>HYPERLINK("https://twitter.com/freakinroll/status/1305180910090727425")</f>
        <v>https://twitter.com/freakinroll/status/1305180910090727425</v>
      </c>
      <c r="AA299" s="84"/>
      <c r="AB299" s="84"/>
      <c r="AC299" s="92" t="s">
        <v>1213</v>
      </c>
      <c r="AD299" s="84"/>
      <c r="AE299" s="84" t="b">
        <v>0</v>
      </c>
      <c r="AF299" s="84">
        <v>0</v>
      </c>
      <c r="AG299" s="92" t="s">
        <v>1453</v>
      </c>
      <c r="AH299" s="84" t="b">
        <v>0</v>
      </c>
      <c r="AI299" s="84" t="s">
        <v>1456</v>
      </c>
      <c r="AJ299" s="84"/>
      <c r="AK299" s="92" t="s">
        <v>1453</v>
      </c>
      <c r="AL299" s="84" t="b">
        <v>0</v>
      </c>
      <c r="AM299" s="84">
        <v>76</v>
      </c>
      <c r="AN299" s="92" t="s">
        <v>1418</v>
      </c>
      <c r="AO299" s="84" t="s">
        <v>1464</v>
      </c>
      <c r="AP299" s="84" t="b">
        <v>0</v>
      </c>
      <c r="AQ299" s="92" t="s">
        <v>1418</v>
      </c>
      <c r="AR299" s="84" t="s">
        <v>187</v>
      </c>
      <c r="AS299" s="84">
        <v>0</v>
      </c>
      <c r="AT299" s="84">
        <v>0</v>
      </c>
      <c r="AU299" s="84"/>
      <c r="AV299" s="84"/>
      <c r="AW299" s="84"/>
      <c r="AX299" s="84"/>
      <c r="AY299" s="84"/>
      <c r="AZ299" s="84"/>
      <c r="BA299" s="84"/>
      <c r="BB299" s="84"/>
      <c r="BC299">
        <v>1</v>
      </c>
      <c r="BD299" s="83" t="str">
        <f>REPLACE(INDEX(GroupVertices[Group],MATCH(Edges[[#This Row],[Vertex 1]],GroupVertices[Vertex],0)),1,1,"")</f>
        <v>8</v>
      </c>
      <c r="BE299" s="83" t="str">
        <f>REPLACE(INDEX(GroupVertices[Group],MATCH(Edges[[#This Row],[Vertex 2]],GroupVertices[Vertex],0)),1,1,"")</f>
        <v>8</v>
      </c>
      <c r="BF299" s="49">
        <v>0</v>
      </c>
      <c r="BG299" s="50">
        <v>0</v>
      </c>
      <c r="BH299" s="49">
        <v>0</v>
      </c>
      <c r="BI299" s="50">
        <v>0</v>
      </c>
      <c r="BJ299" s="49">
        <v>0</v>
      </c>
      <c r="BK299" s="50">
        <v>0</v>
      </c>
      <c r="BL299" s="49">
        <v>42</v>
      </c>
      <c r="BM299" s="50">
        <v>100</v>
      </c>
      <c r="BN299" s="49">
        <v>42</v>
      </c>
    </row>
    <row r="300" spans="1:66" ht="15">
      <c r="A300" s="68" t="s">
        <v>364</v>
      </c>
      <c r="B300" s="68" t="s">
        <v>423</v>
      </c>
      <c r="C300" s="69" t="s">
        <v>5208</v>
      </c>
      <c r="D300" s="70">
        <v>1</v>
      </c>
      <c r="E300" s="71" t="s">
        <v>132</v>
      </c>
      <c r="F300" s="72">
        <v>32</v>
      </c>
      <c r="G300" s="69" t="s">
        <v>51</v>
      </c>
      <c r="H300" s="73"/>
      <c r="I300" s="74"/>
      <c r="J300" s="74"/>
      <c r="K300" s="35" t="s">
        <v>65</v>
      </c>
      <c r="L300" s="82">
        <v>300</v>
      </c>
      <c r="M300" s="82"/>
      <c r="N300" s="76"/>
      <c r="O300" s="84" t="s">
        <v>439</v>
      </c>
      <c r="P300" s="86">
        <v>44087.73134259259</v>
      </c>
      <c r="Q300" s="84" t="s">
        <v>494</v>
      </c>
      <c r="R300" s="87" t="str">
        <f>HYPERLINK("https://twitter.com/RadioSilentplay/status/1294087895364636672")</f>
        <v>https://twitter.com/RadioSilentplay/status/1294087895364636672</v>
      </c>
      <c r="S300" s="84" t="s">
        <v>553</v>
      </c>
      <c r="T300" s="84" t="s">
        <v>576</v>
      </c>
      <c r="U300" s="87" t="str">
        <f>HYPERLINK("https://pbs.twimg.com/media/EfYggXsXYAEbRme.jpg")</f>
        <v>https://pbs.twimg.com/media/EfYggXsXYAEbRme.jpg</v>
      </c>
      <c r="V300" s="87" t="str">
        <f>HYPERLINK("https://pbs.twimg.com/media/EfYggXsXYAEbRme.jpg")</f>
        <v>https://pbs.twimg.com/media/EfYggXsXYAEbRme.jpg</v>
      </c>
      <c r="W300" s="86">
        <v>44087.73134259259</v>
      </c>
      <c r="X300" s="90">
        <v>44087</v>
      </c>
      <c r="Y300" s="92" t="s">
        <v>818</v>
      </c>
      <c r="Z300" s="87" t="str">
        <f>HYPERLINK("https://twitter.com/angelstrad95/status/1305197837446250496")</f>
        <v>https://twitter.com/angelstrad95/status/1305197837446250496</v>
      </c>
      <c r="AA300" s="84"/>
      <c r="AB300" s="84"/>
      <c r="AC300" s="92" t="s">
        <v>1214</v>
      </c>
      <c r="AD300" s="84"/>
      <c r="AE300" s="84" t="b">
        <v>0</v>
      </c>
      <c r="AF300" s="84">
        <v>0</v>
      </c>
      <c r="AG300" s="92" t="s">
        <v>1453</v>
      </c>
      <c r="AH300" s="84" t="b">
        <v>1</v>
      </c>
      <c r="AI300" s="84" t="s">
        <v>1456</v>
      </c>
      <c r="AJ300" s="84"/>
      <c r="AK300" s="92" t="s">
        <v>1463</v>
      </c>
      <c r="AL300" s="84" t="b">
        <v>0</v>
      </c>
      <c r="AM300" s="84">
        <v>50</v>
      </c>
      <c r="AN300" s="92" t="s">
        <v>1427</v>
      </c>
      <c r="AO300" s="84" t="s">
        <v>1464</v>
      </c>
      <c r="AP300" s="84" t="b">
        <v>0</v>
      </c>
      <c r="AQ300" s="92" t="s">
        <v>1427</v>
      </c>
      <c r="AR300" s="84" t="s">
        <v>187</v>
      </c>
      <c r="AS300" s="84">
        <v>0</v>
      </c>
      <c r="AT300" s="84">
        <v>0</v>
      </c>
      <c r="AU300" s="84"/>
      <c r="AV300" s="84"/>
      <c r="AW300" s="84"/>
      <c r="AX300" s="84"/>
      <c r="AY300" s="84"/>
      <c r="AZ300" s="84"/>
      <c r="BA300" s="84"/>
      <c r="BB300" s="84"/>
      <c r="BC300">
        <v>1</v>
      </c>
      <c r="BD300" s="83" t="str">
        <f>REPLACE(INDEX(GroupVertices[Group],MATCH(Edges[[#This Row],[Vertex 1]],GroupVertices[Vertex],0)),1,1,"")</f>
        <v>1</v>
      </c>
      <c r="BE300" s="83" t="str">
        <f>REPLACE(INDEX(GroupVertices[Group],MATCH(Edges[[#This Row],[Vertex 2]],GroupVertices[Vertex],0)),1,1,"")</f>
        <v>1</v>
      </c>
      <c r="BF300" s="49">
        <v>0</v>
      </c>
      <c r="BG300" s="50">
        <v>0</v>
      </c>
      <c r="BH300" s="49">
        <v>0</v>
      </c>
      <c r="BI300" s="50">
        <v>0</v>
      </c>
      <c r="BJ300" s="49">
        <v>0</v>
      </c>
      <c r="BK300" s="50">
        <v>0</v>
      </c>
      <c r="BL300" s="49">
        <v>34</v>
      </c>
      <c r="BM300" s="50">
        <v>100</v>
      </c>
      <c r="BN300" s="49">
        <v>34</v>
      </c>
    </row>
    <row r="301" spans="1:66" ht="15">
      <c r="A301" s="68" t="s">
        <v>365</v>
      </c>
      <c r="B301" s="68" t="s">
        <v>365</v>
      </c>
      <c r="C301" s="69" t="s">
        <v>5208</v>
      </c>
      <c r="D301" s="70">
        <v>1</v>
      </c>
      <c r="E301" s="71" t="s">
        <v>132</v>
      </c>
      <c r="F301" s="72">
        <v>32</v>
      </c>
      <c r="G301" s="69" t="s">
        <v>51</v>
      </c>
      <c r="H301" s="73"/>
      <c r="I301" s="74"/>
      <c r="J301" s="74"/>
      <c r="K301" s="35" t="s">
        <v>65</v>
      </c>
      <c r="L301" s="82">
        <v>301</v>
      </c>
      <c r="M301" s="82"/>
      <c r="N301" s="76"/>
      <c r="O301" s="84" t="s">
        <v>187</v>
      </c>
      <c r="P301" s="86">
        <v>44088.02445601852</v>
      </c>
      <c r="Q301" s="84" t="s">
        <v>495</v>
      </c>
      <c r="R301" s="87" t="str">
        <f>HYPERLINK("https://www.coursera.org/share/774b8a0376adbf2630ed059fde6ab0fe")</f>
        <v>https://www.coursera.org/share/774b8a0376adbf2630ed059fde6ab0fe</v>
      </c>
      <c r="S301" s="84" t="s">
        <v>554</v>
      </c>
      <c r="T301" s="84" t="s">
        <v>610</v>
      </c>
      <c r="U301" s="87" t="str">
        <f>HYPERLINK("https://pbs.twimg.com/media/Eh1e9sBWoAI3hJb.jpg")</f>
        <v>https://pbs.twimg.com/media/Eh1e9sBWoAI3hJb.jpg</v>
      </c>
      <c r="V301" s="87" t="str">
        <f>HYPERLINK("https://pbs.twimg.com/media/Eh1e9sBWoAI3hJb.jpg")</f>
        <v>https://pbs.twimg.com/media/Eh1e9sBWoAI3hJb.jpg</v>
      </c>
      <c r="W301" s="86">
        <v>44088.02445601852</v>
      </c>
      <c r="X301" s="90">
        <v>44088</v>
      </c>
      <c r="Y301" s="92" t="s">
        <v>819</v>
      </c>
      <c r="Z301" s="87" t="str">
        <f>HYPERLINK("https://twitter.com/gryhkn/status/1305304056961871873")</f>
        <v>https://twitter.com/gryhkn/status/1305304056961871873</v>
      </c>
      <c r="AA301" s="84"/>
      <c r="AB301" s="84"/>
      <c r="AC301" s="92" t="s">
        <v>1215</v>
      </c>
      <c r="AD301" s="84"/>
      <c r="AE301" s="84" t="b">
        <v>0</v>
      </c>
      <c r="AF301" s="84">
        <v>5</v>
      </c>
      <c r="AG301" s="92" t="s">
        <v>1453</v>
      </c>
      <c r="AH301" s="84" t="b">
        <v>0</v>
      </c>
      <c r="AI301" s="84" t="s">
        <v>1456</v>
      </c>
      <c r="AJ301" s="84"/>
      <c r="AK301" s="92" t="s">
        <v>1453</v>
      </c>
      <c r="AL301" s="84" t="b">
        <v>0</v>
      </c>
      <c r="AM301" s="84">
        <v>2</v>
      </c>
      <c r="AN301" s="92" t="s">
        <v>1453</v>
      </c>
      <c r="AO301" s="84" t="s">
        <v>1465</v>
      </c>
      <c r="AP301" s="84" t="b">
        <v>0</v>
      </c>
      <c r="AQ301" s="92" t="s">
        <v>1215</v>
      </c>
      <c r="AR301" s="84" t="s">
        <v>187</v>
      </c>
      <c r="AS301" s="84">
        <v>0</v>
      </c>
      <c r="AT301" s="84">
        <v>0</v>
      </c>
      <c r="AU301" s="84"/>
      <c r="AV301" s="84"/>
      <c r="AW301" s="84"/>
      <c r="AX301" s="84"/>
      <c r="AY301" s="84"/>
      <c r="AZ301" s="84"/>
      <c r="BA301" s="84"/>
      <c r="BB301" s="84"/>
      <c r="BC301">
        <v>1</v>
      </c>
      <c r="BD301" s="83" t="str">
        <f>REPLACE(INDEX(GroupVertices[Group],MATCH(Edges[[#This Row],[Vertex 1]],GroupVertices[Vertex],0)),1,1,"")</f>
        <v>15</v>
      </c>
      <c r="BE301" s="83" t="str">
        <f>REPLACE(INDEX(GroupVertices[Group],MATCH(Edges[[#This Row],[Vertex 2]],GroupVertices[Vertex],0)),1,1,"")</f>
        <v>15</v>
      </c>
      <c r="BF301" s="49">
        <v>0</v>
      </c>
      <c r="BG301" s="50">
        <v>0</v>
      </c>
      <c r="BH301" s="49">
        <v>0</v>
      </c>
      <c r="BI301" s="50">
        <v>0</v>
      </c>
      <c r="BJ301" s="49">
        <v>0</v>
      </c>
      <c r="BK301" s="50">
        <v>0</v>
      </c>
      <c r="BL301" s="49">
        <v>19</v>
      </c>
      <c r="BM301" s="50">
        <v>100</v>
      </c>
      <c r="BN301" s="49">
        <v>19</v>
      </c>
    </row>
    <row r="302" spans="1:66" ht="15">
      <c r="A302" s="68" t="s">
        <v>366</v>
      </c>
      <c r="B302" s="68" t="s">
        <v>365</v>
      </c>
      <c r="C302" s="69" t="s">
        <v>5208</v>
      </c>
      <c r="D302" s="70">
        <v>1</v>
      </c>
      <c r="E302" s="71" t="s">
        <v>132</v>
      </c>
      <c r="F302" s="72">
        <v>32</v>
      </c>
      <c r="G302" s="69" t="s">
        <v>51</v>
      </c>
      <c r="H302" s="73"/>
      <c r="I302" s="74"/>
      <c r="J302" s="74"/>
      <c r="K302" s="35" t="s">
        <v>65</v>
      </c>
      <c r="L302" s="82">
        <v>302</v>
      </c>
      <c r="M302" s="82"/>
      <c r="N302" s="76"/>
      <c r="O302" s="84" t="s">
        <v>439</v>
      </c>
      <c r="P302" s="86">
        <v>44088.037199074075</v>
      </c>
      <c r="Q302" s="84" t="s">
        <v>495</v>
      </c>
      <c r="R302" s="87" t="str">
        <f>HYPERLINK("https://www.coursera.org/share/774b8a0376adbf2630ed059fde6ab0fe")</f>
        <v>https://www.coursera.org/share/774b8a0376adbf2630ed059fde6ab0fe</v>
      </c>
      <c r="S302" s="84" t="s">
        <v>554</v>
      </c>
      <c r="T302" s="84" t="s">
        <v>611</v>
      </c>
      <c r="U302" s="87" t="str">
        <f>HYPERLINK("https://pbs.twimg.com/media/Eh1e9sBWoAI3hJb.jpg")</f>
        <v>https://pbs.twimg.com/media/Eh1e9sBWoAI3hJb.jpg</v>
      </c>
      <c r="V302" s="87" t="str">
        <f>HYPERLINK("https://pbs.twimg.com/media/Eh1e9sBWoAI3hJb.jpg")</f>
        <v>https://pbs.twimg.com/media/Eh1e9sBWoAI3hJb.jpg</v>
      </c>
      <c r="W302" s="86">
        <v>44088.037199074075</v>
      </c>
      <c r="X302" s="90">
        <v>44088</v>
      </c>
      <c r="Y302" s="92" t="s">
        <v>820</v>
      </c>
      <c r="Z302" s="87" t="str">
        <f>HYPERLINK("https://twitter.com/gdprai/status/1305308678027907074")</f>
        <v>https://twitter.com/gdprai/status/1305308678027907074</v>
      </c>
      <c r="AA302" s="84"/>
      <c r="AB302" s="84"/>
      <c r="AC302" s="92" t="s">
        <v>1216</v>
      </c>
      <c r="AD302" s="84"/>
      <c r="AE302" s="84" t="b">
        <v>0</v>
      </c>
      <c r="AF302" s="84">
        <v>0</v>
      </c>
      <c r="AG302" s="92" t="s">
        <v>1453</v>
      </c>
      <c r="AH302" s="84" t="b">
        <v>0</v>
      </c>
      <c r="AI302" s="84" t="s">
        <v>1456</v>
      </c>
      <c r="AJ302" s="84"/>
      <c r="AK302" s="92" t="s">
        <v>1453</v>
      </c>
      <c r="AL302" s="84" t="b">
        <v>0</v>
      </c>
      <c r="AM302" s="84">
        <v>2</v>
      </c>
      <c r="AN302" s="92" t="s">
        <v>1215</v>
      </c>
      <c r="AO302" s="84" t="s">
        <v>1512</v>
      </c>
      <c r="AP302" s="84" t="b">
        <v>0</v>
      </c>
      <c r="AQ302" s="92" t="s">
        <v>1215</v>
      </c>
      <c r="AR302" s="84" t="s">
        <v>187</v>
      </c>
      <c r="AS302" s="84">
        <v>0</v>
      </c>
      <c r="AT302" s="84">
        <v>0</v>
      </c>
      <c r="AU302" s="84"/>
      <c r="AV302" s="84"/>
      <c r="AW302" s="84"/>
      <c r="AX302" s="84"/>
      <c r="AY302" s="84"/>
      <c r="AZ302" s="84"/>
      <c r="BA302" s="84"/>
      <c r="BB302" s="84"/>
      <c r="BC302">
        <v>1</v>
      </c>
      <c r="BD302" s="83" t="str">
        <f>REPLACE(INDEX(GroupVertices[Group],MATCH(Edges[[#This Row],[Vertex 1]],GroupVertices[Vertex],0)),1,1,"")</f>
        <v>15</v>
      </c>
      <c r="BE302" s="83" t="str">
        <f>REPLACE(INDEX(GroupVertices[Group],MATCH(Edges[[#This Row],[Vertex 2]],GroupVertices[Vertex],0)),1,1,"")</f>
        <v>15</v>
      </c>
      <c r="BF302" s="49">
        <v>0</v>
      </c>
      <c r="BG302" s="50">
        <v>0</v>
      </c>
      <c r="BH302" s="49">
        <v>0</v>
      </c>
      <c r="BI302" s="50">
        <v>0</v>
      </c>
      <c r="BJ302" s="49">
        <v>0</v>
      </c>
      <c r="BK302" s="50">
        <v>0</v>
      </c>
      <c r="BL302" s="49">
        <v>19</v>
      </c>
      <c r="BM302" s="50">
        <v>100</v>
      </c>
      <c r="BN302" s="49">
        <v>19</v>
      </c>
    </row>
    <row r="303" spans="1:66" ht="15">
      <c r="A303" s="68" t="s">
        <v>367</v>
      </c>
      <c r="B303" s="68" t="s">
        <v>409</v>
      </c>
      <c r="C303" s="69" t="s">
        <v>5208</v>
      </c>
      <c r="D303" s="70">
        <v>1</v>
      </c>
      <c r="E303" s="71" t="s">
        <v>132</v>
      </c>
      <c r="F303" s="72">
        <v>32</v>
      </c>
      <c r="G303" s="69" t="s">
        <v>51</v>
      </c>
      <c r="H303" s="73"/>
      <c r="I303" s="74"/>
      <c r="J303" s="74"/>
      <c r="K303" s="35" t="s">
        <v>65</v>
      </c>
      <c r="L303" s="82">
        <v>303</v>
      </c>
      <c r="M303" s="82"/>
      <c r="N303" s="76"/>
      <c r="O303" s="84" t="s">
        <v>440</v>
      </c>
      <c r="P303" s="86">
        <v>44088.152025462965</v>
      </c>
      <c r="Q303" s="84" t="s">
        <v>496</v>
      </c>
      <c r="R303" s="84"/>
      <c r="S303" s="84"/>
      <c r="T303" s="84" t="s">
        <v>612</v>
      </c>
      <c r="U303" s="87" t="str">
        <f>HYPERLINK("https://pbs.twimg.com/media/Eh2I9QHWAAA-8vh.png")</f>
        <v>https://pbs.twimg.com/media/Eh2I9QHWAAA-8vh.png</v>
      </c>
      <c r="V303" s="87" t="str">
        <f>HYPERLINK("https://pbs.twimg.com/media/Eh2I9QHWAAA-8vh.png")</f>
        <v>https://pbs.twimg.com/media/Eh2I9QHWAAA-8vh.png</v>
      </c>
      <c r="W303" s="86">
        <v>44088.152025462965</v>
      </c>
      <c r="X303" s="90">
        <v>44088</v>
      </c>
      <c r="Y303" s="92" t="s">
        <v>821</v>
      </c>
      <c r="Z303" s="87" t="str">
        <f>HYPERLINK("https://twitter.com/robotproud/status/1305350286647726085")</f>
        <v>https://twitter.com/robotproud/status/1305350286647726085</v>
      </c>
      <c r="AA303" s="84"/>
      <c r="AB303" s="84"/>
      <c r="AC303" s="92" t="s">
        <v>1217</v>
      </c>
      <c r="AD303" s="84"/>
      <c r="AE303" s="84" t="b">
        <v>0</v>
      </c>
      <c r="AF303" s="84">
        <v>0</v>
      </c>
      <c r="AG303" s="92" t="s">
        <v>1453</v>
      </c>
      <c r="AH303" s="84" t="b">
        <v>0</v>
      </c>
      <c r="AI303" s="84" t="s">
        <v>1456</v>
      </c>
      <c r="AJ303" s="84"/>
      <c r="AK303" s="92" t="s">
        <v>1453</v>
      </c>
      <c r="AL303" s="84" t="b">
        <v>0</v>
      </c>
      <c r="AM303" s="84">
        <v>15</v>
      </c>
      <c r="AN303" s="92" t="s">
        <v>1360</v>
      </c>
      <c r="AO303" s="84" t="s">
        <v>1513</v>
      </c>
      <c r="AP303" s="84" t="b">
        <v>0</v>
      </c>
      <c r="AQ303" s="92" t="s">
        <v>1360</v>
      </c>
      <c r="AR303" s="84" t="s">
        <v>187</v>
      </c>
      <c r="AS303" s="84">
        <v>0</v>
      </c>
      <c r="AT303" s="84">
        <v>0</v>
      </c>
      <c r="AU303" s="84"/>
      <c r="AV303" s="84"/>
      <c r="AW303" s="84"/>
      <c r="AX303" s="84"/>
      <c r="AY303" s="84"/>
      <c r="AZ303" s="84"/>
      <c r="BA303" s="84"/>
      <c r="BB303" s="84"/>
      <c r="BC303">
        <v>1</v>
      </c>
      <c r="BD303" s="83" t="str">
        <f>REPLACE(INDEX(GroupVertices[Group],MATCH(Edges[[#This Row],[Vertex 1]],GroupVertices[Vertex],0)),1,1,"")</f>
        <v>1</v>
      </c>
      <c r="BE303" s="83" t="str">
        <f>REPLACE(INDEX(GroupVertices[Group],MATCH(Edges[[#This Row],[Vertex 2]],GroupVertices[Vertex],0)),1,1,"")</f>
        <v>1</v>
      </c>
      <c r="BF303" s="49"/>
      <c r="BG303" s="50"/>
      <c r="BH303" s="49"/>
      <c r="BI303" s="50"/>
      <c r="BJ303" s="49"/>
      <c r="BK303" s="50"/>
      <c r="BL303" s="49"/>
      <c r="BM303" s="50"/>
      <c r="BN303" s="49"/>
    </row>
    <row r="304" spans="1:66" ht="15">
      <c r="A304" s="68" t="s">
        <v>367</v>
      </c>
      <c r="B304" s="68" t="s">
        <v>408</v>
      </c>
      <c r="C304" s="69" t="s">
        <v>5208</v>
      </c>
      <c r="D304" s="70">
        <v>1</v>
      </c>
      <c r="E304" s="71" t="s">
        <v>132</v>
      </c>
      <c r="F304" s="72">
        <v>32</v>
      </c>
      <c r="G304" s="69" t="s">
        <v>51</v>
      </c>
      <c r="H304" s="73"/>
      <c r="I304" s="74"/>
      <c r="J304" s="74"/>
      <c r="K304" s="35" t="s">
        <v>65</v>
      </c>
      <c r="L304" s="82">
        <v>304</v>
      </c>
      <c r="M304" s="82"/>
      <c r="N304" s="76"/>
      <c r="O304" s="84" t="s">
        <v>439</v>
      </c>
      <c r="P304" s="86">
        <v>44088.152025462965</v>
      </c>
      <c r="Q304" s="84" t="s">
        <v>496</v>
      </c>
      <c r="R304" s="84"/>
      <c r="S304" s="84"/>
      <c r="T304" s="84" t="s">
        <v>612</v>
      </c>
      <c r="U304" s="87" t="str">
        <f>HYPERLINK("https://pbs.twimg.com/media/Eh2I9QHWAAA-8vh.png")</f>
        <v>https://pbs.twimg.com/media/Eh2I9QHWAAA-8vh.png</v>
      </c>
      <c r="V304" s="87" t="str">
        <f>HYPERLINK("https://pbs.twimg.com/media/Eh2I9QHWAAA-8vh.png")</f>
        <v>https://pbs.twimg.com/media/Eh2I9QHWAAA-8vh.png</v>
      </c>
      <c r="W304" s="86">
        <v>44088.152025462965</v>
      </c>
      <c r="X304" s="90">
        <v>44088</v>
      </c>
      <c r="Y304" s="92" t="s">
        <v>821</v>
      </c>
      <c r="Z304" s="87" t="str">
        <f>HYPERLINK("https://twitter.com/robotproud/status/1305350286647726085")</f>
        <v>https://twitter.com/robotproud/status/1305350286647726085</v>
      </c>
      <c r="AA304" s="84"/>
      <c r="AB304" s="84"/>
      <c r="AC304" s="92" t="s">
        <v>1217</v>
      </c>
      <c r="AD304" s="84"/>
      <c r="AE304" s="84" t="b">
        <v>0</v>
      </c>
      <c r="AF304" s="84">
        <v>0</v>
      </c>
      <c r="AG304" s="92" t="s">
        <v>1453</v>
      </c>
      <c r="AH304" s="84" t="b">
        <v>0</v>
      </c>
      <c r="AI304" s="84" t="s">
        <v>1456</v>
      </c>
      <c r="AJ304" s="84"/>
      <c r="AK304" s="92" t="s">
        <v>1453</v>
      </c>
      <c r="AL304" s="84" t="b">
        <v>0</v>
      </c>
      <c r="AM304" s="84">
        <v>15</v>
      </c>
      <c r="AN304" s="92" t="s">
        <v>1360</v>
      </c>
      <c r="AO304" s="84" t="s">
        <v>1513</v>
      </c>
      <c r="AP304" s="84" t="b">
        <v>0</v>
      </c>
      <c r="AQ304" s="92" t="s">
        <v>1360</v>
      </c>
      <c r="AR304" s="84" t="s">
        <v>187</v>
      </c>
      <c r="AS304" s="84">
        <v>0</v>
      </c>
      <c r="AT304" s="84">
        <v>0</v>
      </c>
      <c r="AU304" s="84"/>
      <c r="AV304" s="84"/>
      <c r="AW304" s="84"/>
      <c r="AX304" s="84"/>
      <c r="AY304" s="84"/>
      <c r="AZ304" s="84"/>
      <c r="BA304" s="84"/>
      <c r="BB304" s="84"/>
      <c r="BC304">
        <v>1</v>
      </c>
      <c r="BD304" s="83" t="str">
        <f>REPLACE(INDEX(GroupVertices[Group],MATCH(Edges[[#This Row],[Vertex 1]],GroupVertices[Vertex],0)),1,1,"")</f>
        <v>1</v>
      </c>
      <c r="BE304" s="83" t="str">
        <f>REPLACE(INDEX(GroupVertices[Group],MATCH(Edges[[#This Row],[Vertex 2]],GroupVertices[Vertex],0)),1,1,"")</f>
        <v>1</v>
      </c>
      <c r="BF304" s="49">
        <v>0</v>
      </c>
      <c r="BG304" s="50">
        <v>0</v>
      </c>
      <c r="BH304" s="49">
        <v>0</v>
      </c>
      <c r="BI304" s="50">
        <v>0</v>
      </c>
      <c r="BJ304" s="49">
        <v>0</v>
      </c>
      <c r="BK304" s="50">
        <v>0</v>
      </c>
      <c r="BL304" s="49">
        <v>32</v>
      </c>
      <c r="BM304" s="50">
        <v>100</v>
      </c>
      <c r="BN304" s="49">
        <v>32</v>
      </c>
    </row>
    <row r="305" spans="1:66" ht="15">
      <c r="A305" s="68" t="s">
        <v>368</v>
      </c>
      <c r="B305" s="68" t="s">
        <v>409</v>
      </c>
      <c r="C305" s="69" t="s">
        <v>5208</v>
      </c>
      <c r="D305" s="70">
        <v>1</v>
      </c>
      <c r="E305" s="71" t="s">
        <v>132</v>
      </c>
      <c r="F305" s="72">
        <v>32</v>
      </c>
      <c r="G305" s="69" t="s">
        <v>51</v>
      </c>
      <c r="H305" s="73"/>
      <c r="I305" s="74"/>
      <c r="J305" s="74"/>
      <c r="K305" s="35" t="s">
        <v>65</v>
      </c>
      <c r="L305" s="82">
        <v>305</v>
      </c>
      <c r="M305" s="82"/>
      <c r="N305" s="76"/>
      <c r="O305" s="84" t="s">
        <v>440</v>
      </c>
      <c r="P305" s="86">
        <v>44088.152025462965</v>
      </c>
      <c r="Q305" s="84" t="s">
        <v>496</v>
      </c>
      <c r="R305" s="84"/>
      <c r="S305" s="84"/>
      <c r="T305" s="84" t="s">
        <v>612</v>
      </c>
      <c r="U305" s="87" t="str">
        <f>HYPERLINK("https://pbs.twimg.com/media/Eh2I9QHWAAA-8vh.png")</f>
        <v>https://pbs.twimg.com/media/Eh2I9QHWAAA-8vh.png</v>
      </c>
      <c r="V305" s="87" t="str">
        <f>HYPERLINK("https://pbs.twimg.com/media/Eh2I9QHWAAA-8vh.png")</f>
        <v>https://pbs.twimg.com/media/Eh2I9QHWAAA-8vh.png</v>
      </c>
      <c r="W305" s="86">
        <v>44088.152025462965</v>
      </c>
      <c r="X305" s="90">
        <v>44088</v>
      </c>
      <c r="Y305" s="92" t="s">
        <v>821</v>
      </c>
      <c r="Z305" s="87" t="str">
        <f>HYPERLINK("https://twitter.com/100xcode/status/1305350286672908290")</f>
        <v>https://twitter.com/100xcode/status/1305350286672908290</v>
      </c>
      <c r="AA305" s="84"/>
      <c r="AB305" s="84"/>
      <c r="AC305" s="92" t="s">
        <v>1218</v>
      </c>
      <c r="AD305" s="84"/>
      <c r="AE305" s="84" t="b">
        <v>0</v>
      </c>
      <c r="AF305" s="84">
        <v>0</v>
      </c>
      <c r="AG305" s="92" t="s">
        <v>1453</v>
      </c>
      <c r="AH305" s="84" t="b">
        <v>0</v>
      </c>
      <c r="AI305" s="84" t="s">
        <v>1456</v>
      </c>
      <c r="AJ305" s="84"/>
      <c r="AK305" s="92" t="s">
        <v>1453</v>
      </c>
      <c r="AL305" s="84" t="b">
        <v>0</v>
      </c>
      <c r="AM305" s="84">
        <v>15</v>
      </c>
      <c r="AN305" s="92" t="s">
        <v>1360</v>
      </c>
      <c r="AO305" s="84" t="s">
        <v>1514</v>
      </c>
      <c r="AP305" s="84" t="b">
        <v>0</v>
      </c>
      <c r="AQ305" s="92" t="s">
        <v>1360</v>
      </c>
      <c r="AR305" s="84" t="s">
        <v>187</v>
      </c>
      <c r="AS305" s="84">
        <v>0</v>
      </c>
      <c r="AT305" s="84">
        <v>0</v>
      </c>
      <c r="AU305" s="84"/>
      <c r="AV305" s="84"/>
      <c r="AW305" s="84"/>
      <c r="AX305" s="84"/>
      <c r="AY305" s="84"/>
      <c r="AZ305" s="84"/>
      <c r="BA305" s="84"/>
      <c r="BB305" s="84"/>
      <c r="BC305">
        <v>1</v>
      </c>
      <c r="BD305" s="83" t="str">
        <f>REPLACE(INDEX(GroupVertices[Group],MATCH(Edges[[#This Row],[Vertex 1]],GroupVertices[Vertex],0)),1,1,"")</f>
        <v>1</v>
      </c>
      <c r="BE305" s="83" t="str">
        <f>REPLACE(INDEX(GroupVertices[Group],MATCH(Edges[[#This Row],[Vertex 2]],GroupVertices[Vertex],0)),1,1,"")</f>
        <v>1</v>
      </c>
      <c r="BF305" s="49"/>
      <c r="BG305" s="50"/>
      <c r="BH305" s="49"/>
      <c r="BI305" s="50"/>
      <c r="BJ305" s="49"/>
      <c r="BK305" s="50"/>
      <c r="BL305" s="49"/>
      <c r="BM305" s="50"/>
      <c r="BN305" s="49"/>
    </row>
    <row r="306" spans="1:66" ht="15">
      <c r="A306" s="68" t="s">
        <v>368</v>
      </c>
      <c r="B306" s="68" t="s">
        <v>408</v>
      </c>
      <c r="C306" s="69" t="s">
        <v>5208</v>
      </c>
      <c r="D306" s="70">
        <v>1</v>
      </c>
      <c r="E306" s="71" t="s">
        <v>132</v>
      </c>
      <c r="F306" s="72">
        <v>32</v>
      </c>
      <c r="G306" s="69" t="s">
        <v>51</v>
      </c>
      <c r="H306" s="73"/>
      <c r="I306" s="74"/>
      <c r="J306" s="74"/>
      <c r="K306" s="35" t="s">
        <v>65</v>
      </c>
      <c r="L306" s="82">
        <v>306</v>
      </c>
      <c r="M306" s="82"/>
      <c r="N306" s="76"/>
      <c r="O306" s="84" t="s">
        <v>439</v>
      </c>
      <c r="P306" s="86">
        <v>44088.152025462965</v>
      </c>
      <c r="Q306" s="84" t="s">
        <v>496</v>
      </c>
      <c r="R306" s="84"/>
      <c r="S306" s="84"/>
      <c r="T306" s="84" t="s">
        <v>612</v>
      </c>
      <c r="U306" s="87" t="str">
        <f>HYPERLINK("https://pbs.twimg.com/media/Eh2I9QHWAAA-8vh.png")</f>
        <v>https://pbs.twimg.com/media/Eh2I9QHWAAA-8vh.png</v>
      </c>
      <c r="V306" s="87" t="str">
        <f>HYPERLINK("https://pbs.twimg.com/media/Eh2I9QHWAAA-8vh.png")</f>
        <v>https://pbs.twimg.com/media/Eh2I9QHWAAA-8vh.png</v>
      </c>
      <c r="W306" s="86">
        <v>44088.152025462965</v>
      </c>
      <c r="X306" s="90">
        <v>44088</v>
      </c>
      <c r="Y306" s="92" t="s">
        <v>821</v>
      </c>
      <c r="Z306" s="87" t="str">
        <f>HYPERLINK("https://twitter.com/100xcode/status/1305350286672908290")</f>
        <v>https://twitter.com/100xcode/status/1305350286672908290</v>
      </c>
      <c r="AA306" s="84"/>
      <c r="AB306" s="84"/>
      <c r="AC306" s="92" t="s">
        <v>1218</v>
      </c>
      <c r="AD306" s="84"/>
      <c r="AE306" s="84" t="b">
        <v>0</v>
      </c>
      <c r="AF306" s="84">
        <v>0</v>
      </c>
      <c r="AG306" s="92" t="s">
        <v>1453</v>
      </c>
      <c r="AH306" s="84" t="b">
        <v>0</v>
      </c>
      <c r="AI306" s="84" t="s">
        <v>1456</v>
      </c>
      <c r="AJ306" s="84"/>
      <c r="AK306" s="92" t="s">
        <v>1453</v>
      </c>
      <c r="AL306" s="84" t="b">
        <v>0</v>
      </c>
      <c r="AM306" s="84">
        <v>15</v>
      </c>
      <c r="AN306" s="92" t="s">
        <v>1360</v>
      </c>
      <c r="AO306" s="84" t="s">
        <v>1514</v>
      </c>
      <c r="AP306" s="84" t="b">
        <v>0</v>
      </c>
      <c r="AQ306" s="92" t="s">
        <v>1360</v>
      </c>
      <c r="AR306" s="84" t="s">
        <v>187</v>
      </c>
      <c r="AS306" s="84">
        <v>0</v>
      </c>
      <c r="AT306" s="84">
        <v>0</v>
      </c>
      <c r="AU306" s="84"/>
      <c r="AV306" s="84"/>
      <c r="AW306" s="84"/>
      <c r="AX306" s="84"/>
      <c r="AY306" s="84"/>
      <c r="AZ306" s="84"/>
      <c r="BA306" s="84"/>
      <c r="BB306" s="84"/>
      <c r="BC306">
        <v>1</v>
      </c>
      <c r="BD306" s="83" t="str">
        <f>REPLACE(INDEX(GroupVertices[Group],MATCH(Edges[[#This Row],[Vertex 1]],GroupVertices[Vertex],0)),1,1,"")</f>
        <v>1</v>
      </c>
      <c r="BE306" s="83" t="str">
        <f>REPLACE(INDEX(GroupVertices[Group],MATCH(Edges[[#This Row],[Vertex 2]],GroupVertices[Vertex],0)),1,1,"")</f>
        <v>1</v>
      </c>
      <c r="BF306" s="49">
        <v>0</v>
      </c>
      <c r="BG306" s="50">
        <v>0</v>
      </c>
      <c r="BH306" s="49">
        <v>0</v>
      </c>
      <c r="BI306" s="50">
        <v>0</v>
      </c>
      <c r="BJ306" s="49">
        <v>0</v>
      </c>
      <c r="BK306" s="50">
        <v>0</v>
      </c>
      <c r="BL306" s="49">
        <v>32</v>
      </c>
      <c r="BM306" s="50">
        <v>100</v>
      </c>
      <c r="BN306" s="49">
        <v>32</v>
      </c>
    </row>
    <row r="307" spans="1:66" ht="15">
      <c r="A307" s="68" t="s">
        <v>369</v>
      </c>
      <c r="B307" s="68" t="s">
        <v>369</v>
      </c>
      <c r="C307" s="69" t="s">
        <v>5208</v>
      </c>
      <c r="D307" s="70">
        <v>1</v>
      </c>
      <c r="E307" s="71" t="s">
        <v>132</v>
      </c>
      <c r="F307" s="72">
        <v>32</v>
      </c>
      <c r="G307" s="69" t="s">
        <v>51</v>
      </c>
      <c r="H307" s="73"/>
      <c r="I307" s="74"/>
      <c r="J307" s="74"/>
      <c r="K307" s="35" t="s">
        <v>65</v>
      </c>
      <c r="L307" s="82">
        <v>307</v>
      </c>
      <c r="M307" s="82"/>
      <c r="N307" s="76"/>
      <c r="O307" s="84" t="s">
        <v>187</v>
      </c>
      <c r="P307" s="86">
        <v>44088.30979166667</v>
      </c>
      <c r="Q307" s="84" t="s">
        <v>497</v>
      </c>
      <c r="R307" s="87" t="str">
        <f>HYPERLINK("https://www.sufle.io/blog/sufle-sponsors-pycon-2020")</f>
        <v>https://www.sufle.io/blog/sufle-sponsors-pycon-2020</v>
      </c>
      <c r="S307" s="84" t="s">
        <v>555</v>
      </c>
      <c r="T307" s="84" t="s">
        <v>613</v>
      </c>
      <c r="U307" s="84"/>
      <c r="V307" s="87" t="str">
        <f>HYPERLINK("http://pbs.twimg.com/profile_images/1282626018541555713/uG5dBKdn_normal.jpg")</f>
        <v>http://pbs.twimg.com/profile_images/1282626018541555713/uG5dBKdn_normal.jpg</v>
      </c>
      <c r="W307" s="86">
        <v>44088.30979166667</v>
      </c>
      <c r="X307" s="90">
        <v>44088</v>
      </c>
      <c r="Y307" s="92" t="s">
        <v>822</v>
      </c>
      <c r="Z307" s="87" t="str">
        <f>HYPERLINK("https://twitter.com/sufleio/status/1305407459461345281")</f>
        <v>https://twitter.com/sufleio/status/1305407459461345281</v>
      </c>
      <c r="AA307" s="84"/>
      <c r="AB307" s="84"/>
      <c r="AC307" s="92" t="s">
        <v>1219</v>
      </c>
      <c r="AD307" s="84"/>
      <c r="AE307" s="84" t="b">
        <v>0</v>
      </c>
      <c r="AF307" s="84">
        <v>1</v>
      </c>
      <c r="AG307" s="92" t="s">
        <v>1453</v>
      </c>
      <c r="AH307" s="84" t="b">
        <v>0</v>
      </c>
      <c r="AI307" s="84" t="s">
        <v>1456</v>
      </c>
      <c r="AJ307" s="84"/>
      <c r="AK307" s="92" t="s">
        <v>1453</v>
      </c>
      <c r="AL307" s="84" t="b">
        <v>0</v>
      </c>
      <c r="AM307" s="84">
        <v>1</v>
      </c>
      <c r="AN307" s="92" t="s">
        <v>1453</v>
      </c>
      <c r="AO307" s="84" t="s">
        <v>1465</v>
      </c>
      <c r="AP307" s="84" t="b">
        <v>0</v>
      </c>
      <c r="AQ307" s="92" t="s">
        <v>1219</v>
      </c>
      <c r="AR307" s="84" t="s">
        <v>187</v>
      </c>
      <c r="AS307" s="84">
        <v>0</v>
      </c>
      <c r="AT307" s="84">
        <v>0</v>
      </c>
      <c r="AU307" s="84"/>
      <c r="AV307" s="84"/>
      <c r="AW307" s="84"/>
      <c r="AX307" s="84"/>
      <c r="AY307" s="84"/>
      <c r="AZ307" s="84"/>
      <c r="BA307" s="84"/>
      <c r="BB307" s="84"/>
      <c r="BC307">
        <v>1</v>
      </c>
      <c r="BD307" s="83" t="str">
        <f>REPLACE(INDEX(GroupVertices[Group],MATCH(Edges[[#This Row],[Vertex 1]],GroupVertices[Vertex],0)),1,1,"")</f>
        <v>14</v>
      </c>
      <c r="BE307" s="83" t="str">
        <f>REPLACE(INDEX(GroupVertices[Group],MATCH(Edges[[#This Row],[Vertex 2]],GroupVertices[Vertex],0)),1,1,"")</f>
        <v>14</v>
      </c>
      <c r="BF307" s="49">
        <v>0</v>
      </c>
      <c r="BG307" s="50">
        <v>0</v>
      </c>
      <c r="BH307" s="49">
        <v>0</v>
      </c>
      <c r="BI307" s="50">
        <v>0</v>
      </c>
      <c r="BJ307" s="49">
        <v>0</v>
      </c>
      <c r="BK307" s="50">
        <v>0</v>
      </c>
      <c r="BL307" s="49">
        <v>43</v>
      </c>
      <c r="BM307" s="50">
        <v>100</v>
      </c>
      <c r="BN307" s="49">
        <v>43</v>
      </c>
    </row>
    <row r="308" spans="1:66" ht="15">
      <c r="A308" s="68" t="s">
        <v>370</v>
      </c>
      <c r="B308" s="68" t="s">
        <v>369</v>
      </c>
      <c r="C308" s="69" t="s">
        <v>5208</v>
      </c>
      <c r="D308" s="70">
        <v>1</v>
      </c>
      <c r="E308" s="71" t="s">
        <v>132</v>
      </c>
      <c r="F308" s="72">
        <v>32</v>
      </c>
      <c r="G308" s="69" t="s">
        <v>51</v>
      </c>
      <c r="H308" s="73"/>
      <c r="I308" s="74"/>
      <c r="J308" s="74"/>
      <c r="K308" s="35" t="s">
        <v>65</v>
      </c>
      <c r="L308" s="82">
        <v>308</v>
      </c>
      <c r="M308" s="82"/>
      <c r="N308" s="76"/>
      <c r="O308" s="84" t="s">
        <v>439</v>
      </c>
      <c r="P308" s="86">
        <v>44088.37563657408</v>
      </c>
      <c r="Q308" s="84" t="s">
        <v>497</v>
      </c>
      <c r="R308" s="87" t="str">
        <f>HYPERLINK("https://www.sufle.io/blog/sufle-sponsors-pycon-2020")</f>
        <v>https://www.sufle.io/blog/sufle-sponsors-pycon-2020</v>
      </c>
      <c r="S308" s="84" t="s">
        <v>555</v>
      </c>
      <c r="T308" s="84" t="s">
        <v>613</v>
      </c>
      <c r="U308" s="84"/>
      <c r="V308" s="87" t="str">
        <f>HYPERLINK("http://pbs.twimg.com/profile_images/998576678304600066/5TkTMMmp_normal.jpg")</f>
        <v>http://pbs.twimg.com/profile_images/998576678304600066/5TkTMMmp_normal.jpg</v>
      </c>
      <c r="W308" s="86">
        <v>44088.37563657408</v>
      </c>
      <c r="X308" s="90">
        <v>44088</v>
      </c>
      <c r="Y308" s="92" t="s">
        <v>823</v>
      </c>
      <c r="Z308" s="87" t="str">
        <f>HYPERLINK("https://twitter.com/duruldoktoroglu/status/1305431320689078272")</f>
        <v>https://twitter.com/duruldoktoroglu/status/1305431320689078272</v>
      </c>
      <c r="AA308" s="84"/>
      <c r="AB308" s="84"/>
      <c r="AC308" s="92" t="s">
        <v>1220</v>
      </c>
      <c r="AD308" s="84"/>
      <c r="AE308" s="84" t="b">
        <v>0</v>
      </c>
      <c r="AF308" s="84">
        <v>0</v>
      </c>
      <c r="AG308" s="92" t="s">
        <v>1453</v>
      </c>
      <c r="AH308" s="84" t="b">
        <v>0</v>
      </c>
      <c r="AI308" s="84" t="s">
        <v>1456</v>
      </c>
      <c r="AJ308" s="84"/>
      <c r="AK308" s="92" t="s">
        <v>1453</v>
      </c>
      <c r="AL308" s="84" t="b">
        <v>0</v>
      </c>
      <c r="AM308" s="84">
        <v>1</v>
      </c>
      <c r="AN308" s="92" t="s">
        <v>1219</v>
      </c>
      <c r="AO308" s="84" t="s">
        <v>1467</v>
      </c>
      <c r="AP308" s="84" t="b">
        <v>0</v>
      </c>
      <c r="AQ308" s="92" t="s">
        <v>1219</v>
      </c>
      <c r="AR308" s="84" t="s">
        <v>187</v>
      </c>
      <c r="AS308" s="84">
        <v>0</v>
      </c>
      <c r="AT308" s="84">
        <v>0</v>
      </c>
      <c r="AU308" s="84"/>
      <c r="AV308" s="84"/>
      <c r="AW308" s="84"/>
      <c r="AX308" s="84"/>
      <c r="AY308" s="84"/>
      <c r="AZ308" s="84"/>
      <c r="BA308" s="84"/>
      <c r="BB308" s="84"/>
      <c r="BC308">
        <v>1</v>
      </c>
      <c r="BD308" s="83" t="str">
        <f>REPLACE(INDEX(GroupVertices[Group],MATCH(Edges[[#This Row],[Vertex 1]],GroupVertices[Vertex],0)),1,1,"")</f>
        <v>14</v>
      </c>
      <c r="BE308" s="83" t="str">
        <f>REPLACE(INDEX(GroupVertices[Group],MATCH(Edges[[#This Row],[Vertex 2]],GroupVertices[Vertex],0)),1,1,"")</f>
        <v>14</v>
      </c>
      <c r="BF308" s="49">
        <v>0</v>
      </c>
      <c r="BG308" s="50">
        <v>0</v>
      </c>
      <c r="BH308" s="49">
        <v>0</v>
      </c>
      <c r="BI308" s="50">
        <v>0</v>
      </c>
      <c r="BJ308" s="49">
        <v>0</v>
      </c>
      <c r="BK308" s="50">
        <v>0</v>
      </c>
      <c r="BL308" s="49">
        <v>43</v>
      </c>
      <c r="BM308" s="50">
        <v>100</v>
      </c>
      <c r="BN308" s="49">
        <v>43</v>
      </c>
    </row>
    <row r="309" spans="1:66" ht="15">
      <c r="A309" s="68" t="s">
        <v>371</v>
      </c>
      <c r="B309" s="68" t="s">
        <v>417</v>
      </c>
      <c r="C309" s="69" t="s">
        <v>5208</v>
      </c>
      <c r="D309" s="70">
        <v>1</v>
      </c>
      <c r="E309" s="71" t="s">
        <v>132</v>
      </c>
      <c r="F309" s="72">
        <v>32</v>
      </c>
      <c r="G309" s="69" t="s">
        <v>51</v>
      </c>
      <c r="H309" s="73"/>
      <c r="I309" s="74"/>
      <c r="J309" s="74"/>
      <c r="K309" s="35" t="s">
        <v>65</v>
      </c>
      <c r="L309" s="82">
        <v>309</v>
      </c>
      <c r="M309" s="82"/>
      <c r="N309" s="76"/>
      <c r="O309" s="84" t="s">
        <v>439</v>
      </c>
      <c r="P309" s="86">
        <v>44081.94189814815</v>
      </c>
      <c r="Q309" s="84" t="s">
        <v>450</v>
      </c>
      <c r="R309"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309" s="84" t="s">
        <v>533</v>
      </c>
      <c r="T309" s="84"/>
      <c r="U309" s="84"/>
      <c r="V309" s="87" t="str">
        <f>HYPERLINK("http://pbs.twimg.com/profile_images/1174224891240951810/m3vm6Ih0_normal.jpg")</f>
        <v>http://pbs.twimg.com/profile_images/1174224891240951810/m3vm6Ih0_normal.jpg</v>
      </c>
      <c r="W309" s="86">
        <v>44081.94189814815</v>
      </c>
      <c r="X309" s="90">
        <v>44081</v>
      </c>
      <c r="Y309" s="92" t="s">
        <v>824</v>
      </c>
      <c r="Z309" s="87" t="str">
        <f>HYPERLINK("https://twitter.com/networkindie/status/1303099811588190215")</f>
        <v>https://twitter.com/networkindie/status/1303099811588190215</v>
      </c>
      <c r="AA309" s="84"/>
      <c r="AB309" s="84"/>
      <c r="AC309" s="92" t="s">
        <v>1221</v>
      </c>
      <c r="AD309" s="84"/>
      <c r="AE309" s="84" t="b">
        <v>0</v>
      </c>
      <c r="AF309" s="84">
        <v>0</v>
      </c>
      <c r="AG309" s="92" t="s">
        <v>1453</v>
      </c>
      <c r="AH309" s="84" t="b">
        <v>0</v>
      </c>
      <c r="AI309" s="84" t="s">
        <v>1456</v>
      </c>
      <c r="AJ309" s="84"/>
      <c r="AK309" s="92" t="s">
        <v>1453</v>
      </c>
      <c r="AL309" s="84" t="b">
        <v>0</v>
      </c>
      <c r="AM309" s="84">
        <v>31</v>
      </c>
      <c r="AN309" s="92" t="s">
        <v>1396</v>
      </c>
      <c r="AO309" s="84" t="s">
        <v>1515</v>
      </c>
      <c r="AP309" s="84" t="b">
        <v>0</v>
      </c>
      <c r="AQ309" s="92" t="s">
        <v>1396</v>
      </c>
      <c r="AR309" s="84" t="s">
        <v>187</v>
      </c>
      <c r="AS309" s="84">
        <v>0</v>
      </c>
      <c r="AT309" s="84">
        <v>0</v>
      </c>
      <c r="AU309" s="84"/>
      <c r="AV309" s="84"/>
      <c r="AW309" s="84"/>
      <c r="AX309" s="84"/>
      <c r="AY309" s="84"/>
      <c r="AZ309" s="84"/>
      <c r="BA309" s="84"/>
      <c r="BB309" s="84"/>
      <c r="BC309">
        <v>1</v>
      </c>
      <c r="BD309" s="83" t="str">
        <f>REPLACE(INDEX(GroupVertices[Group],MATCH(Edges[[#This Row],[Vertex 1]],GroupVertices[Vertex],0)),1,1,"")</f>
        <v>2</v>
      </c>
      <c r="BE309" s="83" t="str">
        <f>REPLACE(INDEX(GroupVertices[Group],MATCH(Edges[[#This Row],[Vertex 2]],GroupVertices[Vertex],0)),1,1,"")</f>
        <v>2</v>
      </c>
      <c r="BF309" s="49">
        <v>0</v>
      </c>
      <c r="BG309" s="50">
        <v>0</v>
      </c>
      <c r="BH309" s="49">
        <v>0</v>
      </c>
      <c r="BI309" s="50">
        <v>0</v>
      </c>
      <c r="BJ309" s="49">
        <v>0</v>
      </c>
      <c r="BK309" s="50">
        <v>0</v>
      </c>
      <c r="BL309" s="49">
        <v>26</v>
      </c>
      <c r="BM309" s="50">
        <v>100</v>
      </c>
      <c r="BN309" s="49">
        <v>26</v>
      </c>
    </row>
    <row r="310" spans="1:66" ht="15">
      <c r="A310" s="68" t="s">
        <v>371</v>
      </c>
      <c r="B310" s="68" t="s">
        <v>378</v>
      </c>
      <c r="C310" s="69" t="s">
        <v>5208</v>
      </c>
      <c r="D310" s="70">
        <v>1</v>
      </c>
      <c r="E310" s="71" t="s">
        <v>132</v>
      </c>
      <c r="F310" s="72">
        <v>32</v>
      </c>
      <c r="G310" s="69" t="s">
        <v>51</v>
      </c>
      <c r="H310" s="73"/>
      <c r="I310" s="74"/>
      <c r="J310" s="74"/>
      <c r="K310" s="35" t="s">
        <v>65</v>
      </c>
      <c r="L310" s="82">
        <v>310</v>
      </c>
      <c r="M310" s="82"/>
      <c r="N310" s="76"/>
      <c r="O310" s="84" t="s">
        <v>439</v>
      </c>
      <c r="P310" s="86">
        <v>44088.404861111114</v>
      </c>
      <c r="Q310" s="84" t="s">
        <v>498</v>
      </c>
      <c r="R310" s="84"/>
      <c r="S310" s="84"/>
      <c r="T310" s="84" t="s">
        <v>614</v>
      </c>
      <c r="U310" s="87" t="str">
        <f>HYPERLINK("https://pbs.twimg.com/ext_tw_video_thumb/1305441750304129024/pu/img/n-R8mmCWf4S5Uvor.jpg")</f>
        <v>https://pbs.twimg.com/ext_tw_video_thumb/1305441750304129024/pu/img/n-R8mmCWf4S5Uvor.jpg</v>
      </c>
      <c r="V310" s="87" t="str">
        <f>HYPERLINK("https://pbs.twimg.com/ext_tw_video_thumb/1305441750304129024/pu/img/n-R8mmCWf4S5Uvor.jpg")</f>
        <v>https://pbs.twimg.com/ext_tw_video_thumb/1305441750304129024/pu/img/n-R8mmCWf4S5Uvor.jpg</v>
      </c>
      <c r="W310" s="86">
        <v>44088.404861111114</v>
      </c>
      <c r="X310" s="90">
        <v>44088</v>
      </c>
      <c r="Y310" s="92" t="s">
        <v>825</v>
      </c>
      <c r="Z310" s="87" t="str">
        <f>HYPERLINK("https://twitter.com/networkindie/status/1305441911302479872")</f>
        <v>https://twitter.com/networkindie/status/1305441911302479872</v>
      </c>
      <c r="AA310" s="84"/>
      <c r="AB310" s="84"/>
      <c r="AC310" s="92" t="s">
        <v>1222</v>
      </c>
      <c r="AD310" s="84"/>
      <c r="AE310" s="84" t="b">
        <v>0</v>
      </c>
      <c r="AF310" s="84">
        <v>0</v>
      </c>
      <c r="AG310" s="92" t="s">
        <v>1453</v>
      </c>
      <c r="AH310" s="84" t="b">
        <v>0</v>
      </c>
      <c r="AI310" s="84" t="s">
        <v>1456</v>
      </c>
      <c r="AJ310" s="84"/>
      <c r="AK310" s="92" t="s">
        <v>1453</v>
      </c>
      <c r="AL310" s="84" t="b">
        <v>0</v>
      </c>
      <c r="AM310" s="84">
        <v>6</v>
      </c>
      <c r="AN310" s="92" t="s">
        <v>1242</v>
      </c>
      <c r="AO310" s="84" t="s">
        <v>1515</v>
      </c>
      <c r="AP310" s="84" t="b">
        <v>0</v>
      </c>
      <c r="AQ310" s="92" t="s">
        <v>1242</v>
      </c>
      <c r="AR310" s="84" t="s">
        <v>187</v>
      </c>
      <c r="AS310" s="84">
        <v>0</v>
      </c>
      <c r="AT310" s="84">
        <v>0</v>
      </c>
      <c r="AU310" s="84"/>
      <c r="AV310" s="84"/>
      <c r="AW310" s="84"/>
      <c r="AX310" s="84"/>
      <c r="AY310" s="84"/>
      <c r="AZ310" s="84"/>
      <c r="BA310" s="84"/>
      <c r="BB310" s="84"/>
      <c r="BC310">
        <v>1</v>
      </c>
      <c r="BD310" s="83" t="str">
        <f>REPLACE(INDEX(GroupVertices[Group],MATCH(Edges[[#This Row],[Vertex 1]],GroupVertices[Vertex],0)),1,1,"")</f>
        <v>2</v>
      </c>
      <c r="BE310" s="83" t="str">
        <f>REPLACE(INDEX(GroupVertices[Group],MATCH(Edges[[#This Row],[Vertex 2]],GroupVertices[Vertex],0)),1,1,"")</f>
        <v>2</v>
      </c>
      <c r="BF310" s="49">
        <v>0</v>
      </c>
      <c r="BG310" s="50">
        <v>0</v>
      </c>
      <c r="BH310" s="49">
        <v>0</v>
      </c>
      <c r="BI310" s="50">
        <v>0</v>
      </c>
      <c r="BJ310" s="49">
        <v>0</v>
      </c>
      <c r="BK310" s="50">
        <v>0</v>
      </c>
      <c r="BL310" s="49">
        <v>49</v>
      </c>
      <c r="BM310" s="50">
        <v>100</v>
      </c>
      <c r="BN310" s="49">
        <v>49</v>
      </c>
    </row>
    <row r="311" spans="1:66" ht="15">
      <c r="A311" s="68" t="s">
        <v>372</v>
      </c>
      <c r="B311" s="68" t="s">
        <v>372</v>
      </c>
      <c r="C311" s="69" t="s">
        <v>5208</v>
      </c>
      <c r="D311" s="70">
        <v>1</v>
      </c>
      <c r="E311" s="71" t="s">
        <v>132</v>
      </c>
      <c r="F311" s="72">
        <v>32</v>
      </c>
      <c r="G311" s="69" t="s">
        <v>51</v>
      </c>
      <c r="H311" s="73"/>
      <c r="I311" s="74"/>
      <c r="J311" s="74"/>
      <c r="K311" s="35" t="s">
        <v>65</v>
      </c>
      <c r="L311" s="82">
        <v>311</v>
      </c>
      <c r="M311" s="82"/>
      <c r="N311" s="76"/>
      <c r="O311" s="84" t="s">
        <v>187</v>
      </c>
      <c r="P311" s="86">
        <v>44082.33804398148</v>
      </c>
      <c r="Q311" s="84" t="s">
        <v>452</v>
      </c>
      <c r="R311" s="84"/>
      <c r="S311" s="84"/>
      <c r="T311" s="84" t="s">
        <v>571</v>
      </c>
      <c r="U311" s="87" t="str">
        <f>HYPERLINK("https://pbs.twimg.com/media/EhYM46pUYAAagXV.jpg")</f>
        <v>https://pbs.twimg.com/media/EhYM46pUYAAagXV.jpg</v>
      </c>
      <c r="V311" s="87" t="str">
        <f>HYPERLINK("https://pbs.twimg.com/media/EhYM46pUYAAagXV.jpg")</f>
        <v>https://pbs.twimg.com/media/EhYM46pUYAAagXV.jpg</v>
      </c>
      <c r="W311" s="86">
        <v>44082.33804398148</v>
      </c>
      <c r="X311" s="90">
        <v>44082</v>
      </c>
      <c r="Y311" s="92" t="s">
        <v>826</v>
      </c>
      <c r="Z311" s="87" t="str">
        <f>HYPERLINK("https://twitter.com/entirelyedu1/status/1303243371545202689")</f>
        <v>https://twitter.com/entirelyedu1/status/1303243371545202689</v>
      </c>
      <c r="AA311" s="84"/>
      <c r="AB311" s="84"/>
      <c r="AC311" s="92" t="s">
        <v>1223</v>
      </c>
      <c r="AD311" s="84"/>
      <c r="AE311" s="84" t="b">
        <v>0</v>
      </c>
      <c r="AF311" s="84">
        <v>1</v>
      </c>
      <c r="AG311" s="92" t="s">
        <v>1453</v>
      </c>
      <c r="AH311" s="84" t="b">
        <v>0</v>
      </c>
      <c r="AI311" s="84" t="s">
        <v>1458</v>
      </c>
      <c r="AJ311" s="84"/>
      <c r="AK311" s="92" t="s">
        <v>1453</v>
      </c>
      <c r="AL311" s="84" t="b">
        <v>0</v>
      </c>
      <c r="AM311" s="84">
        <v>3</v>
      </c>
      <c r="AN311" s="92" t="s">
        <v>1453</v>
      </c>
      <c r="AO311" s="84" t="s">
        <v>1465</v>
      </c>
      <c r="AP311" s="84" t="b">
        <v>0</v>
      </c>
      <c r="AQ311" s="92" t="s">
        <v>1223</v>
      </c>
      <c r="AR311" s="84" t="s">
        <v>187</v>
      </c>
      <c r="AS311" s="84">
        <v>0</v>
      </c>
      <c r="AT311" s="84">
        <v>0</v>
      </c>
      <c r="AU311" s="84"/>
      <c r="AV311" s="84"/>
      <c r="AW311" s="84"/>
      <c r="AX311" s="84"/>
      <c r="AY311" s="84"/>
      <c r="AZ311" s="84"/>
      <c r="BA311" s="84"/>
      <c r="BB311" s="84"/>
      <c r="BC311">
        <v>1</v>
      </c>
      <c r="BD311" s="83" t="str">
        <f>REPLACE(INDEX(GroupVertices[Group],MATCH(Edges[[#This Row],[Vertex 1]],GroupVertices[Vertex],0)),1,1,"")</f>
        <v>2</v>
      </c>
      <c r="BE311" s="83" t="str">
        <f>REPLACE(INDEX(GroupVertices[Group],MATCH(Edges[[#This Row],[Vertex 2]],GroupVertices[Vertex],0)),1,1,"")</f>
        <v>2</v>
      </c>
      <c r="BF311" s="49">
        <v>0</v>
      </c>
      <c r="BG311" s="50">
        <v>0</v>
      </c>
      <c r="BH311" s="49">
        <v>0</v>
      </c>
      <c r="BI311" s="50">
        <v>0</v>
      </c>
      <c r="BJ311" s="49">
        <v>0</v>
      </c>
      <c r="BK311" s="50">
        <v>0</v>
      </c>
      <c r="BL311" s="49">
        <v>30</v>
      </c>
      <c r="BM311" s="50">
        <v>100</v>
      </c>
      <c r="BN311" s="49">
        <v>30</v>
      </c>
    </row>
    <row r="312" spans="1:66" ht="15">
      <c r="A312" s="68" t="s">
        <v>373</v>
      </c>
      <c r="B312" s="68" t="s">
        <v>372</v>
      </c>
      <c r="C312" s="69" t="s">
        <v>5208</v>
      </c>
      <c r="D312" s="70">
        <v>1</v>
      </c>
      <c r="E312" s="71" t="s">
        <v>132</v>
      </c>
      <c r="F312" s="72">
        <v>32</v>
      </c>
      <c r="G312" s="69" t="s">
        <v>51</v>
      </c>
      <c r="H312" s="73"/>
      <c r="I312" s="74"/>
      <c r="J312" s="74"/>
      <c r="K312" s="35" t="s">
        <v>65</v>
      </c>
      <c r="L312" s="82">
        <v>312</v>
      </c>
      <c r="M312" s="82"/>
      <c r="N312" s="76"/>
      <c r="O312" s="84" t="s">
        <v>439</v>
      </c>
      <c r="P312" s="86">
        <v>44082.33835648148</v>
      </c>
      <c r="Q312" s="84" t="s">
        <v>452</v>
      </c>
      <c r="R312" s="84"/>
      <c r="S312" s="84"/>
      <c r="T312" s="84" t="s">
        <v>571</v>
      </c>
      <c r="U312" s="87" t="str">
        <f>HYPERLINK("https://pbs.twimg.com/media/EhYM46pUYAAagXV.jpg")</f>
        <v>https://pbs.twimg.com/media/EhYM46pUYAAagXV.jpg</v>
      </c>
      <c r="V312" s="87" t="str">
        <f>HYPERLINK("https://pbs.twimg.com/media/EhYM46pUYAAagXV.jpg")</f>
        <v>https://pbs.twimg.com/media/EhYM46pUYAAagXV.jpg</v>
      </c>
      <c r="W312" s="86">
        <v>44082.33835648148</v>
      </c>
      <c r="X312" s="90">
        <v>44082</v>
      </c>
      <c r="Y312" s="92" t="s">
        <v>827</v>
      </c>
      <c r="Z312" s="87" t="str">
        <f>HYPERLINK("https://twitter.com/aaroncuddeback/status/1303243485064110080")</f>
        <v>https://twitter.com/aaroncuddeback/status/1303243485064110080</v>
      </c>
      <c r="AA312" s="84"/>
      <c r="AB312" s="84"/>
      <c r="AC312" s="92" t="s">
        <v>1224</v>
      </c>
      <c r="AD312" s="84"/>
      <c r="AE312" s="84" t="b">
        <v>0</v>
      </c>
      <c r="AF312" s="84">
        <v>0</v>
      </c>
      <c r="AG312" s="92" t="s">
        <v>1453</v>
      </c>
      <c r="AH312" s="84" t="b">
        <v>0</v>
      </c>
      <c r="AI312" s="84" t="s">
        <v>1458</v>
      </c>
      <c r="AJ312" s="84"/>
      <c r="AK312" s="92" t="s">
        <v>1453</v>
      </c>
      <c r="AL312" s="84" t="b">
        <v>0</v>
      </c>
      <c r="AM312" s="84">
        <v>3</v>
      </c>
      <c r="AN312" s="92" t="s">
        <v>1223</v>
      </c>
      <c r="AO312" s="84" t="s">
        <v>1516</v>
      </c>
      <c r="AP312" s="84" t="b">
        <v>0</v>
      </c>
      <c r="AQ312" s="92" t="s">
        <v>1223</v>
      </c>
      <c r="AR312" s="84" t="s">
        <v>187</v>
      </c>
      <c r="AS312" s="84">
        <v>0</v>
      </c>
      <c r="AT312" s="84">
        <v>0</v>
      </c>
      <c r="AU312" s="84"/>
      <c r="AV312" s="84"/>
      <c r="AW312" s="84"/>
      <c r="AX312" s="84"/>
      <c r="AY312" s="84"/>
      <c r="AZ312" s="84"/>
      <c r="BA312" s="84"/>
      <c r="BB312" s="84"/>
      <c r="BC312">
        <v>1</v>
      </c>
      <c r="BD312" s="83" t="str">
        <f>REPLACE(INDEX(GroupVertices[Group],MATCH(Edges[[#This Row],[Vertex 1]],GroupVertices[Vertex],0)),1,1,"")</f>
        <v>2</v>
      </c>
      <c r="BE312" s="83" t="str">
        <f>REPLACE(INDEX(GroupVertices[Group],MATCH(Edges[[#This Row],[Vertex 2]],GroupVertices[Vertex],0)),1,1,"")</f>
        <v>2</v>
      </c>
      <c r="BF312" s="49">
        <v>0</v>
      </c>
      <c r="BG312" s="50">
        <v>0</v>
      </c>
      <c r="BH312" s="49">
        <v>0</v>
      </c>
      <c r="BI312" s="50">
        <v>0</v>
      </c>
      <c r="BJ312" s="49">
        <v>0</v>
      </c>
      <c r="BK312" s="50">
        <v>0</v>
      </c>
      <c r="BL312" s="49">
        <v>30</v>
      </c>
      <c r="BM312" s="50">
        <v>100</v>
      </c>
      <c r="BN312" s="49">
        <v>30</v>
      </c>
    </row>
    <row r="313" spans="1:66" ht="15">
      <c r="A313" s="68" t="s">
        <v>373</v>
      </c>
      <c r="B313" s="68" t="s">
        <v>417</v>
      </c>
      <c r="C313" s="69" t="s">
        <v>5208</v>
      </c>
      <c r="D313" s="70">
        <v>1</v>
      </c>
      <c r="E313" s="71" t="s">
        <v>132</v>
      </c>
      <c r="F313" s="72">
        <v>32</v>
      </c>
      <c r="G313" s="69" t="s">
        <v>51</v>
      </c>
      <c r="H313" s="73"/>
      <c r="I313" s="74"/>
      <c r="J313" s="74"/>
      <c r="K313" s="35" t="s">
        <v>65</v>
      </c>
      <c r="L313" s="82">
        <v>313</v>
      </c>
      <c r="M313" s="82"/>
      <c r="N313" s="76"/>
      <c r="O313" s="84" t="s">
        <v>439</v>
      </c>
      <c r="P313" s="86">
        <v>44081.94185185185</v>
      </c>
      <c r="Q313" s="84" t="s">
        <v>450</v>
      </c>
      <c r="R313"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313" s="84" t="s">
        <v>533</v>
      </c>
      <c r="T313" s="84"/>
      <c r="U313" s="84"/>
      <c r="V313" s="87" t="str">
        <f>HYPERLINK("http://pbs.twimg.com/profile_images/1296150707821637639/CaDtXQlj_normal.jpg")</f>
        <v>http://pbs.twimg.com/profile_images/1296150707821637639/CaDtXQlj_normal.jpg</v>
      </c>
      <c r="W313" s="86">
        <v>44081.94185185185</v>
      </c>
      <c r="X313" s="90">
        <v>44081</v>
      </c>
      <c r="Y313" s="92" t="s">
        <v>828</v>
      </c>
      <c r="Z313" s="87" t="str">
        <f>HYPERLINK("https://twitter.com/aaroncuddeback/status/1303099797734334465")</f>
        <v>https://twitter.com/aaroncuddeback/status/1303099797734334465</v>
      </c>
      <c r="AA313" s="84"/>
      <c r="AB313" s="84"/>
      <c r="AC313" s="92" t="s">
        <v>1225</v>
      </c>
      <c r="AD313" s="84"/>
      <c r="AE313" s="84" t="b">
        <v>0</v>
      </c>
      <c r="AF313" s="84">
        <v>0</v>
      </c>
      <c r="AG313" s="92" t="s">
        <v>1453</v>
      </c>
      <c r="AH313" s="84" t="b">
        <v>0</v>
      </c>
      <c r="AI313" s="84" t="s">
        <v>1456</v>
      </c>
      <c r="AJ313" s="84"/>
      <c r="AK313" s="92" t="s">
        <v>1453</v>
      </c>
      <c r="AL313" s="84" t="b">
        <v>0</v>
      </c>
      <c r="AM313" s="84">
        <v>31</v>
      </c>
      <c r="AN313" s="92" t="s">
        <v>1396</v>
      </c>
      <c r="AO313" s="84" t="s">
        <v>1516</v>
      </c>
      <c r="AP313" s="84" t="b">
        <v>0</v>
      </c>
      <c r="AQ313" s="92" t="s">
        <v>1396</v>
      </c>
      <c r="AR313" s="84" t="s">
        <v>187</v>
      </c>
      <c r="AS313" s="84">
        <v>0</v>
      </c>
      <c r="AT313" s="84">
        <v>0</v>
      </c>
      <c r="AU313" s="84"/>
      <c r="AV313" s="84"/>
      <c r="AW313" s="84"/>
      <c r="AX313" s="84"/>
      <c r="AY313" s="84"/>
      <c r="AZ313" s="84"/>
      <c r="BA313" s="84"/>
      <c r="BB313" s="84"/>
      <c r="BC313">
        <v>1</v>
      </c>
      <c r="BD313" s="83" t="str">
        <f>REPLACE(INDEX(GroupVertices[Group],MATCH(Edges[[#This Row],[Vertex 1]],GroupVertices[Vertex],0)),1,1,"")</f>
        <v>2</v>
      </c>
      <c r="BE313" s="83" t="str">
        <f>REPLACE(INDEX(GroupVertices[Group],MATCH(Edges[[#This Row],[Vertex 2]],GroupVertices[Vertex],0)),1,1,"")</f>
        <v>2</v>
      </c>
      <c r="BF313" s="49">
        <v>0</v>
      </c>
      <c r="BG313" s="50">
        <v>0</v>
      </c>
      <c r="BH313" s="49">
        <v>0</v>
      </c>
      <c r="BI313" s="50">
        <v>0</v>
      </c>
      <c r="BJ313" s="49">
        <v>0</v>
      </c>
      <c r="BK313" s="50">
        <v>0</v>
      </c>
      <c r="BL313" s="49">
        <v>26</v>
      </c>
      <c r="BM313" s="50">
        <v>100</v>
      </c>
      <c r="BN313" s="49">
        <v>26</v>
      </c>
    </row>
    <row r="314" spans="1:66" ht="15">
      <c r="A314" s="68" t="s">
        <v>373</v>
      </c>
      <c r="B314" s="68" t="s">
        <v>392</v>
      </c>
      <c r="C314" s="69" t="s">
        <v>5208</v>
      </c>
      <c r="D314" s="70">
        <v>1</v>
      </c>
      <c r="E314" s="71" t="s">
        <v>132</v>
      </c>
      <c r="F314" s="72">
        <v>32</v>
      </c>
      <c r="G314" s="69" t="s">
        <v>51</v>
      </c>
      <c r="H314" s="73"/>
      <c r="I314" s="74"/>
      <c r="J314" s="74"/>
      <c r="K314" s="35" t="s">
        <v>65</v>
      </c>
      <c r="L314" s="82">
        <v>314</v>
      </c>
      <c r="M314" s="82"/>
      <c r="N314" s="76"/>
      <c r="O314" s="84" t="s">
        <v>439</v>
      </c>
      <c r="P314" s="86">
        <v>44082.5144212963</v>
      </c>
      <c r="Q314" s="84" t="s">
        <v>456</v>
      </c>
      <c r="R314" s="87" t="str">
        <f>HYPERLINK("https://www.ituneed.com/post/working-from-home-top-5-cybersecurity-threats-businesses-should-be-aware-of-during-covid-19")</f>
        <v>https://www.ituneed.com/post/working-from-home-top-5-cybersecurity-threats-businesses-should-be-aware-of-during-covid-19</v>
      </c>
      <c r="S314" s="84" t="s">
        <v>538</v>
      </c>
      <c r="T314" s="84" t="s">
        <v>575</v>
      </c>
      <c r="U314" s="87" t="str">
        <f>HYPERLINK("https://pbs.twimg.com/media/EhZGFTvXYAAT_YE.jpg")</f>
        <v>https://pbs.twimg.com/media/EhZGFTvXYAAT_YE.jpg</v>
      </c>
      <c r="V314" s="87" t="str">
        <f>HYPERLINK("https://pbs.twimg.com/media/EhZGFTvXYAAT_YE.jpg")</f>
        <v>https://pbs.twimg.com/media/EhZGFTvXYAAT_YE.jpg</v>
      </c>
      <c r="W314" s="86">
        <v>44082.5144212963</v>
      </c>
      <c r="X314" s="90">
        <v>44082</v>
      </c>
      <c r="Y314" s="92" t="s">
        <v>829</v>
      </c>
      <c r="Z314" s="87" t="str">
        <f>HYPERLINK("https://twitter.com/aaroncuddeback/status/1303307287763841024")</f>
        <v>https://twitter.com/aaroncuddeback/status/1303307287763841024</v>
      </c>
      <c r="AA314" s="84"/>
      <c r="AB314" s="84"/>
      <c r="AC314" s="92" t="s">
        <v>1226</v>
      </c>
      <c r="AD314" s="84"/>
      <c r="AE314" s="84" t="b">
        <v>0</v>
      </c>
      <c r="AF314" s="84">
        <v>0</v>
      </c>
      <c r="AG314" s="92" t="s">
        <v>1453</v>
      </c>
      <c r="AH314" s="84" t="b">
        <v>0</v>
      </c>
      <c r="AI314" s="84" t="s">
        <v>1456</v>
      </c>
      <c r="AJ314" s="84"/>
      <c r="AK314" s="92" t="s">
        <v>1453</v>
      </c>
      <c r="AL314" s="84" t="b">
        <v>0</v>
      </c>
      <c r="AM314" s="84">
        <v>10</v>
      </c>
      <c r="AN314" s="92" t="s">
        <v>1293</v>
      </c>
      <c r="AO314" s="84" t="s">
        <v>1516</v>
      </c>
      <c r="AP314" s="84" t="b">
        <v>0</v>
      </c>
      <c r="AQ314" s="92" t="s">
        <v>1293</v>
      </c>
      <c r="AR314" s="84" t="s">
        <v>187</v>
      </c>
      <c r="AS314" s="84">
        <v>0</v>
      </c>
      <c r="AT314" s="84">
        <v>0</v>
      </c>
      <c r="AU314" s="84"/>
      <c r="AV314" s="84"/>
      <c r="AW314" s="84"/>
      <c r="AX314" s="84"/>
      <c r="AY314" s="84"/>
      <c r="AZ314" s="84"/>
      <c r="BA314" s="84"/>
      <c r="BB314" s="84"/>
      <c r="BC314">
        <v>1</v>
      </c>
      <c r="BD314" s="83" t="str">
        <f>REPLACE(INDEX(GroupVertices[Group],MATCH(Edges[[#This Row],[Vertex 1]],GroupVertices[Vertex],0)),1,1,"")</f>
        <v>2</v>
      </c>
      <c r="BE314" s="83" t="str">
        <f>REPLACE(INDEX(GroupVertices[Group],MATCH(Edges[[#This Row],[Vertex 2]],GroupVertices[Vertex],0)),1,1,"")</f>
        <v>2</v>
      </c>
      <c r="BF314" s="49">
        <v>0</v>
      </c>
      <c r="BG314" s="50">
        <v>0</v>
      </c>
      <c r="BH314" s="49">
        <v>0</v>
      </c>
      <c r="BI314" s="50">
        <v>0</v>
      </c>
      <c r="BJ314" s="49">
        <v>0</v>
      </c>
      <c r="BK314" s="50">
        <v>0</v>
      </c>
      <c r="BL314" s="49">
        <v>30</v>
      </c>
      <c r="BM314" s="50">
        <v>100</v>
      </c>
      <c r="BN314" s="49">
        <v>30</v>
      </c>
    </row>
    <row r="315" spans="1:66" ht="15">
      <c r="A315" s="68" t="s">
        <v>373</v>
      </c>
      <c r="B315" s="68" t="s">
        <v>390</v>
      </c>
      <c r="C315" s="69" t="s">
        <v>5209</v>
      </c>
      <c r="D315" s="70">
        <v>6.678367782143116</v>
      </c>
      <c r="E315" s="71" t="s">
        <v>132</v>
      </c>
      <c r="F315" s="72">
        <v>21</v>
      </c>
      <c r="G315" s="69" t="s">
        <v>51</v>
      </c>
      <c r="H315" s="73"/>
      <c r="I315" s="74"/>
      <c r="J315" s="74"/>
      <c r="K315" s="35" t="s">
        <v>65</v>
      </c>
      <c r="L315" s="82">
        <v>315</v>
      </c>
      <c r="M315" s="82"/>
      <c r="N315" s="76"/>
      <c r="O315" s="84" t="s">
        <v>439</v>
      </c>
      <c r="P315" s="86">
        <v>44084.77533564815</v>
      </c>
      <c r="Q315" s="84" t="s">
        <v>481</v>
      </c>
      <c r="R315" s="87" t="str">
        <f>HYPERLINK("https://www.aitrends.com/ai-research/covid-19-ai-update-nih-developing-imaging-tools/")</f>
        <v>https://www.aitrends.com/ai-research/covid-19-ai-update-nih-developing-imaging-tools/</v>
      </c>
      <c r="S315" s="84" t="s">
        <v>548</v>
      </c>
      <c r="T315" s="84" t="s">
        <v>597</v>
      </c>
      <c r="U315" s="84"/>
      <c r="V315" s="87" t="str">
        <f>HYPERLINK("http://pbs.twimg.com/profile_images/1296150707821637639/CaDtXQlj_normal.jpg")</f>
        <v>http://pbs.twimg.com/profile_images/1296150707821637639/CaDtXQlj_normal.jpg</v>
      </c>
      <c r="W315" s="86">
        <v>44084.77533564815</v>
      </c>
      <c r="X315" s="90">
        <v>44084</v>
      </c>
      <c r="Y315" s="92" t="s">
        <v>830</v>
      </c>
      <c r="Z315" s="87" t="str">
        <f>HYPERLINK("https://twitter.com/aaroncuddeback/status/1304126615623028738")</f>
        <v>https://twitter.com/aaroncuddeback/status/1304126615623028738</v>
      </c>
      <c r="AA315" s="84"/>
      <c r="AB315" s="84"/>
      <c r="AC315" s="92" t="s">
        <v>1227</v>
      </c>
      <c r="AD315" s="84"/>
      <c r="AE315" s="84" t="b">
        <v>0</v>
      </c>
      <c r="AF315" s="84">
        <v>0</v>
      </c>
      <c r="AG315" s="92" t="s">
        <v>1453</v>
      </c>
      <c r="AH315" s="84" t="b">
        <v>0</v>
      </c>
      <c r="AI315" s="84" t="s">
        <v>1456</v>
      </c>
      <c r="AJ315" s="84"/>
      <c r="AK315" s="92" t="s">
        <v>1453</v>
      </c>
      <c r="AL315" s="84" t="b">
        <v>0</v>
      </c>
      <c r="AM315" s="84">
        <v>17</v>
      </c>
      <c r="AN315" s="92" t="s">
        <v>1405</v>
      </c>
      <c r="AO315" s="84" t="s">
        <v>1516</v>
      </c>
      <c r="AP315" s="84" t="b">
        <v>0</v>
      </c>
      <c r="AQ315" s="92" t="s">
        <v>1405</v>
      </c>
      <c r="AR315" s="84" t="s">
        <v>187</v>
      </c>
      <c r="AS315" s="84">
        <v>0</v>
      </c>
      <c r="AT315" s="84">
        <v>0</v>
      </c>
      <c r="AU315" s="84"/>
      <c r="AV315" s="84"/>
      <c r="AW315" s="84"/>
      <c r="AX315" s="84"/>
      <c r="AY315" s="84"/>
      <c r="AZ315" s="84"/>
      <c r="BA315" s="84"/>
      <c r="BB315" s="84"/>
      <c r="BC315">
        <v>2</v>
      </c>
      <c r="BD315" s="83" t="str">
        <f>REPLACE(INDEX(GroupVertices[Group],MATCH(Edges[[#This Row],[Vertex 1]],GroupVertices[Vertex],0)),1,1,"")</f>
        <v>2</v>
      </c>
      <c r="BE315" s="83" t="str">
        <f>REPLACE(INDEX(GroupVertices[Group],MATCH(Edges[[#This Row],[Vertex 2]],GroupVertices[Vertex],0)),1,1,"")</f>
        <v>1</v>
      </c>
      <c r="BF315" s="49">
        <v>0</v>
      </c>
      <c r="BG315" s="50">
        <v>0</v>
      </c>
      <c r="BH315" s="49">
        <v>0</v>
      </c>
      <c r="BI315" s="50">
        <v>0</v>
      </c>
      <c r="BJ315" s="49">
        <v>0</v>
      </c>
      <c r="BK315" s="50">
        <v>0</v>
      </c>
      <c r="BL315" s="49">
        <v>28</v>
      </c>
      <c r="BM315" s="50">
        <v>100</v>
      </c>
      <c r="BN315" s="49">
        <v>28</v>
      </c>
    </row>
    <row r="316" spans="1:66" ht="15">
      <c r="A316" s="68" t="s">
        <v>373</v>
      </c>
      <c r="B316" s="68" t="s">
        <v>435</v>
      </c>
      <c r="C316" s="69" t="s">
        <v>5208</v>
      </c>
      <c r="D316" s="70">
        <v>1</v>
      </c>
      <c r="E316" s="71" t="s">
        <v>132</v>
      </c>
      <c r="F316" s="72">
        <v>32</v>
      </c>
      <c r="G316" s="69" t="s">
        <v>51</v>
      </c>
      <c r="H316" s="73"/>
      <c r="I316" s="74"/>
      <c r="J316" s="74"/>
      <c r="K316" s="35" t="s">
        <v>65</v>
      </c>
      <c r="L316" s="82">
        <v>316</v>
      </c>
      <c r="M316" s="82"/>
      <c r="N316" s="76"/>
      <c r="O316" s="84" t="s">
        <v>440</v>
      </c>
      <c r="P316" s="86">
        <v>44086.36875</v>
      </c>
      <c r="Q316" s="84" t="s">
        <v>484</v>
      </c>
      <c r="R316" s="87" t="str">
        <f>HYPERLINK("https://www.weforum.org/agenda/2020/09/prevent-post-covid-carmageddon")</f>
        <v>https://www.weforum.org/agenda/2020/09/prevent-post-covid-carmageddon</v>
      </c>
      <c r="S316" s="84" t="s">
        <v>549</v>
      </c>
      <c r="T316" s="84" t="s">
        <v>600</v>
      </c>
      <c r="U316" s="84"/>
      <c r="V316" s="87" t="str">
        <f>HYPERLINK("http://pbs.twimg.com/profile_images/1296150707821637639/CaDtXQlj_normal.jpg")</f>
        <v>http://pbs.twimg.com/profile_images/1296150707821637639/CaDtXQlj_normal.jpg</v>
      </c>
      <c r="W316" s="86">
        <v>44086.36875</v>
      </c>
      <c r="X316" s="90">
        <v>44086</v>
      </c>
      <c r="Y316" s="92" t="s">
        <v>831</v>
      </c>
      <c r="Z316" s="87" t="str">
        <f>HYPERLINK("https://twitter.com/aaroncuddeback/status/1304704049170837504")</f>
        <v>https://twitter.com/aaroncuddeback/status/1304704049170837504</v>
      </c>
      <c r="AA316" s="84"/>
      <c r="AB316" s="84"/>
      <c r="AC316" s="92" t="s">
        <v>1228</v>
      </c>
      <c r="AD316" s="84"/>
      <c r="AE316" s="84" t="b">
        <v>0</v>
      </c>
      <c r="AF316" s="84">
        <v>0</v>
      </c>
      <c r="AG316" s="92" t="s">
        <v>1453</v>
      </c>
      <c r="AH316" s="84" t="b">
        <v>0</v>
      </c>
      <c r="AI316" s="84" t="s">
        <v>1456</v>
      </c>
      <c r="AJ316" s="84"/>
      <c r="AK316" s="92" t="s">
        <v>1453</v>
      </c>
      <c r="AL316" s="84" t="b">
        <v>0</v>
      </c>
      <c r="AM316" s="84">
        <v>36</v>
      </c>
      <c r="AN316" s="92" t="s">
        <v>1401</v>
      </c>
      <c r="AO316" s="84" t="s">
        <v>1516</v>
      </c>
      <c r="AP316" s="84" t="b">
        <v>0</v>
      </c>
      <c r="AQ316" s="92" t="s">
        <v>1401</v>
      </c>
      <c r="AR316" s="84" t="s">
        <v>187</v>
      </c>
      <c r="AS316" s="84">
        <v>0</v>
      </c>
      <c r="AT316" s="84">
        <v>0</v>
      </c>
      <c r="AU316" s="84"/>
      <c r="AV316" s="84"/>
      <c r="AW316" s="84"/>
      <c r="AX316" s="84"/>
      <c r="AY316" s="84"/>
      <c r="AZ316" s="84"/>
      <c r="BA316" s="84"/>
      <c r="BB316" s="84"/>
      <c r="BC316">
        <v>1</v>
      </c>
      <c r="BD316" s="83" t="str">
        <f>REPLACE(INDEX(GroupVertices[Group],MATCH(Edges[[#This Row],[Vertex 1]],GroupVertices[Vertex],0)),1,1,"")</f>
        <v>2</v>
      </c>
      <c r="BE316" s="83" t="str">
        <f>REPLACE(INDEX(GroupVertices[Group],MATCH(Edges[[#This Row],[Vertex 2]],GroupVertices[Vertex],0)),1,1,"")</f>
        <v>1</v>
      </c>
      <c r="BF316" s="49"/>
      <c r="BG316" s="50"/>
      <c r="BH316" s="49"/>
      <c r="BI316" s="50"/>
      <c r="BJ316" s="49"/>
      <c r="BK316" s="50"/>
      <c r="BL316" s="49"/>
      <c r="BM316" s="50"/>
      <c r="BN316" s="49"/>
    </row>
    <row r="317" spans="1:66" ht="15">
      <c r="A317" s="68" t="s">
        <v>373</v>
      </c>
      <c r="B317" s="68" t="s">
        <v>390</v>
      </c>
      <c r="C317" s="69" t="s">
        <v>5209</v>
      </c>
      <c r="D317" s="70">
        <v>6.678367782143116</v>
      </c>
      <c r="E317" s="71" t="s">
        <v>132</v>
      </c>
      <c r="F317" s="72">
        <v>21</v>
      </c>
      <c r="G317" s="69" t="s">
        <v>51</v>
      </c>
      <c r="H317" s="73"/>
      <c r="I317" s="74"/>
      <c r="J317" s="74"/>
      <c r="K317" s="35" t="s">
        <v>65</v>
      </c>
      <c r="L317" s="82">
        <v>317</v>
      </c>
      <c r="M317" s="82"/>
      <c r="N317" s="76"/>
      <c r="O317" s="84" t="s">
        <v>439</v>
      </c>
      <c r="P317" s="86">
        <v>44086.36875</v>
      </c>
      <c r="Q317" s="84" t="s">
        <v>484</v>
      </c>
      <c r="R317" s="87" t="str">
        <f>HYPERLINK("https://www.weforum.org/agenda/2020/09/prevent-post-covid-carmageddon")</f>
        <v>https://www.weforum.org/agenda/2020/09/prevent-post-covid-carmageddon</v>
      </c>
      <c r="S317" s="84" t="s">
        <v>549</v>
      </c>
      <c r="T317" s="84" t="s">
        <v>600</v>
      </c>
      <c r="U317" s="84"/>
      <c r="V317" s="87" t="str">
        <f>HYPERLINK("http://pbs.twimg.com/profile_images/1296150707821637639/CaDtXQlj_normal.jpg")</f>
        <v>http://pbs.twimg.com/profile_images/1296150707821637639/CaDtXQlj_normal.jpg</v>
      </c>
      <c r="W317" s="86">
        <v>44086.36875</v>
      </c>
      <c r="X317" s="90">
        <v>44086</v>
      </c>
      <c r="Y317" s="92" t="s">
        <v>831</v>
      </c>
      <c r="Z317" s="87" t="str">
        <f>HYPERLINK("https://twitter.com/aaroncuddeback/status/1304704049170837504")</f>
        <v>https://twitter.com/aaroncuddeback/status/1304704049170837504</v>
      </c>
      <c r="AA317" s="84"/>
      <c r="AB317" s="84"/>
      <c r="AC317" s="92" t="s">
        <v>1228</v>
      </c>
      <c r="AD317" s="84"/>
      <c r="AE317" s="84" t="b">
        <v>0</v>
      </c>
      <c r="AF317" s="84">
        <v>0</v>
      </c>
      <c r="AG317" s="92" t="s">
        <v>1453</v>
      </c>
      <c r="AH317" s="84" t="b">
        <v>0</v>
      </c>
      <c r="AI317" s="84" t="s">
        <v>1456</v>
      </c>
      <c r="AJ317" s="84"/>
      <c r="AK317" s="92" t="s">
        <v>1453</v>
      </c>
      <c r="AL317" s="84" t="b">
        <v>0</v>
      </c>
      <c r="AM317" s="84">
        <v>36</v>
      </c>
      <c r="AN317" s="92" t="s">
        <v>1401</v>
      </c>
      <c r="AO317" s="84" t="s">
        <v>1516</v>
      </c>
      <c r="AP317" s="84" t="b">
        <v>0</v>
      </c>
      <c r="AQ317" s="92" t="s">
        <v>1401</v>
      </c>
      <c r="AR317" s="84" t="s">
        <v>187</v>
      </c>
      <c r="AS317" s="84">
        <v>0</v>
      </c>
      <c r="AT317" s="84">
        <v>0</v>
      </c>
      <c r="AU317" s="84"/>
      <c r="AV317" s="84"/>
      <c r="AW317" s="84"/>
      <c r="AX317" s="84"/>
      <c r="AY317" s="84"/>
      <c r="AZ317" s="84"/>
      <c r="BA317" s="84"/>
      <c r="BB317" s="84"/>
      <c r="BC317">
        <v>2</v>
      </c>
      <c r="BD317" s="83" t="str">
        <f>REPLACE(INDEX(GroupVertices[Group],MATCH(Edges[[#This Row],[Vertex 1]],GroupVertices[Vertex],0)),1,1,"")</f>
        <v>2</v>
      </c>
      <c r="BE317" s="83" t="str">
        <f>REPLACE(INDEX(GroupVertices[Group],MATCH(Edges[[#This Row],[Vertex 2]],GroupVertices[Vertex],0)),1,1,"")</f>
        <v>1</v>
      </c>
      <c r="BF317" s="49">
        <v>0</v>
      </c>
      <c r="BG317" s="50">
        <v>0</v>
      </c>
      <c r="BH317" s="49">
        <v>0</v>
      </c>
      <c r="BI317" s="50">
        <v>0</v>
      </c>
      <c r="BJ317" s="49">
        <v>0</v>
      </c>
      <c r="BK317" s="50">
        <v>0</v>
      </c>
      <c r="BL317" s="49">
        <v>31</v>
      </c>
      <c r="BM317" s="50">
        <v>100</v>
      </c>
      <c r="BN317" s="49">
        <v>31</v>
      </c>
    </row>
    <row r="318" spans="1:66" ht="15">
      <c r="A318" s="68" t="s">
        <v>373</v>
      </c>
      <c r="B318" s="68" t="s">
        <v>378</v>
      </c>
      <c r="C318" s="69" t="s">
        <v>5208</v>
      </c>
      <c r="D318" s="70">
        <v>1</v>
      </c>
      <c r="E318" s="71" t="s">
        <v>132</v>
      </c>
      <c r="F318" s="72">
        <v>32</v>
      </c>
      <c r="G318" s="69" t="s">
        <v>51</v>
      </c>
      <c r="H318" s="73"/>
      <c r="I318" s="74"/>
      <c r="J318" s="74"/>
      <c r="K318" s="35" t="s">
        <v>65</v>
      </c>
      <c r="L318" s="82">
        <v>318</v>
      </c>
      <c r="M318" s="82"/>
      <c r="N318" s="76"/>
      <c r="O318" s="84" t="s">
        <v>439</v>
      </c>
      <c r="P318" s="86">
        <v>44088.410358796296</v>
      </c>
      <c r="Q318" s="84" t="s">
        <v>498</v>
      </c>
      <c r="R318" s="84"/>
      <c r="S318" s="84"/>
      <c r="T318" s="84" t="s">
        <v>614</v>
      </c>
      <c r="U318" s="87" t="str">
        <f>HYPERLINK("https://pbs.twimg.com/ext_tw_video_thumb/1305441750304129024/pu/img/n-R8mmCWf4S5Uvor.jpg")</f>
        <v>https://pbs.twimg.com/ext_tw_video_thumb/1305441750304129024/pu/img/n-R8mmCWf4S5Uvor.jpg</v>
      </c>
      <c r="V318" s="87" t="str">
        <f>HYPERLINK("https://pbs.twimg.com/ext_tw_video_thumb/1305441750304129024/pu/img/n-R8mmCWf4S5Uvor.jpg")</f>
        <v>https://pbs.twimg.com/ext_tw_video_thumb/1305441750304129024/pu/img/n-R8mmCWf4S5Uvor.jpg</v>
      </c>
      <c r="W318" s="86">
        <v>44088.410358796296</v>
      </c>
      <c r="X318" s="90">
        <v>44088</v>
      </c>
      <c r="Y318" s="92" t="s">
        <v>832</v>
      </c>
      <c r="Z318" s="87" t="str">
        <f>HYPERLINK("https://twitter.com/aaroncuddeback/status/1305443902871293957")</f>
        <v>https://twitter.com/aaroncuddeback/status/1305443902871293957</v>
      </c>
      <c r="AA318" s="84"/>
      <c r="AB318" s="84"/>
      <c r="AC318" s="92" t="s">
        <v>1229</v>
      </c>
      <c r="AD318" s="84"/>
      <c r="AE318" s="84" t="b">
        <v>0</v>
      </c>
      <c r="AF318" s="84">
        <v>0</v>
      </c>
      <c r="AG318" s="92" t="s">
        <v>1453</v>
      </c>
      <c r="AH318" s="84" t="b">
        <v>0</v>
      </c>
      <c r="AI318" s="84" t="s">
        <v>1456</v>
      </c>
      <c r="AJ318" s="84"/>
      <c r="AK318" s="92" t="s">
        <v>1453</v>
      </c>
      <c r="AL318" s="84" t="b">
        <v>0</v>
      </c>
      <c r="AM318" s="84">
        <v>6</v>
      </c>
      <c r="AN318" s="92" t="s">
        <v>1242</v>
      </c>
      <c r="AO318" s="84" t="s">
        <v>1516</v>
      </c>
      <c r="AP318" s="84" t="b">
        <v>0</v>
      </c>
      <c r="AQ318" s="92" t="s">
        <v>1242</v>
      </c>
      <c r="AR318" s="84" t="s">
        <v>187</v>
      </c>
      <c r="AS318" s="84">
        <v>0</v>
      </c>
      <c r="AT318" s="84">
        <v>0</v>
      </c>
      <c r="AU318" s="84"/>
      <c r="AV318" s="84"/>
      <c r="AW318" s="84"/>
      <c r="AX318" s="84"/>
      <c r="AY318" s="84"/>
      <c r="AZ318" s="84"/>
      <c r="BA318" s="84"/>
      <c r="BB318" s="84"/>
      <c r="BC318">
        <v>1</v>
      </c>
      <c r="BD318" s="83" t="str">
        <f>REPLACE(INDEX(GroupVertices[Group],MATCH(Edges[[#This Row],[Vertex 1]],GroupVertices[Vertex],0)),1,1,"")</f>
        <v>2</v>
      </c>
      <c r="BE318" s="83" t="str">
        <f>REPLACE(INDEX(GroupVertices[Group],MATCH(Edges[[#This Row],[Vertex 2]],GroupVertices[Vertex],0)),1,1,"")</f>
        <v>2</v>
      </c>
      <c r="BF318" s="49">
        <v>0</v>
      </c>
      <c r="BG318" s="50">
        <v>0</v>
      </c>
      <c r="BH318" s="49">
        <v>0</v>
      </c>
      <c r="BI318" s="50">
        <v>0</v>
      </c>
      <c r="BJ318" s="49">
        <v>0</v>
      </c>
      <c r="BK318" s="50">
        <v>0</v>
      </c>
      <c r="BL318" s="49">
        <v>49</v>
      </c>
      <c r="BM318" s="50">
        <v>100</v>
      </c>
      <c r="BN318" s="49">
        <v>49</v>
      </c>
    </row>
    <row r="319" spans="1:66" ht="15">
      <c r="A319" s="68" t="s">
        <v>374</v>
      </c>
      <c r="B319" s="68" t="s">
        <v>378</v>
      </c>
      <c r="C319" s="69" t="s">
        <v>5208</v>
      </c>
      <c r="D319" s="70">
        <v>1</v>
      </c>
      <c r="E319" s="71" t="s">
        <v>132</v>
      </c>
      <c r="F319" s="72">
        <v>32</v>
      </c>
      <c r="G319" s="69" t="s">
        <v>51</v>
      </c>
      <c r="H319" s="73"/>
      <c r="I319" s="74"/>
      <c r="J319" s="74"/>
      <c r="K319" s="35" t="s">
        <v>65</v>
      </c>
      <c r="L319" s="82">
        <v>319</v>
      </c>
      <c r="M319" s="82"/>
      <c r="N319" s="76"/>
      <c r="O319" s="84" t="s">
        <v>439</v>
      </c>
      <c r="P319" s="86">
        <v>44088.41212962963</v>
      </c>
      <c r="Q319" s="84" t="s">
        <v>498</v>
      </c>
      <c r="R319" s="84"/>
      <c r="S319" s="84"/>
      <c r="T319" s="84" t="s">
        <v>614</v>
      </c>
      <c r="U319" s="87" t="str">
        <f>HYPERLINK("https://pbs.twimg.com/ext_tw_video_thumb/1305441750304129024/pu/img/n-R8mmCWf4S5Uvor.jpg")</f>
        <v>https://pbs.twimg.com/ext_tw_video_thumb/1305441750304129024/pu/img/n-R8mmCWf4S5Uvor.jpg</v>
      </c>
      <c r="V319" s="87" t="str">
        <f>HYPERLINK("https://pbs.twimg.com/ext_tw_video_thumb/1305441750304129024/pu/img/n-R8mmCWf4S5Uvor.jpg")</f>
        <v>https://pbs.twimg.com/ext_tw_video_thumb/1305441750304129024/pu/img/n-R8mmCWf4S5Uvor.jpg</v>
      </c>
      <c r="W319" s="86">
        <v>44088.41212962963</v>
      </c>
      <c r="X319" s="90">
        <v>44088</v>
      </c>
      <c r="Y319" s="92" t="s">
        <v>833</v>
      </c>
      <c r="Z319" s="87" t="str">
        <f>HYPERLINK("https://twitter.com/yahaya_hk/status/1305444545451241472")</f>
        <v>https://twitter.com/yahaya_hk/status/1305444545451241472</v>
      </c>
      <c r="AA319" s="84"/>
      <c r="AB319" s="84"/>
      <c r="AC319" s="92" t="s">
        <v>1230</v>
      </c>
      <c r="AD319" s="84"/>
      <c r="AE319" s="84" t="b">
        <v>0</v>
      </c>
      <c r="AF319" s="84">
        <v>0</v>
      </c>
      <c r="AG319" s="92" t="s">
        <v>1453</v>
      </c>
      <c r="AH319" s="84" t="b">
        <v>0</v>
      </c>
      <c r="AI319" s="84" t="s">
        <v>1456</v>
      </c>
      <c r="AJ319" s="84"/>
      <c r="AK319" s="92" t="s">
        <v>1453</v>
      </c>
      <c r="AL319" s="84" t="b">
        <v>0</v>
      </c>
      <c r="AM319" s="84">
        <v>6</v>
      </c>
      <c r="AN319" s="92" t="s">
        <v>1242</v>
      </c>
      <c r="AO319" s="84" t="s">
        <v>1467</v>
      </c>
      <c r="AP319" s="84" t="b">
        <v>0</v>
      </c>
      <c r="AQ319" s="92" t="s">
        <v>1242</v>
      </c>
      <c r="AR319" s="84" t="s">
        <v>187</v>
      </c>
      <c r="AS319" s="84">
        <v>0</v>
      </c>
      <c r="AT319" s="84">
        <v>0</v>
      </c>
      <c r="AU319" s="84"/>
      <c r="AV319" s="84"/>
      <c r="AW319" s="84"/>
      <c r="AX319" s="84"/>
      <c r="AY319" s="84"/>
      <c r="AZ319" s="84"/>
      <c r="BA319" s="84"/>
      <c r="BB319" s="84"/>
      <c r="BC319">
        <v>1</v>
      </c>
      <c r="BD319" s="83" t="str">
        <f>REPLACE(INDEX(GroupVertices[Group],MATCH(Edges[[#This Row],[Vertex 1]],GroupVertices[Vertex],0)),1,1,"")</f>
        <v>2</v>
      </c>
      <c r="BE319" s="83" t="str">
        <f>REPLACE(INDEX(GroupVertices[Group],MATCH(Edges[[#This Row],[Vertex 2]],GroupVertices[Vertex],0)),1,1,"")</f>
        <v>2</v>
      </c>
      <c r="BF319" s="49">
        <v>0</v>
      </c>
      <c r="BG319" s="50">
        <v>0</v>
      </c>
      <c r="BH319" s="49">
        <v>0</v>
      </c>
      <c r="BI319" s="50">
        <v>0</v>
      </c>
      <c r="BJ319" s="49">
        <v>0</v>
      </c>
      <c r="BK319" s="50">
        <v>0</v>
      </c>
      <c r="BL319" s="49">
        <v>49</v>
      </c>
      <c r="BM319" s="50">
        <v>100</v>
      </c>
      <c r="BN319" s="49">
        <v>49</v>
      </c>
    </row>
    <row r="320" spans="1:66" ht="15">
      <c r="A320" s="68" t="s">
        <v>375</v>
      </c>
      <c r="B320" s="68" t="s">
        <v>378</v>
      </c>
      <c r="C320" s="69" t="s">
        <v>5208</v>
      </c>
      <c r="D320" s="70">
        <v>1</v>
      </c>
      <c r="E320" s="71" t="s">
        <v>132</v>
      </c>
      <c r="F320" s="72">
        <v>32</v>
      </c>
      <c r="G320" s="69" t="s">
        <v>51</v>
      </c>
      <c r="H320" s="73"/>
      <c r="I320" s="74"/>
      <c r="J320" s="74"/>
      <c r="K320" s="35" t="s">
        <v>65</v>
      </c>
      <c r="L320" s="82">
        <v>320</v>
      </c>
      <c r="M320" s="82"/>
      <c r="N320" s="76"/>
      <c r="O320" s="84" t="s">
        <v>439</v>
      </c>
      <c r="P320" s="86">
        <v>44088.48707175926</v>
      </c>
      <c r="Q320" s="84" t="s">
        <v>498</v>
      </c>
      <c r="R320" s="84"/>
      <c r="S320" s="84"/>
      <c r="T320" s="84" t="s">
        <v>614</v>
      </c>
      <c r="U320" s="87" t="str">
        <f>HYPERLINK("https://pbs.twimg.com/ext_tw_video_thumb/1305441750304129024/pu/img/n-R8mmCWf4S5Uvor.jpg")</f>
        <v>https://pbs.twimg.com/ext_tw_video_thumb/1305441750304129024/pu/img/n-R8mmCWf4S5Uvor.jpg</v>
      </c>
      <c r="V320" s="87" t="str">
        <f>HYPERLINK("https://pbs.twimg.com/ext_tw_video_thumb/1305441750304129024/pu/img/n-R8mmCWf4S5Uvor.jpg")</f>
        <v>https://pbs.twimg.com/ext_tw_video_thumb/1305441750304129024/pu/img/n-R8mmCWf4S5Uvor.jpg</v>
      </c>
      <c r="W320" s="86">
        <v>44088.48707175926</v>
      </c>
      <c r="X320" s="90">
        <v>44088</v>
      </c>
      <c r="Y320" s="92" t="s">
        <v>834</v>
      </c>
      <c r="Z320" s="87" t="str">
        <f>HYPERLINK("https://twitter.com/singa_gerry/status/1305471704249049088")</f>
        <v>https://twitter.com/singa_gerry/status/1305471704249049088</v>
      </c>
      <c r="AA320" s="84"/>
      <c r="AB320" s="84"/>
      <c r="AC320" s="92" t="s">
        <v>1231</v>
      </c>
      <c r="AD320" s="84"/>
      <c r="AE320" s="84" t="b">
        <v>0</v>
      </c>
      <c r="AF320" s="84">
        <v>0</v>
      </c>
      <c r="AG320" s="92" t="s">
        <v>1453</v>
      </c>
      <c r="AH320" s="84" t="b">
        <v>0</v>
      </c>
      <c r="AI320" s="84" t="s">
        <v>1456</v>
      </c>
      <c r="AJ320" s="84"/>
      <c r="AK320" s="92" t="s">
        <v>1453</v>
      </c>
      <c r="AL320" s="84" t="b">
        <v>0</v>
      </c>
      <c r="AM320" s="84">
        <v>6</v>
      </c>
      <c r="AN320" s="92" t="s">
        <v>1242</v>
      </c>
      <c r="AO320" s="84" t="s">
        <v>1464</v>
      </c>
      <c r="AP320" s="84" t="b">
        <v>0</v>
      </c>
      <c r="AQ320" s="92" t="s">
        <v>1242</v>
      </c>
      <c r="AR320" s="84" t="s">
        <v>187</v>
      </c>
      <c r="AS320" s="84">
        <v>0</v>
      </c>
      <c r="AT320" s="84">
        <v>0</v>
      </c>
      <c r="AU320" s="84"/>
      <c r="AV320" s="84"/>
      <c r="AW320" s="84"/>
      <c r="AX320" s="84"/>
      <c r="AY320" s="84"/>
      <c r="AZ320" s="84"/>
      <c r="BA320" s="84"/>
      <c r="BB320" s="84"/>
      <c r="BC320">
        <v>1</v>
      </c>
      <c r="BD320" s="83" t="str">
        <f>REPLACE(INDEX(GroupVertices[Group],MATCH(Edges[[#This Row],[Vertex 1]],GroupVertices[Vertex],0)),1,1,"")</f>
        <v>2</v>
      </c>
      <c r="BE320" s="83" t="str">
        <f>REPLACE(INDEX(GroupVertices[Group],MATCH(Edges[[#This Row],[Vertex 2]],GroupVertices[Vertex],0)),1,1,"")</f>
        <v>2</v>
      </c>
      <c r="BF320" s="49">
        <v>0</v>
      </c>
      <c r="BG320" s="50">
        <v>0</v>
      </c>
      <c r="BH320" s="49">
        <v>0</v>
      </c>
      <c r="BI320" s="50">
        <v>0</v>
      </c>
      <c r="BJ320" s="49">
        <v>0</v>
      </c>
      <c r="BK320" s="50">
        <v>0</v>
      </c>
      <c r="BL320" s="49">
        <v>49</v>
      </c>
      <c r="BM320" s="50">
        <v>100</v>
      </c>
      <c r="BN320" s="49">
        <v>49</v>
      </c>
    </row>
    <row r="321" spans="1:66" ht="15">
      <c r="A321" s="68" t="s">
        <v>376</v>
      </c>
      <c r="B321" s="68" t="s">
        <v>376</v>
      </c>
      <c r="C321" s="69" t="s">
        <v>5210</v>
      </c>
      <c r="D321" s="70">
        <v>10</v>
      </c>
      <c r="E321" s="71" t="s">
        <v>136</v>
      </c>
      <c r="F321" s="72">
        <v>10</v>
      </c>
      <c r="G321" s="69" t="s">
        <v>51</v>
      </c>
      <c r="H321" s="73"/>
      <c r="I321" s="74"/>
      <c r="J321" s="74"/>
      <c r="K321" s="35" t="s">
        <v>65</v>
      </c>
      <c r="L321" s="82">
        <v>321</v>
      </c>
      <c r="M321" s="82"/>
      <c r="N321" s="76"/>
      <c r="O321" s="84" t="s">
        <v>187</v>
      </c>
      <c r="P321" s="86">
        <v>44081.95175925926</v>
      </c>
      <c r="Q321" s="84" t="s">
        <v>499</v>
      </c>
      <c r="R321" s="84"/>
      <c r="S321" s="84"/>
      <c r="T321" s="84" t="s">
        <v>615</v>
      </c>
      <c r="U321" s="87" t="str">
        <f>HYPERLINK("https://pbs.twimg.com/ext_tw_video_thumb/1303103358664765440/pu/img/UP1pYbJepiN_znUG.jpg")</f>
        <v>https://pbs.twimg.com/ext_tw_video_thumb/1303103358664765440/pu/img/UP1pYbJepiN_znUG.jpg</v>
      </c>
      <c r="V321" s="87" t="str">
        <f>HYPERLINK("https://pbs.twimg.com/ext_tw_video_thumb/1303103358664765440/pu/img/UP1pYbJepiN_znUG.jpg")</f>
        <v>https://pbs.twimg.com/ext_tw_video_thumb/1303103358664765440/pu/img/UP1pYbJepiN_znUG.jpg</v>
      </c>
      <c r="W321" s="86">
        <v>44081.95175925926</v>
      </c>
      <c r="X321" s="90">
        <v>44081</v>
      </c>
      <c r="Y321" s="92" t="s">
        <v>835</v>
      </c>
      <c r="Z321" s="87" t="str">
        <f>HYPERLINK("https://twitter.com/nish_mikan/status/1303103387538354177")</f>
        <v>https://twitter.com/nish_mikan/status/1303103387538354177</v>
      </c>
      <c r="AA321" s="84"/>
      <c r="AB321" s="84"/>
      <c r="AC321" s="92" t="s">
        <v>1232</v>
      </c>
      <c r="AD321" s="84"/>
      <c r="AE321" s="84" t="b">
        <v>0</v>
      </c>
      <c r="AF321" s="84">
        <v>0</v>
      </c>
      <c r="AG321" s="92" t="s">
        <v>1453</v>
      </c>
      <c r="AH321" s="84" t="b">
        <v>0</v>
      </c>
      <c r="AI321" s="84" t="s">
        <v>1462</v>
      </c>
      <c r="AJ321" s="84"/>
      <c r="AK321" s="92" t="s">
        <v>1453</v>
      </c>
      <c r="AL321" s="84" t="b">
        <v>0</v>
      </c>
      <c r="AM321" s="84">
        <v>0</v>
      </c>
      <c r="AN321" s="92" t="s">
        <v>1453</v>
      </c>
      <c r="AO321" s="84" t="s">
        <v>1465</v>
      </c>
      <c r="AP321" s="84" t="b">
        <v>0</v>
      </c>
      <c r="AQ321" s="92" t="s">
        <v>1232</v>
      </c>
      <c r="AR321" s="84" t="s">
        <v>187</v>
      </c>
      <c r="AS321" s="84">
        <v>0</v>
      </c>
      <c r="AT321" s="84">
        <v>0</v>
      </c>
      <c r="AU321" s="84"/>
      <c r="AV321" s="84"/>
      <c r="AW321" s="84"/>
      <c r="AX321" s="84"/>
      <c r="AY321" s="84"/>
      <c r="AZ321" s="84"/>
      <c r="BA321" s="84"/>
      <c r="BB321" s="84"/>
      <c r="BC321">
        <v>7</v>
      </c>
      <c r="BD321" s="83" t="str">
        <f>REPLACE(INDEX(GroupVertices[Group],MATCH(Edges[[#This Row],[Vertex 1]],GroupVertices[Vertex],0)),1,1,"")</f>
        <v>6</v>
      </c>
      <c r="BE321" s="83" t="str">
        <f>REPLACE(INDEX(GroupVertices[Group],MATCH(Edges[[#This Row],[Vertex 2]],GroupVertices[Vertex],0)),1,1,"")</f>
        <v>6</v>
      </c>
      <c r="BF321" s="49">
        <v>0</v>
      </c>
      <c r="BG321" s="50">
        <v>0</v>
      </c>
      <c r="BH321" s="49">
        <v>0</v>
      </c>
      <c r="BI321" s="50">
        <v>0</v>
      </c>
      <c r="BJ321" s="49">
        <v>0</v>
      </c>
      <c r="BK321" s="50">
        <v>0</v>
      </c>
      <c r="BL321" s="49">
        <v>18</v>
      </c>
      <c r="BM321" s="50">
        <v>100</v>
      </c>
      <c r="BN321" s="49">
        <v>18</v>
      </c>
    </row>
    <row r="322" spans="1:66" ht="15">
      <c r="A322" s="68" t="s">
        <v>376</v>
      </c>
      <c r="B322" s="68" t="s">
        <v>376</v>
      </c>
      <c r="C322" s="69" t="s">
        <v>5210</v>
      </c>
      <c r="D322" s="70">
        <v>10</v>
      </c>
      <c r="E322" s="71" t="s">
        <v>136</v>
      </c>
      <c r="F322" s="72">
        <v>10</v>
      </c>
      <c r="G322" s="69" t="s">
        <v>51</v>
      </c>
      <c r="H322" s="73"/>
      <c r="I322" s="74"/>
      <c r="J322" s="74"/>
      <c r="K322" s="35" t="s">
        <v>65</v>
      </c>
      <c r="L322" s="82">
        <v>322</v>
      </c>
      <c r="M322" s="82"/>
      <c r="N322" s="76"/>
      <c r="O322" s="84" t="s">
        <v>187</v>
      </c>
      <c r="P322" s="86">
        <v>44083.041655092595</v>
      </c>
      <c r="Q322" s="84" t="s">
        <v>500</v>
      </c>
      <c r="R322" s="84"/>
      <c r="S322" s="84"/>
      <c r="T322" s="84" t="s">
        <v>615</v>
      </c>
      <c r="U322" s="87" t="str">
        <f>HYPERLINK("https://pbs.twimg.com/ext_tw_video_thumb/1303498322695524353/pu/img/cEU0Zb7UuUzP1eBV.jpg")</f>
        <v>https://pbs.twimg.com/ext_tw_video_thumb/1303498322695524353/pu/img/cEU0Zb7UuUzP1eBV.jpg</v>
      </c>
      <c r="V322" s="87" t="str">
        <f>HYPERLINK("https://pbs.twimg.com/ext_tw_video_thumb/1303498322695524353/pu/img/cEU0Zb7UuUzP1eBV.jpg")</f>
        <v>https://pbs.twimg.com/ext_tw_video_thumb/1303498322695524353/pu/img/cEU0Zb7UuUzP1eBV.jpg</v>
      </c>
      <c r="W322" s="86">
        <v>44083.041655092595</v>
      </c>
      <c r="X322" s="90">
        <v>44083</v>
      </c>
      <c r="Y322" s="92" t="s">
        <v>836</v>
      </c>
      <c r="Z322" s="87" t="str">
        <f>HYPERLINK("https://twitter.com/nish_mikan/status/1303498350679879680")</f>
        <v>https://twitter.com/nish_mikan/status/1303498350679879680</v>
      </c>
      <c r="AA322" s="84"/>
      <c r="AB322" s="84"/>
      <c r="AC322" s="92" t="s">
        <v>1233</v>
      </c>
      <c r="AD322" s="84"/>
      <c r="AE322" s="84" t="b">
        <v>0</v>
      </c>
      <c r="AF322" s="84">
        <v>3</v>
      </c>
      <c r="AG322" s="92" t="s">
        <v>1453</v>
      </c>
      <c r="AH322" s="84" t="b">
        <v>0</v>
      </c>
      <c r="AI322" s="84" t="s">
        <v>1462</v>
      </c>
      <c r="AJ322" s="84"/>
      <c r="AK322" s="92" t="s">
        <v>1453</v>
      </c>
      <c r="AL322" s="84" t="b">
        <v>0</v>
      </c>
      <c r="AM322" s="84">
        <v>0</v>
      </c>
      <c r="AN322" s="92" t="s">
        <v>1453</v>
      </c>
      <c r="AO322" s="84" t="s">
        <v>1465</v>
      </c>
      <c r="AP322" s="84" t="b">
        <v>0</v>
      </c>
      <c r="AQ322" s="92" t="s">
        <v>1233</v>
      </c>
      <c r="AR322" s="84" t="s">
        <v>187</v>
      </c>
      <c r="AS322" s="84">
        <v>0</v>
      </c>
      <c r="AT322" s="84">
        <v>0</v>
      </c>
      <c r="AU322" s="84"/>
      <c r="AV322" s="84"/>
      <c r="AW322" s="84"/>
      <c r="AX322" s="84"/>
      <c r="AY322" s="84"/>
      <c r="AZ322" s="84"/>
      <c r="BA322" s="84"/>
      <c r="BB322" s="84"/>
      <c r="BC322">
        <v>7</v>
      </c>
      <c r="BD322" s="83" t="str">
        <f>REPLACE(INDEX(GroupVertices[Group],MATCH(Edges[[#This Row],[Vertex 1]],GroupVertices[Vertex],0)),1,1,"")</f>
        <v>6</v>
      </c>
      <c r="BE322" s="83" t="str">
        <f>REPLACE(INDEX(GroupVertices[Group],MATCH(Edges[[#This Row],[Vertex 2]],GroupVertices[Vertex],0)),1,1,"")</f>
        <v>6</v>
      </c>
      <c r="BF322" s="49">
        <v>0</v>
      </c>
      <c r="BG322" s="50">
        <v>0</v>
      </c>
      <c r="BH322" s="49">
        <v>0</v>
      </c>
      <c r="BI322" s="50">
        <v>0</v>
      </c>
      <c r="BJ322" s="49">
        <v>0</v>
      </c>
      <c r="BK322" s="50">
        <v>0</v>
      </c>
      <c r="BL322" s="49">
        <v>18</v>
      </c>
      <c r="BM322" s="50">
        <v>100</v>
      </c>
      <c r="BN322" s="49">
        <v>18</v>
      </c>
    </row>
    <row r="323" spans="1:66" ht="15">
      <c r="A323" s="68" t="s">
        <v>376</v>
      </c>
      <c r="B323" s="68" t="s">
        <v>376</v>
      </c>
      <c r="C323" s="69" t="s">
        <v>5210</v>
      </c>
      <c r="D323" s="70">
        <v>10</v>
      </c>
      <c r="E323" s="71" t="s">
        <v>136</v>
      </c>
      <c r="F323" s="72">
        <v>10</v>
      </c>
      <c r="G323" s="69" t="s">
        <v>51</v>
      </c>
      <c r="H323" s="73"/>
      <c r="I323" s="74"/>
      <c r="J323" s="74"/>
      <c r="K323" s="35" t="s">
        <v>65</v>
      </c>
      <c r="L323" s="82">
        <v>323</v>
      </c>
      <c r="M323" s="82"/>
      <c r="N323" s="76"/>
      <c r="O323" s="84" t="s">
        <v>187</v>
      </c>
      <c r="P323" s="86">
        <v>44083.85225694445</v>
      </c>
      <c r="Q323" s="84" t="s">
        <v>501</v>
      </c>
      <c r="R323" s="84"/>
      <c r="S323" s="84"/>
      <c r="T323" s="84" t="s">
        <v>615</v>
      </c>
      <c r="U323" s="87" t="str">
        <f>HYPERLINK("https://pbs.twimg.com/ext_tw_video_thumb/1303792075821907968/pu/img/YW_lE9grOx67w1eZ.jpg")</f>
        <v>https://pbs.twimg.com/ext_tw_video_thumb/1303792075821907968/pu/img/YW_lE9grOx67w1eZ.jpg</v>
      </c>
      <c r="V323" s="87" t="str">
        <f>HYPERLINK("https://pbs.twimg.com/ext_tw_video_thumb/1303792075821907968/pu/img/YW_lE9grOx67w1eZ.jpg")</f>
        <v>https://pbs.twimg.com/ext_tw_video_thumb/1303792075821907968/pu/img/YW_lE9grOx67w1eZ.jpg</v>
      </c>
      <c r="W323" s="86">
        <v>44083.85225694445</v>
      </c>
      <c r="X323" s="90">
        <v>44083</v>
      </c>
      <c r="Y323" s="92" t="s">
        <v>837</v>
      </c>
      <c r="Z323" s="87" t="str">
        <f>HYPERLINK("https://twitter.com/nish_mikan/status/1303792104884203522")</f>
        <v>https://twitter.com/nish_mikan/status/1303792104884203522</v>
      </c>
      <c r="AA323" s="84"/>
      <c r="AB323" s="84"/>
      <c r="AC323" s="92" t="s">
        <v>1234</v>
      </c>
      <c r="AD323" s="84"/>
      <c r="AE323" s="84" t="b">
        <v>0</v>
      </c>
      <c r="AF323" s="84">
        <v>1</v>
      </c>
      <c r="AG323" s="92" t="s">
        <v>1453</v>
      </c>
      <c r="AH323" s="84" t="b">
        <v>0</v>
      </c>
      <c r="AI323" s="84" t="s">
        <v>1462</v>
      </c>
      <c r="AJ323" s="84"/>
      <c r="AK323" s="92" t="s">
        <v>1453</v>
      </c>
      <c r="AL323" s="84" t="b">
        <v>0</v>
      </c>
      <c r="AM323" s="84">
        <v>0</v>
      </c>
      <c r="AN323" s="92" t="s">
        <v>1453</v>
      </c>
      <c r="AO323" s="84" t="s">
        <v>1465</v>
      </c>
      <c r="AP323" s="84" t="b">
        <v>0</v>
      </c>
      <c r="AQ323" s="92" t="s">
        <v>1234</v>
      </c>
      <c r="AR323" s="84" t="s">
        <v>187</v>
      </c>
      <c r="AS323" s="84">
        <v>0</v>
      </c>
      <c r="AT323" s="84">
        <v>0</v>
      </c>
      <c r="AU323" s="84"/>
      <c r="AV323" s="84"/>
      <c r="AW323" s="84"/>
      <c r="AX323" s="84"/>
      <c r="AY323" s="84"/>
      <c r="AZ323" s="84"/>
      <c r="BA323" s="84"/>
      <c r="BB323" s="84"/>
      <c r="BC323">
        <v>7</v>
      </c>
      <c r="BD323" s="83" t="str">
        <f>REPLACE(INDEX(GroupVertices[Group],MATCH(Edges[[#This Row],[Vertex 1]],GroupVertices[Vertex],0)),1,1,"")</f>
        <v>6</v>
      </c>
      <c r="BE323" s="83" t="str">
        <f>REPLACE(INDEX(GroupVertices[Group],MATCH(Edges[[#This Row],[Vertex 2]],GroupVertices[Vertex],0)),1,1,"")</f>
        <v>6</v>
      </c>
      <c r="BF323" s="49">
        <v>0</v>
      </c>
      <c r="BG323" s="50">
        <v>0</v>
      </c>
      <c r="BH323" s="49">
        <v>0</v>
      </c>
      <c r="BI323" s="50">
        <v>0</v>
      </c>
      <c r="BJ323" s="49">
        <v>0</v>
      </c>
      <c r="BK323" s="50">
        <v>0</v>
      </c>
      <c r="BL323" s="49">
        <v>18</v>
      </c>
      <c r="BM323" s="50">
        <v>100</v>
      </c>
      <c r="BN323" s="49">
        <v>18</v>
      </c>
    </row>
    <row r="324" spans="1:66" ht="15">
      <c r="A324" s="68" t="s">
        <v>376</v>
      </c>
      <c r="B324" s="68" t="s">
        <v>376</v>
      </c>
      <c r="C324" s="69" t="s">
        <v>5210</v>
      </c>
      <c r="D324" s="70">
        <v>10</v>
      </c>
      <c r="E324" s="71" t="s">
        <v>136</v>
      </c>
      <c r="F324" s="72">
        <v>10</v>
      </c>
      <c r="G324" s="69" t="s">
        <v>51</v>
      </c>
      <c r="H324" s="73"/>
      <c r="I324" s="74"/>
      <c r="J324" s="74"/>
      <c r="K324" s="35" t="s">
        <v>65</v>
      </c>
      <c r="L324" s="82">
        <v>324</v>
      </c>
      <c r="M324" s="82"/>
      <c r="N324" s="76"/>
      <c r="O324" s="84" t="s">
        <v>187</v>
      </c>
      <c r="P324" s="86">
        <v>44085.89805555555</v>
      </c>
      <c r="Q324" s="84" t="s">
        <v>502</v>
      </c>
      <c r="R324" s="84"/>
      <c r="S324" s="84"/>
      <c r="T324" s="84" t="s">
        <v>615</v>
      </c>
      <c r="U324" s="87" t="str">
        <f>HYPERLINK("https://pbs.twimg.com/ext_tw_video_thumb/1304533443888381952/pu/img/jiXDqGYsO--LrrqR.jpg")</f>
        <v>https://pbs.twimg.com/ext_tw_video_thumb/1304533443888381952/pu/img/jiXDqGYsO--LrrqR.jpg</v>
      </c>
      <c r="V324" s="87" t="str">
        <f>HYPERLINK("https://pbs.twimg.com/ext_tw_video_thumb/1304533443888381952/pu/img/jiXDqGYsO--LrrqR.jpg")</f>
        <v>https://pbs.twimg.com/ext_tw_video_thumb/1304533443888381952/pu/img/jiXDqGYsO--LrrqR.jpg</v>
      </c>
      <c r="W324" s="86">
        <v>44085.89805555555</v>
      </c>
      <c r="X324" s="90">
        <v>44085</v>
      </c>
      <c r="Y324" s="92" t="s">
        <v>838</v>
      </c>
      <c r="Z324" s="87" t="str">
        <f>HYPERLINK("https://twitter.com/nish_mikan/status/1304533474632556545")</f>
        <v>https://twitter.com/nish_mikan/status/1304533474632556545</v>
      </c>
      <c r="AA324" s="84"/>
      <c r="AB324" s="84"/>
      <c r="AC324" s="92" t="s">
        <v>1235</v>
      </c>
      <c r="AD324" s="84"/>
      <c r="AE324" s="84" t="b">
        <v>0</v>
      </c>
      <c r="AF324" s="84">
        <v>0</v>
      </c>
      <c r="AG324" s="92" t="s">
        <v>1453</v>
      </c>
      <c r="AH324" s="84" t="b">
        <v>0</v>
      </c>
      <c r="AI324" s="84" t="s">
        <v>1462</v>
      </c>
      <c r="AJ324" s="84"/>
      <c r="AK324" s="92" t="s">
        <v>1453</v>
      </c>
      <c r="AL324" s="84" t="b">
        <v>0</v>
      </c>
      <c r="AM324" s="84">
        <v>0</v>
      </c>
      <c r="AN324" s="92" t="s">
        <v>1453</v>
      </c>
      <c r="AO324" s="84" t="s">
        <v>1465</v>
      </c>
      <c r="AP324" s="84" t="b">
        <v>0</v>
      </c>
      <c r="AQ324" s="92" t="s">
        <v>1235</v>
      </c>
      <c r="AR324" s="84" t="s">
        <v>187</v>
      </c>
      <c r="AS324" s="84">
        <v>0</v>
      </c>
      <c r="AT324" s="84">
        <v>0</v>
      </c>
      <c r="AU324" s="84"/>
      <c r="AV324" s="84"/>
      <c r="AW324" s="84"/>
      <c r="AX324" s="84"/>
      <c r="AY324" s="84"/>
      <c r="AZ324" s="84"/>
      <c r="BA324" s="84"/>
      <c r="BB324" s="84"/>
      <c r="BC324">
        <v>7</v>
      </c>
      <c r="BD324" s="83" t="str">
        <f>REPLACE(INDEX(GroupVertices[Group],MATCH(Edges[[#This Row],[Vertex 1]],GroupVertices[Vertex],0)),1,1,"")</f>
        <v>6</v>
      </c>
      <c r="BE324" s="83" t="str">
        <f>REPLACE(INDEX(GroupVertices[Group],MATCH(Edges[[#This Row],[Vertex 2]],GroupVertices[Vertex],0)),1,1,"")</f>
        <v>6</v>
      </c>
      <c r="BF324" s="49">
        <v>0</v>
      </c>
      <c r="BG324" s="50">
        <v>0</v>
      </c>
      <c r="BH324" s="49">
        <v>0</v>
      </c>
      <c r="BI324" s="50">
        <v>0</v>
      </c>
      <c r="BJ324" s="49">
        <v>0</v>
      </c>
      <c r="BK324" s="50">
        <v>0</v>
      </c>
      <c r="BL324" s="49">
        <v>18</v>
      </c>
      <c r="BM324" s="50">
        <v>100</v>
      </c>
      <c r="BN324" s="49">
        <v>18</v>
      </c>
    </row>
    <row r="325" spans="1:66" ht="15">
      <c r="A325" s="68" t="s">
        <v>376</v>
      </c>
      <c r="B325" s="68" t="s">
        <v>376</v>
      </c>
      <c r="C325" s="69" t="s">
        <v>5210</v>
      </c>
      <c r="D325" s="70">
        <v>10</v>
      </c>
      <c r="E325" s="71" t="s">
        <v>136</v>
      </c>
      <c r="F325" s="72">
        <v>10</v>
      </c>
      <c r="G325" s="69" t="s">
        <v>51</v>
      </c>
      <c r="H325" s="73"/>
      <c r="I325" s="74"/>
      <c r="J325" s="74"/>
      <c r="K325" s="35" t="s">
        <v>65</v>
      </c>
      <c r="L325" s="82">
        <v>325</v>
      </c>
      <c r="M325" s="82"/>
      <c r="N325" s="76"/>
      <c r="O325" s="84" t="s">
        <v>187</v>
      </c>
      <c r="P325" s="86">
        <v>44086.45925925926</v>
      </c>
      <c r="Q325" s="84" t="s">
        <v>503</v>
      </c>
      <c r="R325" s="84"/>
      <c r="S325" s="84"/>
      <c r="T325" s="84" t="s">
        <v>615</v>
      </c>
      <c r="U325" s="87" t="str">
        <f>HYPERLINK("https://pbs.twimg.com/ext_tw_video_thumb/1304736817690812416/pu/img/ScYEidCAM5e4_cKY.jpg")</f>
        <v>https://pbs.twimg.com/ext_tw_video_thumb/1304736817690812416/pu/img/ScYEidCAM5e4_cKY.jpg</v>
      </c>
      <c r="V325" s="87" t="str">
        <f>HYPERLINK("https://pbs.twimg.com/ext_tw_video_thumb/1304736817690812416/pu/img/ScYEidCAM5e4_cKY.jpg")</f>
        <v>https://pbs.twimg.com/ext_tw_video_thumb/1304736817690812416/pu/img/ScYEidCAM5e4_cKY.jpg</v>
      </c>
      <c r="W325" s="86">
        <v>44086.45925925926</v>
      </c>
      <c r="X325" s="90">
        <v>44086</v>
      </c>
      <c r="Y325" s="92" t="s">
        <v>839</v>
      </c>
      <c r="Z325" s="87" t="str">
        <f>HYPERLINK("https://twitter.com/nish_mikan/status/1304736849261334528")</f>
        <v>https://twitter.com/nish_mikan/status/1304736849261334528</v>
      </c>
      <c r="AA325" s="84"/>
      <c r="AB325" s="84"/>
      <c r="AC325" s="92" t="s">
        <v>1236</v>
      </c>
      <c r="AD325" s="84"/>
      <c r="AE325" s="84" t="b">
        <v>0</v>
      </c>
      <c r="AF325" s="84">
        <v>0</v>
      </c>
      <c r="AG325" s="92" t="s">
        <v>1453</v>
      </c>
      <c r="AH325" s="84" t="b">
        <v>0</v>
      </c>
      <c r="AI325" s="84" t="s">
        <v>1462</v>
      </c>
      <c r="AJ325" s="84"/>
      <c r="AK325" s="92" t="s">
        <v>1453</v>
      </c>
      <c r="AL325" s="84" t="b">
        <v>0</v>
      </c>
      <c r="AM325" s="84">
        <v>0</v>
      </c>
      <c r="AN325" s="92" t="s">
        <v>1453</v>
      </c>
      <c r="AO325" s="84" t="s">
        <v>1465</v>
      </c>
      <c r="AP325" s="84" t="b">
        <v>0</v>
      </c>
      <c r="AQ325" s="92" t="s">
        <v>1236</v>
      </c>
      <c r="AR325" s="84" t="s">
        <v>187</v>
      </c>
      <c r="AS325" s="84">
        <v>0</v>
      </c>
      <c r="AT325" s="84">
        <v>0</v>
      </c>
      <c r="AU325" s="84"/>
      <c r="AV325" s="84"/>
      <c r="AW325" s="84"/>
      <c r="AX325" s="84"/>
      <c r="AY325" s="84"/>
      <c r="AZ325" s="84"/>
      <c r="BA325" s="84"/>
      <c r="BB325" s="84"/>
      <c r="BC325">
        <v>7</v>
      </c>
      <c r="BD325" s="83" t="str">
        <f>REPLACE(INDEX(GroupVertices[Group],MATCH(Edges[[#This Row],[Vertex 1]],GroupVertices[Vertex],0)),1,1,"")</f>
        <v>6</v>
      </c>
      <c r="BE325" s="83" t="str">
        <f>REPLACE(INDEX(GroupVertices[Group],MATCH(Edges[[#This Row],[Vertex 2]],GroupVertices[Vertex],0)),1,1,"")</f>
        <v>6</v>
      </c>
      <c r="BF325" s="49">
        <v>0</v>
      </c>
      <c r="BG325" s="50">
        <v>0</v>
      </c>
      <c r="BH325" s="49">
        <v>0</v>
      </c>
      <c r="BI325" s="50">
        <v>0</v>
      </c>
      <c r="BJ325" s="49">
        <v>0</v>
      </c>
      <c r="BK325" s="50">
        <v>0</v>
      </c>
      <c r="BL325" s="49">
        <v>18</v>
      </c>
      <c r="BM325" s="50">
        <v>100</v>
      </c>
      <c r="BN325" s="49">
        <v>18</v>
      </c>
    </row>
    <row r="326" spans="1:66" ht="15">
      <c r="A326" s="68" t="s">
        <v>376</v>
      </c>
      <c r="B326" s="68" t="s">
        <v>376</v>
      </c>
      <c r="C326" s="69" t="s">
        <v>5210</v>
      </c>
      <c r="D326" s="70">
        <v>10</v>
      </c>
      <c r="E326" s="71" t="s">
        <v>136</v>
      </c>
      <c r="F326" s="72">
        <v>10</v>
      </c>
      <c r="G326" s="69" t="s">
        <v>51</v>
      </c>
      <c r="H326" s="73"/>
      <c r="I326" s="74"/>
      <c r="J326" s="74"/>
      <c r="K326" s="35" t="s">
        <v>65</v>
      </c>
      <c r="L326" s="82">
        <v>326</v>
      </c>
      <c r="M326" s="82"/>
      <c r="N326" s="76"/>
      <c r="O326" s="84" t="s">
        <v>187</v>
      </c>
      <c r="P326" s="86">
        <v>44087.949837962966</v>
      </c>
      <c r="Q326" s="84" t="s">
        <v>504</v>
      </c>
      <c r="R326" s="84"/>
      <c r="S326" s="84"/>
      <c r="T326" s="84" t="s">
        <v>615</v>
      </c>
      <c r="U326" s="87" t="str">
        <f>HYPERLINK("https://pbs.twimg.com/ext_tw_video_thumb/1305276985438949376/pu/img/wFPBqe75KmxcFkH3.jpg")</f>
        <v>https://pbs.twimg.com/ext_tw_video_thumb/1305276985438949376/pu/img/wFPBqe75KmxcFkH3.jpg</v>
      </c>
      <c r="V326" s="87" t="str">
        <f>HYPERLINK("https://pbs.twimg.com/ext_tw_video_thumb/1305276985438949376/pu/img/wFPBqe75KmxcFkH3.jpg")</f>
        <v>https://pbs.twimg.com/ext_tw_video_thumb/1305276985438949376/pu/img/wFPBqe75KmxcFkH3.jpg</v>
      </c>
      <c r="W326" s="86">
        <v>44087.949837962966</v>
      </c>
      <c r="X326" s="90">
        <v>44087</v>
      </c>
      <c r="Y326" s="92" t="s">
        <v>840</v>
      </c>
      <c r="Z326" s="87" t="str">
        <f>HYPERLINK("https://twitter.com/nish_mikan/status/1305277016397156352")</f>
        <v>https://twitter.com/nish_mikan/status/1305277016397156352</v>
      </c>
      <c r="AA326" s="84"/>
      <c r="AB326" s="84"/>
      <c r="AC326" s="92" t="s">
        <v>1237</v>
      </c>
      <c r="AD326" s="84"/>
      <c r="AE326" s="84" t="b">
        <v>0</v>
      </c>
      <c r="AF326" s="84">
        <v>0</v>
      </c>
      <c r="AG326" s="92" t="s">
        <v>1453</v>
      </c>
      <c r="AH326" s="84" t="b">
        <v>0</v>
      </c>
      <c r="AI326" s="84" t="s">
        <v>1462</v>
      </c>
      <c r="AJ326" s="84"/>
      <c r="AK326" s="92" t="s">
        <v>1453</v>
      </c>
      <c r="AL326" s="84" t="b">
        <v>0</v>
      </c>
      <c r="AM326" s="84">
        <v>0</v>
      </c>
      <c r="AN326" s="92" t="s">
        <v>1453</v>
      </c>
      <c r="AO326" s="84" t="s">
        <v>1465</v>
      </c>
      <c r="AP326" s="84" t="b">
        <v>0</v>
      </c>
      <c r="AQ326" s="92" t="s">
        <v>1237</v>
      </c>
      <c r="AR326" s="84" t="s">
        <v>187</v>
      </c>
      <c r="AS326" s="84">
        <v>0</v>
      </c>
      <c r="AT326" s="84">
        <v>0</v>
      </c>
      <c r="AU326" s="84"/>
      <c r="AV326" s="84"/>
      <c r="AW326" s="84"/>
      <c r="AX326" s="84"/>
      <c r="AY326" s="84"/>
      <c r="AZ326" s="84"/>
      <c r="BA326" s="84"/>
      <c r="BB326" s="84"/>
      <c r="BC326">
        <v>7</v>
      </c>
      <c r="BD326" s="83" t="str">
        <f>REPLACE(INDEX(GroupVertices[Group],MATCH(Edges[[#This Row],[Vertex 1]],GroupVertices[Vertex],0)),1,1,"")</f>
        <v>6</v>
      </c>
      <c r="BE326" s="83" t="str">
        <f>REPLACE(INDEX(GroupVertices[Group],MATCH(Edges[[#This Row],[Vertex 2]],GroupVertices[Vertex],0)),1,1,"")</f>
        <v>6</v>
      </c>
      <c r="BF326" s="49">
        <v>0</v>
      </c>
      <c r="BG326" s="50">
        <v>0</v>
      </c>
      <c r="BH326" s="49">
        <v>0</v>
      </c>
      <c r="BI326" s="50">
        <v>0</v>
      </c>
      <c r="BJ326" s="49">
        <v>0</v>
      </c>
      <c r="BK326" s="50">
        <v>0</v>
      </c>
      <c r="BL326" s="49">
        <v>18</v>
      </c>
      <c r="BM326" s="50">
        <v>100</v>
      </c>
      <c r="BN326" s="49">
        <v>18</v>
      </c>
    </row>
    <row r="327" spans="1:66" ht="15">
      <c r="A327" s="68" t="s">
        <v>376</v>
      </c>
      <c r="B327" s="68" t="s">
        <v>376</v>
      </c>
      <c r="C327" s="69" t="s">
        <v>5210</v>
      </c>
      <c r="D327" s="70">
        <v>10</v>
      </c>
      <c r="E327" s="71" t="s">
        <v>136</v>
      </c>
      <c r="F327" s="72">
        <v>10</v>
      </c>
      <c r="G327" s="69" t="s">
        <v>51</v>
      </c>
      <c r="H327" s="73"/>
      <c r="I327" s="74"/>
      <c r="J327" s="74"/>
      <c r="K327" s="35" t="s">
        <v>65</v>
      </c>
      <c r="L327" s="82">
        <v>327</v>
      </c>
      <c r="M327" s="82"/>
      <c r="N327" s="76"/>
      <c r="O327" s="84" t="s">
        <v>187</v>
      </c>
      <c r="P327" s="86">
        <v>44088.520625</v>
      </c>
      <c r="Q327" s="84" t="s">
        <v>505</v>
      </c>
      <c r="R327" s="84"/>
      <c r="S327" s="84"/>
      <c r="T327" s="84" t="s">
        <v>615</v>
      </c>
      <c r="U327" s="87" t="str">
        <f>HYPERLINK("https://pbs.twimg.com/ext_tw_video_thumb/1305483833639202819/pu/img/XHS4jAU_kte-HGOa.jpg")</f>
        <v>https://pbs.twimg.com/ext_tw_video_thumb/1305483833639202819/pu/img/XHS4jAU_kte-HGOa.jpg</v>
      </c>
      <c r="V327" s="87" t="str">
        <f>HYPERLINK("https://pbs.twimg.com/ext_tw_video_thumb/1305483833639202819/pu/img/XHS4jAU_kte-HGOa.jpg")</f>
        <v>https://pbs.twimg.com/ext_tw_video_thumb/1305483833639202819/pu/img/XHS4jAU_kte-HGOa.jpg</v>
      </c>
      <c r="W327" s="86">
        <v>44088.520625</v>
      </c>
      <c r="X327" s="90">
        <v>44088</v>
      </c>
      <c r="Y327" s="92" t="s">
        <v>841</v>
      </c>
      <c r="Z327" s="87" t="str">
        <f>HYPERLINK("https://twitter.com/nish_mikan/status/1305483863007797248")</f>
        <v>https://twitter.com/nish_mikan/status/1305483863007797248</v>
      </c>
      <c r="AA327" s="84"/>
      <c r="AB327" s="84"/>
      <c r="AC327" s="92" t="s">
        <v>1238</v>
      </c>
      <c r="AD327" s="84"/>
      <c r="AE327" s="84" t="b">
        <v>0</v>
      </c>
      <c r="AF327" s="84">
        <v>2</v>
      </c>
      <c r="AG327" s="92" t="s">
        <v>1453</v>
      </c>
      <c r="AH327" s="84" t="b">
        <v>0</v>
      </c>
      <c r="AI327" s="84" t="s">
        <v>1462</v>
      </c>
      <c r="AJ327" s="84"/>
      <c r="AK327" s="92" t="s">
        <v>1453</v>
      </c>
      <c r="AL327" s="84" t="b">
        <v>0</v>
      </c>
      <c r="AM327" s="84">
        <v>0</v>
      </c>
      <c r="AN327" s="92" t="s">
        <v>1453</v>
      </c>
      <c r="AO327" s="84" t="s">
        <v>1465</v>
      </c>
      <c r="AP327" s="84" t="b">
        <v>0</v>
      </c>
      <c r="AQ327" s="92" t="s">
        <v>1238</v>
      </c>
      <c r="AR327" s="84" t="s">
        <v>187</v>
      </c>
      <c r="AS327" s="84">
        <v>0</v>
      </c>
      <c r="AT327" s="84">
        <v>0</v>
      </c>
      <c r="AU327" s="84"/>
      <c r="AV327" s="84"/>
      <c r="AW327" s="84"/>
      <c r="AX327" s="84"/>
      <c r="AY327" s="84"/>
      <c r="AZ327" s="84"/>
      <c r="BA327" s="84"/>
      <c r="BB327" s="84"/>
      <c r="BC327">
        <v>7</v>
      </c>
      <c r="BD327" s="83" t="str">
        <f>REPLACE(INDEX(GroupVertices[Group],MATCH(Edges[[#This Row],[Vertex 1]],GroupVertices[Vertex],0)),1,1,"")</f>
        <v>6</v>
      </c>
      <c r="BE327" s="83" t="str">
        <f>REPLACE(INDEX(GroupVertices[Group],MATCH(Edges[[#This Row],[Vertex 2]],GroupVertices[Vertex],0)),1,1,"")</f>
        <v>6</v>
      </c>
      <c r="BF327" s="49">
        <v>0</v>
      </c>
      <c r="BG327" s="50">
        <v>0</v>
      </c>
      <c r="BH327" s="49">
        <v>0</v>
      </c>
      <c r="BI327" s="50">
        <v>0</v>
      </c>
      <c r="BJ327" s="49">
        <v>0</v>
      </c>
      <c r="BK327" s="50">
        <v>0</v>
      </c>
      <c r="BL327" s="49">
        <v>18</v>
      </c>
      <c r="BM327" s="50">
        <v>100</v>
      </c>
      <c r="BN327" s="49">
        <v>18</v>
      </c>
    </row>
    <row r="328" spans="1:66" ht="15">
      <c r="A328" s="68" t="s">
        <v>377</v>
      </c>
      <c r="B328" s="68" t="s">
        <v>377</v>
      </c>
      <c r="C328" s="69" t="s">
        <v>5210</v>
      </c>
      <c r="D328" s="70">
        <v>10</v>
      </c>
      <c r="E328" s="71" t="s">
        <v>132</v>
      </c>
      <c r="F328" s="72">
        <v>10</v>
      </c>
      <c r="G328" s="69" t="s">
        <v>51</v>
      </c>
      <c r="H328" s="73"/>
      <c r="I328" s="74"/>
      <c r="J328" s="74"/>
      <c r="K328" s="35" t="s">
        <v>65</v>
      </c>
      <c r="L328" s="82">
        <v>328</v>
      </c>
      <c r="M328" s="82"/>
      <c r="N328" s="76"/>
      <c r="O328" s="84" t="s">
        <v>187</v>
      </c>
      <c r="P328" s="86">
        <v>44082.51021990741</v>
      </c>
      <c r="Q328" s="84" t="s">
        <v>506</v>
      </c>
      <c r="R328" s="87" t="str">
        <f>HYPERLINK("https://github.com/lisphilar/covid19-sir/releases/tag/2.8.2")</f>
        <v>https://github.com/lisphilar/covid19-sir/releases/tag/2.8.2</v>
      </c>
      <c r="S328" s="84" t="s">
        <v>556</v>
      </c>
      <c r="T328" s="84" t="s">
        <v>616</v>
      </c>
      <c r="U328" s="84"/>
      <c r="V328" s="87" t="str">
        <f>HYPERLINK("http://pbs.twimg.com/profile_images/1256202672933203968/UHHuQUBe_normal.jpg")</f>
        <v>http://pbs.twimg.com/profile_images/1256202672933203968/UHHuQUBe_normal.jpg</v>
      </c>
      <c r="W328" s="86">
        <v>44082.51021990741</v>
      </c>
      <c r="X328" s="90">
        <v>44082</v>
      </c>
      <c r="Y328" s="92" t="s">
        <v>842</v>
      </c>
      <c r="Z328" s="87" t="str">
        <f>HYPERLINK("https://twitter.com/lisphilar/status/1303305766057594882")</f>
        <v>https://twitter.com/lisphilar/status/1303305766057594882</v>
      </c>
      <c r="AA328" s="84"/>
      <c r="AB328" s="84"/>
      <c r="AC328" s="92" t="s">
        <v>1239</v>
      </c>
      <c r="AD328" s="84"/>
      <c r="AE328" s="84" t="b">
        <v>0</v>
      </c>
      <c r="AF328" s="84">
        <v>1</v>
      </c>
      <c r="AG328" s="92" t="s">
        <v>1453</v>
      </c>
      <c r="AH328" s="84" t="b">
        <v>0</v>
      </c>
      <c r="AI328" s="84" t="s">
        <v>1456</v>
      </c>
      <c r="AJ328" s="84"/>
      <c r="AK328" s="92" t="s">
        <v>1453</v>
      </c>
      <c r="AL328" s="84" t="b">
        <v>0</v>
      </c>
      <c r="AM328" s="84">
        <v>0</v>
      </c>
      <c r="AN328" s="92" t="s">
        <v>1453</v>
      </c>
      <c r="AO328" s="84" t="s">
        <v>1465</v>
      </c>
      <c r="AP328" s="84" t="b">
        <v>0</v>
      </c>
      <c r="AQ328" s="92" t="s">
        <v>1239</v>
      </c>
      <c r="AR328" s="84" t="s">
        <v>187</v>
      </c>
      <c r="AS328" s="84">
        <v>0</v>
      </c>
      <c r="AT328" s="84">
        <v>0</v>
      </c>
      <c r="AU328" s="84"/>
      <c r="AV328" s="84"/>
      <c r="AW328" s="84"/>
      <c r="AX328" s="84"/>
      <c r="AY328" s="84"/>
      <c r="AZ328" s="84"/>
      <c r="BA328" s="84"/>
      <c r="BB328" s="84"/>
      <c r="BC328">
        <v>3</v>
      </c>
      <c r="BD328" s="83" t="str">
        <f>REPLACE(INDEX(GroupVertices[Group],MATCH(Edges[[#This Row],[Vertex 1]],GroupVertices[Vertex],0)),1,1,"")</f>
        <v>6</v>
      </c>
      <c r="BE328" s="83" t="str">
        <f>REPLACE(INDEX(GroupVertices[Group],MATCH(Edges[[#This Row],[Vertex 2]],GroupVertices[Vertex],0)),1,1,"")</f>
        <v>6</v>
      </c>
      <c r="BF328" s="49">
        <v>0</v>
      </c>
      <c r="BG328" s="50">
        <v>0</v>
      </c>
      <c r="BH328" s="49">
        <v>0</v>
      </c>
      <c r="BI328" s="50">
        <v>0</v>
      </c>
      <c r="BJ328" s="49">
        <v>0</v>
      </c>
      <c r="BK328" s="50">
        <v>0</v>
      </c>
      <c r="BL328" s="49">
        <v>32</v>
      </c>
      <c r="BM328" s="50">
        <v>100</v>
      </c>
      <c r="BN328" s="49">
        <v>32</v>
      </c>
    </row>
    <row r="329" spans="1:66" ht="15">
      <c r="A329" s="68" t="s">
        <v>377</v>
      </c>
      <c r="B329" s="68" t="s">
        <v>377</v>
      </c>
      <c r="C329" s="69" t="s">
        <v>5210</v>
      </c>
      <c r="D329" s="70">
        <v>10</v>
      </c>
      <c r="E329" s="71" t="s">
        <v>132</v>
      </c>
      <c r="F329" s="72">
        <v>10</v>
      </c>
      <c r="G329" s="69" t="s">
        <v>51</v>
      </c>
      <c r="H329" s="73"/>
      <c r="I329" s="74"/>
      <c r="J329" s="74"/>
      <c r="K329" s="35" t="s">
        <v>65</v>
      </c>
      <c r="L329" s="82">
        <v>329</v>
      </c>
      <c r="M329" s="82"/>
      <c r="N329" s="76"/>
      <c r="O329" s="84" t="s">
        <v>187</v>
      </c>
      <c r="P329" s="86">
        <v>44085.64630787037</v>
      </c>
      <c r="Q329" s="84" t="s">
        <v>507</v>
      </c>
      <c r="R329" s="87" t="str">
        <f>HYPERLINK("https://qiita.com/Lisphilar/items/34337bd89ad485ec4a4b")</f>
        <v>https://qiita.com/Lisphilar/items/34337bd89ad485ec4a4b</v>
      </c>
      <c r="S329" s="84" t="s">
        <v>557</v>
      </c>
      <c r="T329" s="84" t="s">
        <v>617</v>
      </c>
      <c r="U329" s="84"/>
      <c r="V329" s="87" t="str">
        <f>HYPERLINK("http://pbs.twimg.com/profile_images/1256202672933203968/UHHuQUBe_normal.jpg")</f>
        <v>http://pbs.twimg.com/profile_images/1256202672933203968/UHHuQUBe_normal.jpg</v>
      </c>
      <c r="W329" s="86">
        <v>44085.64630787037</v>
      </c>
      <c r="X329" s="90">
        <v>44085</v>
      </c>
      <c r="Y329" s="92" t="s">
        <v>843</v>
      </c>
      <c r="Z329" s="87" t="str">
        <f>HYPERLINK("https://twitter.com/lisphilar/status/1304442248097005570")</f>
        <v>https://twitter.com/lisphilar/status/1304442248097005570</v>
      </c>
      <c r="AA329" s="84"/>
      <c r="AB329" s="84"/>
      <c r="AC329" s="92" t="s">
        <v>1240</v>
      </c>
      <c r="AD329" s="84"/>
      <c r="AE329" s="84" t="b">
        <v>0</v>
      </c>
      <c r="AF329" s="84">
        <v>5</v>
      </c>
      <c r="AG329" s="92" t="s">
        <v>1453</v>
      </c>
      <c r="AH329" s="84" t="b">
        <v>0</v>
      </c>
      <c r="AI329" s="84" t="s">
        <v>1462</v>
      </c>
      <c r="AJ329" s="84"/>
      <c r="AK329" s="92" t="s">
        <v>1453</v>
      </c>
      <c r="AL329" s="84" t="b">
        <v>0</v>
      </c>
      <c r="AM329" s="84">
        <v>0</v>
      </c>
      <c r="AN329" s="92" t="s">
        <v>1453</v>
      </c>
      <c r="AO329" s="84" t="s">
        <v>1465</v>
      </c>
      <c r="AP329" s="84" t="b">
        <v>0</v>
      </c>
      <c r="AQ329" s="92" t="s">
        <v>1240</v>
      </c>
      <c r="AR329" s="84" t="s">
        <v>187</v>
      </c>
      <c r="AS329" s="84">
        <v>0</v>
      </c>
      <c r="AT329" s="84">
        <v>0</v>
      </c>
      <c r="AU329" s="84"/>
      <c r="AV329" s="84"/>
      <c r="AW329" s="84"/>
      <c r="AX329" s="84"/>
      <c r="AY329" s="84"/>
      <c r="AZ329" s="84"/>
      <c r="BA329" s="84"/>
      <c r="BB329" s="84"/>
      <c r="BC329">
        <v>3</v>
      </c>
      <c r="BD329" s="83" t="str">
        <f>REPLACE(INDEX(GroupVertices[Group],MATCH(Edges[[#This Row],[Vertex 1]],GroupVertices[Vertex],0)),1,1,"")</f>
        <v>6</v>
      </c>
      <c r="BE329" s="83" t="str">
        <f>REPLACE(INDEX(GroupVertices[Group],MATCH(Edges[[#This Row],[Vertex 2]],GroupVertices[Vertex],0)),1,1,"")</f>
        <v>6</v>
      </c>
      <c r="BF329" s="49">
        <v>0</v>
      </c>
      <c r="BG329" s="50">
        <v>0</v>
      </c>
      <c r="BH329" s="49">
        <v>0</v>
      </c>
      <c r="BI329" s="50">
        <v>0</v>
      </c>
      <c r="BJ329" s="49">
        <v>0</v>
      </c>
      <c r="BK329" s="50">
        <v>0</v>
      </c>
      <c r="BL329" s="49">
        <v>10</v>
      </c>
      <c r="BM329" s="50">
        <v>100</v>
      </c>
      <c r="BN329" s="49">
        <v>10</v>
      </c>
    </row>
    <row r="330" spans="1:66" ht="15">
      <c r="A330" s="68" t="s">
        <v>377</v>
      </c>
      <c r="B330" s="68" t="s">
        <v>377</v>
      </c>
      <c r="C330" s="69" t="s">
        <v>5210</v>
      </c>
      <c r="D330" s="70">
        <v>10</v>
      </c>
      <c r="E330" s="71" t="s">
        <v>132</v>
      </c>
      <c r="F330" s="72">
        <v>10</v>
      </c>
      <c r="G330" s="69" t="s">
        <v>51</v>
      </c>
      <c r="H330" s="73"/>
      <c r="I330" s="74"/>
      <c r="J330" s="74"/>
      <c r="K330" s="35" t="s">
        <v>65</v>
      </c>
      <c r="L330" s="82">
        <v>330</v>
      </c>
      <c r="M330" s="82"/>
      <c r="N330" s="76"/>
      <c r="O330" s="84" t="s">
        <v>187</v>
      </c>
      <c r="P330" s="86">
        <v>44088.63859953704</v>
      </c>
      <c r="Q330" s="84" t="s">
        <v>508</v>
      </c>
      <c r="R330" s="84"/>
      <c r="S330" s="84"/>
      <c r="T330" s="84" t="s">
        <v>618</v>
      </c>
      <c r="U330" s="84"/>
      <c r="V330" s="87" t="str">
        <f>HYPERLINK("http://pbs.twimg.com/profile_images/1256202672933203968/UHHuQUBe_normal.jpg")</f>
        <v>http://pbs.twimg.com/profile_images/1256202672933203968/UHHuQUBe_normal.jpg</v>
      </c>
      <c r="W330" s="86">
        <v>44088.63859953704</v>
      </c>
      <c r="X330" s="90">
        <v>44088</v>
      </c>
      <c r="Y330" s="92" t="s">
        <v>844</v>
      </c>
      <c r="Z330" s="87" t="str">
        <f>HYPERLINK("https://twitter.com/lisphilar/status/1305526614529249282")</f>
        <v>https://twitter.com/lisphilar/status/1305526614529249282</v>
      </c>
      <c r="AA330" s="84"/>
      <c r="AB330" s="84"/>
      <c r="AC330" s="92" t="s">
        <v>1241</v>
      </c>
      <c r="AD330" s="92" t="s">
        <v>1452</v>
      </c>
      <c r="AE330" s="84" t="b">
        <v>0</v>
      </c>
      <c r="AF330" s="84">
        <v>1</v>
      </c>
      <c r="AG330" s="92" t="s">
        <v>1455</v>
      </c>
      <c r="AH330" s="84" t="b">
        <v>0</v>
      </c>
      <c r="AI330" s="84" t="s">
        <v>1456</v>
      </c>
      <c r="AJ330" s="84"/>
      <c r="AK330" s="92" t="s">
        <v>1453</v>
      </c>
      <c r="AL330" s="84" t="b">
        <v>0</v>
      </c>
      <c r="AM330" s="84">
        <v>0</v>
      </c>
      <c r="AN330" s="92" t="s">
        <v>1453</v>
      </c>
      <c r="AO330" s="84" t="s">
        <v>1465</v>
      </c>
      <c r="AP330" s="84" t="b">
        <v>0</v>
      </c>
      <c r="AQ330" s="92" t="s">
        <v>1452</v>
      </c>
      <c r="AR330" s="84" t="s">
        <v>187</v>
      </c>
      <c r="AS330" s="84">
        <v>0</v>
      </c>
      <c r="AT330" s="84">
        <v>0</v>
      </c>
      <c r="AU330" s="84"/>
      <c r="AV330" s="84"/>
      <c r="AW330" s="84"/>
      <c r="AX330" s="84"/>
      <c r="AY330" s="84"/>
      <c r="AZ330" s="84"/>
      <c r="BA330" s="84"/>
      <c r="BB330" s="84"/>
      <c r="BC330">
        <v>3</v>
      </c>
      <c r="BD330" s="83" t="str">
        <f>REPLACE(INDEX(GroupVertices[Group],MATCH(Edges[[#This Row],[Vertex 1]],GroupVertices[Vertex],0)),1,1,"")</f>
        <v>6</v>
      </c>
      <c r="BE330" s="83" t="str">
        <f>REPLACE(INDEX(GroupVertices[Group],MATCH(Edges[[#This Row],[Vertex 2]],GroupVertices[Vertex],0)),1,1,"")</f>
        <v>6</v>
      </c>
      <c r="BF330" s="49">
        <v>0</v>
      </c>
      <c r="BG330" s="50">
        <v>0</v>
      </c>
      <c r="BH330" s="49">
        <v>0</v>
      </c>
      <c r="BI330" s="50">
        <v>0</v>
      </c>
      <c r="BJ330" s="49">
        <v>0</v>
      </c>
      <c r="BK330" s="50">
        <v>0</v>
      </c>
      <c r="BL330" s="49">
        <v>39</v>
      </c>
      <c r="BM330" s="50">
        <v>100</v>
      </c>
      <c r="BN330" s="49">
        <v>39</v>
      </c>
    </row>
    <row r="331" spans="1:66" ht="15">
      <c r="A331" s="68" t="s">
        <v>378</v>
      </c>
      <c r="B331" s="68" t="s">
        <v>378</v>
      </c>
      <c r="C331" s="69" t="s">
        <v>5208</v>
      </c>
      <c r="D331" s="70">
        <v>1</v>
      </c>
      <c r="E331" s="71" t="s">
        <v>132</v>
      </c>
      <c r="F331" s="72">
        <v>32</v>
      </c>
      <c r="G331" s="69" t="s">
        <v>51</v>
      </c>
      <c r="H331" s="73"/>
      <c r="I331" s="74"/>
      <c r="J331" s="74"/>
      <c r="K331" s="35" t="s">
        <v>65</v>
      </c>
      <c r="L331" s="82">
        <v>331</v>
      </c>
      <c r="M331" s="82"/>
      <c r="N331" s="76"/>
      <c r="O331" s="84" t="s">
        <v>187</v>
      </c>
      <c r="P331" s="86">
        <v>44088.40456018518</v>
      </c>
      <c r="Q331" s="84" t="s">
        <v>498</v>
      </c>
      <c r="R331" s="84"/>
      <c r="S331" s="84"/>
      <c r="T331" s="84" t="s">
        <v>614</v>
      </c>
      <c r="U331" s="87" t="str">
        <f>HYPERLINK("https://pbs.twimg.com/ext_tw_video_thumb/1305441750304129024/pu/img/n-R8mmCWf4S5Uvor.jpg")</f>
        <v>https://pbs.twimg.com/ext_tw_video_thumb/1305441750304129024/pu/img/n-R8mmCWf4S5Uvor.jpg</v>
      </c>
      <c r="V331" s="87" t="str">
        <f>HYPERLINK("https://pbs.twimg.com/ext_tw_video_thumb/1305441750304129024/pu/img/n-R8mmCWf4S5Uvor.jpg")</f>
        <v>https://pbs.twimg.com/ext_tw_video_thumb/1305441750304129024/pu/img/n-R8mmCWf4S5Uvor.jpg</v>
      </c>
      <c r="W331" s="86">
        <v>44088.40456018518</v>
      </c>
      <c r="X331" s="90">
        <v>44088</v>
      </c>
      <c r="Y331" s="92" t="s">
        <v>845</v>
      </c>
      <c r="Z331" s="87" t="str">
        <f>HYPERLINK("https://twitter.com/amayo_ii/status/1305441803408216064")</f>
        <v>https://twitter.com/amayo_ii/status/1305441803408216064</v>
      </c>
      <c r="AA331" s="84"/>
      <c r="AB331" s="84"/>
      <c r="AC331" s="92" t="s">
        <v>1242</v>
      </c>
      <c r="AD331" s="84"/>
      <c r="AE331" s="84" t="b">
        <v>0</v>
      </c>
      <c r="AF331" s="84">
        <v>8</v>
      </c>
      <c r="AG331" s="92" t="s">
        <v>1453</v>
      </c>
      <c r="AH331" s="84" t="b">
        <v>0</v>
      </c>
      <c r="AI331" s="84" t="s">
        <v>1456</v>
      </c>
      <c r="AJ331" s="84"/>
      <c r="AK331" s="92" t="s">
        <v>1453</v>
      </c>
      <c r="AL331" s="84" t="b">
        <v>0</v>
      </c>
      <c r="AM331" s="84">
        <v>6</v>
      </c>
      <c r="AN331" s="92" t="s">
        <v>1453</v>
      </c>
      <c r="AO331" s="84" t="s">
        <v>1465</v>
      </c>
      <c r="AP331" s="84" t="b">
        <v>0</v>
      </c>
      <c r="AQ331" s="92" t="s">
        <v>1242</v>
      </c>
      <c r="AR331" s="84" t="s">
        <v>187</v>
      </c>
      <c r="AS331" s="84">
        <v>0</v>
      </c>
      <c r="AT331" s="84">
        <v>0</v>
      </c>
      <c r="AU331" s="84"/>
      <c r="AV331" s="84"/>
      <c r="AW331" s="84"/>
      <c r="AX331" s="84"/>
      <c r="AY331" s="84"/>
      <c r="AZ331" s="84"/>
      <c r="BA331" s="84"/>
      <c r="BB331" s="84"/>
      <c r="BC331">
        <v>1</v>
      </c>
      <c r="BD331" s="83" t="str">
        <f>REPLACE(INDEX(GroupVertices[Group],MATCH(Edges[[#This Row],[Vertex 1]],GroupVertices[Vertex],0)),1,1,"")</f>
        <v>2</v>
      </c>
      <c r="BE331" s="83" t="str">
        <f>REPLACE(INDEX(GroupVertices[Group],MATCH(Edges[[#This Row],[Vertex 2]],GroupVertices[Vertex],0)),1,1,"")</f>
        <v>2</v>
      </c>
      <c r="BF331" s="49">
        <v>0</v>
      </c>
      <c r="BG331" s="50">
        <v>0</v>
      </c>
      <c r="BH331" s="49">
        <v>0</v>
      </c>
      <c r="BI331" s="50">
        <v>0</v>
      </c>
      <c r="BJ331" s="49">
        <v>0</v>
      </c>
      <c r="BK331" s="50">
        <v>0</v>
      </c>
      <c r="BL331" s="49">
        <v>49</v>
      </c>
      <c r="BM331" s="50">
        <v>100</v>
      </c>
      <c r="BN331" s="49">
        <v>49</v>
      </c>
    </row>
    <row r="332" spans="1:66" ht="15">
      <c r="A332" s="68" t="s">
        <v>379</v>
      </c>
      <c r="B332" s="68" t="s">
        <v>378</v>
      </c>
      <c r="C332" s="69" t="s">
        <v>5208</v>
      </c>
      <c r="D332" s="70">
        <v>1</v>
      </c>
      <c r="E332" s="71" t="s">
        <v>132</v>
      </c>
      <c r="F332" s="72">
        <v>32</v>
      </c>
      <c r="G332" s="69" t="s">
        <v>51</v>
      </c>
      <c r="H332" s="73"/>
      <c r="I332" s="74"/>
      <c r="J332" s="74"/>
      <c r="K332" s="35" t="s">
        <v>65</v>
      </c>
      <c r="L332" s="82">
        <v>332</v>
      </c>
      <c r="M332" s="82"/>
      <c r="N332" s="76"/>
      <c r="O332" s="84" t="s">
        <v>439</v>
      </c>
      <c r="P332" s="86">
        <v>44088.65488425926</v>
      </c>
      <c r="Q332" s="84" t="s">
        <v>498</v>
      </c>
      <c r="R332" s="84"/>
      <c r="S332" s="84"/>
      <c r="T332" s="84" t="s">
        <v>614</v>
      </c>
      <c r="U332" s="87" t="str">
        <f>HYPERLINK("https://pbs.twimg.com/ext_tw_video_thumb/1305441750304129024/pu/img/n-R8mmCWf4S5Uvor.jpg")</f>
        <v>https://pbs.twimg.com/ext_tw_video_thumb/1305441750304129024/pu/img/n-R8mmCWf4S5Uvor.jpg</v>
      </c>
      <c r="V332" s="87" t="str">
        <f>HYPERLINK("https://pbs.twimg.com/ext_tw_video_thumb/1305441750304129024/pu/img/n-R8mmCWf4S5Uvor.jpg")</f>
        <v>https://pbs.twimg.com/ext_tw_video_thumb/1305441750304129024/pu/img/n-R8mmCWf4S5Uvor.jpg</v>
      </c>
      <c r="W332" s="86">
        <v>44088.65488425926</v>
      </c>
      <c r="X332" s="90">
        <v>44088</v>
      </c>
      <c r="Y332" s="92" t="s">
        <v>846</v>
      </c>
      <c r="Z332" s="87" t="str">
        <f>HYPERLINK("https://twitter.com/yonilimo/status/1305532517957730305")</f>
        <v>https://twitter.com/yonilimo/status/1305532517957730305</v>
      </c>
      <c r="AA332" s="84"/>
      <c r="AB332" s="84"/>
      <c r="AC332" s="92" t="s">
        <v>1243</v>
      </c>
      <c r="AD332" s="84"/>
      <c r="AE332" s="84" t="b">
        <v>0</v>
      </c>
      <c r="AF332" s="84">
        <v>0</v>
      </c>
      <c r="AG332" s="92" t="s">
        <v>1453</v>
      </c>
      <c r="AH332" s="84" t="b">
        <v>0</v>
      </c>
      <c r="AI332" s="84" t="s">
        <v>1456</v>
      </c>
      <c r="AJ332" s="84"/>
      <c r="AK332" s="92" t="s">
        <v>1453</v>
      </c>
      <c r="AL332" s="84" t="b">
        <v>0</v>
      </c>
      <c r="AM332" s="84">
        <v>6</v>
      </c>
      <c r="AN332" s="92" t="s">
        <v>1242</v>
      </c>
      <c r="AO332" s="84" t="s">
        <v>1464</v>
      </c>
      <c r="AP332" s="84" t="b">
        <v>0</v>
      </c>
      <c r="AQ332" s="92" t="s">
        <v>1242</v>
      </c>
      <c r="AR332" s="84" t="s">
        <v>187</v>
      </c>
      <c r="AS332" s="84">
        <v>0</v>
      </c>
      <c r="AT332" s="84">
        <v>0</v>
      </c>
      <c r="AU332" s="84"/>
      <c r="AV332" s="84"/>
      <c r="AW332" s="84"/>
      <c r="AX332" s="84"/>
      <c r="AY332" s="84"/>
      <c r="AZ332" s="84"/>
      <c r="BA332" s="84"/>
      <c r="BB332" s="84"/>
      <c r="BC332">
        <v>1</v>
      </c>
      <c r="BD332" s="83" t="str">
        <f>REPLACE(INDEX(GroupVertices[Group],MATCH(Edges[[#This Row],[Vertex 1]],GroupVertices[Vertex],0)),1,1,"")</f>
        <v>2</v>
      </c>
      <c r="BE332" s="83" t="str">
        <f>REPLACE(INDEX(GroupVertices[Group],MATCH(Edges[[#This Row],[Vertex 2]],GroupVertices[Vertex],0)),1,1,"")</f>
        <v>2</v>
      </c>
      <c r="BF332" s="49">
        <v>0</v>
      </c>
      <c r="BG332" s="50">
        <v>0</v>
      </c>
      <c r="BH332" s="49">
        <v>0</v>
      </c>
      <c r="BI332" s="50">
        <v>0</v>
      </c>
      <c r="BJ332" s="49">
        <v>0</v>
      </c>
      <c r="BK332" s="50">
        <v>0</v>
      </c>
      <c r="BL332" s="49">
        <v>49</v>
      </c>
      <c r="BM332" s="50">
        <v>100</v>
      </c>
      <c r="BN332" s="49">
        <v>49</v>
      </c>
    </row>
    <row r="333" spans="1:66" ht="15">
      <c r="A333" s="68" t="s">
        <v>380</v>
      </c>
      <c r="B333" s="68" t="s">
        <v>382</v>
      </c>
      <c r="C333" s="69" t="s">
        <v>5208</v>
      </c>
      <c r="D333" s="70">
        <v>1</v>
      </c>
      <c r="E333" s="71" t="s">
        <v>132</v>
      </c>
      <c r="F333" s="72">
        <v>32</v>
      </c>
      <c r="G333" s="69" t="s">
        <v>51</v>
      </c>
      <c r="H333" s="73"/>
      <c r="I333" s="74"/>
      <c r="J333" s="74"/>
      <c r="K333" s="35" t="s">
        <v>66</v>
      </c>
      <c r="L333" s="82">
        <v>333</v>
      </c>
      <c r="M333" s="82"/>
      <c r="N333" s="76"/>
      <c r="O333" s="84" t="s">
        <v>440</v>
      </c>
      <c r="P333" s="86">
        <v>44081.71776620371</v>
      </c>
      <c r="Q333" s="84" t="s">
        <v>448</v>
      </c>
      <c r="R333" s="87" t="str">
        <f>HYPERLINK("https://www.peoplematters.in/news/technology/job-searches-in-artificial-intelligence-rise-106-in-one-year-report-26898")</f>
        <v>https://www.peoplematters.in/news/technology/job-searches-in-artificial-intelligence-rise-106-in-one-year-report-26898</v>
      </c>
      <c r="S333" s="84" t="s">
        <v>532</v>
      </c>
      <c r="T333" s="84" t="s">
        <v>568</v>
      </c>
      <c r="U333" s="87" t="str">
        <f>HYPERLINK("https://pbs.twimg.com/media/EhVAOmdWoAAOQiY.jpg")</f>
        <v>https://pbs.twimg.com/media/EhVAOmdWoAAOQiY.jpg</v>
      </c>
      <c r="V333" s="87" t="str">
        <f>HYPERLINK("https://pbs.twimg.com/media/EhVAOmdWoAAOQiY.jpg")</f>
        <v>https://pbs.twimg.com/media/EhVAOmdWoAAOQiY.jpg</v>
      </c>
      <c r="W333" s="86">
        <v>44081.71776620371</v>
      </c>
      <c r="X333" s="90">
        <v>44081</v>
      </c>
      <c r="Y333" s="92" t="s">
        <v>847</v>
      </c>
      <c r="Z333" s="87" t="str">
        <f>HYPERLINK("https://twitter.com/jolaburnett/status/1303018588907991043")</f>
        <v>https://twitter.com/jolaburnett/status/1303018588907991043</v>
      </c>
      <c r="AA333" s="84"/>
      <c r="AB333" s="84"/>
      <c r="AC333" s="92" t="s">
        <v>1244</v>
      </c>
      <c r="AD333" s="84"/>
      <c r="AE333" s="84" t="b">
        <v>0</v>
      </c>
      <c r="AF333" s="84">
        <v>0</v>
      </c>
      <c r="AG333" s="92" t="s">
        <v>1453</v>
      </c>
      <c r="AH333" s="84" t="b">
        <v>0</v>
      </c>
      <c r="AI333" s="84" t="s">
        <v>1456</v>
      </c>
      <c r="AJ333" s="84"/>
      <c r="AK333" s="92" t="s">
        <v>1453</v>
      </c>
      <c r="AL333" s="84" t="b">
        <v>0</v>
      </c>
      <c r="AM333" s="84">
        <v>25</v>
      </c>
      <c r="AN333" s="92" t="s">
        <v>1248</v>
      </c>
      <c r="AO333" s="84" t="s">
        <v>1467</v>
      </c>
      <c r="AP333" s="84" t="b">
        <v>0</v>
      </c>
      <c r="AQ333" s="92" t="s">
        <v>1248</v>
      </c>
      <c r="AR333" s="84" t="s">
        <v>187</v>
      </c>
      <c r="AS333" s="84">
        <v>0</v>
      </c>
      <c r="AT333" s="84">
        <v>0</v>
      </c>
      <c r="AU333" s="84"/>
      <c r="AV333" s="84"/>
      <c r="AW333" s="84"/>
      <c r="AX333" s="84"/>
      <c r="AY333" s="84"/>
      <c r="AZ333" s="84"/>
      <c r="BA333" s="84"/>
      <c r="BB333" s="84"/>
      <c r="BC333">
        <v>1</v>
      </c>
      <c r="BD333" s="83" t="str">
        <f>REPLACE(INDEX(GroupVertices[Group],MATCH(Edges[[#This Row],[Vertex 1]],GroupVertices[Vertex],0)),1,1,"")</f>
        <v>4</v>
      </c>
      <c r="BE333" s="83" t="str">
        <f>REPLACE(INDEX(GroupVertices[Group],MATCH(Edges[[#This Row],[Vertex 2]],GroupVertices[Vertex],0)),1,1,"")</f>
        <v>4</v>
      </c>
      <c r="BF333" s="49"/>
      <c r="BG333" s="50"/>
      <c r="BH333" s="49"/>
      <c r="BI333" s="50"/>
      <c r="BJ333" s="49"/>
      <c r="BK333" s="50"/>
      <c r="BL333" s="49"/>
      <c r="BM333" s="50"/>
      <c r="BN333" s="49"/>
    </row>
    <row r="334" spans="1:66" ht="15">
      <c r="A334" s="68" t="s">
        <v>381</v>
      </c>
      <c r="B334" s="68" t="s">
        <v>382</v>
      </c>
      <c r="C334" s="69" t="s">
        <v>5208</v>
      </c>
      <c r="D334" s="70">
        <v>1</v>
      </c>
      <c r="E334" s="71" t="s">
        <v>132</v>
      </c>
      <c r="F334" s="72">
        <v>32</v>
      </c>
      <c r="G334" s="69" t="s">
        <v>51</v>
      </c>
      <c r="H334" s="73"/>
      <c r="I334" s="74"/>
      <c r="J334" s="74"/>
      <c r="K334" s="35" t="s">
        <v>66</v>
      </c>
      <c r="L334" s="82">
        <v>334</v>
      </c>
      <c r="M334" s="82"/>
      <c r="N334" s="76"/>
      <c r="O334" s="84" t="s">
        <v>440</v>
      </c>
      <c r="P334" s="86">
        <v>44081.82989583333</v>
      </c>
      <c r="Q334" s="84" t="s">
        <v>448</v>
      </c>
      <c r="R334" s="87" t="str">
        <f>HYPERLINK("https://www.peoplematters.in/news/technology/job-searches-in-artificial-intelligence-rise-106-in-one-year-report-26898")</f>
        <v>https://www.peoplematters.in/news/technology/job-searches-in-artificial-intelligence-rise-106-in-one-year-report-26898</v>
      </c>
      <c r="S334" s="84" t="s">
        <v>532</v>
      </c>
      <c r="T334" s="84" t="s">
        <v>568</v>
      </c>
      <c r="U334" s="87" t="str">
        <f>HYPERLINK("https://pbs.twimg.com/media/EhVAOmdWoAAOQiY.jpg")</f>
        <v>https://pbs.twimg.com/media/EhVAOmdWoAAOQiY.jpg</v>
      </c>
      <c r="V334" s="87" t="str">
        <f>HYPERLINK("https://pbs.twimg.com/media/EhVAOmdWoAAOQiY.jpg")</f>
        <v>https://pbs.twimg.com/media/EhVAOmdWoAAOQiY.jpg</v>
      </c>
      <c r="W334" s="86">
        <v>44081.82989583333</v>
      </c>
      <c r="X334" s="90">
        <v>44081</v>
      </c>
      <c r="Y334" s="92" t="s">
        <v>848</v>
      </c>
      <c r="Z334" s="87" t="str">
        <f>HYPERLINK("https://twitter.com/debraruh/status/1303059226315624448")</f>
        <v>https://twitter.com/debraruh/status/1303059226315624448</v>
      </c>
      <c r="AA334" s="84"/>
      <c r="AB334" s="84"/>
      <c r="AC334" s="92" t="s">
        <v>1245</v>
      </c>
      <c r="AD334" s="84"/>
      <c r="AE334" s="84" t="b">
        <v>0</v>
      </c>
      <c r="AF334" s="84">
        <v>0</v>
      </c>
      <c r="AG334" s="92" t="s">
        <v>1453</v>
      </c>
      <c r="AH334" s="84" t="b">
        <v>0</v>
      </c>
      <c r="AI334" s="84" t="s">
        <v>1456</v>
      </c>
      <c r="AJ334" s="84"/>
      <c r="AK334" s="92" t="s">
        <v>1453</v>
      </c>
      <c r="AL334" s="84" t="b">
        <v>0</v>
      </c>
      <c r="AM334" s="84">
        <v>25</v>
      </c>
      <c r="AN334" s="92" t="s">
        <v>1248</v>
      </c>
      <c r="AO334" s="84" t="s">
        <v>1467</v>
      </c>
      <c r="AP334" s="84" t="b">
        <v>0</v>
      </c>
      <c r="AQ334" s="92" t="s">
        <v>1248</v>
      </c>
      <c r="AR334" s="84" t="s">
        <v>187</v>
      </c>
      <c r="AS334" s="84">
        <v>0</v>
      </c>
      <c r="AT334" s="84">
        <v>0</v>
      </c>
      <c r="AU334" s="84"/>
      <c r="AV334" s="84"/>
      <c r="AW334" s="84"/>
      <c r="AX334" s="84"/>
      <c r="AY334" s="84"/>
      <c r="AZ334" s="84"/>
      <c r="BA334" s="84"/>
      <c r="BB334" s="84"/>
      <c r="BC334">
        <v>1</v>
      </c>
      <c r="BD334" s="83" t="str">
        <f>REPLACE(INDEX(GroupVertices[Group],MATCH(Edges[[#This Row],[Vertex 1]],GroupVertices[Vertex],0)),1,1,"")</f>
        <v>4</v>
      </c>
      <c r="BE334" s="83" t="str">
        <f>REPLACE(INDEX(GroupVertices[Group],MATCH(Edges[[#This Row],[Vertex 2]],GroupVertices[Vertex],0)),1,1,"")</f>
        <v>4</v>
      </c>
      <c r="BF334" s="49"/>
      <c r="BG334" s="50"/>
      <c r="BH334" s="49"/>
      <c r="BI334" s="50"/>
      <c r="BJ334" s="49"/>
      <c r="BK334" s="50"/>
      <c r="BL334" s="49"/>
      <c r="BM334" s="50"/>
      <c r="BN334" s="49"/>
    </row>
    <row r="335" spans="1:66" ht="15">
      <c r="A335" s="68" t="s">
        <v>382</v>
      </c>
      <c r="B335" s="68" t="s">
        <v>385</v>
      </c>
      <c r="C335" s="69" t="s">
        <v>5208</v>
      </c>
      <c r="D335" s="70">
        <v>1</v>
      </c>
      <c r="E335" s="71" t="s">
        <v>132</v>
      </c>
      <c r="F335" s="72">
        <v>32</v>
      </c>
      <c r="G335" s="69" t="s">
        <v>51</v>
      </c>
      <c r="H335" s="73"/>
      <c r="I335" s="74"/>
      <c r="J335" s="74"/>
      <c r="K335" s="35" t="s">
        <v>66</v>
      </c>
      <c r="L335" s="82">
        <v>335</v>
      </c>
      <c r="M335" s="82"/>
      <c r="N335" s="76"/>
      <c r="O335" s="84" t="s">
        <v>440</v>
      </c>
      <c r="P335" s="86">
        <v>44081.83002314815</v>
      </c>
      <c r="Q335" s="84" t="s">
        <v>448</v>
      </c>
      <c r="R335" s="87" t="str">
        <f>HYPERLINK("https://www.peoplematters.in/news/technology/job-searches-in-artificial-intelligence-rise-106-in-one-year-report-26898")</f>
        <v>https://www.peoplematters.in/news/technology/job-searches-in-artificial-intelligence-rise-106-in-one-year-report-26898</v>
      </c>
      <c r="S335" s="84" t="s">
        <v>532</v>
      </c>
      <c r="T335" s="84" t="s">
        <v>568</v>
      </c>
      <c r="U335" s="87" t="str">
        <f>HYPERLINK("https://pbs.twimg.com/media/EhVAOmdWoAAOQiY.jpg")</f>
        <v>https://pbs.twimg.com/media/EhVAOmdWoAAOQiY.jpg</v>
      </c>
      <c r="V335" s="87" t="str">
        <f>HYPERLINK("https://pbs.twimg.com/media/EhVAOmdWoAAOQiY.jpg")</f>
        <v>https://pbs.twimg.com/media/EhVAOmdWoAAOQiY.jpg</v>
      </c>
      <c r="W335" s="86">
        <v>44081.83002314815</v>
      </c>
      <c r="X335" s="90">
        <v>44081</v>
      </c>
      <c r="Y335" s="92" t="s">
        <v>849</v>
      </c>
      <c r="Z335" s="87" t="str">
        <f>HYPERLINK("https://twitter.com/drjdrooghaag/status/1303059269848268802")</f>
        <v>https://twitter.com/drjdrooghaag/status/1303059269848268802</v>
      </c>
      <c r="AA335" s="84"/>
      <c r="AB335" s="84"/>
      <c r="AC335" s="92" t="s">
        <v>1246</v>
      </c>
      <c r="AD335" s="84"/>
      <c r="AE335" s="84" t="b">
        <v>0</v>
      </c>
      <c r="AF335" s="84">
        <v>0</v>
      </c>
      <c r="AG335" s="92" t="s">
        <v>1453</v>
      </c>
      <c r="AH335" s="84" t="b">
        <v>0</v>
      </c>
      <c r="AI335" s="84" t="s">
        <v>1456</v>
      </c>
      <c r="AJ335" s="84"/>
      <c r="AK335" s="92" t="s">
        <v>1453</v>
      </c>
      <c r="AL335" s="84" t="b">
        <v>0</v>
      </c>
      <c r="AM335" s="84">
        <v>25</v>
      </c>
      <c r="AN335" s="92" t="s">
        <v>1248</v>
      </c>
      <c r="AO335" s="84" t="s">
        <v>1491</v>
      </c>
      <c r="AP335" s="84" t="b">
        <v>0</v>
      </c>
      <c r="AQ335" s="92" t="s">
        <v>1248</v>
      </c>
      <c r="AR335" s="84" t="s">
        <v>187</v>
      </c>
      <c r="AS335" s="84">
        <v>0</v>
      </c>
      <c r="AT335" s="84">
        <v>0</v>
      </c>
      <c r="AU335" s="84"/>
      <c r="AV335" s="84"/>
      <c r="AW335" s="84"/>
      <c r="AX335" s="84"/>
      <c r="AY335" s="84"/>
      <c r="AZ335" s="84"/>
      <c r="BA335" s="84"/>
      <c r="BB335" s="84"/>
      <c r="BC335">
        <v>1</v>
      </c>
      <c r="BD335" s="83" t="str">
        <f>REPLACE(INDEX(GroupVertices[Group],MATCH(Edges[[#This Row],[Vertex 1]],GroupVertices[Vertex],0)),1,1,"")</f>
        <v>4</v>
      </c>
      <c r="BE335" s="83" t="str">
        <f>REPLACE(INDEX(GroupVertices[Group],MATCH(Edges[[#This Row],[Vertex 2]],GroupVertices[Vertex],0)),1,1,"")</f>
        <v>4</v>
      </c>
      <c r="BF335" s="49"/>
      <c r="BG335" s="50"/>
      <c r="BH335" s="49"/>
      <c r="BI335" s="50"/>
      <c r="BJ335" s="49"/>
      <c r="BK335" s="50"/>
      <c r="BL335" s="49"/>
      <c r="BM335" s="50"/>
      <c r="BN335" s="49"/>
    </row>
    <row r="336" spans="1:66" ht="15">
      <c r="A336" s="68" t="s">
        <v>382</v>
      </c>
      <c r="B336" s="68" t="s">
        <v>430</v>
      </c>
      <c r="C336" s="69" t="s">
        <v>5208</v>
      </c>
      <c r="D336" s="70">
        <v>1</v>
      </c>
      <c r="E336" s="71" t="s">
        <v>132</v>
      </c>
      <c r="F336" s="72">
        <v>32</v>
      </c>
      <c r="G336" s="69" t="s">
        <v>51</v>
      </c>
      <c r="H336" s="73"/>
      <c r="I336" s="74"/>
      <c r="J336" s="74"/>
      <c r="K336" s="35" t="s">
        <v>65</v>
      </c>
      <c r="L336" s="82">
        <v>336</v>
      </c>
      <c r="M336" s="82"/>
      <c r="N336" s="76"/>
      <c r="O336" s="84" t="s">
        <v>440</v>
      </c>
      <c r="P336" s="86">
        <v>44081.83002314815</v>
      </c>
      <c r="Q336" s="84" t="s">
        <v>448</v>
      </c>
      <c r="R336" s="87" t="str">
        <f>HYPERLINK("https://www.peoplematters.in/news/technology/job-searches-in-artificial-intelligence-rise-106-in-one-year-report-26898")</f>
        <v>https://www.peoplematters.in/news/technology/job-searches-in-artificial-intelligence-rise-106-in-one-year-report-26898</v>
      </c>
      <c r="S336" s="84" t="s">
        <v>532</v>
      </c>
      <c r="T336" s="84" t="s">
        <v>568</v>
      </c>
      <c r="U336" s="87" t="str">
        <f>HYPERLINK("https://pbs.twimg.com/media/EhVAOmdWoAAOQiY.jpg")</f>
        <v>https://pbs.twimg.com/media/EhVAOmdWoAAOQiY.jpg</v>
      </c>
      <c r="V336" s="87" t="str">
        <f>HYPERLINK("https://pbs.twimg.com/media/EhVAOmdWoAAOQiY.jpg")</f>
        <v>https://pbs.twimg.com/media/EhVAOmdWoAAOQiY.jpg</v>
      </c>
      <c r="W336" s="86">
        <v>44081.83002314815</v>
      </c>
      <c r="X336" s="90">
        <v>44081</v>
      </c>
      <c r="Y336" s="92" t="s">
        <v>849</v>
      </c>
      <c r="Z336" s="87" t="str">
        <f>HYPERLINK("https://twitter.com/drjdrooghaag/status/1303059269848268802")</f>
        <v>https://twitter.com/drjdrooghaag/status/1303059269848268802</v>
      </c>
      <c r="AA336" s="84"/>
      <c r="AB336" s="84"/>
      <c r="AC336" s="92" t="s">
        <v>1246</v>
      </c>
      <c r="AD336" s="84"/>
      <c r="AE336" s="84" t="b">
        <v>0</v>
      </c>
      <c r="AF336" s="84">
        <v>0</v>
      </c>
      <c r="AG336" s="92" t="s">
        <v>1453</v>
      </c>
      <c r="AH336" s="84" t="b">
        <v>0</v>
      </c>
      <c r="AI336" s="84" t="s">
        <v>1456</v>
      </c>
      <c r="AJ336" s="84"/>
      <c r="AK336" s="92" t="s">
        <v>1453</v>
      </c>
      <c r="AL336" s="84" t="b">
        <v>0</v>
      </c>
      <c r="AM336" s="84">
        <v>25</v>
      </c>
      <c r="AN336" s="92" t="s">
        <v>1248</v>
      </c>
      <c r="AO336" s="84" t="s">
        <v>1491</v>
      </c>
      <c r="AP336" s="84" t="b">
        <v>0</v>
      </c>
      <c r="AQ336" s="92" t="s">
        <v>1248</v>
      </c>
      <c r="AR336" s="84" t="s">
        <v>187</v>
      </c>
      <c r="AS336" s="84">
        <v>0</v>
      </c>
      <c r="AT336" s="84">
        <v>0</v>
      </c>
      <c r="AU336" s="84"/>
      <c r="AV336" s="84"/>
      <c r="AW336" s="84"/>
      <c r="AX336" s="84"/>
      <c r="AY336" s="84"/>
      <c r="AZ336" s="84"/>
      <c r="BA336" s="84"/>
      <c r="BB336" s="84"/>
      <c r="BC336">
        <v>1</v>
      </c>
      <c r="BD336" s="83" t="str">
        <f>REPLACE(INDEX(GroupVertices[Group],MATCH(Edges[[#This Row],[Vertex 1]],GroupVertices[Vertex],0)),1,1,"")</f>
        <v>4</v>
      </c>
      <c r="BE336" s="83" t="str">
        <f>REPLACE(INDEX(GroupVertices[Group],MATCH(Edges[[#This Row],[Vertex 2]],GroupVertices[Vertex],0)),1,1,"")</f>
        <v>4</v>
      </c>
      <c r="BF336" s="49"/>
      <c r="BG336" s="50"/>
      <c r="BH336" s="49"/>
      <c r="BI336" s="50"/>
      <c r="BJ336" s="49"/>
      <c r="BK336" s="50"/>
      <c r="BL336" s="49"/>
      <c r="BM336" s="50"/>
      <c r="BN336" s="49"/>
    </row>
    <row r="337" spans="1:66" ht="15">
      <c r="A337" s="68" t="s">
        <v>382</v>
      </c>
      <c r="B337" s="68" t="s">
        <v>383</v>
      </c>
      <c r="C337" s="69" t="s">
        <v>5208</v>
      </c>
      <c r="D337" s="70">
        <v>1</v>
      </c>
      <c r="E337" s="71" t="s">
        <v>132</v>
      </c>
      <c r="F337" s="72">
        <v>32</v>
      </c>
      <c r="G337" s="69" t="s">
        <v>51</v>
      </c>
      <c r="H337" s="73"/>
      <c r="I337" s="74"/>
      <c r="J337" s="74"/>
      <c r="K337" s="35" t="s">
        <v>66</v>
      </c>
      <c r="L337" s="82">
        <v>337</v>
      </c>
      <c r="M337" s="82"/>
      <c r="N337" s="76"/>
      <c r="O337" s="84" t="s">
        <v>440</v>
      </c>
      <c r="P337" s="86">
        <v>44081.83002314815</v>
      </c>
      <c r="Q337" s="84" t="s">
        <v>448</v>
      </c>
      <c r="R337" s="87" t="str">
        <f>HYPERLINK("https://www.peoplematters.in/news/technology/job-searches-in-artificial-intelligence-rise-106-in-one-year-report-26898")</f>
        <v>https://www.peoplematters.in/news/technology/job-searches-in-artificial-intelligence-rise-106-in-one-year-report-26898</v>
      </c>
      <c r="S337" s="84" t="s">
        <v>532</v>
      </c>
      <c r="T337" s="84" t="s">
        <v>568</v>
      </c>
      <c r="U337" s="87" t="str">
        <f>HYPERLINK("https://pbs.twimg.com/media/EhVAOmdWoAAOQiY.jpg")</f>
        <v>https://pbs.twimg.com/media/EhVAOmdWoAAOQiY.jpg</v>
      </c>
      <c r="V337" s="87" t="str">
        <f>HYPERLINK("https://pbs.twimg.com/media/EhVAOmdWoAAOQiY.jpg")</f>
        <v>https://pbs.twimg.com/media/EhVAOmdWoAAOQiY.jpg</v>
      </c>
      <c r="W337" s="86">
        <v>44081.83002314815</v>
      </c>
      <c r="X337" s="90">
        <v>44081</v>
      </c>
      <c r="Y337" s="92" t="s">
        <v>849</v>
      </c>
      <c r="Z337" s="87" t="str">
        <f>HYPERLINK("https://twitter.com/drjdrooghaag/status/1303059269848268802")</f>
        <v>https://twitter.com/drjdrooghaag/status/1303059269848268802</v>
      </c>
      <c r="AA337" s="84"/>
      <c r="AB337" s="84"/>
      <c r="AC337" s="92" t="s">
        <v>1246</v>
      </c>
      <c r="AD337" s="84"/>
      <c r="AE337" s="84" t="b">
        <v>0</v>
      </c>
      <c r="AF337" s="84">
        <v>0</v>
      </c>
      <c r="AG337" s="92" t="s">
        <v>1453</v>
      </c>
      <c r="AH337" s="84" t="b">
        <v>0</v>
      </c>
      <c r="AI337" s="84" t="s">
        <v>1456</v>
      </c>
      <c r="AJ337" s="84"/>
      <c r="AK337" s="92" t="s">
        <v>1453</v>
      </c>
      <c r="AL337" s="84" t="b">
        <v>0</v>
      </c>
      <c r="AM337" s="84">
        <v>25</v>
      </c>
      <c r="AN337" s="92" t="s">
        <v>1248</v>
      </c>
      <c r="AO337" s="84" t="s">
        <v>1491</v>
      </c>
      <c r="AP337" s="84" t="b">
        <v>0</v>
      </c>
      <c r="AQ337" s="92" t="s">
        <v>1248</v>
      </c>
      <c r="AR337" s="84" t="s">
        <v>187</v>
      </c>
      <c r="AS337" s="84">
        <v>0</v>
      </c>
      <c r="AT337" s="84">
        <v>0</v>
      </c>
      <c r="AU337" s="84"/>
      <c r="AV337" s="84"/>
      <c r="AW337" s="84"/>
      <c r="AX337" s="84"/>
      <c r="AY337" s="84"/>
      <c r="AZ337" s="84"/>
      <c r="BA337" s="84"/>
      <c r="BB337" s="84"/>
      <c r="BC337">
        <v>1</v>
      </c>
      <c r="BD337" s="83" t="str">
        <f>REPLACE(INDEX(GroupVertices[Group],MATCH(Edges[[#This Row],[Vertex 1]],GroupVertices[Vertex],0)),1,1,"")</f>
        <v>4</v>
      </c>
      <c r="BE337" s="83" t="str">
        <f>REPLACE(INDEX(GroupVertices[Group],MATCH(Edges[[#This Row],[Vertex 2]],GroupVertices[Vertex],0)),1,1,"")</f>
        <v>4</v>
      </c>
      <c r="BF337" s="49"/>
      <c r="BG337" s="50"/>
      <c r="BH337" s="49"/>
      <c r="BI337" s="50"/>
      <c r="BJ337" s="49"/>
      <c r="BK337" s="50"/>
      <c r="BL337" s="49"/>
      <c r="BM337" s="50"/>
      <c r="BN337" s="49"/>
    </row>
    <row r="338" spans="1:66" ht="15">
      <c r="A338" s="68" t="s">
        <v>382</v>
      </c>
      <c r="B338" s="68" t="s">
        <v>380</v>
      </c>
      <c r="C338" s="69" t="s">
        <v>5208</v>
      </c>
      <c r="D338" s="70">
        <v>1</v>
      </c>
      <c r="E338" s="71" t="s">
        <v>132</v>
      </c>
      <c r="F338" s="72">
        <v>32</v>
      </c>
      <c r="G338" s="69" t="s">
        <v>51</v>
      </c>
      <c r="H338" s="73"/>
      <c r="I338" s="74"/>
      <c r="J338" s="74"/>
      <c r="K338" s="35" t="s">
        <v>66</v>
      </c>
      <c r="L338" s="82">
        <v>338</v>
      </c>
      <c r="M338" s="82"/>
      <c r="N338" s="76"/>
      <c r="O338" s="84" t="s">
        <v>440</v>
      </c>
      <c r="P338" s="86">
        <v>44081.83002314815</v>
      </c>
      <c r="Q338" s="84" t="s">
        <v>448</v>
      </c>
      <c r="R338" s="87" t="str">
        <f>HYPERLINK("https://www.peoplematters.in/news/technology/job-searches-in-artificial-intelligence-rise-106-in-one-year-report-26898")</f>
        <v>https://www.peoplematters.in/news/technology/job-searches-in-artificial-intelligence-rise-106-in-one-year-report-26898</v>
      </c>
      <c r="S338" s="84" t="s">
        <v>532</v>
      </c>
      <c r="T338" s="84" t="s">
        <v>568</v>
      </c>
      <c r="U338" s="87" t="str">
        <f>HYPERLINK("https://pbs.twimg.com/media/EhVAOmdWoAAOQiY.jpg")</f>
        <v>https://pbs.twimg.com/media/EhVAOmdWoAAOQiY.jpg</v>
      </c>
      <c r="V338" s="87" t="str">
        <f>HYPERLINK("https://pbs.twimg.com/media/EhVAOmdWoAAOQiY.jpg")</f>
        <v>https://pbs.twimg.com/media/EhVAOmdWoAAOQiY.jpg</v>
      </c>
      <c r="W338" s="86">
        <v>44081.83002314815</v>
      </c>
      <c r="X338" s="90">
        <v>44081</v>
      </c>
      <c r="Y338" s="92" t="s">
        <v>849</v>
      </c>
      <c r="Z338" s="87" t="str">
        <f>HYPERLINK("https://twitter.com/drjdrooghaag/status/1303059269848268802")</f>
        <v>https://twitter.com/drjdrooghaag/status/1303059269848268802</v>
      </c>
      <c r="AA338" s="84"/>
      <c r="AB338" s="84"/>
      <c r="AC338" s="92" t="s">
        <v>1246</v>
      </c>
      <c r="AD338" s="84"/>
      <c r="AE338" s="84" t="b">
        <v>0</v>
      </c>
      <c r="AF338" s="84">
        <v>0</v>
      </c>
      <c r="AG338" s="92" t="s">
        <v>1453</v>
      </c>
      <c r="AH338" s="84" t="b">
        <v>0</v>
      </c>
      <c r="AI338" s="84" t="s">
        <v>1456</v>
      </c>
      <c r="AJ338" s="84"/>
      <c r="AK338" s="92" t="s">
        <v>1453</v>
      </c>
      <c r="AL338" s="84" t="b">
        <v>0</v>
      </c>
      <c r="AM338" s="84">
        <v>25</v>
      </c>
      <c r="AN338" s="92" t="s">
        <v>1248</v>
      </c>
      <c r="AO338" s="84" t="s">
        <v>1491</v>
      </c>
      <c r="AP338" s="84" t="b">
        <v>0</v>
      </c>
      <c r="AQ338" s="92" t="s">
        <v>1248</v>
      </c>
      <c r="AR338" s="84" t="s">
        <v>187</v>
      </c>
      <c r="AS338" s="84">
        <v>0</v>
      </c>
      <c r="AT338" s="84">
        <v>0</v>
      </c>
      <c r="AU338" s="84"/>
      <c r="AV338" s="84"/>
      <c r="AW338" s="84"/>
      <c r="AX338" s="84"/>
      <c r="AY338" s="84"/>
      <c r="AZ338" s="84"/>
      <c r="BA338" s="84"/>
      <c r="BB338" s="84"/>
      <c r="BC338">
        <v>1</v>
      </c>
      <c r="BD338" s="83" t="str">
        <f>REPLACE(INDEX(GroupVertices[Group],MATCH(Edges[[#This Row],[Vertex 1]],GroupVertices[Vertex],0)),1,1,"")</f>
        <v>4</v>
      </c>
      <c r="BE338" s="83" t="str">
        <f>REPLACE(INDEX(GroupVertices[Group],MATCH(Edges[[#This Row],[Vertex 2]],GroupVertices[Vertex],0)),1,1,"")</f>
        <v>4</v>
      </c>
      <c r="BF338" s="49"/>
      <c r="BG338" s="50"/>
      <c r="BH338" s="49"/>
      <c r="BI338" s="50"/>
      <c r="BJ338" s="49"/>
      <c r="BK338" s="50"/>
      <c r="BL338" s="49"/>
      <c r="BM338" s="50"/>
      <c r="BN338" s="49"/>
    </row>
    <row r="339" spans="1:66" ht="15">
      <c r="A339" s="68" t="s">
        <v>382</v>
      </c>
      <c r="B339" s="68" t="s">
        <v>381</v>
      </c>
      <c r="C339" s="69" t="s">
        <v>5208</v>
      </c>
      <c r="D339" s="70">
        <v>1</v>
      </c>
      <c r="E339" s="71" t="s">
        <v>132</v>
      </c>
      <c r="F339" s="72">
        <v>32</v>
      </c>
      <c r="G339" s="69" t="s">
        <v>51</v>
      </c>
      <c r="H339" s="73"/>
      <c r="I339" s="74"/>
      <c r="J339" s="74"/>
      <c r="K339" s="35" t="s">
        <v>66</v>
      </c>
      <c r="L339" s="82">
        <v>339</v>
      </c>
      <c r="M339" s="82"/>
      <c r="N339" s="76"/>
      <c r="O339" s="84" t="s">
        <v>440</v>
      </c>
      <c r="P339" s="86">
        <v>44081.83002314815</v>
      </c>
      <c r="Q339" s="84" t="s">
        <v>448</v>
      </c>
      <c r="R339" s="87" t="str">
        <f>HYPERLINK("https://www.peoplematters.in/news/technology/job-searches-in-artificial-intelligence-rise-106-in-one-year-report-26898")</f>
        <v>https://www.peoplematters.in/news/technology/job-searches-in-artificial-intelligence-rise-106-in-one-year-report-26898</v>
      </c>
      <c r="S339" s="84" t="s">
        <v>532</v>
      </c>
      <c r="T339" s="84" t="s">
        <v>568</v>
      </c>
      <c r="U339" s="87" t="str">
        <f>HYPERLINK("https://pbs.twimg.com/media/EhVAOmdWoAAOQiY.jpg")</f>
        <v>https://pbs.twimg.com/media/EhVAOmdWoAAOQiY.jpg</v>
      </c>
      <c r="V339" s="87" t="str">
        <f>HYPERLINK("https://pbs.twimg.com/media/EhVAOmdWoAAOQiY.jpg")</f>
        <v>https://pbs.twimg.com/media/EhVAOmdWoAAOQiY.jpg</v>
      </c>
      <c r="W339" s="86">
        <v>44081.83002314815</v>
      </c>
      <c r="X339" s="90">
        <v>44081</v>
      </c>
      <c r="Y339" s="92" t="s">
        <v>849</v>
      </c>
      <c r="Z339" s="87" t="str">
        <f>HYPERLINK("https://twitter.com/drjdrooghaag/status/1303059269848268802")</f>
        <v>https://twitter.com/drjdrooghaag/status/1303059269848268802</v>
      </c>
      <c r="AA339" s="84"/>
      <c r="AB339" s="84"/>
      <c r="AC339" s="92" t="s">
        <v>1246</v>
      </c>
      <c r="AD339" s="84"/>
      <c r="AE339" s="84" t="b">
        <v>0</v>
      </c>
      <c r="AF339" s="84">
        <v>0</v>
      </c>
      <c r="AG339" s="92" t="s">
        <v>1453</v>
      </c>
      <c r="AH339" s="84" t="b">
        <v>0</v>
      </c>
      <c r="AI339" s="84" t="s">
        <v>1456</v>
      </c>
      <c r="AJ339" s="84"/>
      <c r="AK339" s="92" t="s">
        <v>1453</v>
      </c>
      <c r="AL339" s="84" t="b">
        <v>0</v>
      </c>
      <c r="AM339" s="84">
        <v>25</v>
      </c>
      <c r="AN339" s="92" t="s">
        <v>1248</v>
      </c>
      <c r="AO339" s="84" t="s">
        <v>1491</v>
      </c>
      <c r="AP339" s="84" t="b">
        <v>0</v>
      </c>
      <c r="AQ339" s="92" t="s">
        <v>1248</v>
      </c>
      <c r="AR339" s="84" t="s">
        <v>187</v>
      </c>
      <c r="AS339" s="84">
        <v>0</v>
      </c>
      <c r="AT339" s="84">
        <v>0</v>
      </c>
      <c r="AU339" s="84"/>
      <c r="AV339" s="84"/>
      <c r="AW339" s="84"/>
      <c r="AX339" s="84"/>
      <c r="AY339" s="84"/>
      <c r="AZ339" s="84"/>
      <c r="BA339" s="84"/>
      <c r="BB339" s="84"/>
      <c r="BC339">
        <v>1</v>
      </c>
      <c r="BD339" s="83" t="str">
        <f>REPLACE(INDEX(GroupVertices[Group],MATCH(Edges[[#This Row],[Vertex 1]],GroupVertices[Vertex],0)),1,1,"")</f>
        <v>4</v>
      </c>
      <c r="BE339" s="83" t="str">
        <f>REPLACE(INDEX(GroupVertices[Group],MATCH(Edges[[#This Row],[Vertex 2]],GroupVertices[Vertex],0)),1,1,"")</f>
        <v>4</v>
      </c>
      <c r="BF339" s="49"/>
      <c r="BG339" s="50"/>
      <c r="BH339" s="49"/>
      <c r="BI339" s="50"/>
      <c r="BJ339" s="49"/>
      <c r="BK339" s="50"/>
      <c r="BL339" s="49"/>
      <c r="BM339" s="50"/>
      <c r="BN339" s="49"/>
    </row>
    <row r="340" spans="1:66" ht="15">
      <c r="A340" s="68" t="s">
        <v>382</v>
      </c>
      <c r="B340" s="68" t="s">
        <v>431</v>
      </c>
      <c r="C340" s="69" t="s">
        <v>5208</v>
      </c>
      <c r="D340" s="70">
        <v>1</v>
      </c>
      <c r="E340" s="71" t="s">
        <v>132</v>
      </c>
      <c r="F340" s="72">
        <v>32</v>
      </c>
      <c r="G340" s="69" t="s">
        <v>51</v>
      </c>
      <c r="H340" s="73"/>
      <c r="I340" s="74"/>
      <c r="J340" s="74"/>
      <c r="K340" s="35" t="s">
        <v>65</v>
      </c>
      <c r="L340" s="82">
        <v>340</v>
      </c>
      <c r="M340" s="82"/>
      <c r="N340" s="76"/>
      <c r="O340" s="84" t="s">
        <v>440</v>
      </c>
      <c r="P340" s="86">
        <v>44081.83002314815</v>
      </c>
      <c r="Q340" s="84" t="s">
        <v>448</v>
      </c>
      <c r="R340" s="87" t="str">
        <f>HYPERLINK("https://www.peoplematters.in/news/technology/job-searches-in-artificial-intelligence-rise-106-in-one-year-report-26898")</f>
        <v>https://www.peoplematters.in/news/technology/job-searches-in-artificial-intelligence-rise-106-in-one-year-report-26898</v>
      </c>
      <c r="S340" s="84" t="s">
        <v>532</v>
      </c>
      <c r="T340" s="84" t="s">
        <v>568</v>
      </c>
      <c r="U340" s="87" t="str">
        <f>HYPERLINK("https://pbs.twimg.com/media/EhVAOmdWoAAOQiY.jpg")</f>
        <v>https://pbs.twimg.com/media/EhVAOmdWoAAOQiY.jpg</v>
      </c>
      <c r="V340" s="87" t="str">
        <f>HYPERLINK("https://pbs.twimg.com/media/EhVAOmdWoAAOQiY.jpg")</f>
        <v>https://pbs.twimg.com/media/EhVAOmdWoAAOQiY.jpg</v>
      </c>
      <c r="W340" s="86">
        <v>44081.83002314815</v>
      </c>
      <c r="X340" s="90">
        <v>44081</v>
      </c>
      <c r="Y340" s="92" t="s">
        <v>849</v>
      </c>
      <c r="Z340" s="87" t="str">
        <f>HYPERLINK("https://twitter.com/drjdrooghaag/status/1303059269848268802")</f>
        <v>https://twitter.com/drjdrooghaag/status/1303059269848268802</v>
      </c>
      <c r="AA340" s="84"/>
      <c r="AB340" s="84"/>
      <c r="AC340" s="92" t="s">
        <v>1246</v>
      </c>
      <c r="AD340" s="84"/>
      <c r="AE340" s="84" t="b">
        <v>0</v>
      </c>
      <c r="AF340" s="84">
        <v>0</v>
      </c>
      <c r="AG340" s="92" t="s">
        <v>1453</v>
      </c>
      <c r="AH340" s="84" t="b">
        <v>0</v>
      </c>
      <c r="AI340" s="84" t="s">
        <v>1456</v>
      </c>
      <c r="AJ340" s="84"/>
      <c r="AK340" s="92" t="s">
        <v>1453</v>
      </c>
      <c r="AL340" s="84" t="b">
        <v>0</v>
      </c>
      <c r="AM340" s="84">
        <v>25</v>
      </c>
      <c r="AN340" s="92" t="s">
        <v>1248</v>
      </c>
      <c r="AO340" s="84" t="s">
        <v>1491</v>
      </c>
      <c r="AP340" s="84" t="b">
        <v>0</v>
      </c>
      <c r="AQ340" s="92" t="s">
        <v>1248</v>
      </c>
      <c r="AR340" s="84" t="s">
        <v>187</v>
      </c>
      <c r="AS340" s="84">
        <v>0</v>
      </c>
      <c r="AT340" s="84">
        <v>0</v>
      </c>
      <c r="AU340" s="84"/>
      <c r="AV340" s="84"/>
      <c r="AW340" s="84"/>
      <c r="AX340" s="84"/>
      <c r="AY340" s="84"/>
      <c r="AZ340" s="84"/>
      <c r="BA340" s="84"/>
      <c r="BB340" s="84"/>
      <c r="BC340">
        <v>1</v>
      </c>
      <c r="BD340" s="83" t="str">
        <f>REPLACE(INDEX(GroupVertices[Group],MATCH(Edges[[#This Row],[Vertex 1]],GroupVertices[Vertex],0)),1,1,"")</f>
        <v>4</v>
      </c>
      <c r="BE340" s="83" t="str">
        <f>REPLACE(INDEX(GroupVertices[Group],MATCH(Edges[[#This Row],[Vertex 2]],GroupVertices[Vertex],0)),1,1,"")</f>
        <v>4</v>
      </c>
      <c r="BF340" s="49"/>
      <c r="BG340" s="50"/>
      <c r="BH340" s="49"/>
      <c r="BI340" s="50"/>
      <c r="BJ340" s="49"/>
      <c r="BK340" s="50"/>
      <c r="BL340" s="49"/>
      <c r="BM340" s="50"/>
      <c r="BN340" s="49"/>
    </row>
    <row r="341" spans="1:66" ht="15">
      <c r="A341" s="68" t="s">
        <v>382</v>
      </c>
      <c r="B341" s="68" t="s">
        <v>432</v>
      </c>
      <c r="C341" s="69" t="s">
        <v>5208</v>
      </c>
      <c r="D341" s="70">
        <v>1</v>
      </c>
      <c r="E341" s="71" t="s">
        <v>132</v>
      </c>
      <c r="F341" s="72">
        <v>32</v>
      </c>
      <c r="G341" s="69" t="s">
        <v>51</v>
      </c>
      <c r="H341" s="73"/>
      <c r="I341" s="74"/>
      <c r="J341" s="74"/>
      <c r="K341" s="35" t="s">
        <v>65</v>
      </c>
      <c r="L341" s="82">
        <v>341</v>
      </c>
      <c r="M341" s="82"/>
      <c r="N341" s="76"/>
      <c r="O341" s="84" t="s">
        <v>440</v>
      </c>
      <c r="P341" s="86">
        <v>44081.83002314815</v>
      </c>
      <c r="Q341" s="84" t="s">
        <v>448</v>
      </c>
      <c r="R341" s="87" t="str">
        <f>HYPERLINK("https://www.peoplematters.in/news/technology/job-searches-in-artificial-intelligence-rise-106-in-one-year-report-26898")</f>
        <v>https://www.peoplematters.in/news/technology/job-searches-in-artificial-intelligence-rise-106-in-one-year-report-26898</v>
      </c>
      <c r="S341" s="84" t="s">
        <v>532</v>
      </c>
      <c r="T341" s="84" t="s">
        <v>568</v>
      </c>
      <c r="U341" s="87" t="str">
        <f>HYPERLINK("https://pbs.twimg.com/media/EhVAOmdWoAAOQiY.jpg")</f>
        <v>https://pbs.twimg.com/media/EhVAOmdWoAAOQiY.jpg</v>
      </c>
      <c r="V341" s="87" t="str">
        <f>HYPERLINK("https://pbs.twimg.com/media/EhVAOmdWoAAOQiY.jpg")</f>
        <v>https://pbs.twimg.com/media/EhVAOmdWoAAOQiY.jpg</v>
      </c>
      <c r="W341" s="86">
        <v>44081.83002314815</v>
      </c>
      <c r="X341" s="90">
        <v>44081</v>
      </c>
      <c r="Y341" s="92" t="s">
        <v>849</v>
      </c>
      <c r="Z341" s="87" t="str">
        <f>HYPERLINK("https://twitter.com/drjdrooghaag/status/1303059269848268802")</f>
        <v>https://twitter.com/drjdrooghaag/status/1303059269848268802</v>
      </c>
      <c r="AA341" s="84"/>
      <c r="AB341" s="84"/>
      <c r="AC341" s="92" t="s">
        <v>1246</v>
      </c>
      <c r="AD341" s="84"/>
      <c r="AE341" s="84" t="b">
        <v>0</v>
      </c>
      <c r="AF341" s="84">
        <v>0</v>
      </c>
      <c r="AG341" s="92" t="s">
        <v>1453</v>
      </c>
      <c r="AH341" s="84" t="b">
        <v>0</v>
      </c>
      <c r="AI341" s="84" t="s">
        <v>1456</v>
      </c>
      <c r="AJ341" s="84"/>
      <c r="AK341" s="92" t="s">
        <v>1453</v>
      </c>
      <c r="AL341" s="84" t="b">
        <v>0</v>
      </c>
      <c r="AM341" s="84">
        <v>25</v>
      </c>
      <c r="AN341" s="92" t="s">
        <v>1248</v>
      </c>
      <c r="AO341" s="84" t="s">
        <v>1491</v>
      </c>
      <c r="AP341" s="84" t="b">
        <v>0</v>
      </c>
      <c r="AQ341" s="92" t="s">
        <v>1248</v>
      </c>
      <c r="AR341" s="84" t="s">
        <v>187</v>
      </c>
      <c r="AS341" s="84">
        <v>0</v>
      </c>
      <c r="AT341" s="84">
        <v>0</v>
      </c>
      <c r="AU341" s="84"/>
      <c r="AV341" s="84"/>
      <c r="AW341" s="84"/>
      <c r="AX341" s="84"/>
      <c r="AY341" s="84"/>
      <c r="AZ341" s="84"/>
      <c r="BA341" s="84"/>
      <c r="BB341" s="84"/>
      <c r="BC341">
        <v>1</v>
      </c>
      <c r="BD341" s="83" t="str">
        <f>REPLACE(INDEX(GroupVertices[Group],MATCH(Edges[[#This Row],[Vertex 1]],GroupVertices[Vertex],0)),1,1,"")</f>
        <v>4</v>
      </c>
      <c r="BE341" s="83" t="str">
        <f>REPLACE(INDEX(GroupVertices[Group],MATCH(Edges[[#This Row],[Vertex 2]],GroupVertices[Vertex],0)),1,1,"")</f>
        <v>4</v>
      </c>
      <c r="BF341" s="49"/>
      <c r="BG341" s="50"/>
      <c r="BH341" s="49"/>
      <c r="BI341" s="50"/>
      <c r="BJ341" s="49"/>
      <c r="BK341" s="50"/>
      <c r="BL341" s="49"/>
      <c r="BM341" s="50"/>
      <c r="BN341" s="49"/>
    </row>
    <row r="342" spans="1:66" ht="15">
      <c r="A342" s="68" t="s">
        <v>382</v>
      </c>
      <c r="B342" s="68" t="s">
        <v>384</v>
      </c>
      <c r="C342" s="69" t="s">
        <v>5208</v>
      </c>
      <c r="D342" s="70">
        <v>1</v>
      </c>
      <c r="E342" s="71" t="s">
        <v>132</v>
      </c>
      <c r="F342" s="72">
        <v>32</v>
      </c>
      <c r="G342" s="69" t="s">
        <v>51</v>
      </c>
      <c r="H342" s="73"/>
      <c r="I342" s="74"/>
      <c r="J342" s="74"/>
      <c r="K342" s="35" t="s">
        <v>66</v>
      </c>
      <c r="L342" s="82">
        <v>342</v>
      </c>
      <c r="M342" s="82"/>
      <c r="N342" s="76"/>
      <c r="O342" s="84" t="s">
        <v>439</v>
      </c>
      <c r="P342" s="86">
        <v>44081.83002314815</v>
      </c>
      <c r="Q342" s="84" t="s">
        <v>448</v>
      </c>
      <c r="R342" s="87" t="str">
        <f>HYPERLINK("https://www.peoplematters.in/news/technology/job-searches-in-artificial-intelligence-rise-106-in-one-year-report-26898")</f>
        <v>https://www.peoplematters.in/news/technology/job-searches-in-artificial-intelligence-rise-106-in-one-year-report-26898</v>
      </c>
      <c r="S342" s="84" t="s">
        <v>532</v>
      </c>
      <c r="T342" s="84" t="s">
        <v>568</v>
      </c>
      <c r="U342" s="87" t="str">
        <f>HYPERLINK("https://pbs.twimg.com/media/EhVAOmdWoAAOQiY.jpg")</f>
        <v>https://pbs.twimg.com/media/EhVAOmdWoAAOQiY.jpg</v>
      </c>
      <c r="V342" s="87" t="str">
        <f>HYPERLINK("https://pbs.twimg.com/media/EhVAOmdWoAAOQiY.jpg")</f>
        <v>https://pbs.twimg.com/media/EhVAOmdWoAAOQiY.jpg</v>
      </c>
      <c r="W342" s="86">
        <v>44081.83002314815</v>
      </c>
      <c r="X342" s="90">
        <v>44081</v>
      </c>
      <c r="Y342" s="92" t="s">
        <v>849</v>
      </c>
      <c r="Z342" s="87" t="str">
        <f>HYPERLINK("https://twitter.com/drjdrooghaag/status/1303059269848268802")</f>
        <v>https://twitter.com/drjdrooghaag/status/1303059269848268802</v>
      </c>
      <c r="AA342" s="84"/>
      <c r="AB342" s="84"/>
      <c r="AC342" s="92" t="s">
        <v>1246</v>
      </c>
      <c r="AD342" s="84"/>
      <c r="AE342" s="84" t="b">
        <v>0</v>
      </c>
      <c r="AF342" s="84">
        <v>0</v>
      </c>
      <c r="AG342" s="92" t="s">
        <v>1453</v>
      </c>
      <c r="AH342" s="84" t="b">
        <v>0</v>
      </c>
      <c r="AI342" s="84" t="s">
        <v>1456</v>
      </c>
      <c r="AJ342" s="84"/>
      <c r="AK342" s="92" t="s">
        <v>1453</v>
      </c>
      <c r="AL342" s="84" t="b">
        <v>0</v>
      </c>
      <c r="AM342" s="84">
        <v>25</v>
      </c>
      <c r="AN342" s="92" t="s">
        <v>1248</v>
      </c>
      <c r="AO342" s="84" t="s">
        <v>1491</v>
      </c>
      <c r="AP342" s="84" t="b">
        <v>0</v>
      </c>
      <c r="AQ342" s="92" t="s">
        <v>1248</v>
      </c>
      <c r="AR342" s="84" t="s">
        <v>187</v>
      </c>
      <c r="AS342" s="84">
        <v>0</v>
      </c>
      <c r="AT342" s="84">
        <v>0</v>
      </c>
      <c r="AU342" s="84"/>
      <c r="AV342" s="84"/>
      <c r="AW342" s="84"/>
      <c r="AX342" s="84"/>
      <c r="AY342" s="84"/>
      <c r="AZ342" s="84"/>
      <c r="BA342" s="84"/>
      <c r="BB342" s="84"/>
      <c r="BC342">
        <v>1</v>
      </c>
      <c r="BD342" s="83" t="str">
        <f>REPLACE(INDEX(GroupVertices[Group],MATCH(Edges[[#This Row],[Vertex 1]],GroupVertices[Vertex],0)),1,1,"")</f>
        <v>4</v>
      </c>
      <c r="BE342" s="83" t="str">
        <f>REPLACE(INDEX(GroupVertices[Group],MATCH(Edges[[#This Row],[Vertex 2]],GroupVertices[Vertex],0)),1,1,"")</f>
        <v>4</v>
      </c>
      <c r="BF342" s="49">
        <v>0</v>
      </c>
      <c r="BG342" s="50">
        <v>0</v>
      </c>
      <c r="BH342" s="49">
        <v>0</v>
      </c>
      <c r="BI342" s="50">
        <v>0</v>
      </c>
      <c r="BJ342" s="49">
        <v>0</v>
      </c>
      <c r="BK342" s="50">
        <v>0</v>
      </c>
      <c r="BL342" s="49">
        <v>28</v>
      </c>
      <c r="BM342" s="50">
        <v>100</v>
      </c>
      <c r="BN342" s="49">
        <v>28</v>
      </c>
    </row>
    <row r="343" spans="1:66" ht="15">
      <c r="A343" s="68" t="s">
        <v>383</v>
      </c>
      <c r="B343" s="68" t="s">
        <v>382</v>
      </c>
      <c r="C343" s="69" t="s">
        <v>5208</v>
      </c>
      <c r="D343" s="70">
        <v>1</v>
      </c>
      <c r="E343" s="71" t="s">
        <v>132</v>
      </c>
      <c r="F343" s="72">
        <v>32</v>
      </c>
      <c r="G343" s="69" t="s">
        <v>51</v>
      </c>
      <c r="H343" s="73"/>
      <c r="I343" s="74"/>
      <c r="J343" s="74"/>
      <c r="K343" s="35" t="s">
        <v>66</v>
      </c>
      <c r="L343" s="82">
        <v>343</v>
      </c>
      <c r="M343" s="82"/>
      <c r="N343" s="76"/>
      <c r="O343" s="84" t="s">
        <v>440</v>
      </c>
      <c r="P343" s="86">
        <v>44081.89548611111</v>
      </c>
      <c r="Q343" s="84" t="s">
        <v>448</v>
      </c>
      <c r="R343" s="87" t="str">
        <f>HYPERLINK("https://www.peoplematters.in/news/technology/job-searches-in-artificial-intelligence-rise-106-in-one-year-report-26898")</f>
        <v>https://www.peoplematters.in/news/technology/job-searches-in-artificial-intelligence-rise-106-in-one-year-report-26898</v>
      </c>
      <c r="S343" s="84" t="s">
        <v>532</v>
      </c>
      <c r="T343" s="84" t="s">
        <v>568</v>
      </c>
      <c r="U343" s="87" t="str">
        <f>HYPERLINK("https://pbs.twimg.com/media/EhVAOmdWoAAOQiY.jpg")</f>
        <v>https://pbs.twimg.com/media/EhVAOmdWoAAOQiY.jpg</v>
      </c>
      <c r="V343" s="87" t="str">
        <f>HYPERLINK("https://pbs.twimg.com/media/EhVAOmdWoAAOQiY.jpg")</f>
        <v>https://pbs.twimg.com/media/EhVAOmdWoAAOQiY.jpg</v>
      </c>
      <c r="W343" s="86">
        <v>44081.89548611111</v>
      </c>
      <c r="X343" s="90">
        <v>44081</v>
      </c>
      <c r="Y343" s="92" t="s">
        <v>850</v>
      </c>
      <c r="Z343" s="87" t="str">
        <f>HYPERLINK("https://twitter.com/kkruse/status/1303082993141952514")</f>
        <v>https://twitter.com/kkruse/status/1303082993141952514</v>
      </c>
      <c r="AA343" s="84"/>
      <c r="AB343" s="84"/>
      <c r="AC343" s="92" t="s">
        <v>1247</v>
      </c>
      <c r="AD343" s="84"/>
      <c r="AE343" s="84" t="b">
        <v>0</v>
      </c>
      <c r="AF343" s="84">
        <v>0</v>
      </c>
      <c r="AG343" s="92" t="s">
        <v>1453</v>
      </c>
      <c r="AH343" s="84" t="b">
        <v>0</v>
      </c>
      <c r="AI343" s="84" t="s">
        <v>1456</v>
      </c>
      <c r="AJ343" s="84"/>
      <c r="AK343" s="92" t="s">
        <v>1453</v>
      </c>
      <c r="AL343" s="84" t="b">
        <v>0</v>
      </c>
      <c r="AM343" s="84">
        <v>25</v>
      </c>
      <c r="AN343" s="92" t="s">
        <v>1248</v>
      </c>
      <c r="AO343" s="84" t="s">
        <v>1465</v>
      </c>
      <c r="AP343" s="84" t="b">
        <v>0</v>
      </c>
      <c r="AQ343" s="92" t="s">
        <v>1248</v>
      </c>
      <c r="AR343" s="84" t="s">
        <v>187</v>
      </c>
      <c r="AS343" s="84">
        <v>0</v>
      </c>
      <c r="AT343" s="84">
        <v>0</v>
      </c>
      <c r="AU343" s="84"/>
      <c r="AV343" s="84"/>
      <c r="AW343" s="84"/>
      <c r="AX343" s="84"/>
      <c r="AY343" s="84"/>
      <c r="AZ343" s="84"/>
      <c r="BA343" s="84"/>
      <c r="BB343" s="84"/>
      <c r="BC343">
        <v>1</v>
      </c>
      <c r="BD343" s="83" t="str">
        <f>REPLACE(INDEX(GroupVertices[Group],MATCH(Edges[[#This Row],[Vertex 1]],GroupVertices[Vertex],0)),1,1,"")</f>
        <v>4</v>
      </c>
      <c r="BE343" s="83" t="str">
        <f>REPLACE(INDEX(GroupVertices[Group],MATCH(Edges[[#This Row],[Vertex 2]],GroupVertices[Vertex],0)),1,1,"")</f>
        <v>4</v>
      </c>
      <c r="BF343" s="49"/>
      <c r="BG343" s="50"/>
      <c r="BH343" s="49"/>
      <c r="BI343" s="50"/>
      <c r="BJ343" s="49"/>
      <c r="BK343" s="50"/>
      <c r="BL343" s="49"/>
      <c r="BM343" s="50"/>
      <c r="BN343" s="49"/>
    </row>
    <row r="344" spans="1:66" ht="15">
      <c r="A344" s="68" t="s">
        <v>384</v>
      </c>
      <c r="B344" s="68" t="s">
        <v>382</v>
      </c>
      <c r="C344" s="69" t="s">
        <v>5208</v>
      </c>
      <c r="D344" s="70">
        <v>1</v>
      </c>
      <c r="E344" s="71" t="s">
        <v>132</v>
      </c>
      <c r="F344" s="72">
        <v>32</v>
      </c>
      <c r="G344" s="69" t="s">
        <v>51</v>
      </c>
      <c r="H344" s="73"/>
      <c r="I344" s="74"/>
      <c r="J344" s="74"/>
      <c r="K344" s="35" t="s">
        <v>66</v>
      </c>
      <c r="L344" s="82">
        <v>344</v>
      </c>
      <c r="M344" s="82"/>
      <c r="N344" s="76"/>
      <c r="O344" s="84" t="s">
        <v>441</v>
      </c>
      <c r="P344" s="86">
        <v>44081.71693287037</v>
      </c>
      <c r="Q344" s="84" t="s">
        <v>448</v>
      </c>
      <c r="R344" s="87" t="str">
        <f>HYPERLINK("https://www.peoplematters.in/news/technology/job-searches-in-artificial-intelligence-rise-106-in-one-year-report-26898")</f>
        <v>https://www.peoplematters.in/news/technology/job-searches-in-artificial-intelligence-rise-106-in-one-year-report-26898</v>
      </c>
      <c r="S344" s="84" t="s">
        <v>532</v>
      </c>
      <c r="T344" s="84" t="s">
        <v>619</v>
      </c>
      <c r="U344" s="87" t="str">
        <f>HYPERLINK("https://pbs.twimg.com/media/EhVAOmdWoAAOQiY.jpg")</f>
        <v>https://pbs.twimg.com/media/EhVAOmdWoAAOQiY.jpg</v>
      </c>
      <c r="V344" s="87" t="str">
        <f>HYPERLINK("https://pbs.twimg.com/media/EhVAOmdWoAAOQiY.jpg")</f>
        <v>https://pbs.twimg.com/media/EhVAOmdWoAAOQiY.jpg</v>
      </c>
      <c r="W344" s="86">
        <v>44081.71693287037</v>
      </c>
      <c r="X344" s="90">
        <v>44081</v>
      </c>
      <c r="Y344" s="92" t="s">
        <v>851</v>
      </c>
      <c r="Z344" s="87" t="str">
        <f>HYPERLINK("https://twitter.com/fabriziobustama/status/1303018290026106884")</f>
        <v>https://twitter.com/fabriziobustama/status/1303018290026106884</v>
      </c>
      <c r="AA344" s="84"/>
      <c r="AB344" s="84"/>
      <c r="AC344" s="92" t="s">
        <v>1248</v>
      </c>
      <c r="AD344" s="84"/>
      <c r="AE344" s="84" t="b">
        <v>0</v>
      </c>
      <c r="AF344" s="84">
        <v>22</v>
      </c>
      <c r="AG344" s="92" t="s">
        <v>1453</v>
      </c>
      <c r="AH344" s="84" t="b">
        <v>0</v>
      </c>
      <c r="AI344" s="84" t="s">
        <v>1456</v>
      </c>
      <c r="AJ344" s="84"/>
      <c r="AK344" s="92" t="s">
        <v>1453</v>
      </c>
      <c r="AL344" s="84" t="b">
        <v>0</v>
      </c>
      <c r="AM344" s="84">
        <v>25</v>
      </c>
      <c r="AN344" s="92" t="s">
        <v>1453</v>
      </c>
      <c r="AO344" s="84" t="s">
        <v>1464</v>
      </c>
      <c r="AP344" s="84" t="b">
        <v>0</v>
      </c>
      <c r="AQ344" s="92" t="s">
        <v>1248</v>
      </c>
      <c r="AR344" s="84" t="s">
        <v>187</v>
      </c>
      <c r="AS344" s="84">
        <v>0</v>
      </c>
      <c r="AT344" s="84">
        <v>0</v>
      </c>
      <c r="AU344" s="84"/>
      <c r="AV344" s="84"/>
      <c r="AW344" s="84"/>
      <c r="AX344" s="84"/>
      <c r="AY344" s="84"/>
      <c r="AZ344" s="84"/>
      <c r="BA344" s="84"/>
      <c r="BB344" s="84"/>
      <c r="BC344">
        <v>1</v>
      </c>
      <c r="BD344" s="83" t="str">
        <f>REPLACE(INDEX(GroupVertices[Group],MATCH(Edges[[#This Row],[Vertex 1]],GroupVertices[Vertex],0)),1,1,"")</f>
        <v>4</v>
      </c>
      <c r="BE344" s="83" t="str">
        <f>REPLACE(INDEX(GroupVertices[Group],MATCH(Edges[[#This Row],[Vertex 2]],GroupVertices[Vertex],0)),1,1,"")</f>
        <v>4</v>
      </c>
      <c r="BF344" s="49"/>
      <c r="BG344" s="50"/>
      <c r="BH344" s="49"/>
      <c r="BI344" s="50"/>
      <c r="BJ344" s="49"/>
      <c r="BK344" s="50"/>
      <c r="BL344" s="49"/>
      <c r="BM344" s="50"/>
      <c r="BN344" s="49"/>
    </row>
    <row r="345" spans="1:66" ht="15">
      <c r="A345" s="68" t="s">
        <v>384</v>
      </c>
      <c r="B345" s="68" t="s">
        <v>382</v>
      </c>
      <c r="C345" s="69" t="s">
        <v>5208</v>
      </c>
      <c r="D345" s="70">
        <v>1</v>
      </c>
      <c r="E345" s="71" t="s">
        <v>132</v>
      </c>
      <c r="F345" s="72">
        <v>32</v>
      </c>
      <c r="G345" s="69" t="s">
        <v>51</v>
      </c>
      <c r="H345" s="73"/>
      <c r="I345" s="74"/>
      <c r="J345" s="74"/>
      <c r="K345" s="35" t="s">
        <v>66</v>
      </c>
      <c r="L345" s="82">
        <v>345</v>
      </c>
      <c r="M345" s="82"/>
      <c r="N345" s="76"/>
      <c r="O345" s="84" t="s">
        <v>440</v>
      </c>
      <c r="P345" s="86">
        <v>44082.14244212963</v>
      </c>
      <c r="Q345" s="84" t="s">
        <v>448</v>
      </c>
      <c r="R345" s="87" t="str">
        <f>HYPERLINK("https://www.peoplematters.in/news/technology/job-searches-in-artificial-intelligence-rise-106-in-one-year-report-26898")</f>
        <v>https://www.peoplematters.in/news/technology/job-searches-in-artificial-intelligence-rise-106-in-one-year-report-26898</v>
      </c>
      <c r="S345" s="84" t="s">
        <v>532</v>
      </c>
      <c r="T345" s="84" t="s">
        <v>568</v>
      </c>
      <c r="U345" s="87" t="str">
        <f>HYPERLINK("https://pbs.twimg.com/media/EhVAOmdWoAAOQiY.jpg")</f>
        <v>https://pbs.twimg.com/media/EhVAOmdWoAAOQiY.jpg</v>
      </c>
      <c r="V345" s="87" t="str">
        <f>HYPERLINK("https://pbs.twimg.com/media/EhVAOmdWoAAOQiY.jpg")</f>
        <v>https://pbs.twimg.com/media/EhVAOmdWoAAOQiY.jpg</v>
      </c>
      <c r="W345" s="86">
        <v>44082.14244212963</v>
      </c>
      <c r="X345" s="90">
        <v>44082</v>
      </c>
      <c r="Y345" s="92" t="s">
        <v>852</v>
      </c>
      <c r="Z345" s="87" t="str">
        <f>HYPERLINK("https://twitter.com/fabriziobustama/status/1303172486956290054")</f>
        <v>https://twitter.com/fabriziobustama/status/1303172486956290054</v>
      </c>
      <c r="AA345" s="84"/>
      <c r="AB345" s="84"/>
      <c r="AC345" s="92" t="s">
        <v>1249</v>
      </c>
      <c r="AD345" s="84"/>
      <c r="AE345" s="84" t="b">
        <v>0</v>
      </c>
      <c r="AF345" s="84">
        <v>0</v>
      </c>
      <c r="AG345" s="92" t="s">
        <v>1453</v>
      </c>
      <c r="AH345" s="84" t="b">
        <v>0</v>
      </c>
      <c r="AI345" s="84" t="s">
        <v>1456</v>
      </c>
      <c r="AJ345" s="84"/>
      <c r="AK345" s="92" t="s">
        <v>1453</v>
      </c>
      <c r="AL345" s="84" t="b">
        <v>0</v>
      </c>
      <c r="AM345" s="84">
        <v>25</v>
      </c>
      <c r="AN345" s="92" t="s">
        <v>1248</v>
      </c>
      <c r="AO345" s="84" t="s">
        <v>1464</v>
      </c>
      <c r="AP345" s="84" t="b">
        <v>0</v>
      </c>
      <c r="AQ345" s="92" t="s">
        <v>1248</v>
      </c>
      <c r="AR345" s="84" t="s">
        <v>187</v>
      </c>
      <c r="AS345" s="84">
        <v>0</v>
      </c>
      <c r="AT345" s="84">
        <v>0</v>
      </c>
      <c r="AU345" s="84"/>
      <c r="AV345" s="84"/>
      <c r="AW345" s="84"/>
      <c r="AX345" s="84"/>
      <c r="AY345" s="84"/>
      <c r="AZ345" s="84"/>
      <c r="BA345" s="84"/>
      <c r="BB345" s="84"/>
      <c r="BC345">
        <v>1</v>
      </c>
      <c r="BD345" s="83" t="str">
        <f>REPLACE(INDEX(GroupVertices[Group],MATCH(Edges[[#This Row],[Vertex 1]],GroupVertices[Vertex],0)),1,1,"")</f>
        <v>4</v>
      </c>
      <c r="BE345" s="83" t="str">
        <f>REPLACE(INDEX(GroupVertices[Group],MATCH(Edges[[#This Row],[Vertex 2]],GroupVertices[Vertex],0)),1,1,"")</f>
        <v>4</v>
      </c>
      <c r="BF345" s="49"/>
      <c r="BG345" s="50"/>
      <c r="BH345" s="49"/>
      <c r="BI345" s="50"/>
      <c r="BJ345" s="49"/>
      <c r="BK345" s="50"/>
      <c r="BL345" s="49"/>
      <c r="BM345" s="50"/>
      <c r="BN345" s="49"/>
    </row>
    <row r="346" spans="1:66" ht="15">
      <c r="A346" s="68" t="s">
        <v>385</v>
      </c>
      <c r="B346" s="68" t="s">
        <v>382</v>
      </c>
      <c r="C346" s="69" t="s">
        <v>5208</v>
      </c>
      <c r="D346" s="70">
        <v>1</v>
      </c>
      <c r="E346" s="71" t="s">
        <v>132</v>
      </c>
      <c r="F346" s="72">
        <v>32</v>
      </c>
      <c r="G346" s="69" t="s">
        <v>51</v>
      </c>
      <c r="H346" s="73"/>
      <c r="I346" s="74"/>
      <c r="J346" s="74"/>
      <c r="K346" s="35" t="s">
        <v>66</v>
      </c>
      <c r="L346" s="82">
        <v>346</v>
      </c>
      <c r="M346" s="82"/>
      <c r="N346" s="76"/>
      <c r="O346" s="84" t="s">
        <v>440</v>
      </c>
      <c r="P346" s="86">
        <v>44082.33828703704</v>
      </c>
      <c r="Q346" s="84" t="s">
        <v>448</v>
      </c>
      <c r="R346" s="87" t="str">
        <f>HYPERLINK("https://www.peoplematters.in/news/technology/job-searches-in-artificial-intelligence-rise-106-in-one-year-report-26898")</f>
        <v>https://www.peoplematters.in/news/technology/job-searches-in-artificial-intelligence-rise-106-in-one-year-report-26898</v>
      </c>
      <c r="S346" s="84" t="s">
        <v>532</v>
      </c>
      <c r="T346" s="84" t="s">
        <v>568</v>
      </c>
      <c r="U346" s="87" t="str">
        <f>HYPERLINK("https://pbs.twimg.com/media/EhVAOmdWoAAOQiY.jpg")</f>
        <v>https://pbs.twimg.com/media/EhVAOmdWoAAOQiY.jpg</v>
      </c>
      <c r="V346" s="87" t="str">
        <f>HYPERLINK("https://pbs.twimg.com/media/EhVAOmdWoAAOQiY.jpg")</f>
        <v>https://pbs.twimg.com/media/EhVAOmdWoAAOQiY.jpg</v>
      </c>
      <c r="W346" s="86">
        <v>44082.33828703704</v>
      </c>
      <c r="X346" s="90">
        <v>44082</v>
      </c>
      <c r="Y346" s="92" t="s">
        <v>853</v>
      </c>
      <c r="Z346" s="87" t="str">
        <f>HYPERLINK("https://twitter.com/misstalent86/status/1303243459172601857")</f>
        <v>https://twitter.com/misstalent86/status/1303243459172601857</v>
      </c>
      <c r="AA346" s="84"/>
      <c r="AB346" s="84"/>
      <c r="AC346" s="92" t="s">
        <v>1250</v>
      </c>
      <c r="AD346" s="84"/>
      <c r="AE346" s="84" t="b">
        <v>0</v>
      </c>
      <c r="AF346" s="84">
        <v>0</v>
      </c>
      <c r="AG346" s="92" t="s">
        <v>1453</v>
      </c>
      <c r="AH346" s="84" t="b">
        <v>0</v>
      </c>
      <c r="AI346" s="84" t="s">
        <v>1456</v>
      </c>
      <c r="AJ346" s="84"/>
      <c r="AK346" s="92" t="s">
        <v>1453</v>
      </c>
      <c r="AL346" s="84" t="b">
        <v>0</v>
      </c>
      <c r="AM346" s="84">
        <v>25</v>
      </c>
      <c r="AN346" s="92" t="s">
        <v>1248</v>
      </c>
      <c r="AO346" s="84" t="s">
        <v>1464</v>
      </c>
      <c r="AP346" s="84" t="b">
        <v>0</v>
      </c>
      <c r="AQ346" s="92" t="s">
        <v>1248</v>
      </c>
      <c r="AR346" s="84" t="s">
        <v>187</v>
      </c>
      <c r="AS346" s="84">
        <v>0</v>
      </c>
      <c r="AT346" s="84">
        <v>0</v>
      </c>
      <c r="AU346" s="84"/>
      <c r="AV346" s="84"/>
      <c r="AW346" s="84"/>
      <c r="AX346" s="84"/>
      <c r="AY346" s="84"/>
      <c r="AZ346" s="84"/>
      <c r="BA346" s="84"/>
      <c r="BB346" s="84"/>
      <c r="BC346">
        <v>1</v>
      </c>
      <c r="BD346" s="83" t="str">
        <f>REPLACE(INDEX(GroupVertices[Group],MATCH(Edges[[#This Row],[Vertex 1]],GroupVertices[Vertex],0)),1,1,"")</f>
        <v>4</v>
      </c>
      <c r="BE346" s="83" t="str">
        <f>REPLACE(INDEX(GroupVertices[Group],MATCH(Edges[[#This Row],[Vertex 2]],GroupVertices[Vertex],0)),1,1,"")</f>
        <v>4</v>
      </c>
      <c r="BF346" s="49"/>
      <c r="BG346" s="50"/>
      <c r="BH346" s="49"/>
      <c r="BI346" s="50"/>
      <c r="BJ346" s="49"/>
      <c r="BK346" s="50"/>
      <c r="BL346" s="49"/>
      <c r="BM346" s="50"/>
      <c r="BN346" s="49"/>
    </row>
    <row r="347" spans="1:66" ht="15">
      <c r="A347" s="68" t="s">
        <v>386</v>
      </c>
      <c r="B347" s="68" t="s">
        <v>382</v>
      </c>
      <c r="C347" s="69" t="s">
        <v>5209</v>
      </c>
      <c r="D347" s="70">
        <v>6.678367782143116</v>
      </c>
      <c r="E347" s="71" t="s">
        <v>132</v>
      </c>
      <c r="F347" s="72">
        <v>21</v>
      </c>
      <c r="G347" s="69" t="s">
        <v>51</v>
      </c>
      <c r="H347" s="73"/>
      <c r="I347" s="74"/>
      <c r="J347" s="74"/>
      <c r="K347" s="35" t="s">
        <v>65</v>
      </c>
      <c r="L347" s="82">
        <v>347</v>
      </c>
      <c r="M347" s="82"/>
      <c r="N347" s="76"/>
      <c r="O347" s="84" t="s">
        <v>440</v>
      </c>
      <c r="P347" s="86">
        <v>44081.72045138889</v>
      </c>
      <c r="Q347" s="84" t="s">
        <v>448</v>
      </c>
      <c r="R347" s="87" t="str">
        <f>HYPERLINK("https://www.peoplematters.in/news/technology/job-searches-in-artificial-intelligence-rise-106-in-one-year-report-26898")</f>
        <v>https://www.peoplematters.in/news/technology/job-searches-in-artificial-intelligence-rise-106-in-one-year-report-26898</v>
      </c>
      <c r="S347" s="84" t="s">
        <v>532</v>
      </c>
      <c r="T347" s="84" t="s">
        <v>568</v>
      </c>
      <c r="U347" s="87" t="str">
        <f>HYPERLINK("https://pbs.twimg.com/media/EhVAOmdWoAAOQiY.jpg")</f>
        <v>https://pbs.twimg.com/media/EhVAOmdWoAAOQiY.jpg</v>
      </c>
      <c r="V347" s="87" t="str">
        <f>HYPERLINK("https://pbs.twimg.com/media/EhVAOmdWoAAOQiY.jpg")</f>
        <v>https://pbs.twimg.com/media/EhVAOmdWoAAOQiY.jpg</v>
      </c>
      <c r="W347" s="86">
        <v>44081.72045138889</v>
      </c>
      <c r="X347" s="90">
        <v>44081</v>
      </c>
      <c r="Y347" s="92" t="s">
        <v>854</v>
      </c>
      <c r="Z347" s="87" t="str">
        <f>HYPERLINK("https://twitter.com/hubofml/status/1303019562942763008")</f>
        <v>https://twitter.com/hubofml/status/1303019562942763008</v>
      </c>
      <c r="AA347" s="84"/>
      <c r="AB347" s="84"/>
      <c r="AC347" s="92" t="s">
        <v>1251</v>
      </c>
      <c r="AD347" s="84"/>
      <c r="AE347" s="84" t="b">
        <v>0</v>
      </c>
      <c r="AF347" s="84">
        <v>0</v>
      </c>
      <c r="AG347" s="92" t="s">
        <v>1453</v>
      </c>
      <c r="AH347" s="84" t="b">
        <v>0</v>
      </c>
      <c r="AI347" s="84" t="s">
        <v>1456</v>
      </c>
      <c r="AJ347" s="84"/>
      <c r="AK347" s="92" t="s">
        <v>1453</v>
      </c>
      <c r="AL347" s="84" t="b">
        <v>0</v>
      </c>
      <c r="AM347" s="84">
        <v>25</v>
      </c>
      <c r="AN347" s="92" t="s">
        <v>1248</v>
      </c>
      <c r="AO347" s="84" t="s">
        <v>386</v>
      </c>
      <c r="AP347" s="84" t="b">
        <v>0</v>
      </c>
      <c r="AQ347" s="92" t="s">
        <v>1248</v>
      </c>
      <c r="AR347" s="84" t="s">
        <v>187</v>
      </c>
      <c r="AS347" s="84">
        <v>0</v>
      </c>
      <c r="AT347" s="84">
        <v>0</v>
      </c>
      <c r="AU347" s="84"/>
      <c r="AV347" s="84"/>
      <c r="AW347" s="84"/>
      <c r="AX347" s="84"/>
      <c r="AY347" s="84"/>
      <c r="AZ347" s="84"/>
      <c r="BA347" s="84"/>
      <c r="BB347" s="84"/>
      <c r="BC347">
        <v>2</v>
      </c>
      <c r="BD347" s="83" t="str">
        <f>REPLACE(INDEX(GroupVertices[Group],MATCH(Edges[[#This Row],[Vertex 1]],GroupVertices[Vertex],0)),1,1,"")</f>
        <v>5</v>
      </c>
      <c r="BE347" s="83" t="str">
        <f>REPLACE(INDEX(GroupVertices[Group],MATCH(Edges[[#This Row],[Vertex 2]],GroupVertices[Vertex],0)),1,1,"")</f>
        <v>4</v>
      </c>
      <c r="BF347" s="49"/>
      <c r="BG347" s="50"/>
      <c r="BH347" s="49"/>
      <c r="BI347" s="50"/>
      <c r="BJ347" s="49"/>
      <c r="BK347" s="50"/>
      <c r="BL347" s="49"/>
      <c r="BM347" s="50"/>
      <c r="BN347" s="49"/>
    </row>
    <row r="348" spans="1:66" ht="15">
      <c r="A348" s="68" t="s">
        <v>386</v>
      </c>
      <c r="B348" s="68" t="s">
        <v>382</v>
      </c>
      <c r="C348" s="69" t="s">
        <v>5209</v>
      </c>
      <c r="D348" s="70">
        <v>6.678367782143116</v>
      </c>
      <c r="E348" s="71" t="s">
        <v>132</v>
      </c>
      <c r="F348" s="72">
        <v>21</v>
      </c>
      <c r="G348" s="69" t="s">
        <v>51</v>
      </c>
      <c r="H348" s="73"/>
      <c r="I348" s="74"/>
      <c r="J348" s="74"/>
      <c r="K348" s="35" t="s">
        <v>65</v>
      </c>
      <c r="L348" s="82">
        <v>348</v>
      </c>
      <c r="M348" s="82"/>
      <c r="N348" s="76"/>
      <c r="O348" s="84" t="s">
        <v>440</v>
      </c>
      <c r="P348" s="86">
        <v>44082.62331018518</v>
      </c>
      <c r="Q348" s="84" t="s">
        <v>448</v>
      </c>
      <c r="R348" s="87" t="str">
        <f>HYPERLINK("https://www.peoplematters.in/news/technology/job-searches-in-artificial-intelligence-rise-106-in-one-year-report-26898")</f>
        <v>https://www.peoplematters.in/news/technology/job-searches-in-artificial-intelligence-rise-106-in-one-year-report-26898</v>
      </c>
      <c r="S348" s="84" t="s">
        <v>532</v>
      </c>
      <c r="T348" s="84" t="s">
        <v>568</v>
      </c>
      <c r="U348" s="87" t="str">
        <f>HYPERLINK("https://pbs.twimg.com/media/EhVAOmdWoAAOQiY.jpg")</f>
        <v>https://pbs.twimg.com/media/EhVAOmdWoAAOQiY.jpg</v>
      </c>
      <c r="V348" s="87" t="str">
        <f>HYPERLINK("https://pbs.twimg.com/media/EhVAOmdWoAAOQiY.jpg")</f>
        <v>https://pbs.twimg.com/media/EhVAOmdWoAAOQiY.jpg</v>
      </c>
      <c r="W348" s="86">
        <v>44082.62331018518</v>
      </c>
      <c r="X348" s="90">
        <v>44082</v>
      </c>
      <c r="Y348" s="92" t="s">
        <v>855</v>
      </c>
      <c r="Z348" s="87" t="str">
        <f>HYPERLINK("https://twitter.com/hubofml/status/1303346747805138946")</f>
        <v>https://twitter.com/hubofml/status/1303346747805138946</v>
      </c>
      <c r="AA348" s="84"/>
      <c r="AB348" s="84"/>
      <c r="AC348" s="92" t="s">
        <v>1252</v>
      </c>
      <c r="AD348" s="84"/>
      <c r="AE348" s="84" t="b">
        <v>0</v>
      </c>
      <c r="AF348" s="84">
        <v>0</v>
      </c>
      <c r="AG348" s="92" t="s">
        <v>1453</v>
      </c>
      <c r="AH348" s="84" t="b">
        <v>0</v>
      </c>
      <c r="AI348" s="84" t="s">
        <v>1456</v>
      </c>
      <c r="AJ348" s="84"/>
      <c r="AK348" s="92" t="s">
        <v>1453</v>
      </c>
      <c r="AL348" s="84" t="b">
        <v>0</v>
      </c>
      <c r="AM348" s="84">
        <v>25</v>
      </c>
      <c r="AN348" s="92" t="s">
        <v>1248</v>
      </c>
      <c r="AO348" s="84" t="s">
        <v>386</v>
      </c>
      <c r="AP348" s="84" t="b">
        <v>0</v>
      </c>
      <c r="AQ348" s="92" t="s">
        <v>1248</v>
      </c>
      <c r="AR348" s="84" t="s">
        <v>187</v>
      </c>
      <c r="AS348" s="84">
        <v>0</v>
      </c>
      <c r="AT348" s="84">
        <v>0</v>
      </c>
      <c r="AU348" s="84"/>
      <c r="AV348" s="84"/>
      <c r="AW348" s="84"/>
      <c r="AX348" s="84"/>
      <c r="AY348" s="84"/>
      <c r="AZ348" s="84"/>
      <c r="BA348" s="84"/>
      <c r="BB348" s="84"/>
      <c r="BC348">
        <v>2</v>
      </c>
      <c r="BD348" s="83" t="str">
        <f>REPLACE(INDEX(GroupVertices[Group],MATCH(Edges[[#This Row],[Vertex 1]],GroupVertices[Vertex],0)),1,1,"")</f>
        <v>5</v>
      </c>
      <c r="BE348" s="83" t="str">
        <f>REPLACE(INDEX(GroupVertices[Group],MATCH(Edges[[#This Row],[Vertex 2]],GroupVertices[Vertex],0)),1,1,"")</f>
        <v>4</v>
      </c>
      <c r="BF348" s="49"/>
      <c r="BG348" s="50"/>
      <c r="BH348" s="49"/>
      <c r="BI348" s="50"/>
      <c r="BJ348" s="49"/>
      <c r="BK348" s="50"/>
      <c r="BL348" s="49"/>
      <c r="BM348" s="50"/>
      <c r="BN348" s="49"/>
    </row>
    <row r="349" spans="1:66" ht="15">
      <c r="A349" s="68" t="s">
        <v>380</v>
      </c>
      <c r="B349" s="68" t="s">
        <v>385</v>
      </c>
      <c r="C349" s="69" t="s">
        <v>5208</v>
      </c>
      <c r="D349" s="70">
        <v>1</v>
      </c>
      <c r="E349" s="71" t="s">
        <v>132</v>
      </c>
      <c r="F349" s="72">
        <v>32</v>
      </c>
      <c r="G349" s="69" t="s">
        <v>51</v>
      </c>
      <c r="H349" s="73"/>
      <c r="I349" s="74"/>
      <c r="J349" s="74"/>
      <c r="K349" s="35" t="s">
        <v>66</v>
      </c>
      <c r="L349" s="82">
        <v>349</v>
      </c>
      <c r="M349" s="82"/>
      <c r="N349" s="76"/>
      <c r="O349" s="84" t="s">
        <v>440</v>
      </c>
      <c r="P349" s="86">
        <v>44081.71776620371</v>
      </c>
      <c r="Q349" s="84" t="s">
        <v>448</v>
      </c>
      <c r="R349" s="87" t="str">
        <f>HYPERLINK("https://www.peoplematters.in/news/technology/job-searches-in-artificial-intelligence-rise-106-in-one-year-report-26898")</f>
        <v>https://www.peoplematters.in/news/technology/job-searches-in-artificial-intelligence-rise-106-in-one-year-report-26898</v>
      </c>
      <c r="S349" s="84" t="s">
        <v>532</v>
      </c>
      <c r="T349" s="84" t="s">
        <v>568</v>
      </c>
      <c r="U349" s="87" t="str">
        <f>HYPERLINK("https://pbs.twimg.com/media/EhVAOmdWoAAOQiY.jpg")</f>
        <v>https://pbs.twimg.com/media/EhVAOmdWoAAOQiY.jpg</v>
      </c>
      <c r="V349" s="87" t="str">
        <f>HYPERLINK("https://pbs.twimg.com/media/EhVAOmdWoAAOQiY.jpg")</f>
        <v>https://pbs.twimg.com/media/EhVAOmdWoAAOQiY.jpg</v>
      </c>
      <c r="W349" s="86">
        <v>44081.71776620371</v>
      </c>
      <c r="X349" s="90">
        <v>44081</v>
      </c>
      <c r="Y349" s="92" t="s">
        <v>847</v>
      </c>
      <c r="Z349" s="87" t="str">
        <f>HYPERLINK("https://twitter.com/jolaburnett/status/1303018588907991043")</f>
        <v>https://twitter.com/jolaburnett/status/1303018588907991043</v>
      </c>
      <c r="AA349" s="84"/>
      <c r="AB349" s="84"/>
      <c r="AC349" s="92" t="s">
        <v>1244</v>
      </c>
      <c r="AD349" s="84"/>
      <c r="AE349" s="84" t="b">
        <v>0</v>
      </c>
      <c r="AF349" s="84">
        <v>0</v>
      </c>
      <c r="AG349" s="92" t="s">
        <v>1453</v>
      </c>
      <c r="AH349" s="84" t="b">
        <v>0</v>
      </c>
      <c r="AI349" s="84" t="s">
        <v>1456</v>
      </c>
      <c r="AJ349" s="84"/>
      <c r="AK349" s="92" t="s">
        <v>1453</v>
      </c>
      <c r="AL349" s="84" t="b">
        <v>0</v>
      </c>
      <c r="AM349" s="84">
        <v>25</v>
      </c>
      <c r="AN349" s="92" t="s">
        <v>1248</v>
      </c>
      <c r="AO349" s="84" t="s">
        <v>1467</v>
      </c>
      <c r="AP349" s="84" t="b">
        <v>0</v>
      </c>
      <c r="AQ349" s="92" t="s">
        <v>1248</v>
      </c>
      <c r="AR349" s="84" t="s">
        <v>187</v>
      </c>
      <c r="AS349" s="84">
        <v>0</v>
      </c>
      <c r="AT349" s="84">
        <v>0</v>
      </c>
      <c r="AU349" s="84"/>
      <c r="AV349" s="84"/>
      <c r="AW349" s="84"/>
      <c r="AX349" s="84"/>
      <c r="AY349" s="84"/>
      <c r="AZ349" s="84"/>
      <c r="BA349" s="84"/>
      <c r="BB349" s="84"/>
      <c r="BC349">
        <v>1</v>
      </c>
      <c r="BD349" s="83" t="str">
        <f>REPLACE(INDEX(GroupVertices[Group],MATCH(Edges[[#This Row],[Vertex 1]],GroupVertices[Vertex],0)),1,1,"")</f>
        <v>4</v>
      </c>
      <c r="BE349" s="83" t="str">
        <f>REPLACE(INDEX(GroupVertices[Group],MATCH(Edges[[#This Row],[Vertex 2]],GroupVertices[Vertex],0)),1,1,"")</f>
        <v>4</v>
      </c>
      <c r="BF349" s="49"/>
      <c r="BG349" s="50"/>
      <c r="BH349" s="49"/>
      <c r="BI349" s="50"/>
      <c r="BJ349" s="49"/>
      <c r="BK349" s="50"/>
      <c r="BL349" s="49"/>
      <c r="BM349" s="50"/>
      <c r="BN349" s="49"/>
    </row>
    <row r="350" spans="1:66" ht="15">
      <c r="A350" s="68" t="s">
        <v>381</v>
      </c>
      <c r="B350" s="68" t="s">
        <v>385</v>
      </c>
      <c r="C350" s="69" t="s">
        <v>5208</v>
      </c>
      <c r="D350" s="70">
        <v>1</v>
      </c>
      <c r="E350" s="71" t="s">
        <v>132</v>
      </c>
      <c r="F350" s="72">
        <v>32</v>
      </c>
      <c r="G350" s="69" t="s">
        <v>51</v>
      </c>
      <c r="H350" s="73"/>
      <c r="I350" s="74"/>
      <c r="J350" s="74"/>
      <c r="K350" s="35" t="s">
        <v>66</v>
      </c>
      <c r="L350" s="82">
        <v>350</v>
      </c>
      <c r="M350" s="82"/>
      <c r="N350" s="76"/>
      <c r="O350" s="84" t="s">
        <v>440</v>
      </c>
      <c r="P350" s="86">
        <v>44081.82989583333</v>
      </c>
      <c r="Q350" s="84" t="s">
        <v>448</v>
      </c>
      <c r="R350" s="87" t="str">
        <f>HYPERLINK("https://www.peoplematters.in/news/technology/job-searches-in-artificial-intelligence-rise-106-in-one-year-report-26898")</f>
        <v>https://www.peoplematters.in/news/technology/job-searches-in-artificial-intelligence-rise-106-in-one-year-report-26898</v>
      </c>
      <c r="S350" s="84" t="s">
        <v>532</v>
      </c>
      <c r="T350" s="84" t="s">
        <v>568</v>
      </c>
      <c r="U350" s="87" t="str">
        <f>HYPERLINK("https://pbs.twimg.com/media/EhVAOmdWoAAOQiY.jpg")</f>
        <v>https://pbs.twimg.com/media/EhVAOmdWoAAOQiY.jpg</v>
      </c>
      <c r="V350" s="87" t="str">
        <f>HYPERLINK("https://pbs.twimg.com/media/EhVAOmdWoAAOQiY.jpg")</f>
        <v>https://pbs.twimg.com/media/EhVAOmdWoAAOQiY.jpg</v>
      </c>
      <c r="W350" s="86">
        <v>44081.82989583333</v>
      </c>
      <c r="X350" s="90">
        <v>44081</v>
      </c>
      <c r="Y350" s="92" t="s">
        <v>848</v>
      </c>
      <c r="Z350" s="87" t="str">
        <f>HYPERLINK("https://twitter.com/debraruh/status/1303059226315624448")</f>
        <v>https://twitter.com/debraruh/status/1303059226315624448</v>
      </c>
      <c r="AA350" s="84"/>
      <c r="AB350" s="84"/>
      <c r="AC350" s="92" t="s">
        <v>1245</v>
      </c>
      <c r="AD350" s="84"/>
      <c r="AE350" s="84" t="b">
        <v>0</v>
      </c>
      <c r="AF350" s="84">
        <v>0</v>
      </c>
      <c r="AG350" s="92" t="s">
        <v>1453</v>
      </c>
      <c r="AH350" s="84" t="b">
        <v>0</v>
      </c>
      <c r="AI350" s="84" t="s">
        <v>1456</v>
      </c>
      <c r="AJ350" s="84"/>
      <c r="AK350" s="92" t="s">
        <v>1453</v>
      </c>
      <c r="AL350" s="84" t="b">
        <v>0</v>
      </c>
      <c r="AM350" s="84">
        <v>25</v>
      </c>
      <c r="AN350" s="92" t="s">
        <v>1248</v>
      </c>
      <c r="AO350" s="84" t="s">
        <v>1467</v>
      </c>
      <c r="AP350" s="84" t="b">
        <v>0</v>
      </c>
      <c r="AQ350" s="92" t="s">
        <v>1248</v>
      </c>
      <c r="AR350" s="84" t="s">
        <v>187</v>
      </c>
      <c r="AS350" s="84">
        <v>0</v>
      </c>
      <c r="AT350" s="84">
        <v>0</v>
      </c>
      <c r="AU350" s="84"/>
      <c r="AV350" s="84"/>
      <c r="AW350" s="84"/>
      <c r="AX350" s="84"/>
      <c r="AY350" s="84"/>
      <c r="AZ350" s="84"/>
      <c r="BA350" s="84"/>
      <c r="BB350" s="84"/>
      <c r="BC350">
        <v>1</v>
      </c>
      <c r="BD350" s="83" t="str">
        <f>REPLACE(INDEX(GroupVertices[Group],MATCH(Edges[[#This Row],[Vertex 1]],GroupVertices[Vertex],0)),1,1,"")</f>
        <v>4</v>
      </c>
      <c r="BE350" s="83" t="str">
        <f>REPLACE(INDEX(GroupVertices[Group],MATCH(Edges[[#This Row],[Vertex 2]],GroupVertices[Vertex],0)),1,1,"")</f>
        <v>4</v>
      </c>
      <c r="BF350" s="49"/>
      <c r="BG350" s="50"/>
      <c r="BH350" s="49"/>
      <c r="BI350" s="50"/>
      <c r="BJ350" s="49"/>
      <c r="BK350" s="50"/>
      <c r="BL350" s="49"/>
      <c r="BM350" s="50"/>
      <c r="BN350" s="49"/>
    </row>
    <row r="351" spans="1:66" ht="15">
      <c r="A351" s="68" t="s">
        <v>383</v>
      </c>
      <c r="B351" s="68" t="s">
        <v>385</v>
      </c>
      <c r="C351" s="69" t="s">
        <v>5208</v>
      </c>
      <c r="D351" s="70">
        <v>1</v>
      </c>
      <c r="E351" s="71" t="s">
        <v>132</v>
      </c>
      <c r="F351" s="72">
        <v>32</v>
      </c>
      <c r="G351" s="69" t="s">
        <v>51</v>
      </c>
      <c r="H351" s="73"/>
      <c r="I351" s="74"/>
      <c r="J351" s="74"/>
      <c r="K351" s="35" t="s">
        <v>66</v>
      </c>
      <c r="L351" s="82">
        <v>351</v>
      </c>
      <c r="M351" s="82"/>
      <c r="N351" s="76"/>
      <c r="O351" s="84" t="s">
        <v>440</v>
      </c>
      <c r="P351" s="86">
        <v>44081.89548611111</v>
      </c>
      <c r="Q351" s="84" t="s">
        <v>448</v>
      </c>
      <c r="R351" s="87" t="str">
        <f>HYPERLINK("https://www.peoplematters.in/news/technology/job-searches-in-artificial-intelligence-rise-106-in-one-year-report-26898")</f>
        <v>https://www.peoplematters.in/news/technology/job-searches-in-artificial-intelligence-rise-106-in-one-year-report-26898</v>
      </c>
      <c r="S351" s="84" t="s">
        <v>532</v>
      </c>
      <c r="T351" s="84" t="s">
        <v>568</v>
      </c>
      <c r="U351" s="87" t="str">
        <f>HYPERLINK("https://pbs.twimg.com/media/EhVAOmdWoAAOQiY.jpg")</f>
        <v>https://pbs.twimg.com/media/EhVAOmdWoAAOQiY.jpg</v>
      </c>
      <c r="V351" s="87" t="str">
        <f>HYPERLINK("https://pbs.twimg.com/media/EhVAOmdWoAAOQiY.jpg")</f>
        <v>https://pbs.twimg.com/media/EhVAOmdWoAAOQiY.jpg</v>
      </c>
      <c r="W351" s="86">
        <v>44081.89548611111</v>
      </c>
      <c r="X351" s="90">
        <v>44081</v>
      </c>
      <c r="Y351" s="92" t="s">
        <v>850</v>
      </c>
      <c r="Z351" s="87" t="str">
        <f>HYPERLINK("https://twitter.com/kkruse/status/1303082993141952514")</f>
        <v>https://twitter.com/kkruse/status/1303082993141952514</v>
      </c>
      <c r="AA351" s="84"/>
      <c r="AB351" s="84"/>
      <c r="AC351" s="92" t="s">
        <v>1247</v>
      </c>
      <c r="AD351" s="84"/>
      <c r="AE351" s="84" t="b">
        <v>0</v>
      </c>
      <c r="AF351" s="84">
        <v>0</v>
      </c>
      <c r="AG351" s="92" t="s">
        <v>1453</v>
      </c>
      <c r="AH351" s="84" t="b">
        <v>0</v>
      </c>
      <c r="AI351" s="84" t="s">
        <v>1456</v>
      </c>
      <c r="AJ351" s="84"/>
      <c r="AK351" s="92" t="s">
        <v>1453</v>
      </c>
      <c r="AL351" s="84" t="b">
        <v>0</v>
      </c>
      <c r="AM351" s="84">
        <v>25</v>
      </c>
      <c r="AN351" s="92" t="s">
        <v>1248</v>
      </c>
      <c r="AO351" s="84" t="s">
        <v>1465</v>
      </c>
      <c r="AP351" s="84" t="b">
        <v>0</v>
      </c>
      <c r="AQ351" s="92" t="s">
        <v>1248</v>
      </c>
      <c r="AR351" s="84" t="s">
        <v>187</v>
      </c>
      <c r="AS351" s="84">
        <v>0</v>
      </c>
      <c r="AT351" s="84">
        <v>0</v>
      </c>
      <c r="AU351" s="84"/>
      <c r="AV351" s="84"/>
      <c r="AW351" s="84"/>
      <c r="AX351" s="84"/>
      <c r="AY351" s="84"/>
      <c r="AZ351" s="84"/>
      <c r="BA351" s="84"/>
      <c r="BB351" s="84"/>
      <c r="BC351">
        <v>1</v>
      </c>
      <c r="BD351" s="83" t="str">
        <f>REPLACE(INDEX(GroupVertices[Group],MATCH(Edges[[#This Row],[Vertex 1]],GroupVertices[Vertex],0)),1,1,"")</f>
        <v>4</v>
      </c>
      <c r="BE351" s="83" t="str">
        <f>REPLACE(INDEX(GroupVertices[Group],MATCH(Edges[[#This Row],[Vertex 2]],GroupVertices[Vertex],0)),1,1,"")</f>
        <v>4</v>
      </c>
      <c r="BF351" s="49"/>
      <c r="BG351" s="50"/>
      <c r="BH351" s="49"/>
      <c r="BI351" s="50"/>
      <c r="BJ351" s="49"/>
      <c r="BK351" s="50"/>
      <c r="BL351" s="49"/>
      <c r="BM351" s="50"/>
      <c r="BN351" s="49"/>
    </row>
    <row r="352" spans="1:66" ht="15">
      <c r="A352" s="68" t="s">
        <v>384</v>
      </c>
      <c r="B352" s="68" t="s">
        <v>385</v>
      </c>
      <c r="C352" s="69" t="s">
        <v>5208</v>
      </c>
      <c r="D352" s="70">
        <v>1</v>
      </c>
      <c r="E352" s="71" t="s">
        <v>132</v>
      </c>
      <c r="F352" s="72">
        <v>32</v>
      </c>
      <c r="G352" s="69" t="s">
        <v>51</v>
      </c>
      <c r="H352" s="73"/>
      <c r="I352" s="74"/>
      <c r="J352" s="74"/>
      <c r="K352" s="35" t="s">
        <v>66</v>
      </c>
      <c r="L352" s="82">
        <v>352</v>
      </c>
      <c r="M352" s="82"/>
      <c r="N352" s="76"/>
      <c r="O352" s="84" t="s">
        <v>441</v>
      </c>
      <c r="P352" s="86">
        <v>44081.71693287037</v>
      </c>
      <c r="Q352" s="84" t="s">
        <v>448</v>
      </c>
      <c r="R352" s="87" t="str">
        <f>HYPERLINK("https://www.peoplematters.in/news/technology/job-searches-in-artificial-intelligence-rise-106-in-one-year-report-26898")</f>
        <v>https://www.peoplematters.in/news/technology/job-searches-in-artificial-intelligence-rise-106-in-one-year-report-26898</v>
      </c>
      <c r="S352" s="84" t="s">
        <v>532</v>
      </c>
      <c r="T352" s="84" t="s">
        <v>619</v>
      </c>
      <c r="U352" s="87" t="str">
        <f>HYPERLINK("https://pbs.twimg.com/media/EhVAOmdWoAAOQiY.jpg")</f>
        <v>https://pbs.twimg.com/media/EhVAOmdWoAAOQiY.jpg</v>
      </c>
      <c r="V352" s="87" t="str">
        <f>HYPERLINK("https://pbs.twimg.com/media/EhVAOmdWoAAOQiY.jpg")</f>
        <v>https://pbs.twimg.com/media/EhVAOmdWoAAOQiY.jpg</v>
      </c>
      <c r="W352" s="86">
        <v>44081.71693287037</v>
      </c>
      <c r="X352" s="90">
        <v>44081</v>
      </c>
      <c r="Y352" s="92" t="s">
        <v>851</v>
      </c>
      <c r="Z352" s="87" t="str">
        <f>HYPERLINK("https://twitter.com/fabriziobustama/status/1303018290026106884")</f>
        <v>https://twitter.com/fabriziobustama/status/1303018290026106884</v>
      </c>
      <c r="AA352" s="84"/>
      <c r="AB352" s="84"/>
      <c r="AC352" s="92" t="s">
        <v>1248</v>
      </c>
      <c r="AD352" s="84"/>
      <c r="AE352" s="84" t="b">
        <v>0</v>
      </c>
      <c r="AF352" s="84">
        <v>22</v>
      </c>
      <c r="AG352" s="92" t="s">
        <v>1453</v>
      </c>
      <c r="AH352" s="84" t="b">
        <v>0</v>
      </c>
      <c r="AI352" s="84" t="s">
        <v>1456</v>
      </c>
      <c r="AJ352" s="84"/>
      <c r="AK352" s="92" t="s">
        <v>1453</v>
      </c>
      <c r="AL352" s="84" t="b">
        <v>0</v>
      </c>
      <c r="AM352" s="84">
        <v>25</v>
      </c>
      <c r="AN352" s="92" t="s">
        <v>1453</v>
      </c>
      <c r="AO352" s="84" t="s">
        <v>1464</v>
      </c>
      <c r="AP352" s="84" t="b">
        <v>0</v>
      </c>
      <c r="AQ352" s="92" t="s">
        <v>1248</v>
      </c>
      <c r="AR352" s="84" t="s">
        <v>187</v>
      </c>
      <c r="AS352" s="84">
        <v>0</v>
      </c>
      <c r="AT352" s="84">
        <v>0</v>
      </c>
      <c r="AU352" s="84"/>
      <c r="AV352" s="84"/>
      <c r="AW352" s="84"/>
      <c r="AX352" s="84"/>
      <c r="AY352" s="84"/>
      <c r="AZ352" s="84"/>
      <c r="BA352" s="84"/>
      <c r="BB352" s="84"/>
      <c r="BC352">
        <v>1</v>
      </c>
      <c r="BD352" s="83" t="str">
        <f>REPLACE(INDEX(GroupVertices[Group],MATCH(Edges[[#This Row],[Vertex 1]],GroupVertices[Vertex],0)),1,1,"")</f>
        <v>4</v>
      </c>
      <c r="BE352" s="83" t="str">
        <f>REPLACE(INDEX(GroupVertices[Group],MATCH(Edges[[#This Row],[Vertex 2]],GroupVertices[Vertex],0)),1,1,"")</f>
        <v>4</v>
      </c>
      <c r="BF352" s="49"/>
      <c r="BG352" s="50"/>
      <c r="BH352" s="49"/>
      <c r="BI352" s="50"/>
      <c r="BJ352" s="49"/>
      <c r="BK352" s="50"/>
      <c r="BL352" s="49"/>
      <c r="BM352" s="50"/>
      <c r="BN352" s="49"/>
    </row>
    <row r="353" spans="1:66" ht="15">
      <c r="A353" s="68" t="s">
        <v>384</v>
      </c>
      <c r="B353" s="68" t="s">
        <v>385</v>
      </c>
      <c r="C353" s="69" t="s">
        <v>5208</v>
      </c>
      <c r="D353" s="70">
        <v>1</v>
      </c>
      <c r="E353" s="71" t="s">
        <v>132</v>
      </c>
      <c r="F353" s="72">
        <v>32</v>
      </c>
      <c r="G353" s="69" t="s">
        <v>51</v>
      </c>
      <c r="H353" s="73"/>
      <c r="I353" s="74"/>
      <c r="J353" s="74"/>
      <c r="K353" s="35" t="s">
        <v>66</v>
      </c>
      <c r="L353" s="82">
        <v>353</v>
      </c>
      <c r="M353" s="82"/>
      <c r="N353" s="76"/>
      <c r="O353" s="84" t="s">
        <v>440</v>
      </c>
      <c r="P353" s="86">
        <v>44082.14244212963</v>
      </c>
      <c r="Q353" s="84" t="s">
        <v>448</v>
      </c>
      <c r="R353" s="87" t="str">
        <f>HYPERLINK("https://www.peoplematters.in/news/technology/job-searches-in-artificial-intelligence-rise-106-in-one-year-report-26898")</f>
        <v>https://www.peoplematters.in/news/technology/job-searches-in-artificial-intelligence-rise-106-in-one-year-report-26898</v>
      </c>
      <c r="S353" s="84" t="s">
        <v>532</v>
      </c>
      <c r="T353" s="84" t="s">
        <v>568</v>
      </c>
      <c r="U353" s="87" t="str">
        <f>HYPERLINK("https://pbs.twimg.com/media/EhVAOmdWoAAOQiY.jpg")</f>
        <v>https://pbs.twimg.com/media/EhVAOmdWoAAOQiY.jpg</v>
      </c>
      <c r="V353" s="87" t="str">
        <f>HYPERLINK("https://pbs.twimg.com/media/EhVAOmdWoAAOQiY.jpg")</f>
        <v>https://pbs.twimg.com/media/EhVAOmdWoAAOQiY.jpg</v>
      </c>
      <c r="W353" s="86">
        <v>44082.14244212963</v>
      </c>
      <c r="X353" s="90">
        <v>44082</v>
      </c>
      <c r="Y353" s="92" t="s">
        <v>852</v>
      </c>
      <c r="Z353" s="87" t="str">
        <f>HYPERLINK("https://twitter.com/fabriziobustama/status/1303172486956290054")</f>
        <v>https://twitter.com/fabriziobustama/status/1303172486956290054</v>
      </c>
      <c r="AA353" s="84"/>
      <c r="AB353" s="84"/>
      <c r="AC353" s="92" t="s">
        <v>1249</v>
      </c>
      <c r="AD353" s="84"/>
      <c r="AE353" s="84" t="b">
        <v>0</v>
      </c>
      <c r="AF353" s="84">
        <v>0</v>
      </c>
      <c r="AG353" s="92" t="s">
        <v>1453</v>
      </c>
      <c r="AH353" s="84" t="b">
        <v>0</v>
      </c>
      <c r="AI353" s="84" t="s">
        <v>1456</v>
      </c>
      <c r="AJ353" s="84"/>
      <c r="AK353" s="92" t="s">
        <v>1453</v>
      </c>
      <c r="AL353" s="84" t="b">
        <v>0</v>
      </c>
      <c r="AM353" s="84">
        <v>25</v>
      </c>
      <c r="AN353" s="92" t="s">
        <v>1248</v>
      </c>
      <c r="AO353" s="84" t="s">
        <v>1464</v>
      </c>
      <c r="AP353" s="84" t="b">
        <v>0</v>
      </c>
      <c r="AQ353" s="92" t="s">
        <v>1248</v>
      </c>
      <c r="AR353" s="84" t="s">
        <v>187</v>
      </c>
      <c r="AS353" s="84">
        <v>0</v>
      </c>
      <c r="AT353" s="84">
        <v>0</v>
      </c>
      <c r="AU353" s="84"/>
      <c r="AV353" s="84"/>
      <c r="AW353" s="84"/>
      <c r="AX353" s="84"/>
      <c r="AY353" s="84"/>
      <c r="AZ353" s="84"/>
      <c r="BA353" s="84"/>
      <c r="BB353" s="84"/>
      <c r="BC353">
        <v>1</v>
      </c>
      <c r="BD353" s="83" t="str">
        <f>REPLACE(INDEX(GroupVertices[Group],MATCH(Edges[[#This Row],[Vertex 1]],GroupVertices[Vertex],0)),1,1,"")</f>
        <v>4</v>
      </c>
      <c r="BE353" s="83" t="str">
        <f>REPLACE(INDEX(GroupVertices[Group],MATCH(Edges[[#This Row],[Vertex 2]],GroupVertices[Vertex],0)),1,1,"")</f>
        <v>4</v>
      </c>
      <c r="BF353" s="49"/>
      <c r="BG353" s="50"/>
      <c r="BH353" s="49"/>
      <c r="BI353" s="50"/>
      <c r="BJ353" s="49"/>
      <c r="BK353" s="50"/>
      <c r="BL353" s="49"/>
      <c r="BM353" s="50"/>
      <c r="BN353" s="49"/>
    </row>
    <row r="354" spans="1:66" ht="15">
      <c r="A354" s="68" t="s">
        <v>385</v>
      </c>
      <c r="B354" s="68" t="s">
        <v>430</v>
      </c>
      <c r="C354" s="69" t="s">
        <v>5208</v>
      </c>
      <c r="D354" s="70">
        <v>1</v>
      </c>
      <c r="E354" s="71" t="s">
        <v>132</v>
      </c>
      <c r="F354" s="72">
        <v>32</v>
      </c>
      <c r="G354" s="69" t="s">
        <v>51</v>
      </c>
      <c r="H354" s="73"/>
      <c r="I354" s="74"/>
      <c r="J354" s="74"/>
      <c r="K354" s="35" t="s">
        <v>65</v>
      </c>
      <c r="L354" s="82">
        <v>354</v>
      </c>
      <c r="M354" s="82"/>
      <c r="N354" s="76"/>
      <c r="O354" s="84" t="s">
        <v>440</v>
      </c>
      <c r="P354" s="86">
        <v>44082.33828703704</v>
      </c>
      <c r="Q354" s="84" t="s">
        <v>448</v>
      </c>
      <c r="R354" s="87" t="str">
        <f>HYPERLINK("https://www.peoplematters.in/news/technology/job-searches-in-artificial-intelligence-rise-106-in-one-year-report-26898")</f>
        <v>https://www.peoplematters.in/news/technology/job-searches-in-artificial-intelligence-rise-106-in-one-year-report-26898</v>
      </c>
      <c r="S354" s="84" t="s">
        <v>532</v>
      </c>
      <c r="T354" s="84" t="s">
        <v>568</v>
      </c>
      <c r="U354" s="87" t="str">
        <f>HYPERLINK("https://pbs.twimg.com/media/EhVAOmdWoAAOQiY.jpg")</f>
        <v>https://pbs.twimg.com/media/EhVAOmdWoAAOQiY.jpg</v>
      </c>
      <c r="V354" s="87" t="str">
        <f>HYPERLINK("https://pbs.twimg.com/media/EhVAOmdWoAAOQiY.jpg")</f>
        <v>https://pbs.twimg.com/media/EhVAOmdWoAAOQiY.jpg</v>
      </c>
      <c r="W354" s="86">
        <v>44082.33828703704</v>
      </c>
      <c r="X354" s="90">
        <v>44082</v>
      </c>
      <c r="Y354" s="92" t="s">
        <v>853</v>
      </c>
      <c r="Z354" s="87" t="str">
        <f>HYPERLINK("https://twitter.com/misstalent86/status/1303243459172601857")</f>
        <v>https://twitter.com/misstalent86/status/1303243459172601857</v>
      </c>
      <c r="AA354" s="84"/>
      <c r="AB354" s="84"/>
      <c r="AC354" s="92" t="s">
        <v>1250</v>
      </c>
      <c r="AD354" s="84"/>
      <c r="AE354" s="84" t="b">
        <v>0</v>
      </c>
      <c r="AF354" s="84">
        <v>0</v>
      </c>
      <c r="AG354" s="92" t="s">
        <v>1453</v>
      </c>
      <c r="AH354" s="84" t="b">
        <v>0</v>
      </c>
      <c r="AI354" s="84" t="s">
        <v>1456</v>
      </c>
      <c r="AJ354" s="84"/>
      <c r="AK354" s="92" t="s">
        <v>1453</v>
      </c>
      <c r="AL354" s="84" t="b">
        <v>0</v>
      </c>
      <c r="AM354" s="84">
        <v>25</v>
      </c>
      <c r="AN354" s="92" t="s">
        <v>1248</v>
      </c>
      <c r="AO354" s="84" t="s">
        <v>1464</v>
      </c>
      <c r="AP354" s="84" t="b">
        <v>0</v>
      </c>
      <c r="AQ354" s="92" t="s">
        <v>1248</v>
      </c>
      <c r="AR354" s="84" t="s">
        <v>187</v>
      </c>
      <c r="AS354" s="84">
        <v>0</v>
      </c>
      <c r="AT354" s="84">
        <v>0</v>
      </c>
      <c r="AU354" s="84"/>
      <c r="AV354" s="84"/>
      <c r="AW354" s="84"/>
      <c r="AX354" s="84"/>
      <c r="AY354" s="84"/>
      <c r="AZ354" s="84"/>
      <c r="BA354" s="84"/>
      <c r="BB354" s="84"/>
      <c r="BC354">
        <v>1</v>
      </c>
      <c r="BD354" s="83" t="str">
        <f>REPLACE(INDEX(GroupVertices[Group],MATCH(Edges[[#This Row],[Vertex 1]],GroupVertices[Vertex],0)),1,1,"")</f>
        <v>4</v>
      </c>
      <c r="BE354" s="83" t="str">
        <f>REPLACE(INDEX(GroupVertices[Group],MATCH(Edges[[#This Row],[Vertex 2]],GroupVertices[Vertex],0)),1,1,"")</f>
        <v>4</v>
      </c>
      <c r="BF354" s="49"/>
      <c r="BG354" s="50"/>
      <c r="BH354" s="49"/>
      <c r="BI354" s="50"/>
      <c r="BJ354" s="49"/>
      <c r="BK354" s="50"/>
      <c r="BL354" s="49"/>
      <c r="BM354" s="50"/>
      <c r="BN354" s="49"/>
    </row>
    <row r="355" spans="1:66" ht="15">
      <c r="A355" s="68" t="s">
        <v>385</v>
      </c>
      <c r="B355" s="68" t="s">
        <v>383</v>
      </c>
      <c r="C355" s="69" t="s">
        <v>5208</v>
      </c>
      <c r="D355" s="70">
        <v>1</v>
      </c>
      <c r="E355" s="71" t="s">
        <v>132</v>
      </c>
      <c r="F355" s="72">
        <v>32</v>
      </c>
      <c r="G355" s="69" t="s">
        <v>51</v>
      </c>
      <c r="H355" s="73"/>
      <c r="I355" s="74"/>
      <c r="J355" s="74"/>
      <c r="K355" s="35" t="s">
        <v>66</v>
      </c>
      <c r="L355" s="82">
        <v>355</v>
      </c>
      <c r="M355" s="82"/>
      <c r="N355" s="76"/>
      <c r="O355" s="84" t="s">
        <v>440</v>
      </c>
      <c r="P355" s="86">
        <v>44082.33828703704</v>
      </c>
      <c r="Q355" s="84" t="s">
        <v>448</v>
      </c>
      <c r="R355" s="87" t="str">
        <f>HYPERLINK("https://www.peoplematters.in/news/technology/job-searches-in-artificial-intelligence-rise-106-in-one-year-report-26898")</f>
        <v>https://www.peoplematters.in/news/technology/job-searches-in-artificial-intelligence-rise-106-in-one-year-report-26898</v>
      </c>
      <c r="S355" s="84" t="s">
        <v>532</v>
      </c>
      <c r="T355" s="84" t="s">
        <v>568</v>
      </c>
      <c r="U355" s="87" t="str">
        <f>HYPERLINK("https://pbs.twimg.com/media/EhVAOmdWoAAOQiY.jpg")</f>
        <v>https://pbs.twimg.com/media/EhVAOmdWoAAOQiY.jpg</v>
      </c>
      <c r="V355" s="87" t="str">
        <f>HYPERLINK("https://pbs.twimg.com/media/EhVAOmdWoAAOQiY.jpg")</f>
        <v>https://pbs.twimg.com/media/EhVAOmdWoAAOQiY.jpg</v>
      </c>
      <c r="W355" s="86">
        <v>44082.33828703704</v>
      </c>
      <c r="X355" s="90">
        <v>44082</v>
      </c>
      <c r="Y355" s="92" t="s">
        <v>853</v>
      </c>
      <c r="Z355" s="87" t="str">
        <f>HYPERLINK("https://twitter.com/misstalent86/status/1303243459172601857")</f>
        <v>https://twitter.com/misstalent86/status/1303243459172601857</v>
      </c>
      <c r="AA355" s="84"/>
      <c r="AB355" s="84"/>
      <c r="AC355" s="92" t="s">
        <v>1250</v>
      </c>
      <c r="AD355" s="84"/>
      <c r="AE355" s="84" t="b">
        <v>0</v>
      </c>
      <c r="AF355" s="84">
        <v>0</v>
      </c>
      <c r="AG355" s="92" t="s">
        <v>1453</v>
      </c>
      <c r="AH355" s="84" t="b">
        <v>0</v>
      </c>
      <c r="AI355" s="84" t="s">
        <v>1456</v>
      </c>
      <c r="AJ355" s="84"/>
      <c r="AK355" s="92" t="s">
        <v>1453</v>
      </c>
      <c r="AL355" s="84" t="b">
        <v>0</v>
      </c>
      <c r="AM355" s="84">
        <v>25</v>
      </c>
      <c r="AN355" s="92" t="s">
        <v>1248</v>
      </c>
      <c r="AO355" s="84" t="s">
        <v>1464</v>
      </c>
      <c r="AP355" s="84" t="b">
        <v>0</v>
      </c>
      <c r="AQ355" s="92" t="s">
        <v>1248</v>
      </c>
      <c r="AR355" s="84" t="s">
        <v>187</v>
      </c>
      <c r="AS355" s="84">
        <v>0</v>
      </c>
      <c r="AT355" s="84">
        <v>0</v>
      </c>
      <c r="AU355" s="84"/>
      <c r="AV355" s="84"/>
      <c r="AW355" s="84"/>
      <c r="AX355" s="84"/>
      <c r="AY355" s="84"/>
      <c r="AZ355" s="84"/>
      <c r="BA355" s="84"/>
      <c r="BB355" s="84"/>
      <c r="BC355">
        <v>1</v>
      </c>
      <c r="BD355" s="83" t="str">
        <f>REPLACE(INDEX(GroupVertices[Group],MATCH(Edges[[#This Row],[Vertex 1]],GroupVertices[Vertex],0)),1,1,"")</f>
        <v>4</v>
      </c>
      <c r="BE355" s="83" t="str">
        <f>REPLACE(INDEX(GroupVertices[Group],MATCH(Edges[[#This Row],[Vertex 2]],GroupVertices[Vertex],0)),1,1,"")</f>
        <v>4</v>
      </c>
      <c r="BF355" s="49"/>
      <c r="BG355" s="50"/>
      <c r="BH355" s="49"/>
      <c r="BI355" s="50"/>
      <c r="BJ355" s="49"/>
      <c r="BK355" s="50"/>
      <c r="BL355" s="49"/>
      <c r="BM355" s="50"/>
      <c r="BN355" s="49"/>
    </row>
    <row r="356" spans="1:66" ht="15">
      <c r="A356" s="68" t="s">
        <v>385</v>
      </c>
      <c r="B356" s="68" t="s">
        <v>380</v>
      </c>
      <c r="C356" s="69" t="s">
        <v>5208</v>
      </c>
      <c r="D356" s="70">
        <v>1</v>
      </c>
      <c r="E356" s="71" t="s">
        <v>132</v>
      </c>
      <c r="F356" s="72">
        <v>32</v>
      </c>
      <c r="G356" s="69" t="s">
        <v>51</v>
      </c>
      <c r="H356" s="73"/>
      <c r="I356" s="74"/>
      <c r="J356" s="74"/>
      <c r="K356" s="35" t="s">
        <v>66</v>
      </c>
      <c r="L356" s="82">
        <v>356</v>
      </c>
      <c r="M356" s="82"/>
      <c r="N356" s="76"/>
      <c r="O356" s="84" t="s">
        <v>440</v>
      </c>
      <c r="P356" s="86">
        <v>44082.33828703704</v>
      </c>
      <c r="Q356" s="84" t="s">
        <v>448</v>
      </c>
      <c r="R356" s="87" t="str">
        <f>HYPERLINK("https://www.peoplematters.in/news/technology/job-searches-in-artificial-intelligence-rise-106-in-one-year-report-26898")</f>
        <v>https://www.peoplematters.in/news/technology/job-searches-in-artificial-intelligence-rise-106-in-one-year-report-26898</v>
      </c>
      <c r="S356" s="84" t="s">
        <v>532</v>
      </c>
      <c r="T356" s="84" t="s">
        <v>568</v>
      </c>
      <c r="U356" s="87" t="str">
        <f>HYPERLINK("https://pbs.twimg.com/media/EhVAOmdWoAAOQiY.jpg")</f>
        <v>https://pbs.twimg.com/media/EhVAOmdWoAAOQiY.jpg</v>
      </c>
      <c r="V356" s="87" t="str">
        <f>HYPERLINK("https://pbs.twimg.com/media/EhVAOmdWoAAOQiY.jpg")</f>
        <v>https://pbs.twimg.com/media/EhVAOmdWoAAOQiY.jpg</v>
      </c>
      <c r="W356" s="86">
        <v>44082.33828703704</v>
      </c>
      <c r="X356" s="90">
        <v>44082</v>
      </c>
      <c r="Y356" s="92" t="s">
        <v>853</v>
      </c>
      <c r="Z356" s="87" t="str">
        <f>HYPERLINK("https://twitter.com/misstalent86/status/1303243459172601857")</f>
        <v>https://twitter.com/misstalent86/status/1303243459172601857</v>
      </c>
      <c r="AA356" s="84"/>
      <c r="AB356" s="84"/>
      <c r="AC356" s="92" t="s">
        <v>1250</v>
      </c>
      <c r="AD356" s="84"/>
      <c r="AE356" s="84" t="b">
        <v>0</v>
      </c>
      <c r="AF356" s="84">
        <v>0</v>
      </c>
      <c r="AG356" s="92" t="s">
        <v>1453</v>
      </c>
      <c r="AH356" s="84" t="b">
        <v>0</v>
      </c>
      <c r="AI356" s="84" t="s">
        <v>1456</v>
      </c>
      <c r="AJ356" s="84"/>
      <c r="AK356" s="92" t="s">
        <v>1453</v>
      </c>
      <c r="AL356" s="84" t="b">
        <v>0</v>
      </c>
      <c r="AM356" s="84">
        <v>25</v>
      </c>
      <c r="AN356" s="92" t="s">
        <v>1248</v>
      </c>
      <c r="AO356" s="84" t="s">
        <v>1464</v>
      </c>
      <c r="AP356" s="84" t="b">
        <v>0</v>
      </c>
      <c r="AQ356" s="92" t="s">
        <v>1248</v>
      </c>
      <c r="AR356" s="84" t="s">
        <v>187</v>
      </c>
      <c r="AS356" s="84">
        <v>0</v>
      </c>
      <c r="AT356" s="84">
        <v>0</v>
      </c>
      <c r="AU356" s="84"/>
      <c r="AV356" s="84"/>
      <c r="AW356" s="84"/>
      <c r="AX356" s="84"/>
      <c r="AY356" s="84"/>
      <c r="AZ356" s="84"/>
      <c r="BA356" s="84"/>
      <c r="BB356" s="84"/>
      <c r="BC356">
        <v>1</v>
      </c>
      <c r="BD356" s="83" t="str">
        <f>REPLACE(INDEX(GroupVertices[Group],MATCH(Edges[[#This Row],[Vertex 1]],GroupVertices[Vertex],0)),1,1,"")</f>
        <v>4</v>
      </c>
      <c r="BE356" s="83" t="str">
        <f>REPLACE(INDEX(GroupVertices[Group],MATCH(Edges[[#This Row],[Vertex 2]],GroupVertices[Vertex],0)),1,1,"")</f>
        <v>4</v>
      </c>
      <c r="BF356" s="49"/>
      <c r="BG356" s="50"/>
      <c r="BH356" s="49"/>
      <c r="BI356" s="50"/>
      <c r="BJ356" s="49"/>
      <c r="BK356" s="50"/>
      <c r="BL356" s="49"/>
      <c r="BM356" s="50"/>
      <c r="BN356" s="49"/>
    </row>
    <row r="357" spans="1:66" ht="15">
      <c r="A357" s="68" t="s">
        <v>385</v>
      </c>
      <c r="B357" s="68" t="s">
        <v>381</v>
      </c>
      <c r="C357" s="69" t="s">
        <v>5208</v>
      </c>
      <c r="D357" s="70">
        <v>1</v>
      </c>
      <c r="E357" s="71" t="s">
        <v>132</v>
      </c>
      <c r="F357" s="72">
        <v>32</v>
      </c>
      <c r="G357" s="69" t="s">
        <v>51</v>
      </c>
      <c r="H357" s="73"/>
      <c r="I357" s="74"/>
      <c r="J357" s="74"/>
      <c r="K357" s="35" t="s">
        <v>66</v>
      </c>
      <c r="L357" s="82">
        <v>357</v>
      </c>
      <c r="M357" s="82"/>
      <c r="N357" s="76"/>
      <c r="O357" s="84" t="s">
        <v>440</v>
      </c>
      <c r="P357" s="86">
        <v>44082.33828703704</v>
      </c>
      <c r="Q357" s="84" t="s">
        <v>448</v>
      </c>
      <c r="R357" s="87" t="str">
        <f>HYPERLINK("https://www.peoplematters.in/news/technology/job-searches-in-artificial-intelligence-rise-106-in-one-year-report-26898")</f>
        <v>https://www.peoplematters.in/news/technology/job-searches-in-artificial-intelligence-rise-106-in-one-year-report-26898</v>
      </c>
      <c r="S357" s="84" t="s">
        <v>532</v>
      </c>
      <c r="T357" s="84" t="s">
        <v>568</v>
      </c>
      <c r="U357" s="87" t="str">
        <f>HYPERLINK("https://pbs.twimg.com/media/EhVAOmdWoAAOQiY.jpg")</f>
        <v>https://pbs.twimg.com/media/EhVAOmdWoAAOQiY.jpg</v>
      </c>
      <c r="V357" s="87" t="str">
        <f>HYPERLINK("https://pbs.twimg.com/media/EhVAOmdWoAAOQiY.jpg")</f>
        <v>https://pbs.twimg.com/media/EhVAOmdWoAAOQiY.jpg</v>
      </c>
      <c r="W357" s="86">
        <v>44082.33828703704</v>
      </c>
      <c r="X357" s="90">
        <v>44082</v>
      </c>
      <c r="Y357" s="92" t="s">
        <v>853</v>
      </c>
      <c r="Z357" s="87" t="str">
        <f>HYPERLINK("https://twitter.com/misstalent86/status/1303243459172601857")</f>
        <v>https://twitter.com/misstalent86/status/1303243459172601857</v>
      </c>
      <c r="AA357" s="84"/>
      <c r="AB357" s="84"/>
      <c r="AC357" s="92" t="s">
        <v>1250</v>
      </c>
      <c r="AD357" s="84"/>
      <c r="AE357" s="84" t="b">
        <v>0</v>
      </c>
      <c r="AF357" s="84">
        <v>0</v>
      </c>
      <c r="AG357" s="92" t="s">
        <v>1453</v>
      </c>
      <c r="AH357" s="84" t="b">
        <v>0</v>
      </c>
      <c r="AI357" s="84" t="s">
        <v>1456</v>
      </c>
      <c r="AJ357" s="84"/>
      <c r="AK357" s="92" t="s">
        <v>1453</v>
      </c>
      <c r="AL357" s="84" t="b">
        <v>0</v>
      </c>
      <c r="AM357" s="84">
        <v>25</v>
      </c>
      <c r="AN357" s="92" t="s">
        <v>1248</v>
      </c>
      <c r="AO357" s="84" t="s">
        <v>1464</v>
      </c>
      <c r="AP357" s="84" t="b">
        <v>0</v>
      </c>
      <c r="AQ357" s="92" t="s">
        <v>1248</v>
      </c>
      <c r="AR357" s="84" t="s">
        <v>187</v>
      </c>
      <c r="AS357" s="84">
        <v>0</v>
      </c>
      <c r="AT357" s="84">
        <v>0</v>
      </c>
      <c r="AU357" s="84"/>
      <c r="AV357" s="84"/>
      <c r="AW357" s="84"/>
      <c r="AX357" s="84"/>
      <c r="AY357" s="84"/>
      <c r="AZ357" s="84"/>
      <c r="BA357" s="84"/>
      <c r="BB357" s="84"/>
      <c r="BC357">
        <v>1</v>
      </c>
      <c r="BD357" s="83" t="str">
        <f>REPLACE(INDEX(GroupVertices[Group],MATCH(Edges[[#This Row],[Vertex 1]],GroupVertices[Vertex],0)),1,1,"")</f>
        <v>4</v>
      </c>
      <c r="BE357" s="83" t="str">
        <f>REPLACE(INDEX(GroupVertices[Group],MATCH(Edges[[#This Row],[Vertex 2]],GroupVertices[Vertex],0)),1,1,"")</f>
        <v>4</v>
      </c>
      <c r="BF357" s="49"/>
      <c r="BG357" s="50"/>
      <c r="BH357" s="49"/>
      <c r="BI357" s="50"/>
      <c r="BJ357" s="49"/>
      <c r="BK357" s="50"/>
      <c r="BL357" s="49"/>
      <c r="BM357" s="50"/>
      <c r="BN357" s="49"/>
    </row>
    <row r="358" spans="1:66" ht="15">
      <c r="A358" s="68" t="s">
        <v>385</v>
      </c>
      <c r="B358" s="68" t="s">
        <v>431</v>
      </c>
      <c r="C358" s="69" t="s">
        <v>5208</v>
      </c>
      <c r="D358" s="70">
        <v>1</v>
      </c>
      <c r="E358" s="71" t="s">
        <v>132</v>
      </c>
      <c r="F358" s="72">
        <v>32</v>
      </c>
      <c r="G358" s="69" t="s">
        <v>51</v>
      </c>
      <c r="H358" s="73"/>
      <c r="I358" s="74"/>
      <c r="J358" s="74"/>
      <c r="K358" s="35" t="s">
        <v>65</v>
      </c>
      <c r="L358" s="82">
        <v>358</v>
      </c>
      <c r="M358" s="82"/>
      <c r="N358" s="76"/>
      <c r="O358" s="84" t="s">
        <v>440</v>
      </c>
      <c r="P358" s="86">
        <v>44082.33828703704</v>
      </c>
      <c r="Q358" s="84" t="s">
        <v>448</v>
      </c>
      <c r="R358" s="87" t="str">
        <f>HYPERLINK("https://www.peoplematters.in/news/technology/job-searches-in-artificial-intelligence-rise-106-in-one-year-report-26898")</f>
        <v>https://www.peoplematters.in/news/technology/job-searches-in-artificial-intelligence-rise-106-in-one-year-report-26898</v>
      </c>
      <c r="S358" s="84" t="s">
        <v>532</v>
      </c>
      <c r="T358" s="84" t="s">
        <v>568</v>
      </c>
      <c r="U358" s="87" t="str">
        <f>HYPERLINK("https://pbs.twimg.com/media/EhVAOmdWoAAOQiY.jpg")</f>
        <v>https://pbs.twimg.com/media/EhVAOmdWoAAOQiY.jpg</v>
      </c>
      <c r="V358" s="87" t="str">
        <f>HYPERLINK("https://pbs.twimg.com/media/EhVAOmdWoAAOQiY.jpg")</f>
        <v>https://pbs.twimg.com/media/EhVAOmdWoAAOQiY.jpg</v>
      </c>
      <c r="W358" s="86">
        <v>44082.33828703704</v>
      </c>
      <c r="X358" s="90">
        <v>44082</v>
      </c>
      <c r="Y358" s="92" t="s">
        <v>853</v>
      </c>
      <c r="Z358" s="87" t="str">
        <f>HYPERLINK("https://twitter.com/misstalent86/status/1303243459172601857")</f>
        <v>https://twitter.com/misstalent86/status/1303243459172601857</v>
      </c>
      <c r="AA358" s="84"/>
      <c r="AB358" s="84"/>
      <c r="AC358" s="92" t="s">
        <v>1250</v>
      </c>
      <c r="AD358" s="84"/>
      <c r="AE358" s="84" t="b">
        <v>0</v>
      </c>
      <c r="AF358" s="84">
        <v>0</v>
      </c>
      <c r="AG358" s="92" t="s">
        <v>1453</v>
      </c>
      <c r="AH358" s="84" t="b">
        <v>0</v>
      </c>
      <c r="AI358" s="84" t="s">
        <v>1456</v>
      </c>
      <c r="AJ358" s="84"/>
      <c r="AK358" s="92" t="s">
        <v>1453</v>
      </c>
      <c r="AL358" s="84" t="b">
        <v>0</v>
      </c>
      <c r="AM358" s="84">
        <v>25</v>
      </c>
      <c r="AN358" s="92" t="s">
        <v>1248</v>
      </c>
      <c r="AO358" s="84" t="s">
        <v>1464</v>
      </c>
      <c r="AP358" s="84" t="b">
        <v>0</v>
      </c>
      <c r="AQ358" s="92" t="s">
        <v>1248</v>
      </c>
      <c r="AR358" s="84" t="s">
        <v>187</v>
      </c>
      <c r="AS358" s="84">
        <v>0</v>
      </c>
      <c r="AT358" s="84">
        <v>0</v>
      </c>
      <c r="AU358" s="84"/>
      <c r="AV358" s="84"/>
      <c r="AW358" s="84"/>
      <c r="AX358" s="84"/>
      <c r="AY358" s="84"/>
      <c r="AZ358" s="84"/>
      <c r="BA358" s="84"/>
      <c r="BB358" s="84"/>
      <c r="BC358">
        <v>1</v>
      </c>
      <c r="BD358" s="83" t="str">
        <f>REPLACE(INDEX(GroupVertices[Group],MATCH(Edges[[#This Row],[Vertex 1]],GroupVertices[Vertex],0)),1,1,"")</f>
        <v>4</v>
      </c>
      <c r="BE358" s="83" t="str">
        <f>REPLACE(INDEX(GroupVertices[Group],MATCH(Edges[[#This Row],[Vertex 2]],GroupVertices[Vertex],0)),1,1,"")</f>
        <v>4</v>
      </c>
      <c r="BF358" s="49"/>
      <c r="BG358" s="50"/>
      <c r="BH358" s="49"/>
      <c r="BI358" s="50"/>
      <c r="BJ358" s="49"/>
      <c r="BK358" s="50"/>
      <c r="BL358" s="49"/>
      <c r="BM358" s="50"/>
      <c r="BN358" s="49"/>
    </row>
    <row r="359" spans="1:66" ht="15">
      <c r="A359" s="68" t="s">
        <v>385</v>
      </c>
      <c r="B359" s="68" t="s">
        <v>432</v>
      </c>
      <c r="C359" s="69" t="s">
        <v>5208</v>
      </c>
      <c r="D359" s="70">
        <v>1</v>
      </c>
      <c r="E359" s="71" t="s">
        <v>132</v>
      </c>
      <c r="F359" s="72">
        <v>32</v>
      </c>
      <c r="G359" s="69" t="s">
        <v>51</v>
      </c>
      <c r="H359" s="73"/>
      <c r="I359" s="74"/>
      <c r="J359" s="74"/>
      <c r="K359" s="35" t="s">
        <v>65</v>
      </c>
      <c r="L359" s="82">
        <v>359</v>
      </c>
      <c r="M359" s="82"/>
      <c r="N359" s="76"/>
      <c r="O359" s="84" t="s">
        <v>440</v>
      </c>
      <c r="P359" s="86">
        <v>44082.33828703704</v>
      </c>
      <c r="Q359" s="84" t="s">
        <v>448</v>
      </c>
      <c r="R359" s="87" t="str">
        <f>HYPERLINK("https://www.peoplematters.in/news/technology/job-searches-in-artificial-intelligence-rise-106-in-one-year-report-26898")</f>
        <v>https://www.peoplematters.in/news/technology/job-searches-in-artificial-intelligence-rise-106-in-one-year-report-26898</v>
      </c>
      <c r="S359" s="84" t="s">
        <v>532</v>
      </c>
      <c r="T359" s="84" t="s">
        <v>568</v>
      </c>
      <c r="U359" s="87" t="str">
        <f>HYPERLINK("https://pbs.twimg.com/media/EhVAOmdWoAAOQiY.jpg")</f>
        <v>https://pbs.twimg.com/media/EhVAOmdWoAAOQiY.jpg</v>
      </c>
      <c r="V359" s="87" t="str">
        <f>HYPERLINK("https://pbs.twimg.com/media/EhVAOmdWoAAOQiY.jpg")</f>
        <v>https://pbs.twimg.com/media/EhVAOmdWoAAOQiY.jpg</v>
      </c>
      <c r="W359" s="86">
        <v>44082.33828703704</v>
      </c>
      <c r="X359" s="90">
        <v>44082</v>
      </c>
      <c r="Y359" s="92" t="s">
        <v>853</v>
      </c>
      <c r="Z359" s="87" t="str">
        <f>HYPERLINK("https://twitter.com/misstalent86/status/1303243459172601857")</f>
        <v>https://twitter.com/misstalent86/status/1303243459172601857</v>
      </c>
      <c r="AA359" s="84"/>
      <c r="AB359" s="84"/>
      <c r="AC359" s="92" t="s">
        <v>1250</v>
      </c>
      <c r="AD359" s="84"/>
      <c r="AE359" s="84" t="b">
        <v>0</v>
      </c>
      <c r="AF359" s="84">
        <v>0</v>
      </c>
      <c r="AG359" s="92" t="s">
        <v>1453</v>
      </c>
      <c r="AH359" s="84" t="b">
        <v>0</v>
      </c>
      <c r="AI359" s="84" t="s">
        <v>1456</v>
      </c>
      <c r="AJ359" s="84"/>
      <c r="AK359" s="92" t="s">
        <v>1453</v>
      </c>
      <c r="AL359" s="84" t="b">
        <v>0</v>
      </c>
      <c r="AM359" s="84">
        <v>25</v>
      </c>
      <c r="AN359" s="92" t="s">
        <v>1248</v>
      </c>
      <c r="AO359" s="84" t="s">
        <v>1464</v>
      </c>
      <c r="AP359" s="84" t="b">
        <v>0</v>
      </c>
      <c r="AQ359" s="92" t="s">
        <v>1248</v>
      </c>
      <c r="AR359" s="84" t="s">
        <v>187</v>
      </c>
      <c r="AS359" s="84">
        <v>0</v>
      </c>
      <c r="AT359" s="84">
        <v>0</v>
      </c>
      <c r="AU359" s="84"/>
      <c r="AV359" s="84"/>
      <c r="AW359" s="84"/>
      <c r="AX359" s="84"/>
      <c r="AY359" s="84"/>
      <c r="AZ359" s="84"/>
      <c r="BA359" s="84"/>
      <c r="BB359" s="84"/>
      <c r="BC359">
        <v>1</v>
      </c>
      <c r="BD359" s="83" t="str">
        <f>REPLACE(INDEX(GroupVertices[Group],MATCH(Edges[[#This Row],[Vertex 1]],GroupVertices[Vertex],0)),1,1,"")</f>
        <v>4</v>
      </c>
      <c r="BE359" s="83" t="str">
        <f>REPLACE(INDEX(GroupVertices[Group],MATCH(Edges[[#This Row],[Vertex 2]],GroupVertices[Vertex],0)),1,1,"")</f>
        <v>4</v>
      </c>
      <c r="BF359" s="49"/>
      <c r="BG359" s="50"/>
      <c r="BH359" s="49"/>
      <c r="BI359" s="50"/>
      <c r="BJ359" s="49"/>
      <c r="BK359" s="50"/>
      <c r="BL359" s="49"/>
      <c r="BM359" s="50"/>
      <c r="BN359" s="49"/>
    </row>
    <row r="360" spans="1:66" ht="15">
      <c r="A360" s="68" t="s">
        <v>385</v>
      </c>
      <c r="B360" s="68" t="s">
        <v>384</v>
      </c>
      <c r="C360" s="69" t="s">
        <v>5208</v>
      </c>
      <c r="D360" s="70">
        <v>1</v>
      </c>
      <c r="E360" s="71" t="s">
        <v>132</v>
      </c>
      <c r="F360" s="72">
        <v>32</v>
      </c>
      <c r="G360" s="69" t="s">
        <v>51</v>
      </c>
      <c r="H360" s="73"/>
      <c r="I360" s="74"/>
      <c r="J360" s="74"/>
      <c r="K360" s="35" t="s">
        <v>66</v>
      </c>
      <c r="L360" s="82">
        <v>360</v>
      </c>
      <c r="M360" s="82"/>
      <c r="N360" s="76"/>
      <c r="O360" s="84" t="s">
        <v>439</v>
      </c>
      <c r="P360" s="86">
        <v>44082.33828703704</v>
      </c>
      <c r="Q360" s="84" t="s">
        <v>448</v>
      </c>
      <c r="R360" s="87" t="str">
        <f>HYPERLINK("https://www.peoplematters.in/news/technology/job-searches-in-artificial-intelligence-rise-106-in-one-year-report-26898")</f>
        <v>https://www.peoplematters.in/news/technology/job-searches-in-artificial-intelligence-rise-106-in-one-year-report-26898</v>
      </c>
      <c r="S360" s="84" t="s">
        <v>532</v>
      </c>
      <c r="T360" s="84" t="s">
        <v>568</v>
      </c>
      <c r="U360" s="87" t="str">
        <f>HYPERLINK("https://pbs.twimg.com/media/EhVAOmdWoAAOQiY.jpg")</f>
        <v>https://pbs.twimg.com/media/EhVAOmdWoAAOQiY.jpg</v>
      </c>
      <c r="V360" s="87" t="str">
        <f>HYPERLINK("https://pbs.twimg.com/media/EhVAOmdWoAAOQiY.jpg")</f>
        <v>https://pbs.twimg.com/media/EhVAOmdWoAAOQiY.jpg</v>
      </c>
      <c r="W360" s="86">
        <v>44082.33828703704</v>
      </c>
      <c r="X360" s="90">
        <v>44082</v>
      </c>
      <c r="Y360" s="92" t="s">
        <v>853</v>
      </c>
      <c r="Z360" s="87" t="str">
        <f>HYPERLINK("https://twitter.com/misstalent86/status/1303243459172601857")</f>
        <v>https://twitter.com/misstalent86/status/1303243459172601857</v>
      </c>
      <c r="AA360" s="84"/>
      <c r="AB360" s="84"/>
      <c r="AC360" s="92" t="s">
        <v>1250</v>
      </c>
      <c r="AD360" s="84"/>
      <c r="AE360" s="84" t="b">
        <v>0</v>
      </c>
      <c r="AF360" s="84">
        <v>0</v>
      </c>
      <c r="AG360" s="92" t="s">
        <v>1453</v>
      </c>
      <c r="AH360" s="84" t="b">
        <v>0</v>
      </c>
      <c r="AI360" s="84" t="s">
        <v>1456</v>
      </c>
      <c r="AJ360" s="84"/>
      <c r="AK360" s="92" t="s">
        <v>1453</v>
      </c>
      <c r="AL360" s="84" t="b">
        <v>0</v>
      </c>
      <c r="AM360" s="84">
        <v>25</v>
      </c>
      <c r="AN360" s="92" t="s">
        <v>1248</v>
      </c>
      <c r="AO360" s="84" t="s">
        <v>1464</v>
      </c>
      <c r="AP360" s="84" t="b">
        <v>0</v>
      </c>
      <c r="AQ360" s="92" t="s">
        <v>1248</v>
      </c>
      <c r="AR360" s="84" t="s">
        <v>187</v>
      </c>
      <c r="AS360" s="84">
        <v>0</v>
      </c>
      <c r="AT360" s="84">
        <v>0</v>
      </c>
      <c r="AU360" s="84"/>
      <c r="AV360" s="84"/>
      <c r="AW360" s="84"/>
      <c r="AX360" s="84"/>
      <c r="AY360" s="84"/>
      <c r="AZ360" s="84"/>
      <c r="BA360" s="84"/>
      <c r="BB360" s="84"/>
      <c r="BC360">
        <v>1</v>
      </c>
      <c r="BD360" s="83" t="str">
        <f>REPLACE(INDEX(GroupVertices[Group],MATCH(Edges[[#This Row],[Vertex 1]],GroupVertices[Vertex],0)),1,1,"")</f>
        <v>4</v>
      </c>
      <c r="BE360" s="83" t="str">
        <f>REPLACE(INDEX(GroupVertices[Group],MATCH(Edges[[#This Row],[Vertex 2]],GroupVertices[Vertex],0)),1,1,"")</f>
        <v>4</v>
      </c>
      <c r="BF360" s="49">
        <v>0</v>
      </c>
      <c r="BG360" s="50">
        <v>0</v>
      </c>
      <c r="BH360" s="49">
        <v>0</v>
      </c>
      <c r="BI360" s="50">
        <v>0</v>
      </c>
      <c r="BJ360" s="49">
        <v>0</v>
      </c>
      <c r="BK360" s="50">
        <v>0</v>
      </c>
      <c r="BL360" s="49">
        <v>28</v>
      </c>
      <c r="BM360" s="50">
        <v>100</v>
      </c>
      <c r="BN360" s="49">
        <v>28</v>
      </c>
    </row>
    <row r="361" spans="1:66" ht="15">
      <c r="A361" s="68" t="s">
        <v>386</v>
      </c>
      <c r="B361" s="68" t="s">
        <v>385</v>
      </c>
      <c r="C361" s="69" t="s">
        <v>5209</v>
      </c>
      <c r="D361" s="70">
        <v>6.678367782143116</v>
      </c>
      <c r="E361" s="71" t="s">
        <v>132</v>
      </c>
      <c r="F361" s="72">
        <v>21</v>
      </c>
      <c r="G361" s="69" t="s">
        <v>51</v>
      </c>
      <c r="H361" s="73"/>
      <c r="I361" s="74"/>
      <c r="J361" s="74"/>
      <c r="K361" s="35" t="s">
        <v>65</v>
      </c>
      <c r="L361" s="82">
        <v>361</v>
      </c>
      <c r="M361" s="82"/>
      <c r="N361" s="76"/>
      <c r="O361" s="84" t="s">
        <v>440</v>
      </c>
      <c r="P361" s="86">
        <v>44081.72045138889</v>
      </c>
      <c r="Q361" s="84" t="s">
        <v>448</v>
      </c>
      <c r="R361" s="87" t="str">
        <f>HYPERLINK("https://www.peoplematters.in/news/technology/job-searches-in-artificial-intelligence-rise-106-in-one-year-report-26898")</f>
        <v>https://www.peoplematters.in/news/technology/job-searches-in-artificial-intelligence-rise-106-in-one-year-report-26898</v>
      </c>
      <c r="S361" s="84" t="s">
        <v>532</v>
      </c>
      <c r="T361" s="84" t="s">
        <v>568</v>
      </c>
      <c r="U361" s="87" t="str">
        <f>HYPERLINK("https://pbs.twimg.com/media/EhVAOmdWoAAOQiY.jpg")</f>
        <v>https://pbs.twimg.com/media/EhVAOmdWoAAOQiY.jpg</v>
      </c>
      <c r="V361" s="87" t="str">
        <f>HYPERLINK("https://pbs.twimg.com/media/EhVAOmdWoAAOQiY.jpg")</f>
        <v>https://pbs.twimg.com/media/EhVAOmdWoAAOQiY.jpg</v>
      </c>
      <c r="W361" s="86">
        <v>44081.72045138889</v>
      </c>
      <c r="X361" s="90">
        <v>44081</v>
      </c>
      <c r="Y361" s="92" t="s">
        <v>854</v>
      </c>
      <c r="Z361" s="87" t="str">
        <f>HYPERLINK("https://twitter.com/hubofml/status/1303019562942763008")</f>
        <v>https://twitter.com/hubofml/status/1303019562942763008</v>
      </c>
      <c r="AA361" s="84"/>
      <c r="AB361" s="84"/>
      <c r="AC361" s="92" t="s">
        <v>1251</v>
      </c>
      <c r="AD361" s="84"/>
      <c r="AE361" s="84" t="b">
        <v>0</v>
      </c>
      <c r="AF361" s="84">
        <v>0</v>
      </c>
      <c r="AG361" s="92" t="s">
        <v>1453</v>
      </c>
      <c r="AH361" s="84" t="b">
        <v>0</v>
      </c>
      <c r="AI361" s="84" t="s">
        <v>1456</v>
      </c>
      <c r="AJ361" s="84"/>
      <c r="AK361" s="92" t="s">
        <v>1453</v>
      </c>
      <c r="AL361" s="84" t="b">
        <v>0</v>
      </c>
      <c r="AM361" s="84">
        <v>25</v>
      </c>
      <c r="AN361" s="92" t="s">
        <v>1248</v>
      </c>
      <c r="AO361" s="84" t="s">
        <v>386</v>
      </c>
      <c r="AP361" s="84" t="b">
        <v>0</v>
      </c>
      <c r="AQ361" s="92" t="s">
        <v>1248</v>
      </c>
      <c r="AR361" s="84" t="s">
        <v>187</v>
      </c>
      <c r="AS361" s="84">
        <v>0</v>
      </c>
      <c r="AT361" s="84">
        <v>0</v>
      </c>
      <c r="AU361" s="84"/>
      <c r="AV361" s="84"/>
      <c r="AW361" s="84"/>
      <c r="AX361" s="84"/>
      <c r="AY361" s="84"/>
      <c r="AZ361" s="84"/>
      <c r="BA361" s="84"/>
      <c r="BB361" s="84"/>
      <c r="BC361">
        <v>2</v>
      </c>
      <c r="BD361" s="83" t="str">
        <f>REPLACE(INDEX(GroupVertices[Group],MATCH(Edges[[#This Row],[Vertex 1]],GroupVertices[Vertex],0)),1,1,"")</f>
        <v>5</v>
      </c>
      <c r="BE361" s="83" t="str">
        <f>REPLACE(INDEX(GroupVertices[Group],MATCH(Edges[[#This Row],[Vertex 2]],GroupVertices[Vertex],0)),1,1,"")</f>
        <v>4</v>
      </c>
      <c r="BF361" s="49"/>
      <c r="BG361" s="50"/>
      <c r="BH361" s="49"/>
      <c r="BI361" s="50"/>
      <c r="BJ361" s="49"/>
      <c r="BK361" s="50"/>
      <c r="BL361" s="49"/>
      <c r="BM361" s="50"/>
      <c r="BN361" s="49"/>
    </row>
    <row r="362" spans="1:66" ht="15">
      <c r="A362" s="68" t="s">
        <v>386</v>
      </c>
      <c r="B362" s="68" t="s">
        <v>385</v>
      </c>
      <c r="C362" s="69" t="s">
        <v>5209</v>
      </c>
      <c r="D362" s="70">
        <v>6.678367782143116</v>
      </c>
      <c r="E362" s="71" t="s">
        <v>132</v>
      </c>
      <c r="F362" s="72">
        <v>21</v>
      </c>
      <c r="G362" s="69" t="s">
        <v>51</v>
      </c>
      <c r="H362" s="73"/>
      <c r="I362" s="74"/>
      <c r="J362" s="74"/>
      <c r="K362" s="35" t="s">
        <v>65</v>
      </c>
      <c r="L362" s="82">
        <v>362</v>
      </c>
      <c r="M362" s="82"/>
      <c r="N362" s="76"/>
      <c r="O362" s="84" t="s">
        <v>440</v>
      </c>
      <c r="P362" s="86">
        <v>44082.62331018518</v>
      </c>
      <c r="Q362" s="84" t="s">
        <v>448</v>
      </c>
      <c r="R362" s="87" t="str">
        <f>HYPERLINK("https://www.peoplematters.in/news/technology/job-searches-in-artificial-intelligence-rise-106-in-one-year-report-26898")</f>
        <v>https://www.peoplematters.in/news/technology/job-searches-in-artificial-intelligence-rise-106-in-one-year-report-26898</v>
      </c>
      <c r="S362" s="84" t="s">
        <v>532</v>
      </c>
      <c r="T362" s="84" t="s">
        <v>568</v>
      </c>
      <c r="U362" s="87" t="str">
        <f>HYPERLINK("https://pbs.twimg.com/media/EhVAOmdWoAAOQiY.jpg")</f>
        <v>https://pbs.twimg.com/media/EhVAOmdWoAAOQiY.jpg</v>
      </c>
      <c r="V362" s="87" t="str">
        <f>HYPERLINK("https://pbs.twimg.com/media/EhVAOmdWoAAOQiY.jpg")</f>
        <v>https://pbs.twimg.com/media/EhVAOmdWoAAOQiY.jpg</v>
      </c>
      <c r="W362" s="86">
        <v>44082.62331018518</v>
      </c>
      <c r="X362" s="90">
        <v>44082</v>
      </c>
      <c r="Y362" s="92" t="s">
        <v>855</v>
      </c>
      <c r="Z362" s="87" t="str">
        <f>HYPERLINK("https://twitter.com/hubofml/status/1303346747805138946")</f>
        <v>https://twitter.com/hubofml/status/1303346747805138946</v>
      </c>
      <c r="AA362" s="84"/>
      <c r="AB362" s="84"/>
      <c r="AC362" s="92" t="s">
        <v>1252</v>
      </c>
      <c r="AD362" s="84"/>
      <c r="AE362" s="84" t="b">
        <v>0</v>
      </c>
      <c r="AF362" s="84">
        <v>0</v>
      </c>
      <c r="AG362" s="92" t="s">
        <v>1453</v>
      </c>
      <c r="AH362" s="84" t="b">
        <v>0</v>
      </c>
      <c r="AI362" s="84" t="s">
        <v>1456</v>
      </c>
      <c r="AJ362" s="84"/>
      <c r="AK362" s="92" t="s">
        <v>1453</v>
      </c>
      <c r="AL362" s="84" t="b">
        <v>0</v>
      </c>
      <c r="AM362" s="84">
        <v>25</v>
      </c>
      <c r="AN362" s="92" t="s">
        <v>1248</v>
      </c>
      <c r="AO362" s="84" t="s">
        <v>386</v>
      </c>
      <c r="AP362" s="84" t="b">
        <v>0</v>
      </c>
      <c r="AQ362" s="92" t="s">
        <v>1248</v>
      </c>
      <c r="AR362" s="84" t="s">
        <v>187</v>
      </c>
      <c r="AS362" s="84">
        <v>0</v>
      </c>
      <c r="AT362" s="84">
        <v>0</v>
      </c>
      <c r="AU362" s="84"/>
      <c r="AV362" s="84"/>
      <c r="AW362" s="84"/>
      <c r="AX362" s="84"/>
      <c r="AY362" s="84"/>
      <c r="AZ362" s="84"/>
      <c r="BA362" s="84"/>
      <c r="BB362" s="84"/>
      <c r="BC362">
        <v>2</v>
      </c>
      <c r="BD362" s="83" t="str">
        <f>REPLACE(INDEX(GroupVertices[Group],MATCH(Edges[[#This Row],[Vertex 1]],GroupVertices[Vertex],0)),1,1,"")</f>
        <v>5</v>
      </c>
      <c r="BE362" s="83" t="str">
        <f>REPLACE(INDEX(GroupVertices[Group],MATCH(Edges[[#This Row],[Vertex 2]],GroupVertices[Vertex],0)),1,1,"")</f>
        <v>4</v>
      </c>
      <c r="BF362" s="49"/>
      <c r="BG362" s="50"/>
      <c r="BH362" s="49"/>
      <c r="BI362" s="50"/>
      <c r="BJ362" s="49"/>
      <c r="BK362" s="50"/>
      <c r="BL362" s="49"/>
      <c r="BM362" s="50"/>
      <c r="BN362" s="49"/>
    </row>
    <row r="363" spans="1:66" ht="15">
      <c r="A363" s="68" t="s">
        <v>380</v>
      </c>
      <c r="B363" s="68" t="s">
        <v>430</v>
      </c>
      <c r="C363" s="69" t="s">
        <v>5208</v>
      </c>
      <c r="D363" s="70">
        <v>1</v>
      </c>
      <c r="E363" s="71" t="s">
        <v>132</v>
      </c>
      <c r="F363" s="72">
        <v>32</v>
      </c>
      <c r="G363" s="69" t="s">
        <v>51</v>
      </c>
      <c r="H363" s="73"/>
      <c r="I363" s="74"/>
      <c r="J363" s="74"/>
      <c r="K363" s="35" t="s">
        <v>65</v>
      </c>
      <c r="L363" s="82">
        <v>363</v>
      </c>
      <c r="M363" s="82"/>
      <c r="N363" s="76"/>
      <c r="O363" s="84" t="s">
        <v>440</v>
      </c>
      <c r="P363" s="86">
        <v>44081.71776620371</v>
      </c>
      <c r="Q363" s="84" t="s">
        <v>448</v>
      </c>
      <c r="R363" s="87" t="str">
        <f>HYPERLINK("https://www.peoplematters.in/news/technology/job-searches-in-artificial-intelligence-rise-106-in-one-year-report-26898")</f>
        <v>https://www.peoplematters.in/news/technology/job-searches-in-artificial-intelligence-rise-106-in-one-year-report-26898</v>
      </c>
      <c r="S363" s="84" t="s">
        <v>532</v>
      </c>
      <c r="T363" s="84" t="s">
        <v>568</v>
      </c>
      <c r="U363" s="87" t="str">
        <f>HYPERLINK("https://pbs.twimg.com/media/EhVAOmdWoAAOQiY.jpg")</f>
        <v>https://pbs.twimg.com/media/EhVAOmdWoAAOQiY.jpg</v>
      </c>
      <c r="V363" s="87" t="str">
        <f>HYPERLINK("https://pbs.twimg.com/media/EhVAOmdWoAAOQiY.jpg")</f>
        <v>https://pbs.twimg.com/media/EhVAOmdWoAAOQiY.jpg</v>
      </c>
      <c r="W363" s="86">
        <v>44081.71776620371</v>
      </c>
      <c r="X363" s="90">
        <v>44081</v>
      </c>
      <c r="Y363" s="92" t="s">
        <v>847</v>
      </c>
      <c r="Z363" s="87" t="str">
        <f>HYPERLINK("https://twitter.com/jolaburnett/status/1303018588907991043")</f>
        <v>https://twitter.com/jolaburnett/status/1303018588907991043</v>
      </c>
      <c r="AA363" s="84"/>
      <c r="AB363" s="84"/>
      <c r="AC363" s="92" t="s">
        <v>1244</v>
      </c>
      <c r="AD363" s="84"/>
      <c r="AE363" s="84" t="b">
        <v>0</v>
      </c>
      <c r="AF363" s="84">
        <v>0</v>
      </c>
      <c r="AG363" s="92" t="s">
        <v>1453</v>
      </c>
      <c r="AH363" s="84" t="b">
        <v>0</v>
      </c>
      <c r="AI363" s="84" t="s">
        <v>1456</v>
      </c>
      <c r="AJ363" s="84"/>
      <c r="AK363" s="92" t="s">
        <v>1453</v>
      </c>
      <c r="AL363" s="84" t="b">
        <v>0</v>
      </c>
      <c r="AM363" s="84">
        <v>25</v>
      </c>
      <c r="AN363" s="92" t="s">
        <v>1248</v>
      </c>
      <c r="AO363" s="84" t="s">
        <v>1467</v>
      </c>
      <c r="AP363" s="84" t="b">
        <v>0</v>
      </c>
      <c r="AQ363" s="92" t="s">
        <v>1248</v>
      </c>
      <c r="AR363" s="84" t="s">
        <v>187</v>
      </c>
      <c r="AS363" s="84">
        <v>0</v>
      </c>
      <c r="AT363" s="84">
        <v>0</v>
      </c>
      <c r="AU363" s="84"/>
      <c r="AV363" s="84"/>
      <c r="AW363" s="84"/>
      <c r="AX363" s="84"/>
      <c r="AY363" s="84"/>
      <c r="AZ363" s="84"/>
      <c r="BA363" s="84"/>
      <c r="BB363" s="84"/>
      <c r="BC363">
        <v>1</v>
      </c>
      <c r="BD363" s="83" t="str">
        <f>REPLACE(INDEX(GroupVertices[Group],MATCH(Edges[[#This Row],[Vertex 1]],GroupVertices[Vertex],0)),1,1,"")</f>
        <v>4</v>
      </c>
      <c r="BE363" s="83" t="str">
        <f>REPLACE(INDEX(GroupVertices[Group],MATCH(Edges[[#This Row],[Vertex 2]],GroupVertices[Vertex],0)),1,1,"")</f>
        <v>4</v>
      </c>
      <c r="BF363" s="49"/>
      <c r="BG363" s="50"/>
      <c r="BH363" s="49"/>
      <c r="BI363" s="50"/>
      <c r="BJ363" s="49"/>
      <c r="BK363" s="50"/>
      <c r="BL363" s="49"/>
      <c r="BM363" s="50"/>
      <c r="BN363" s="49"/>
    </row>
    <row r="364" spans="1:66" ht="15">
      <c r="A364" s="68" t="s">
        <v>381</v>
      </c>
      <c r="B364" s="68" t="s">
        <v>430</v>
      </c>
      <c r="C364" s="69" t="s">
        <v>5208</v>
      </c>
      <c r="D364" s="70">
        <v>1</v>
      </c>
      <c r="E364" s="71" t="s">
        <v>132</v>
      </c>
      <c r="F364" s="72">
        <v>32</v>
      </c>
      <c r="G364" s="69" t="s">
        <v>51</v>
      </c>
      <c r="H364" s="73"/>
      <c r="I364" s="74"/>
      <c r="J364" s="74"/>
      <c r="K364" s="35" t="s">
        <v>65</v>
      </c>
      <c r="L364" s="82">
        <v>364</v>
      </c>
      <c r="M364" s="82"/>
      <c r="N364" s="76"/>
      <c r="O364" s="84" t="s">
        <v>440</v>
      </c>
      <c r="P364" s="86">
        <v>44081.82989583333</v>
      </c>
      <c r="Q364" s="84" t="s">
        <v>448</v>
      </c>
      <c r="R364" s="87" t="str">
        <f>HYPERLINK("https://www.peoplematters.in/news/technology/job-searches-in-artificial-intelligence-rise-106-in-one-year-report-26898")</f>
        <v>https://www.peoplematters.in/news/technology/job-searches-in-artificial-intelligence-rise-106-in-one-year-report-26898</v>
      </c>
      <c r="S364" s="84" t="s">
        <v>532</v>
      </c>
      <c r="T364" s="84" t="s">
        <v>568</v>
      </c>
      <c r="U364" s="87" t="str">
        <f>HYPERLINK("https://pbs.twimg.com/media/EhVAOmdWoAAOQiY.jpg")</f>
        <v>https://pbs.twimg.com/media/EhVAOmdWoAAOQiY.jpg</v>
      </c>
      <c r="V364" s="87" t="str">
        <f>HYPERLINK("https://pbs.twimg.com/media/EhVAOmdWoAAOQiY.jpg")</f>
        <v>https://pbs.twimg.com/media/EhVAOmdWoAAOQiY.jpg</v>
      </c>
      <c r="W364" s="86">
        <v>44081.82989583333</v>
      </c>
      <c r="X364" s="90">
        <v>44081</v>
      </c>
      <c r="Y364" s="92" t="s">
        <v>848</v>
      </c>
      <c r="Z364" s="87" t="str">
        <f>HYPERLINK("https://twitter.com/debraruh/status/1303059226315624448")</f>
        <v>https://twitter.com/debraruh/status/1303059226315624448</v>
      </c>
      <c r="AA364" s="84"/>
      <c r="AB364" s="84"/>
      <c r="AC364" s="92" t="s">
        <v>1245</v>
      </c>
      <c r="AD364" s="84"/>
      <c r="AE364" s="84" t="b">
        <v>0</v>
      </c>
      <c r="AF364" s="84">
        <v>0</v>
      </c>
      <c r="AG364" s="92" t="s">
        <v>1453</v>
      </c>
      <c r="AH364" s="84" t="b">
        <v>0</v>
      </c>
      <c r="AI364" s="84" t="s">
        <v>1456</v>
      </c>
      <c r="AJ364" s="84"/>
      <c r="AK364" s="92" t="s">
        <v>1453</v>
      </c>
      <c r="AL364" s="84" t="b">
        <v>0</v>
      </c>
      <c r="AM364" s="84">
        <v>25</v>
      </c>
      <c r="AN364" s="92" t="s">
        <v>1248</v>
      </c>
      <c r="AO364" s="84" t="s">
        <v>1467</v>
      </c>
      <c r="AP364" s="84" t="b">
        <v>0</v>
      </c>
      <c r="AQ364" s="92" t="s">
        <v>1248</v>
      </c>
      <c r="AR364" s="84" t="s">
        <v>187</v>
      </c>
      <c r="AS364" s="84">
        <v>0</v>
      </c>
      <c r="AT364" s="84">
        <v>0</v>
      </c>
      <c r="AU364" s="84"/>
      <c r="AV364" s="84"/>
      <c r="AW364" s="84"/>
      <c r="AX364" s="84"/>
      <c r="AY364" s="84"/>
      <c r="AZ364" s="84"/>
      <c r="BA364" s="84"/>
      <c r="BB364" s="84"/>
      <c r="BC364">
        <v>1</v>
      </c>
      <c r="BD364" s="83" t="str">
        <f>REPLACE(INDEX(GroupVertices[Group],MATCH(Edges[[#This Row],[Vertex 1]],GroupVertices[Vertex],0)),1,1,"")</f>
        <v>4</v>
      </c>
      <c r="BE364" s="83" t="str">
        <f>REPLACE(INDEX(GroupVertices[Group],MATCH(Edges[[#This Row],[Vertex 2]],GroupVertices[Vertex],0)),1,1,"")</f>
        <v>4</v>
      </c>
      <c r="BF364" s="49"/>
      <c r="BG364" s="50"/>
      <c r="BH364" s="49"/>
      <c r="BI364" s="50"/>
      <c r="BJ364" s="49"/>
      <c r="BK364" s="50"/>
      <c r="BL364" s="49"/>
      <c r="BM364" s="50"/>
      <c r="BN364" s="49"/>
    </row>
    <row r="365" spans="1:66" ht="15">
      <c r="A365" s="68" t="s">
        <v>383</v>
      </c>
      <c r="B365" s="68" t="s">
        <v>430</v>
      </c>
      <c r="C365" s="69" t="s">
        <v>5208</v>
      </c>
      <c r="D365" s="70">
        <v>1</v>
      </c>
      <c r="E365" s="71" t="s">
        <v>132</v>
      </c>
      <c r="F365" s="72">
        <v>32</v>
      </c>
      <c r="G365" s="69" t="s">
        <v>51</v>
      </c>
      <c r="H365" s="73"/>
      <c r="I365" s="74"/>
      <c r="J365" s="74"/>
      <c r="K365" s="35" t="s">
        <v>65</v>
      </c>
      <c r="L365" s="82">
        <v>365</v>
      </c>
      <c r="M365" s="82"/>
      <c r="N365" s="76"/>
      <c r="O365" s="84" t="s">
        <v>440</v>
      </c>
      <c r="P365" s="86">
        <v>44081.89548611111</v>
      </c>
      <c r="Q365" s="84" t="s">
        <v>448</v>
      </c>
      <c r="R365" s="87" t="str">
        <f>HYPERLINK("https://www.peoplematters.in/news/technology/job-searches-in-artificial-intelligence-rise-106-in-one-year-report-26898")</f>
        <v>https://www.peoplematters.in/news/technology/job-searches-in-artificial-intelligence-rise-106-in-one-year-report-26898</v>
      </c>
      <c r="S365" s="84" t="s">
        <v>532</v>
      </c>
      <c r="T365" s="84" t="s">
        <v>568</v>
      </c>
      <c r="U365" s="87" t="str">
        <f>HYPERLINK("https://pbs.twimg.com/media/EhVAOmdWoAAOQiY.jpg")</f>
        <v>https://pbs.twimg.com/media/EhVAOmdWoAAOQiY.jpg</v>
      </c>
      <c r="V365" s="87" t="str">
        <f>HYPERLINK("https://pbs.twimg.com/media/EhVAOmdWoAAOQiY.jpg")</f>
        <v>https://pbs.twimg.com/media/EhVAOmdWoAAOQiY.jpg</v>
      </c>
      <c r="W365" s="86">
        <v>44081.89548611111</v>
      </c>
      <c r="X365" s="90">
        <v>44081</v>
      </c>
      <c r="Y365" s="92" t="s">
        <v>850</v>
      </c>
      <c r="Z365" s="87" t="str">
        <f>HYPERLINK("https://twitter.com/kkruse/status/1303082993141952514")</f>
        <v>https://twitter.com/kkruse/status/1303082993141952514</v>
      </c>
      <c r="AA365" s="84"/>
      <c r="AB365" s="84"/>
      <c r="AC365" s="92" t="s">
        <v>1247</v>
      </c>
      <c r="AD365" s="84"/>
      <c r="AE365" s="84" t="b">
        <v>0</v>
      </c>
      <c r="AF365" s="84">
        <v>0</v>
      </c>
      <c r="AG365" s="92" t="s">
        <v>1453</v>
      </c>
      <c r="AH365" s="84" t="b">
        <v>0</v>
      </c>
      <c r="AI365" s="84" t="s">
        <v>1456</v>
      </c>
      <c r="AJ365" s="84"/>
      <c r="AK365" s="92" t="s">
        <v>1453</v>
      </c>
      <c r="AL365" s="84" t="b">
        <v>0</v>
      </c>
      <c r="AM365" s="84">
        <v>25</v>
      </c>
      <c r="AN365" s="92" t="s">
        <v>1248</v>
      </c>
      <c r="AO365" s="84" t="s">
        <v>1465</v>
      </c>
      <c r="AP365" s="84" t="b">
        <v>0</v>
      </c>
      <c r="AQ365" s="92" t="s">
        <v>1248</v>
      </c>
      <c r="AR365" s="84" t="s">
        <v>187</v>
      </c>
      <c r="AS365" s="84">
        <v>0</v>
      </c>
      <c r="AT365" s="84">
        <v>0</v>
      </c>
      <c r="AU365" s="84"/>
      <c r="AV365" s="84"/>
      <c r="AW365" s="84"/>
      <c r="AX365" s="84"/>
      <c r="AY365" s="84"/>
      <c r="AZ365" s="84"/>
      <c r="BA365" s="84"/>
      <c r="BB365" s="84"/>
      <c r="BC365">
        <v>1</v>
      </c>
      <c r="BD365" s="83" t="str">
        <f>REPLACE(INDEX(GroupVertices[Group],MATCH(Edges[[#This Row],[Vertex 1]],GroupVertices[Vertex],0)),1,1,"")</f>
        <v>4</v>
      </c>
      <c r="BE365" s="83" t="str">
        <f>REPLACE(INDEX(GroupVertices[Group],MATCH(Edges[[#This Row],[Vertex 2]],GroupVertices[Vertex],0)),1,1,"")</f>
        <v>4</v>
      </c>
      <c r="BF365" s="49"/>
      <c r="BG365" s="50"/>
      <c r="BH365" s="49"/>
      <c r="BI365" s="50"/>
      <c r="BJ365" s="49"/>
      <c r="BK365" s="50"/>
      <c r="BL365" s="49"/>
      <c r="BM365" s="50"/>
      <c r="BN365" s="49"/>
    </row>
    <row r="366" spans="1:66" ht="15">
      <c r="A366" s="68" t="s">
        <v>384</v>
      </c>
      <c r="B366" s="68" t="s">
        <v>430</v>
      </c>
      <c r="C366" s="69" t="s">
        <v>5208</v>
      </c>
      <c r="D366" s="70">
        <v>1</v>
      </c>
      <c r="E366" s="71" t="s">
        <v>132</v>
      </c>
      <c r="F366" s="72">
        <v>32</v>
      </c>
      <c r="G366" s="69" t="s">
        <v>51</v>
      </c>
      <c r="H366" s="73"/>
      <c r="I366" s="74"/>
      <c r="J366" s="74"/>
      <c r="K366" s="35" t="s">
        <v>65</v>
      </c>
      <c r="L366" s="82">
        <v>366</v>
      </c>
      <c r="M366" s="82"/>
      <c r="N366" s="76"/>
      <c r="O366" s="84" t="s">
        <v>441</v>
      </c>
      <c r="P366" s="86">
        <v>44081.71693287037</v>
      </c>
      <c r="Q366" s="84" t="s">
        <v>448</v>
      </c>
      <c r="R366" s="87" t="str">
        <f>HYPERLINK("https://www.peoplematters.in/news/technology/job-searches-in-artificial-intelligence-rise-106-in-one-year-report-26898")</f>
        <v>https://www.peoplematters.in/news/technology/job-searches-in-artificial-intelligence-rise-106-in-one-year-report-26898</v>
      </c>
      <c r="S366" s="84" t="s">
        <v>532</v>
      </c>
      <c r="T366" s="84" t="s">
        <v>619</v>
      </c>
      <c r="U366" s="87" t="str">
        <f>HYPERLINK("https://pbs.twimg.com/media/EhVAOmdWoAAOQiY.jpg")</f>
        <v>https://pbs.twimg.com/media/EhVAOmdWoAAOQiY.jpg</v>
      </c>
      <c r="V366" s="87" t="str">
        <f>HYPERLINK("https://pbs.twimg.com/media/EhVAOmdWoAAOQiY.jpg")</f>
        <v>https://pbs.twimg.com/media/EhVAOmdWoAAOQiY.jpg</v>
      </c>
      <c r="W366" s="86">
        <v>44081.71693287037</v>
      </c>
      <c r="X366" s="90">
        <v>44081</v>
      </c>
      <c r="Y366" s="92" t="s">
        <v>851</v>
      </c>
      <c r="Z366" s="87" t="str">
        <f>HYPERLINK("https://twitter.com/fabriziobustama/status/1303018290026106884")</f>
        <v>https://twitter.com/fabriziobustama/status/1303018290026106884</v>
      </c>
      <c r="AA366" s="84"/>
      <c r="AB366" s="84"/>
      <c r="AC366" s="92" t="s">
        <v>1248</v>
      </c>
      <c r="AD366" s="84"/>
      <c r="AE366" s="84" t="b">
        <v>0</v>
      </c>
      <c r="AF366" s="84">
        <v>22</v>
      </c>
      <c r="AG366" s="92" t="s">
        <v>1453</v>
      </c>
      <c r="AH366" s="84" t="b">
        <v>0</v>
      </c>
      <c r="AI366" s="84" t="s">
        <v>1456</v>
      </c>
      <c r="AJ366" s="84"/>
      <c r="AK366" s="92" t="s">
        <v>1453</v>
      </c>
      <c r="AL366" s="84" t="b">
        <v>0</v>
      </c>
      <c r="AM366" s="84">
        <v>25</v>
      </c>
      <c r="AN366" s="92" t="s">
        <v>1453</v>
      </c>
      <c r="AO366" s="84" t="s">
        <v>1464</v>
      </c>
      <c r="AP366" s="84" t="b">
        <v>0</v>
      </c>
      <c r="AQ366" s="92" t="s">
        <v>1248</v>
      </c>
      <c r="AR366" s="84" t="s">
        <v>187</v>
      </c>
      <c r="AS366" s="84">
        <v>0</v>
      </c>
      <c r="AT366" s="84">
        <v>0</v>
      </c>
      <c r="AU366" s="84"/>
      <c r="AV366" s="84"/>
      <c r="AW366" s="84"/>
      <c r="AX366" s="84"/>
      <c r="AY366" s="84"/>
      <c r="AZ366" s="84"/>
      <c r="BA366" s="84"/>
      <c r="BB366" s="84"/>
      <c r="BC366">
        <v>1</v>
      </c>
      <c r="BD366" s="83" t="str">
        <f>REPLACE(INDEX(GroupVertices[Group],MATCH(Edges[[#This Row],[Vertex 1]],GroupVertices[Vertex],0)),1,1,"")</f>
        <v>4</v>
      </c>
      <c r="BE366" s="83" t="str">
        <f>REPLACE(INDEX(GroupVertices[Group],MATCH(Edges[[#This Row],[Vertex 2]],GroupVertices[Vertex],0)),1,1,"")</f>
        <v>4</v>
      </c>
      <c r="BF366" s="49"/>
      <c r="BG366" s="50"/>
      <c r="BH366" s="49"/>
      <c r="BI366" s="50"/>
      <c r="BJ366" s="49"/>
      <c r="BK366" s="50"/>
      <c r="BL366" s="49"/>
      <c r="BM366" s="50"/>
      <c r="BN366" s="49"/>
    </row>
    <row r="367" spans="1:66" ht="15">
      <c r="A367" s="68" t="s">
        <v>384</v>
      </c>
      <c r="B367" s="68" t="s">
        <v>430</v>
      </c>
      <c r="C367" s="69" t="s">
        <v>5208</v>
      </c>
      <c r="D367" s="70">
        <v>1</v>
      </c>
      <c r="E367" s="71" t="s">
        <v>132</v>
      </c>
      <c r="F367" s="72">
        <v>32</v>
      </c>
      <c r="G367" s="69" t="s">
        <v>51</v>
      </c>
      <c r="H367" s="73"/>
      <c r="I367" s="74"/>
      <c r="J367" s="74"/>
      <c r="K367" s="35" t="s">
        <v>65</v>
      </c>
      <c r="L367" s="82">
        <v>367</v>
      </c>
      <c r="M367" s="82"/>
      <c r="N367" s="76"/>
      <c r="O367" s="84" t="s">
        <v>440</v>
      </c>
      <c r="P367" s="86">
        <v>44082.14244212963</v>
      </c>
      <c r="Q367" s="84" t="s">
        <v>448</v>
      </c>
      <c r="R367" s="87" t="str">
        <f>HYPERLINK("https://www.peoplematters.in/news/technology/job-searches-in-artificial-intelligence-rise-106-in-one-year-report-26898")</f>
        <v>https://www.peoplematters.in/news/technology/job-searches-in-artificial-intelligence-rise-106-in-one-year-report-26898</v>
      </c>
      <c r="S367" s="84" t="s">
        <v>532</v>
      </c>
      <c r="T367" s="84" t="s">
        <v>568</v>
      </c>
      <c r="U367" s="87" t="str">
        <f>HYPERLINK("https://pbs.twimg.com/media/EhVAOmdWoAAOQiY.jpg")</f>
        <v>https://pbs.twimg.com/media/EhVAOmdWoAAOQiY.jpg</v>
      </c>
      <c r="V367" s="87" t="str">
        <f>HYPERLINK("https://pbs.twimg.com/media/EhVAOmdWoAAOQiY.jpg")</f>
        <v>https://pbs.twimg.com/media/EhVAOmdWoAAOQiY.jpg</v>
      </c>
      <c r="W367" s="86">
        <v>44082.14244212963</v>
      </c>
      <c r="X367" s="90">
        <v>44082</v>
      </c>
      <c r="Y367" s="92" t="s">
        <v>852</v>
      </c>
      <c r="Z367" s="87" t="str">
        <f>HYPERLINK("https://twitter.com/fabriziobustama/status/1303172486956290054")</f>
        <v>https://twitter.com/fabriziobustama/status/1303172486956290054</v>
      </c>
      <c r="AA367" s="84"/>
      <c r="AB367" s="84"/>
      <c r="AC367" s="92" t="s">
        <v>1249</v>
      </c>
      <c r="AD367" s="84"/>
      <c r="AE367" s="84" t="b">
        <v>0</v>
      </c>
      <c r="AF367" s="84">
        <v>0</v>
      </c>
      <c r="AG367" s="92" t="s">
        <v>1453</v>
      </c>
      <c r="AH367" s="84" t="b">
        <v>0</v>
      </c>
      <c r="AI367" s="84" t="s">
        <v>1456</v>
      </c>
      <c r="AJ367" s="84"/>
      <c r="AK367" s="92" t="s">
        <v>1453</v>
      </c>
      <c r="AL367" s="84" t="b">
        <v>0</v>
      </c>
      <c r="AM367" s="84">
        <v>25</v>
      </c>
      <c r="AN367" s="92" t="s">
        <v>1248</v>
      </c>
      <c r="AO367" s="84" t="s">
        <v>1464</v>
      </c>
      <c r="AP367" s="84" t="b">
        <v>0</v>
      </c>
      <c r="AQ367" s="92" t="s">
        <v>1248</v>
      </c>
      <c r="AR367" s="84" t="s">
        <v>187</v>
      </c>
      <c r="AS367" s="84">
        <v>0</v>
      </c>
      <c r="AT367" s="84">
        <v>0</v>
      </c>
      <c r="AU367" s="84"/>
      <c r="AV367" s="84"/>
      <c r="AW367" s="84"/>
      <c r="AX367" s="84"/>
      <c r="AY367" s="84"/>
      <c r="AZ367" s="84"/>
      <c r="BA367" s="84"/>
      <c r="BB367" s="84"/>
      <c r="BC367">
        <v>1</v>
      </c>
      <c r="BD367" s="83" t="str">
        <f>REPLACE(INDEX(GroupVertices[Group],MATCH(Edges[[#This Row],[Vertex 1]],GroupVertices[Vertex],0)),1,1,"")</f>
        <v>4</v>
      </c>
      <c r="BE367" s="83" t="str">
        <f>REPLACE(INDEX(GroupVertices[Group],MATCH(Edges[[#This Row],[Vertex 2]],GroupVertices[Vertex],0)),1,1,"")</f>
        <v>4</v>
      </c>
      <c r="BF367" s="49"/>
      <c r="BG367" s="50"/>
      <c r="BH367" s="49"/>
      <c r="BI367" s="50"/>
      <c r="BJ367" s="49"/>
      <c r="BK367" s="50"/>
      <c r="BL367" s="49"/>
      <c r="BM367" s="50"/>
      <c r="BN367" s="49"/>
    </row>
    <row r="368" spans="1:66" ht="15">
      <c r="A368" s="68" t="s">
        <v>386</v>
      </c>
      <c r="B368" s="68" t="s">
        <v>430</v>
      </c>
      <c r="C368" s="69" t="s">
        <v>5209</v>
      </c>
      <c r="D368" s="70">
        <v>6.678367782143116</v>
      </c>
      <c r="E368" s="71" t="s">
        <v>132</v>
      </c>
      <c r="F368" s="72">
        <v>21</v>
      </c>
      <c r="G368" s="69" t="s">
        <v>51</v>
      </c>
      <c r="H368" s="73"/>
      <c r="I368" s="74"/>
      <c r="J368" s="74"/>
      <c r="K368" s="35" t="s">
        <v>65</v>
      </c>
      <c r="L368" s="82">
        <v>368</v>
      </c>
      <c r="M368" s="82"/>
      <c r="N368" s="76"/>
      <c r="O368" s="84" t="s">
        <v>440</v>
      </c>
      <c r="P368" s="86">
        <v>44081.72045138889</v>
      </c>
      <c r="Q368" s="84" t="s">
        <v>448</v>
      </c>
      <c r="R368" s="87" t="str">
        <f>HYPERLINK("https://www.peoplematters.in/news/technology/job-searches-in-artificial-intelligence-rise-106-in-one-year-report-26898")</f>
        <v>https://www.peoplematters.in/news/technology/job-searches-in-artificial-intelligence-rise-106-in-one-year-report-26898</v>
      </c>
      <c r="S368" s="84" t="s">
        <v>532</v>
      </c>
      <c r="T368" s="84" t="s">
        <v>568</v>
      </c>
      <c r="U368" s="87" t="str">
        <f>HYPERLINK("https://pbs.twimg.com/media/EhVAOmdWoAAOQiY.jpg")</f>
        <v>https://pbs.twimg.com/media/EhVAOmdWoAAOQiY.jpg</v>
      </c>
      <c r="V368" s="87" t="str">
        <f>HYPERLINK("https://pbs.twimg.com/media/EhVAOmdWoAAOQiY.jpg")</f>
        <v>https://pbs.twimg.com/media/EhVAOmdWoAAOQiY.jpg</v>
      </c>
      <c r="W368" s="86">
        <v>44081.72045138889</v>
      </c>
      <c r="X368" s="90">
        <v>44081</v>
      </c>
      <c r="Y368" s="92" t="s">
        <v>854</v>
      </c>
      <c r="Z368" s="87" t="str">
        <f>HYPERLINK("https://twitter.com/hubofml/status/1303019562942763008")</f>
        <v>https://twitter.com/hubofml/status/1303019562942763008</v>
      </c>
      <c r="AA368" s="84"/>
      <c r="AB368" s="84"/>
      <c r="AC368" s="92" t="s">
        <v>1251</v>
      </c>
      <c r="AD368" s="84"/>
      <c r="AE368" s="84" t="b">
        <v>0</v>
      </c>
      <c r="AF368" s="84">
        <v>0</v>
      </c>
      <c r="AG368" s="92" t="s">
        <v>1453</v>
      </c>
      <c r="AH368" s="84" t="b">
        <v>0</v>
      </c>
      <c r="AI368" s="84" t="s">
        <v>1456</v>
      </c>
      <c r="AJ368" s="84"/>
      <c r="AK368" s="92" t="s">
        <v>1453</v>
      </c>
      <c r="AL368" s="84" t="b">
        <v>0</v>
      </c>
      <c r="AM368" s="84">
        <v>25</v>
      </c>
      <c r="AN368" s="92" t="s">
        <v>1248</v>
      </c>
      <c r="AO368" s="84" t="s">
        <v>386</v>
      </c>
      <c r="AP368" s="84" t="b">
        <v>0</v>
      </c>
      <c r="AQ368" s="92" t="s">
        <v>1248</v>
      </c>
      <c r="AR368" s="84" t="s">
        <v>187</v>
      </c>
      <c r="AS368" s="84">
        <v>0</v>
      </c>
      <c r="AT368" s="84">
        <v>0</v>
      </c>
      <c r="AU368" s="84"/>
      <c r="AV368" s="84"/>
      <c r="AW368" s="84"/>
      <c r="AX368" s="84"/>
      <c r="AY368" s="84"/>
      <c r="AZ368" s="84"/>
      <c r="BA368" s="84"/>
      <c r="BB368" s="84"/>
      <c r="BC368">
        <v>2</v>
      </c>
      <c r="BD368" s="83" t="str">
        <f>REPLACE(INDEX(GroupVertices[Group],MATCH(Edges[[#This Row],[Vertex 1]],GroupVertices[Vertex],0)),1,1,"")</f>
        <v>5</v>
      </c>
      <c r="BE368" s="83" t="str">
        <f>REPLACE(INDEX(GroupVertices[Group],MATCH(Edges[[#This Row],[Vertex 2]],GroupVertices[Vertex],0)),1,1,"")</f>
        <v>4</v>
      </c>
      <c r="BF368" s="49"/>
      <c r="BG368" s="50"/>
      <c r="BH368" s="49"/>
      <c r="BI368" s="50"/>
      <c r="BJ368" s="49"/>
      <c r="BK368" s="50"/>
      <c r="BL368" s="49"/>
      <c r="BM368" s="50"/>
      <c r="BN368" s="49"/>
    </row>
    <row r="369" spans="1:66" ht="15">
      <c r="A369" s="68" t="s">
        <v>386</v>
      </c>
      <c r="B369" s="68" t="s">
        <v>430</v>
      </c>
      <c r="C369" s="69" t="s">
        <v>5209</v>
      </c>
      <c r="D369" s="70">
        <v>6.678367782143116</v>
      </c>
      <c r="E369" s="71" t="s">
        <v>132</v>
      </c>
      <c r="F369" s="72">
        <v>21</v>
      </c>
      <c r="G369" s="69" t="s">
        <v>51</v>
      </c>
      <c r="H369" s="73"/>
      <c r="I369" s="74"/>
      <c r="J369" s="74"/>
      <c r="K369" s="35" t="s">
        <v>65</v>
      </c>
      <c r="L369" s="82">
        <v>369</v>
      </c>
      <c r="M369" s="82"/>
      <c r="N369" s="76"/>
      <c r="O369" s="84" t="s">
        <v>440</v>
      </c>
      <c r="P369" s="86">
        <v>44082.62331018518</v>
      </c>
      <c r="Q369" s="84" t="s">
        <v>448</v>
      </c>
      <c r="R369" s="87" t="str">
        <f>HYPERLINK("https://www.peoplematters.in/news/technology/job-searches-in-artificial-intelligence-rise-106-in-one-year-report-26898")</f>
        <v>https://www.peoplematters.in/news/technology/job-searches-in-artificial-intelligence-rise-106-in-one-year-report-26898</v>
      </c>
      <c r="S369" s="84" t="s">
        <v>532</v>
      </c>
      <c r="T369" s="84" t="s">
        <v>568</v>
      </c>
      <c r="U369" s="87" t="str">
        <f>HYPERLINK("https://pbs.twimg.com/media/EhVAOmdWoAAOQiY.jpg")</f>
        <v>https://pbs.twimg.com/media/EhVAOmdWoAAOQiY.jpg</v>
      </c>
      <c r="V369" s="87" t="str">
        <f>HYPERLINK("https://pbs.twimg.com/media/EhVAOmdWoAAOQiY.jpg")</f>
        <v>https://pbs.twimg.com/media/EhVAOmdWoAAOQiY.jpg</v>
      </c>
      <c r="W369" s="86">
        <v>44082.62331018518</v>
      </c>
      <c r="X369" s="90">
        <v>44082</v>
      </c>
      <c r="Y369" s="92" t="s">
        <v>855</v>
      </c>
      <c r="Z369" s="87" t="str">
        <f>HYPERLINK("https://twitter.com/hubofml/status/1303346747805138946")</f>
        <v>https://twitter.com/hubofml/status/1303346747805138946</v>
      </c>
      <c r="AA369" s="84"/>
      <c r="AB369" s="84"/>
      <c r="AC369" s="92" t="s">
        <v>1252</v>
      </c>
      <c r="AD369" s="84"/>
      <c r="AE369" s="84" t="b">
        <v>0</v>
      </c>
      <c r="AF369" s="84">
        <v>0</v>
      </c>
      <c r="AG369" s="92" t="s">
        <v>1453</v>
      </c>
      <c r="AH369" s="84" t="b">
        <v>0</v>
      </c>
      <c r="AI369" s="84" t="s">
        <v>1456</v>
      </c>
      <c r="AJ369" s="84"/>
      <c r="AK369" s="92" t="s">
        <v>1453</v>
      </c>
      <c r="AL369" s="84" t="b">
        <v>0</v>
      </c>
      <c r="AM369" s="84">
        <v>25</v>
      </c>
      <c r="AN369" s="92" t="s">
        <v>1248</v>
      </c>
      <c r="AO369" s="84" t="s">
        <v>386</v>
      </c>
      <c r="AP369" s="84" t="b">
        <v>0</v>
      </c>
      <c r="AQ369" s="92" t="s">
        <v>1248</v>
      </c>
      <c r="AR369" s="84" t="s">
        <v>187</v>
      </c>
      <c r="AS369" s="84">
        <v>0</v>
      </c>
      <c r="AT369" s="84">
        <v>0</v>
      </c>
      <c r="AU369" s="84"/>
      <c r="AV369" s="84"/>
      <c r="AW369" s="84"/>
      <c r="AX369" s="84"/>
      <c r="AY369" s="84"/>
      <c r="AZ369" s="84"/>
      <c r="BA369" s="84"/>
      <c r="BB369" s="84"/>
      <c r="BC369">
        <v>2</v>
      </c>
      <c r="BD369" s="83" t="str">
        <f>REPLACE(INDEX(GroupVertices[Group],MATCH(Edges[[#This Row],[Vertex 1]],GroupVertices[Vertex],0)),1,1,"")</f>
        <v>5</v>
      </c>
      <c r="BE369" s="83" t="str">
        <f>REPLACE(INDEX(GroupVertices[Group],MATCH(Edges[[#This Row],[Vertex 2]],GroupVertices[Vertex],0)),1,1,"")</f>
        <v>4</v>
      </c>
      <c r="BF369" s="49"/>
      <c r="BG369" s="50"/>
      <c r="BH369" s="49"/>
      <c r="BI369" s="50"/>
      <c r="BJ369" s="49"/>
      <c r="BK369" s="50"/>
      <c r="BL369" s="49"/>
      <c r="BM369" s="50"/>
      <c r="BN369" s="49"/>
    </row>
    <row r="370" spans="1:66" ht="15">
      <c r="A370" s="68" t="s">
        <v>380</v>
      </c>
      <c r="B370" s="68" t="s">
        <v>383</v>
      </c>
      <c r="C370" s="69" t="s">
        <v>5208</v>
      </c>
      <c r="D370" s="70">
        <v>1</v>
      </c>
      <c r="E370" s="71" t="s">
        <v>132</v>
      </c>
      <c r="F370" s="72">
        <v>32</v>
      </c>
      <c r="G370" s="69" t="s">
        <v>51</v>
      </c>
      <c r="H370" s="73"/>
      <c r="I370" s="74"/>
      <c r="J370" s="74"/>
      <c r="K370" s="35" t="s">
        <v>66</v>
      </c>
      <c r="L370" s="82">
        <v>370</v>
      </c>
      <c r="M370" s="82"/>
      <c r="N370" s="76"/>
      <c r="O370" s="84" t="s">
        <v>440</v>
      </c>
      <c r="P370" s="86">
        <v>44081.71776620371</v>
      </c>
      <c r="Q370" s="84" t="s">
        <v>448</v>
      </c>
      <c r="R370" s="87" t="str">
        <f>HYPERLINK("https://www.peoplematters.in/news/technology/job-searches-in-artificial-intelligence-rise-106-in-one-year-report-26898")</f>
        <v>https://www.peoplematters.in/news/technology/job-searches-in-artificial-intelligence-rise-106-in-one-year-report-26898</v>
      </c>
      <c r="S370" s="84" t="s">
        <v>532</v>
      </c>
      <c r="T370" s="84" t="s">
        <v>568</v>
      </c>
      <c r="U370" s="87" t="str">
        <f>HYPERLINK("https://pbs.twimg.com/media/EhVAOmdWoAAOQiY.jpg")</f>
        <v>https://pbs.twimg.com/media/EhVAOmdWoAAOQiY.jpg</v>
      </c>
      <c r="V370" s="87" t="str">
        <f>HYPERLINK("https://pbs.twimg.com/media/EhVAOmdWoAAOQiY.jpg")</f>
        <v>https://pbs.twimg.com/media/EhVAOmdWoAAOQiY.jpg</v>
      </c>
      <c r="W370" s="86">
        <v>44081.71776620371</v>
      </c>
      <c r="X370" s="90">
        <v>44081</v>
      </c>
      <c r="Y370" s="92" t="s">
        <v>847</v>
      </c>
      <c r="Z370" s="87" t="str">
        <f>HYPERLINK("https://twitter.com/jolaburnett/status/1303018588907991043")</f>
        <v>https://twitter.com/jolaburnett/status/1303018588907991043</v>
      </c>
      <c r="AA370" s="84"/>
      <c r="AB370" s="84"/>
      <c r="AC370" s="92" t="s">
        <v>1244</v>
      </c>
      <c r="AD370" s="84"/>
      <c r="AE370" s="84" t="b">
        <v>0</v>
      </c>
      <c r="AF370" s="84">
        <v>0</v>
      </c>
      <c r="AG370" s="92" t="s">
        <v>1453</v>
      </c>
      <c r="AH370" s="84" t="b">
        <v>0</v>
      </c>
      <c r="AI370" s="84" t="s">
        <v>1456</v>
      </c>
      <c r="AJ370" s="84"/>
      <c r="AK370" s="92" t="s">
        <v>1453</v>
      </c>
      <c r="AL370" s="84" t="b">
        <v>0</v>
      </c>
      <c r="AM370" s="84">
        <v>25</v>
      </c>
      <c r="AN370" s="92" t="s">
        <v>1248</v>
      </c>
      <c r="AO370" s="84" t="s">
        <v>1467</v>
      </c>
      <c r="AP370" s="84" t="b">
        <v>0</v>
      </c>
      <c r="AQ370" s="92" t="s">
        <v>1248</v>
      </c>
      <c r="AR370" s="84" t="s">
        <v>187</v>
      </c>
      <c r="AS370" s="84">
        <v>0</v>
      </c>
      <c r="AT370" s="84">
        <v>0</v>
      </c>
      <c r="AU370" s="84"/>
      <c r="AV370" s="84"/>
      <c r="AW370" s="84"/>
      <c r="AX370" s="84"/>
      <c r="AY370" s="84"/>
      <c r="AZ370" s="84"/>
      <c r="BA370" s="84"/>
      <c r="BB370" s="84"/>
      <c r="BC370">
        <v>1</v>
      </c>
      <c r="BD370" s="83" t="str">
        <f>REPLACE(INDEX(GroupVertices[Group],MATCH(Edges[[#This Row],[Vertex 1]],GroupVertices[Vertex],0)),1,1,"")</f>
        <v>4</v>
      </c>
      <c r="BE370" s="83" t="str">
        <f>REPLACE(INDEX(GroupVertices[Group],MATCH(Edges[[#This Row],[Vertex 2]],GroupVertices[Vertex],0)),1,1,"")</f>
        <v>4</v>
      </c>
      <c r="BF370" s="49"/>
      <c r="BG370" s="50"/>
      <c r="BH370" s="49"/>
      <c r="BI370" s="50"/>
      <c r="BJ370" s="49"/>
      <c r="BK370" s="50"/>
      <c r="BL370" s="49"/>
      <c r="BM370" s="50"/>
      <c r="BN370" s="49"/>
    </row>
    <row r="371" spans="1:66" ht="15">
      <c r="A371" s="68" t="s">
        <v>381</v>
      </c>
      <c r="B371" s="68" t="s">
        <v>383</v>
      </c>
      <c r="C371" s="69" t="s">
        <v>5208</v>
      </c>
      <c r="D371" s="70">
        <v>1</v>
      </c>
      <c r="E371" s="71" t="s">
        <v>132</v>
      </c>
      <c r="F371" s="72">
        <v>32</v>
      </c>
      <c r="G371" s="69" t="s">
        <v>51</v>
      </c>
      <c r="H371" s="73"/>
      <c r="I371" s="74"/>
      <c r="J371" s="74"/>
      <c r="K371" s="35" t="s">
        <v>66</v>
      </c>
      <c r="L371" s="82">
        <v>371</v>
      </c>
      <c r="M371" s="82"/>
      <c r="N371" s="76"/>
      <c r="O371" s="84" t="s">
        <v>440</v>
      </c>
      <c r="P371" s="86">
        <v>44081.82989583333</v>
      </c>
      <c r="Q371" s="84" t="s">
        <v>448</v>
      </c>
      <c r="R371" s="87" t="str">
        <f>HYPERLINK("https://www.peoplematters.in/news/technology/job-searches-in-artificial-intelligence-rise-106-in-one-year-report-26898")</f>
        <v>https://www.peoplematters.in/news/technology/job-searches-in-artificial-intelligence-rise-106-in-one-year-report-26898</v>
      </c>
      <c r="S371" s="84" t="s">
        <v>532</v>
      </c>
      <c r="T371" s="84" t="s">
        <v>568</v>
      </c>
      <c r="U371" s="87" t="str">
        <f>HYPERLINK("https://pbs.twimg.com/media/EhVAOmdWoAAOQiY.jpg")</f>
        <v>https://pbs.twimg.com/media/EhVAOmdWoAAOQiY.jpg</v>
      </c>
      <c r="V371" s="87" t="str">
        <f>HYPERLINK("https://pbs.twimg.com/media/EhVAOmdWoAAOQiY.jpg")</f>
        <v>https://pbs.twimg.com/media/EhVAOmdWoAAOQiY.jpg</v>
      </c>
      <c r="W371" s="86">
        <v>44081.82989583333</v>
      </c>
      <c r="X371" s="90">
        <v>44081</v>
      </c>
      <c r="Y371" s="92" t="s">
        <v>848</v>
      </c>
      <c r="Z371" s="87" t="str">
        <f>HYPERLINK("https://twitter.com/debraruh/status/1303059226315624448")</f>
        <v>https://twitter.com/debraruh/status/1303059226315624448</v>
      </c>
      <c r="AA371" s="84"/>
      <c r="AB371" s="84"/>
      <c r="AC371" s="92" t="s">
        <v>1245</v>
      </c>
      <c r="AD371" s="84"/>
      <c r="AE371" s="84" t="b">
        <v>0</v>
      </c>
      <c r="AF371" s="84">
        <v>0</v>
      </c>
      <c r="AG371" s="92" t="s">
        <v>1453</v>
      </c>
      <c r="AH371" s="84" t="b">
        <v>0</v>
      </c>
      <c r="AI371" s="84" t="s">
        <v>1456</v>
      </c>
      <c r="AJ371" s="84"/>
      <c r="AK371" s="92" t="s">
        <v>1453</v>
      </c>
      <c r="AL371" s="84" t="b">
        <v>0</v>
      </c>
      <c r="AM371" s="84">
        <v>25</v>
      </c>
      <c r="AN371" s="92" t="s">
        <v>1248</v>
      </c>
      <c r="AO371" s="84" t="s">
        <v>1467</v>
      </c>
      <c r="AP371" s="84" t="b">
        <v>0</v>
      </c>
      <c r="AQ371" s="92" t="s">
        <v>1248</v>
      </c>
      <c r="AR371" s="84" t="s">
        <v>187</v>
      </c>
      <c r="AS371" s="84">
        <v>0</v>
      </c>
      <c r="AT371" s="84">
        <v>0</v>
      </c>
      <c r="AU371" s="84"/>
      <c r="AV371" s="84"/>
      <c r="AW371" s="84"/>
      <c r="AX371" s="84"/>
      <c r="AY371" s="84"/>
      <c r="AZ371" s="84"/>
      <c r="BA371" s="84"/>
      <c r="BB371" s="84"/>
      <c r="BC371">
        <v>1</v>
      </c>
      <c r="BD371" s="83" t="str">
        <f>REPLACE(INDEX(GroupVertices[Group],MATCH(Edges[[#This Row],[Vertex 1]],GroupVertices[Vertex],0)),1,1,"")</f>
        <v>4</v>
      </c>
      <c r="BE371" s="83" t="str">
        <f>REPLACE(INDEX(GroupVertices[Group],MATCH(Edges[[#This Row],[Vertex 2]],GroupVertices[Vertex],0)),1,1,"")</f>
        <v>4</v>
      </c>
      <c r="BF371" s="49"/>
      <c r="BG371" s="50"/>
      <c r="BH371" s="49"/>
      <c r="BI371" s="50"/>
      <c r="BJ371" s="49"/>
      <c r="BK371" s="50"/>
      <c r="BL371" s="49"/>
      <c r="BM371" s="50"/>
      <c r="BN371" s="49"/>
    </row>
    <row r="372" spans="1:66" ht="15">
      <c r="A372" s="68" t="s">
        <v>383</v>
      </c>
      <c r="B372" s="68" t="s">
        <v>380</v>
      </c>
      <c r="C372" s="69" t="s">
        <v>5208</v>
      </c>
      <c r="D372" s="70">
        <v>1</v>
      </c>
      <c r="E372" s="71" t="s">
        <v>132</v>
      </c>
      <c r="F372" s="72">
        <v>32</v>
      </c>
      <c r="G372" s="69" t="s">
        <v>51</v>
      </c>
      <c r="H372" s="73"/>
      <c r="I372" s="74"/>
      <c r="J372" s="74"/>
      <c r="K372" s="35" t="s">
        <v>66</v>
      </c>
      <c r="L372" s="82">
        <v>372</v>
      </c>
      <c r="M372" s="82"/>
      <c r="N372" s="76"/>
      <c r="O372" s="84" t="s">
        <v>440</v>
      </c>
      <c r="P372" s="86">
        <v>44081.89548611111</v>
      </c>
      <c r="Q372" s="84" t="s">
        <v>448</v>
      </c>
      <c r="R372" s="87" t="str">
        <f>HYPERLINK("https://www.peoplematters.in/news/technology/job-searches-in-artificial-intelligence-rise-106-in-one-year-report-26898")</f>
        <v>https://www.peoplematters.in/news/technology/job-searches-in-artificial-intelligence-rise-106-in-one-year-report-26898</v>
      </c>
      <c r="S372" s="84" t="s">
        <v>532</v>
      </c>
      <c r="T372" s="84" t="s">
        <v>568</v>
      </c>
      <c r="U372" s="87" t="str">
        <f>HYPERLINK("https://pbs.twimg.com/media/EhVAOmdWoAAOQiY.jpg")</f>
        <v>https://pbs.twimg.com/media/EhVAOmdWoAAOQiY.jpg</v>
      </c>
      <c r="V372" s="87" t="str">
        <f>HYPERLINK("https://pbs.twimg.com/media/EhVAOmdWoAAOQiY.jpg")</f>
        <v>https://pbs.twimg.com/media/EhVAOmdWoAAOQiY.jpg</v>
      </c>
      <c r="W372" s="86">
        <v>44081.89548611111</v>
      </c>
      <c r="X372" s="90">
        <v>44081</v>
      </c>
      <c r="Y372" s="92" t="s">
        <v>850</v>
      </c>
      <c r="Z372" s="87" t="str">
        <f>HYPERLINK("https://twitter.com/kkruse/status/1303082993141952514")</f>
        <v>https://twitter.com/kkruse/status/1303082993141952514</v>
      </c>
      <c r="AA372" s="84"/>
      <c r="AB372" s="84"/>
      <c r="AC372" s="92" t="s">
        <v>1247</v>
      </c>
      <c r="AD372" s="84"/>
      <c r="AE372" s="84" t="b">
        <v>0</v>
      </c>
      <c r="AF372" s="84">
        <v>0</v>
      </c>
      <c r="AG372" s="92" t="s">
        <v>1453</v>
      </c>
      <c r="AH372" s="84" t="b">
        <v>0</v>
      </c>
      <c r="AI372" s="84" t="s">
        <v>1456</v>
      </c>
      <c r="AJ372" s="84"/>
      <c r="AK372" s="92" t="s">
        <v>1453</v>
      </c>
      <c r="AL372" s="84" t="b">
        <v>0</v>
      </c>
      <c r="AM372" s="84">
        <v>25</v>
      </c>
      <c r="AN372" s="92" t="s">
        <v>1248</v>
      </c>
      <c r="AO372" s="84" t="s">
        <v>1465</v>
      </c>
      <c r="AP372" s="84" t="b">
        <v>0</v>
      </c>
      <c r="AQ372" s="92" t="s">
        <v>1248</v>
      </c>
      <c r="AR372" s="84" t="s">
        <v>187</v>
      </c>
      <c r="AS372" s="84">
        <v>0</v>
      </c>
      <c r="AT372" s="84">
        <v>0</v>
      </c>
      <c r="AU372" s="84"/>
      <c r="AV372" s="84"/>
      <c r="AW372" s="84"/>
      <c r="AX372" s="84"/>
      <c r="AY372" s="84"/>
      <c r="AZ372" s="84"/>
      <c r="BA372" s="84"/>
      <c r="BB372" s="84"/>
      <c r="BC372">
        <v>1</v>
      </c>
      <c r="BD372" s="83" t="str">
        <f>REPLACE(INDEX(GroupVertices[Group],MATCH(Edges[[#This Row],[Vertex 1]],GroupVertices[Vertex],0)),1,1,"")</f>
        <v>4</v>
      </c>
      <c r="BE372" s="83" t="str">
        <f>REPLACE(INDEX(GroupVertices[Group],MATCH(Edges[[#This Row],[Vertex 2]],GroupVertices[Vertex],0)),1,1,"")</f>
        <v>4</v>
      </c>
      <c r="BF372" s="49"/>
      <c r="BG372" s="50"/>
      <c r="BH372" s="49"/>
      <c r="BI372" s="50"/>
      <c r="BJ372" s="49"/>
      <c r="BK372" s="50"/>
      <c r="BL372" s="49"/>
      <c r="BM372" s="50"/>
      <c r="BN372" s="49"/>
    </row>
    <row r="373" spans="1:66" ht="15">
      <c r="A373" s="68" t="s">
        <v>383</v>
      </c>
      <c r="B373" s="68" t="s">
        <v>381</v>
      </c>
      <c r="C373" s="69" t="s">
        <v>5208</v>
      </c>
      <c r="D373" s="70">
        <v>1</v>
      </c>
      <c r="E373" s="71" t="s">
        <v>132</v>
      </c>
      <c r="F373" s="72">
        <v>32</v>
      </c>
      <c r="G373" s="69" t="s">
        <v>51</v>
      </c>
      <c r="H373" s="73"/>
      <c r="I373" s="74"/>
      <c r="J373" s="74"/>
      <c r="K373" s="35" t="s">
        <v>66</v>
      </c>
      <c r="L373" s="82">
        <v>373</v>
      </c>
      <c r="M373" s="82"/>
      <c r="N373" s="76"/>
      <c r="O373" s="84" t="s">
        <v>440</v>
      </c>
      <c r="P373" s="86">
        <v>44081.89548611111</v>
      </c>
      <c r="Q373" s="84" t="s">
        <v>448</v>
      </c>
      <c r="R373" s="87" t="str">
        <f>HYPERLINK("https://www.peoplematters.in/news/technology/job-searches-in-artificial-intelligence-rise-106-in-one-year-report-26898")</f>
        <v>https://www.peoplematters.in/news/technology/job-searches-in-artificial-intelligence-rise-106-in-one-year-report-26898</v>
      </c>
      <c r="S373" s="84" t="s">
        <v>532</v>
      </c>
      <c r="T373" s="84" t="s">
        <v>568</v>
      </c>
      <c r="U373" s="87" t="str">
        <f>HYPERLINK("https://pbs.twimg.com/media/EhVAOmdWoAAOQiY.jpg")</f>
        <v>https://pbs.twimg.com/media/EhVAOmdWoAAOQiY.jpg</v>
      </c>
      <c r="V373" s="87" t="str">
        <f>HYPERLINK("https://pbs.twimg.com/media/EhVAOmdWoAAOQiY.jpg")</f>
        <v>https://pbs.twimg.com/media/EhVAOmdWoAAOQiY.jpg</v>
      </c>
      <c r="W373" s="86">
        <v>44081.89548611111</v>
      </c>
      <c r="X373" s="90">
        <v>44081</v>
      </c>
      <c r="Y373" s="92" t="s">
        <v>850</v>
      </c>
      <c r="Z373" s="87" t="str">
        <f>HYPERLINK("https://twitter.com/kkruse/status/1303082993141952514")</f>
        <v>https://twitter.com/kkruse/status/1303082993141952514</v>
      </c>
      <c r="AA373" s="84"/>
      <c r="AB373" s="84"/>
      <c r="AC373" s="92" t="s">
        <v>1247</v>
      </c>
      <c r="AD373" s="84"/>
      <c r="AE373" s="84" t="b">
        <v>0</v>
      </c>
      <c r="AF373" s="84">
        <v>0</v>
      </c>
      <c r="AG373" s="92" t="s">
        <v>1453</v>
      </c>
      <c r="AH373" s="84" t="b">
        <v>0</v>
      </c>
      <c r="AI373" s="84" t="s">
        <v>1456</v>
      </c>
      <c r="AJ373" s="84"/>
      <c r="AK373" s="92" t="s">
        <v>1453</v>
      </c>
      <c r="AL373" s="84" t="b">
        <v>0</v>
      </c>
      <c r="AM373" s="84">
        <v>25</v>
      </c>
      <c r="AN373" s="92" t="s">
        <v>1248</v>
      </c>
      <c r="AO373" s="84" t="s">
        <v>1465</v>
      </c>
      <c r="AP373" s="84" t="b">
        <v>0</v>
      </c>
      <c r="AQ373" s="92" t="s">
        <v>1248</v>
      </c>
      <c r="AR373" s="84" t="s">
        <v>187</v>
      </c>
      <c r="AS373" s="84">
        <v>0</v>
      </c>
      <c r="AT373" s="84">
        <v>0</v>
      </c>
      <c r="AU373" s="84"/>
      <c r="AV373" s="84"/>
      <c r="AW373" s="84"/>
      <c r="AX373" s="84"/>
      <c r="AY373" s="84"/>
      <c r="AZ373" s="84"/>
      <c r="BA373" s="84"/>
      <c r="BB373" s="84"/>
      <c r="BC373">
        <v>1</v>
      </c>
      <c r="BD373" s="83" t="str">
        <f>REPLACE(INDEX(GroupVertices[Group],MATCH(Edges[[#This Row],[Vertex 1]],GroupVertices[Vertex],0)),1,1,"")</f>
        <v>4</v>
      </c>
      <c r="BE373" s="83" t="str">
        <f>REPLACE(INDEX(GroupVertices[Group],MATCH(Edges[[#This Row],[Vertex 2]],GroupVertices[Vertex],0)),1,1,"")</f>
        <v>4</v>
      </c>
      <c r="BF373" s="49"/>
      <c r="BG373" s="50"/>
      <c r="BH373" s="49"/>
      <c r="BI373" s="50"/>
      <c r="BJ373" s="49"/>
      <c r="BK373" s="50"/>
      <c r="BL373" s="49"/>
      <c r="BM373" s="50"/>
      <c r="BN373" s="49"/>
    </row>
    <row r="374" spans="1:66" ht="15">
      <c r="A374" s="68" t="s">
        <v>383</v>
      </c>
      <c r="B374" s="68" t="s">
        <v>431</v>
      </c>
      <c r="C374" s="69" t="s">
        <v>5208</v>
      </c>
      <c r="D374" s="70">
        <v>1</v>
      </c>
      <c r="E374" s="71" t="s">
        <v>132</v>
      </c>
      <c r="F374" s="72">
        <v>32</v>
      </c>
      <c r="G374" s="69" t="s">
        <v>51</v>
      </c>
      <c r="H374" s="73"/>
      <c r="I374" s="74"/>
      <c r="J374" s="74"/>
      <c r="K374" s="35" t="s">
        <v>65</v>
      </c>
      <c r="L374" s="82">
        <v>374</v>
      </c>
      <c r="M374" s="82"/>
      <c r="N374" s="76"/>
      <c r="O374" s="84" t="s">
        <v>440</v>
      </c>
      <c r="P374" s="86">
        <v>44081.89548611111</v>
      </c>
      <c r="Q374" s="84" t="s">
        <v>448</v>
      </c>
      <c r="R374" s="87" t="str">
        <f>HYPERLINK("https://www.peoplematters.in/news/technology/job-searches-in-artificial-intelligence-rise-106-in-one-year-report-26898")</f>
        <v>https://www.peoplematters.in/news/technology/job-searches-in-artificial-intelligence-rise-106-in-one-year-report-26898</v>
      </c>
      <c r="S374" s="84" t="s">
        <v>532</v>
      </c>
      <c r="T374" s="84" t="s">
        <v>568</v>
      </c>
      <c r="U374" s="87" t="str">
        <f>HYPERLINK("https://pbs.twimg.com/media/EhVAOmdWoAAOQiY.jpg")</f>
        <v>https://pbs.twimg.com/media/EhVAOmdWoAAOQiY.jpg</v>
      </c>
      <c r="V374" s="87" t="str">
        <f>HYPERLINK("https://pbs.twimg.com/media/EhVAOmdWoAAOQiY.jpg")</f>
        <v>https://pbs.twimg.com/media/EhVAOmdWoAAOQiY.jpg</v>
      </c>
      <c r="W374" s="86">
        <v>44081.89548611111</v>
      </c>
      <c r="X374" s="90">
        <v>44081</v>
      </c>
      <c r="Y374" s="92" t="s">
        <v>850</v>
      </c>
      <c r="Z374" s="87" t="str">
        <f>HYPERLINK("https://twitter.com/kkruse/status/1303082993141952514")</f>
        <v>https://twitter.com/kkruse/status/1303082993141952514</v>
      </c>
      <c r="AA374" s="84"/>
      <c r="AB374" s="84"/>
      <c r="AC374" s="92" t="s">
        <v>1247</v>
      </c>
      <c r="AD374" s="84"/>
      <c r="AE374" s="84" t="b">
        <v>0</v>
      </c>
      <c r="AF374" s="84">
        <v>0</v>
      </c>
      <c r="AG374" s="92" t="s">
        <v>1453</v>
      </c>
      <c r="AH374" s="84" t="b">
        <v>0</v>
      </c>
      <c r="AI374" s="84" t="s">
        <v>1456</v>
      </c>
      <c r="AJ374" s="84"/>
      <c r="AK374" s="92" t="s">
        <v>1453</v>
      </c>
      <c r="AL374" s="84" t="b">
        <v>0</v>
      </c>
      <c r="AM374" s="84">
        <v>25</v>
      </c>
      <c r="AN374" s="92" t="s">
        <v>1248</v>
      </c>
      <c r="AO374" s="84" t="s">
        <v>1465</v>
      </c>
      <c r="AP374" s="84" t="b">
        <v>0</v>
      </c>
      <c r="AQ374" s="92" t="s">
        <v>1248</v>
      </c>
      <c r="AR374" s="84" t="s">
        <v>187</v>
      </c>
      <c r="AS374" s="84">
        <v>0</v>
      </c>
      <c r="AT374" s="84">
        <v>0</v>
      </c>
      <c r="AU374" s="84"/>
      <c r="AV374" s="84"/>
      <c r="AW374" s="84"/>
      <c r="AX374" s="84"/>
      <c r="AY374" s="84"/>
      <c r="AZ374" s="84"/>
      <c r="BA374" s="84"/>
      <c r="BB374" s="84"/>
      <c r="BC374">
        <v>1</v>
      </c>
      <c r="BD374" s="83" t="str">
        <f>REPLACE(INDEX(GroupVertices[Group],MATCH(Edges[[#This Row],[Vertex 1]],GroupVertices[Vertex],0)),1,1,"")</f>
        <v>4</v>
      </c>
      <c r="BE374" s="83" t="str">
        <f>REPLACE(INDEX(GroupVertices[Group],MATCH(Edges[[#This Row],[Vertex 2]],GroupVertices[Vertex],0)),1,1,"")</f>
        <v>4</v>
      </c>
      <c r="BF374" s="49"/>
      <c r="BG374" s="50"/>
      <c r="BH374" s="49"/>
      <c r="BI374" s="50"/>
      <c r="BJ374" s="49"/>
      <c r="BK374" s="50"/>
      <c r="BL374" s="49"/>
      <c r="BM374" s="50"/>
      <c r="BN374" s="49"/>
    </row>
    <row r="375" spans="1:66" ht="15">
      <c r="A375" s="68" t="s">
        <v>383</v>
      </c>
      <c r="B375" s="68" t="s">
        <v>432</v>
      </c>
      <c r="C375" s="69" t="s">
        <v>5208</v>
      </c>
      <c r="D375" s="70">
        <v>1</v>
      </c>
      <c r="E375" s="71" t="s">
        <v>132</v>
      </c>
      <c r="F375" s="72">
        <v>32</v>
      </c>
      <c r="G375" s="69" t="s">
        <v>51</v>
      </c>
      <c r="H375" s="73"/>
      <c r="I375" s="74"/>
      <c r="J375" s="74"/>
      <c r="K375" s="35" t="s">
        <v>65</v>
      </c>
      <c r="L375" s="82">
        <v>375</v>
      </c>
      <c r="M375" s="82"/>
      <c r="N375" s="76"/>
      <c r="O375" s="84" t="s">
        <v>440</v>
      </c>
      <c r="P375" s="86">
        <v>44081.89548611111</v>
      </c>
      <c r="Q375" s="84" t="s">
        <v>448</v>
      </c>
      <c r="R375" s="87" t="str">
        <f>HYPERLINK("https://www.peoplematters.in/news/technology/job-searches-in-artificial-intelligence-rise-106-in-one-year-report-26898")</f>
        <v>https://www.peoplematters.in/news/technology/job-searches-in-artificial-intelligence-rise-106-in-one-year-report-26898</v>
      </c>
      <c r="S375" s="84" t="s">
        <v>532</v>
      </c>
      <c r="T375" s="84" t="s">
        <v>568</v>
      </c>
      <c r="U375" s="87" t="str">
        <f>HYPERLINK("https://pbs.twimg.com/media/EhVAOmdWoAAOQiY.jpg")</f>
        <v>https://pbs.twimg.com/media/EhVAOmdWoAAOQiY.jpg</v>
      </c>
      <c r="V375" s="87" t="str">
        <f>HYPERLINK("https://pbs.twimg.com/media/EhVAOmdWoAAOQiY.jpg")</f>
        <v>https://pbs.twimg.com/media/EhVAOmdWoAAOQiY.jpg</v>
      </c>
      <c r="W375" s="86">
        <v>44081.89548611111</v>
      </c>
      <c r="X375" s="90">
        <v>44081</v>
      </c>
      <c r="Y375" s="92" t="s">
        <v>850</v>
      </c>
      <c r="Z375" s="87" t="str">
        <f>HYPERLINK("https://twitter.com/kkruse/status/1303082993141952514")</f>
        <v>https://twitter.com/kkruse/status/1303082993141952514</v>
      </c>
      <c r="AA375" s="84"/>
      <c r="AB375" s="84"/>
      <c r="AC375" s="92" t="s">
        <v>1247</v>
      </c>
      <c r="AD375" s="84"/>
      <c r="AE375" s="84" t="b">
        <v>0</v>
      </c>
      <c r="AF375" s="84">
        <v>0</v>
      </c>
      <c r="AG375" s="92" t="s">
        <v>1453</v>
      </c>
      <c r="AH375" s="84" t="b">
        <v>0</v>
      </c>
      <c r="AI375" s="84" t="s">
        <v>1456</v>
      </c>
      <c r="AJ375" s="84"/>
      <c r="AK375" s="92" t="s">
        <v>1453</v>
      </c>
      <c r="AL375" s="84" t="b">
        <v>0</v>
      </c>
      <c r="AM375" s="84">
        <v>25</v>
      </c>
      <c r="AN375" s="92" t="s">
        <v>1248</v>
      </c>
      <c r="AO375" s="84" t="s">
        <v>1465</v>
      </c>
      <c r="AP375" s="84" t="b">
        <v>0</v>
      </c>
      <c r="AQ375" s="92" t="s">
        <v>1248</v>
      </c>
      <c r="AR375" s="84" t="s">
        <v>187</v>
      </c>
      <c r="AS375" s="84">
        <v>0</v>
      </c>
      <c r="AT375" s="84">
        <v>0</v>
      </c>
      <c r="AU375" s="84"/>
      <c r="AV375" s="84"/>
      <c r="AW375" s="84"/>
      <c r="AX375" s="84"/>
      <c r="AY375" s="84"/>
      <c r="AZ375" s="84"/>
      <c r="BA375" s="84"/>
      <c r="BB375" s="84"/>
      <c r="BC375">
        <v>1</v>
      </c>
      <c r="BD375" s="83" t="str">
        <f>REPLACE(INDEX(GroupVertices[Group],MATCH(Edges[[#This Row],[Vertex 1]],GroupVertices[Vertex],0)),1,1,"")</f>
        <v>4</v>
      </c>
      <c r="BE375" s="83" t="str">
        <f>REPLACE(INDEX(GroupVertices[Group],MATCH(Edges[[#This Row],[Vertex 2]],GroupVertices[Vertex],0)),1,1,"")</f>
        <v>4</v>
      </c>
      <c r="BF375" s="49"/>
      <c r="BG375" s="50"/>
      <c r="BH375" s="49"/>
      <c r="BI375" s="50"/>
      <c r="BJ375" s="49"/>
      <c r="BK375" s="50"/>
      <c r="BL375" s="49"/>
      <c r="BM375" s="50"/>
      <c r="BN375" s="49"/>
    </row>
    <row r="376" spans="1:66" ht="15">
      <c r="A376" s="68" t="s">
        <v>383</v>
      </c>
      <c r="B376" s="68" t="s">
        <v>384</v>
      </c>
      <c r="C376" s="69" t="s">
        <v>5208</v>
      </c>
      <c r="D376" s="70">
        <v>1</v>
      </c>
      <c r="E376" s="71" t="s">
        <v>132</v>
      </c>
      <c r="F376" s="72">
        <v>32</v>
      </c>
      <c r="G376" s="69" t="s">
        <v>51</v>
      </c>
      <c r="H376" s="73"/>
      <c r="I376" s="74"/>
      <c r="J376" s="74"/>
      <c r="K376" s="35" t="s">
        <v>66</v>
      </c>
      <c r="L376" s="82">
        <v>376</v>
      </c>
      <c r="M376" s="82"/>
      <c r="N376" s="76"/>
      <c r="O376" s="84" t="s">
        <v>439</v>
      </c>
      <c r="P376" s="86">
        <v>44081.89548611111</v>
      </c>
      <c r="Q376" s="84" t="s">
        <v>448</v>
      </c>
      <c r="R376" s="87" t="str">
        <f>HYPERLINK("https://www.peoplematters.in/news/technology/job-searches-in-artificial-intelligence-rise-106-in-one-year-report-26898")</f>
        <v>https://www.peoplematters.in/news/technology/job-searches-in-artificial-intelligence-rise-106-in-one-year-report-26898</v>
      </c>
      <c r="S376" s="84" t="s">
        <v>532</v>
      </c>
      <c r="T376" s="84" t="s">
        <v>568</v>
      </c>
      <c r="U376" s="87" t="str">
        <f>HYPERLINK("https://pbs.twimg.com/media/EhVAOmdWoAAOQiY.jpg")</f>
        <v>https://pbs.twimg.com/media/EhVAOmdWoAAOQiY.jpg</v>
      </c>
      <c r="V376" s="87" t="str">
        <f>HYPERLINK("https://pbs.twimg.com/media/EhVAOmdWoAAOQiY.jpg")</f>
        <v>https://pbs.twimg.com/media/EhVAOmdWoAAOQiY.jpg</v>
      </c>
      <c r="W376" s="86">
        <v>44081.89548611111</v>
      </c>
      <c r="X376" s="90">
        <v>44081</v>
      </c>
      <c r="Y376" s="92" t="s">
        <v>850</v>
      </c>
      <c r="Z376" s="87" t="str">
        <f>HYPERLINK("https://twitter.com/kkruse/status/1303082993141952514")</f>
        <v>https://twitter.com/kkruse/status/1303082993141952514</v>
      </c>
      <c r="AA376" s="84"/>
      <c r="AB376" s="84"/>
      <c r="AC376" s="92" t="s">
        <v>1247</v>
      </c>
      <c r="AD376" s="84"/>
      <c r="AE376" s="84" t="b">
        <v>0</v>
      </c>
      <c r="AF376" s="84">
        <v>0</v>
      </c>
      <c r="AG376" s="92" t="s">
        <v>1453</v>
      </c>
      <c r="AH376" s="84" t="b">
        <v>0</v>
      </c>
      <c r="AI376" s="84" t="s">
        <v>1456</v>
      </c>
      <c r="AJ376" s="84"/>
      <c r="AK376" s="92" t="s">
        <v>1453</v>
      </c>
      <c r="AL376" s="84" t="b">
        <v>0</v>
      </c>
      <c r="AM376" s="84">
        <v>25</v>
      </c>
      <c r="AN376" s="92" t="s">
        <v>1248</v>
      </c>
      <c r="AO376" s="84" t="s">
        <v>1465</v>
      </c>
      <c r="AP376" s="84" t="b">
        <v>0</v>
      </c>
      <c r="AQ376" s="92" t="s">
        <v>1248</v>
      </c>
      <c r="AR376" s="84" t="s">
        <v>187</v>
      </c>
      <c r="AS376" s="84">
        <v>0</v>
      </c>
      <c r="AT376" s="84">
        <v>0</v>
      </c>
      <c r="AU376" s="84"/>
      <c r="AV376" s="84"/>
      <c r="AW376" s="84"/>
      <c r="AX376" s="84"/>
      <c r="AY376" s="84"/>
      <c r="AZ376" s="84"/>
      <c r="BA376" s="84"/>
      <c r="BB376" s="84"/>
      <c r="BC376">
        <v>1</v>
      </c>
      <c r="BD376" s="83" t="str">
        <f>REPLACE(INDEX(GroupVertices[Group],MATCH(Edges[[#This Row],[Vertex 1]],GroupVertices[Vertex],0)),1,1,"")</f>
        <v>4</v>
      </c>
      <c r="BE376" s="83" t="str">
        <f>REPLACE(INDEX(GroupVertices[Group],MATCH(Edges[[#This Row],[Vertex 2]],GroupVertices[Vertex],0)),1,1,"")</f>
        <v>4</v>
      </c>
      <c r="BF376" s="49">
        <v>0</v>
      </c>
      <c r="BG376" s="50">
        <v>0</v>
      </c>
      <c r="BH376" s="49">
        <v>0</v>
      </c>
      <c r="BI376" s="50">
        <v>0</v>
      </c>
      <c r="BJ376" s="49">
        <v>0</v>
      </c>
      <c r="BK376" s="50">
        <v>0</v>
      </c>
      <c r="BL376" s="49">
        <v>28</v>
      </c>
      <c r="BM376" s="50">
        <v>100</v>
      </c>
      <c r="BN376" s="49">
        <v>28</v>
      </c>
    </row>
    <row r="377" spans="1:66" ht="15">
      <c r="A377" s="68" t="s">
        <v>384</v>
      </c>
      <c r="B377" s="68" t="s">
        <v>383</v>
      </c>
      <c r="C377" s="69" t="s">
        <v>5208</v>
      </c>
      <c r="D377" s="70">
        <v>1</v>
      </c>
      <c r="E377" s="71" t="s">
        <v>132</v>
      </c>
      <c r="F377" s="72">
        <v>32</v>
      </c>
      <c r="G377" s="69" t="s">
        <v>51</v>
      </c>
      <c r="H377" s="73"/>
      <c r="I377" s="74"/>
      <c r="J377" s="74"/>
      <c r="K377" s="35" t="s">
        <v>66</v>
      </c>
      <c r="L377" s="82">
        <v>377</v>
      </c>
      <c r="M377" s="82"/>
      <c r="N377" s="76"/>
      <c r="O377" s="84" t="s">
        <v>441</v>
      </c>
      <c r="P377" s="86">
        <v>44081.71693287037</v>
      </c>
      <c r="Q377" s="84" t="s">
        <v>448</v>
      </c>
      <c r="R377" s="87" t="str">
        <f>HYPERLINK("https://www.peoplematters.in/news/technology/job-searches-in-artificial-intelligence-rise-106-in-one-year-report-26898")</f>
        <v>https://www.peoplematters.in/news/technology/job-searches-in-artificial-intelligence-rise-106-in-one-year-report-26898</v>
      </c>
      <c r="S377" s="84" t="s">
        <v>532</v>
      </c>
      <c r="T377" s="84" t="s">
        <v>619</v>
      </c>
      <c r="U377" s="87" t="str">
        <f>HYPERLINK("https://pbs.twimg.com/media/EhVAOmdWoAAOQiY.jpg")</f>
        <v>https://pbs.twimg.com/media/EhVAOmdWoAAOQiY.jpg</v>
      </c>
      <c r="V377" s="87" t="str">
        <f>HYPERLINK("https://pbs.twimg.com/media/EhVAOmdWoAAOQiY.jpg")</f>
        <v>https://pbs.twimg.com/media/EhVAOmdWoAAOQiY.jpg</v>
      </c>
      <c r="W377" s="86">
        <v>44081.71693287037</v>
      </c>
      <c r="X377" s="90">
        <v>44081</v>
      </c>
      <c r="Y377" s="92" t="s">
        <v>851</v>
      </c>
      <c r="Z377" s="87" t="str">
        <f>HYPERLINK("https://twitter.com/fabriziobustama/status/1303018290026106884")</f>
        <v>https://twitter.com/fabriziobustama/status/1303018290026106884</v>
      </c>
      <c r="AA377" s="84"/>
      <c r="AB377" s="84"/>
      <c r="AC377" s="92" t="s">
        <v>1248</v>
      </c>
      <c r="AD377" s="84"/>
      <c r="AE377" s="84" t="b">
        <v>0</v>
      </c>
      <c r="AF377" s="84">
        <v>22</v>
      </c>
      <c r="AG377" s="92" t="s">
        <v>1453</v>
      </c>
      <c r="AH377" s="84" t="b">
        <v>0</v>
      </c>
      <c r="AI377" s="84" t="s">
        <v>1456</v>
      </c>
      <c r="AJ377" s="84"/>
      <c r="AK377" s="92" t="s">
        <v>1453</v>
      </c>
      <c r="AL377" s="84" t="b">
        <v>0</v>
      </c>
      <c r="AM377" s="84">
        <v>25</v>
      </c>
      <c r="AN377" s="92" t="s">
        <v>1453</v>
      </c>
      <c r="AO377" s="84" t="s">
        <v>1464</v>
      </c>
      <c r="AP377" s="84" t="b">
        <v>0</v>
      </c>
      <c r="AQ377" s="92" t="s">
        <v>1248</v>
      </c>
      <c r="AR377" s="84" t="s">
        <v>187</v>
      </c>
      <c r="AS377" s="84">
        <v>0</v>
      </c>
      <c r="AT377" s="84">
        <v>0</v>
      </c>
      <c r="AU377" s="84"/>
      <c r="AV377" s="84"/>
      <c r="AW377" s="84"/>
      <c r="AX377" s="84"/>
      <c r="AY377" s="84"/>
      <c r="AZ377" s="84"/>
      <c r="BA377" s="84"/>
      <c r="BB377" s="84"/>
      <c r="BC377">
        <v>1</v>
      </c>
      <c r="BD377" s="83" t="str">
        <f>REPLACE(INDEX(GroupVertices[Group],MATCH(Edges[[#This Row],[Vertex 1]],GroupVertices[Vertex],0)),1,1,"")</f>
        <v>4</v>
      </c>
      <c r="BE377" s="83" t="str">
        <f>REPLACE(INDEX(GroupVertices[Group],MATCH(Edges[[#This Row],[Vertex 2]],GroupVertices[Vertex],0)),1,1,"")</f>
        <v>4</v>
      </c>
      <c r="BF377" s="49"/>
      <c r="BG377" s="50"/>
      <c r="BH377" s="49"/>
      <c r="BI377" s="50"/>
      <c r="BJ377" s="49"/>
      <c r="BK377" s="50"/>
      <c r="BL377" s="49"/>
      <c r="BM377" s="50"/>
      <c r="BN377" s="49"/>
    </row>
    <row r="378" spans="1:66" ht="15">
      <c r="A378" s="68" t="s">
        <v>384</v>
      </c>
      <c r="B378" s="68" t="s">
        <v>383</v>
      </c>
      <c r="C378" s="69" t="s">
        <v>5208</v>
      </c>
      <c r="D378" s="70">
        <v>1</v>
      </c>
      <c r="E378" s="71" t="s">
        <v>132</v>
      </c>
      <c r="F378" s="72">
        <v>32</v>
      </c>
      <c r="G378" s="69" t="s">
        <v>51</v>
      </c>
      <c r="H378" s="73"/>
      <c r="I378" s="74"/>
      <c r="J378" s="74"/>
      <c r="K378" s="35" t="s">
        <v>66</v>
      </c>
      <c r="L378" s="82">
        <v>378</v>
      </c>
      <c r="M378" s="82"/>
      <c r="N378" s="76"/>
      <c r="O378" s="84" t="s">
        <v>440</v>
      </c>
      <c r="P378" s="86">
        <v>44082.14244212963</v>
      </c>
      <c r="Q378" s="84" t="s">
        <v>448</v>
      </c>
      <c r="R378" s="87" t="str">
        <f>HYPERLINK("https://www.peoplematters.in/news/technology/job-searches-in-artificial-intelligence-rise-106-in-one-year-report-26898")</f>
        <v>https://www.peoplematters.in/news/technology/job-searches-in-artificial-intelligence-rise-106-in-one-year-report-26898</v>
      </c>
      <c r="S378" s="84" t="s">
        <v>532</v>
      </c>
      <c r="T378" s="84" t="s">
        <v>568</v>
      </c>
      <c r="U378" s="87" t="str">
        <f>HYPERLINK("https://pbs.twimg.com/media/EhVAOmdWoAAOQiY.jpg")</f>
        <v>https://pbs.twimg.com/media/EhVAOmdWoAAOQiY.jpg</v>
      </c>
      <c r="V378" s="87" t="str">
        <f>HYPERLINK("https://pbs.twimg.com/media/EhVAOmdWoAAOQiY.jpg")</f>
        <v>https://pbs.twimg.com/media/EhVAOmdWoAAOQiY.jpg</v>
      </c>
      <c r="W378" s="86">
        <v>44082.14244212963</v>
      </c>
      <c r="X378" s="90">
        <v>44082</v>
      </c>
      <c r="Y378" s="92" t="s">
        <v>852</v>
      </c>
      <c r="Z378" s="87" t="str">
        <f>HYPERLINK("https://twitter.com/fabriziobustama/status/1303172486956290054")</f>
        <v>https://twitter.com/fabriziobustama/status/1303172486956290054</v>
      </c>
      <c r="AA378" s="84"/>
      <c r="AB378" s="84"/>
      <c r="AC378" s="92" t="s">
        <v>1249</v>
      </c>
      <c r="AD378" s="84"/>
      <c r="AE378" s="84" t="b">
        <v>0</v>
      </c>
      <c r="AF378" s="84">
        <v>0</v>
      </c>
      <c r="AG378" s="92" t="s">
        <v>1453</v>
      </c>
      <c r="AH378" s="84" t="b">
        <v>0</v>
      </c>
      <c r="AI378" s="84" t="s">
        <v>1456</v>
      </c>
      <c r="AJ378" s="84"/>
      <c r="AK378" s="92" t="s">
        <v>1453</v>
      </c>
      <c r="AL378" s="84" t="b">
        <v>0</v>
      </c>
      <c r="AM378" s="84">
        <v>25</v>
      </c>
      <c r="AN378" s="92" t="s">
        <v>1248</v>
      </c>
      <c r="AO378" s="84" t="s">
        <v>1464</v>
      </c>
      <c r="AP378" s="84" t="b">
        <v>0</v>
      </c>
      <c r="AQ378" s="92" t="s">
        <v>1248</v>
      </c>
      <c r="AR378" s="84" t="s">
        <v>187</v>
      </c>
      <c r="AS378" s="84">
        <v>0</v>
      </c>
      <c r="AT378" s="84">
        <v>0</v>
      </c>
      <c r="AU378" s="84"/>
      <c r="AV378" s="84"/>
      <c r="AW378" s="84"/>
      <c r="AX378" s="84"/>
      <c r="AY378" s="84"/>
      <c r="AZ378" s="84"/>
      <c r="BA378" s="84"/>
      <c r="BB378" s="84"/>
      <c r="BC378">
        <v>1</v>
      </c>
      <c r="BD378" s="83" t="str">
        <f>REPLACE(INDEX(GroupVertices[Group],MATCH(Edges[[#This Row],[Vertex 1]],GroupVertices[Vertex],0)),1,1,"")</f>
        <v>4</v>
      </c>
      <c r="BE378" s="83" t="str">
        <f>REPLACE(INDEX(GroupVertices[Group],MATCH(Edges[[#This Row],[Vertex 2]],GroupVertices[Vertex],0)),1,1,"")</f>
        <v>4</v>
      </c>
      <c r="BF378" s="49"/>
      <c r="BG378" s="50"/>
      <c r="BH378" s="49"/>
      <c r="BI378" s="50"/>
      <c r="BJ378" s="49"/>
      <c r="BK378" s="50"/>
      <c r="BL378" s="49"/>
      <c r="BM378" s="50"/>
      <c r="BN378" s="49"/>
    </row>
    <row r="379" spans="1:66" ht="15">
      <c r="A379" s="68" t="s">
        <v>386</v>
      </c>
      <c r="B379" s="68" t="s">
        <v>383</v>
      </c>
      <c r="C379" s="69" t="s">
        <v>5209</v>
      </c>
      <c r="D379" s="70">
        <v>6.678367782143116</v>
      </c>
      <c r="E379" s="71" t="s">
        <v>132</v>
      </c>
      <c r="F379" s="72">
        <v>21</v>
      </c>
      <c r="G379" s="69" t="s">
        <v>51</v>
      </c>
      <c r="H379" s="73"/>
      <c r="I379" s="74"/>
      <c r="J379" s="74"/>
      <c r="K379" s="35" t="s">
        <v>65</v>
      </c>
      <c r="L379" s="82">
        <v>379</v>
      </c>
      <c r="M379" s="82"/>
      <c r="N379" s="76"/>
      <c r="O379" s="84" t="s">
        <v>440</v>
      </c>
      <c r="P379" s="86">
        <v>44081.72045138889</v>
      </c>
      <c r="Q379" s="84" t="s">
        <v>448</v>
      </c>
      <c r="R379" s="87" t="str">
        <f>HYPERLINK("https://www.peoplematters.in/news/technology/job-searches-in-artificial-intelligence-rise-106-in-one-year-report-26898")</f>
        <v>https://www.peoplematters.in/news/technology/job-searches-in-artificial-intelligence-rise-106-in-one-year-report-26898</v>
      </c>
      <c r="S379" s="84" t="s">
        <v>532</v>
      </c>
      <c r="T379" s="84" t="s">
        <v>568</v>
      </c>
      <c r="U379" s="87" t="str">
        <f>HYPERLINK("https://pbs.twimg.com/media/EhVAOmdWoAAOQiY.jpg")</f>
        <v>https://pbs.twimg.com/media/EhVAOmdWoAAOQiY.jpg</v>
      </c>
      <c r="V379" s="87" t="str">
        <f>HYPERLINK("https://pbs.twimg.com/media/EhVAOmdWoAAOQiY.jpg")</f>
        <v>https://pbs.twimg.com/media/EhVAOmdWoAAOQiY.jpg</v>
      </c>
      <c r="W379" s="86">
        <v>44081.72045138889</v>
      </c>
      <c r="X379" s="90">
        <v>44081</v>
      </c>
      <c r="Y379" s="92" t="s">
        <v>854</v>
      </c>
      <c r="Z379" s="87" t="str">
        <f>HYPERLINK("https://twitter.com/hubofml/status/1303019562942763008")</f>
        <v>https://twitter.com/hubofml/status/1303019562942763008</v>
      </c>
      <c r="AA379" s="84"/>
      <c r="AB379" s="84"/>
      <c r="AC379" s="92" t="s">
        <v>1251</v>
      </c>
      <c r="AD379" s="84"/>
      <c r="AE379" s="84" t="b">
        <v>0</v>
      </c>
      <c r="AF379" s="84">
        <v>0</v>
      </c>
      <c r="AG379" s="92" t="s">
        <v>1453</v>
      </c>
      <c r="AH379" s="84" t="b">
        <v>0</v>
      </c>
      <c r="AI379" s="84" t="s">
        <v>1456</v>
      </c>
      <c r="AJ379" s="84"/>
      <c r="AK379" s="92" t="s">
        <v>1453</v>
      </c>
      <c r="AL379" s="84" t="b">
        <v>0</v>
      </c>
      <c r="AM379" s="84">
        <v>25</v>
      </c>
      <c r="AN379" s="92" t="s">
        <v>1248</v>
      </c>
      <c r="AO379" s="84" t="s">
        <v>386</v>
      </c>
      <c r="AP379" s="84" t="b">
        <v>0</v>
      </c>
      <c r="AQ379" s="92" t="s">
        <v>1248</v>
      </c>
      <c r="AR379" s="84" t="s">
        <v>187</v>
      </c>
      <c r="AS379" s="84">
        <v>0</v>
      </c>
      <c r="AT379" s="84">
        <v>0</v>
      </c>
      <c r="AU379" s="84"/>
      <c r="AV379" s="84"/>
      <c r="AW379" s="84"/>
      <c r="AX379" s="84"/>
      <c r="AY379" s="84"/>
      <c r="AZ379" s="84"/>
      <c r="BA379" s="84"/>
      <c r="BB379" s="84"/>
      <c r="BC379">
        <v>2</v>
      </c>
      <c r="BD379" s="83" t="str">
        <f>REPLACE(INDEX(GroupVertices[Group],MATCH(Edges[[#This Row],[Vertex 1]],GroupVertices[Vertex],0)),1,1,"")</f>
        <v>5</v>
      </c>
      <c r="BE379" s="83" t="str">
        <f>REPLACE(INDEX(GroupVertices[Group],MATCH(Edges[[#This Row],[Vertex 2]],GroupVertices[Vertex],0)),1,1,"")</f>
        <v>4</v>
      </c>
      <c r="BF379" s="49"/>
      <c r="BG379" s="50"/>
      <c r="BH379" s="49"/>
      <c r="BI379" s="50"/>
      <c r="BJ379" s="49"/>
      <c r="BK379" s="50"/>
      <c r="BL379" s="49"/>
      <c r="BM379" s="50"/>
      <c r="BN379" s="49"/>
    </row>
    <row r="380" spans="1:66" ht="15">
      <c r="A380" s="68" t="s">
        <v>386</v>
      </c>
      <c r="B380" s="68" t="s">
        <v>383</v>
      </c>
      <c r="C380" s="69" t="s">
        <v>5209</v>
      </c>
      <c r="D380" s="70">
        <v>6.678367782143116</v>
      </c>
      <c r="E380" s="71" t="s">
        <v>132</v>
      </c>
      <c r="F380" s="72">
        <v>21</v>
      </c>
      <c r="G380" s="69" t="s">
        <v>51</v>
      </c>
      <c r="H380" s="73"/>
      <c r="I380" s="74"/>
      <c r="J380" s="74"/>
      <c r="K380" s="35" t="s">
        <v>65</v>
      </c>
      <c r="L380" s="82">
        <v>380</v>
      </c>
      <c r="M380" s="82"/>
      <c r="N380" s="76"/>
      <c r="O380" s="84" t="s">
        <v>440</v>
      </c>
      <c r="P380" s="86">
        <v>44082.62331018518</v>
      </c>
      <c r="Q380" s="84" t="s">
        <v>448</v>
      </c>
      <c r="R380" s="87" t="str">
        <f>HYPERLINK("https://www.peoplematters.in/news/technology/job-searches-in-artificial-intelligence-rise-106-in-one-year-report-26898")</f>
        <v>https://www.peoplematters.in/news/technology/job-searches-in-artificial-intelligence-rise-106-in-one-year-report-26898</v>
      </c>
      <c r="S380" s="84" t="s">
        <v>532</v>
      </c>
      <c r="T380" s="84" t="s">
        <v>568</v>
      </c>
      <c r="U380" s="87" t="str">
        <f>HYPERLINK("https://pbs.twimg.com/media/EhVAOmdWoAAOQiY.jpg")</f>
        <v>https://pbs.twimg.com/media/EhVAOmdWoAAOQiY.jpg</v>
      </c>
      <c r="V380" s="87" t="str">
        <f>HYPERLINK("https://pbs.twimg.com/media/EhVAOmdWoAAOQiY.jpg")</f>
        <v>https://pbs.twimg.com/media/EhVAOmdWoAAOQiY.jpg</v>
      </c>
      <c r="W380" s="86">
        <v>44082.62331018518</v>
      </c>
      <c r="X380" s="90">
        <v>44082</v>
      </c>
      <c r="Y380" s="92" t="s">
        <v>855</v>
      </c>
      <c r="Z380" s="87" t="str">
        <f>HYPERLINK("https://twitter.com/hubofml/status/1303346747805138946")</f>
        <v>https://twitter.com/hubofml/status/1303346747805138946</v>
      </c>
      <c r="AA380" s="84"/>
      <c r="AB380" s="84"/>
      <c r="AC380" s="92" t="s">
        <v>1252</v>
      </c>
      <c r="AD380" s="84"/>
      <c r="AE380" s="84" t="b">
        <v>0</v>
      </c>
      <c r="AF380" s="84">
        <v>0</v>
      </c>
      <c r="AG380" s="92" t="s">
        <v>1453</v>
      </c>
      <c r="AH380" s="84" t="b">
        <v>0</v>
      </c>
      <c r="AI380" s="84" t="s">
        <v>1456</v>
      </c>
      <c r="AJ380" s="84"/>
      <c r="AK380" s="92" t="s">
        <v>1453</v>
      </c>
      <c r="AL380" s="84" t="b">
        <v>0</v>
      </c>
      <c r="AM380" s="84">
        <v>25</v>
      </c>
      <c r="AN380" s="92" t="s">
        <v>1248</v>
      </c>
      <c r="AO380" s="84" t="s">
        <v>386</v>
      </c>
      <c r="AP380" s="84" t="b">
        <v>0</v>
      </c>
      <c r="AQ380" s="92" t="s">
        <v>1248</v>
      </c>
      <c r="AR380" s="84" t="s">
        <v>187</v>
      </c>
      <c r="AS380" s="84">
        <v>0</v>
      </c>
      <c r="AT380" s="84">
        <v>0</v>
      </c>
      <c r="AU380" s="84"/>
      <c r="AV380" s="84"/>
      <c r="AW380" s="84"/>
      <c r="AX380" s="84"/>
      <c r="AY380" s="84"/>
      <c r="AZ380" s="84"/>
      <c r="BA380" s="84"/>
      <c r="BB380" s="84"/>
      <c r="BC380">
        <v>2</v>
      </c>
      <c r="BD380" s="83" t="str">
        <f>REPLACE(INDEX(GroupVertices[Group],MATCH(Edges[[#This Row],[Vertex 1]],GroupVertices[Vertex],0)),1,1,"")</f>
        <v>5</v>
      </c>
      <c r="BE380" s="83" t="str">
        <f>REPLACE(INDEX(GroupVertices[Group],MATCH(Edges[[#This Row],[Vertex 2]],GroupVertices[Vertex],0)),1,1,"")</f>
        <v>4</v>
      </c>
      <c r="BF380" s="49"/>
      <c r="BG380" s="50"/>
      <c r="BH380" s="49"/>
      <c r="BI380" s="50"/>
      <c r="BJ380" s="49"/>
      <c r="BK380" s="50"/>
      <c r="BL380" s="49"/>
      <c r="BM380" s="50"/>
      <c r="BN380" s="49"/>
    </row>
    <row r="381" spans="1:66" ht="15">
      <c r="A381" s="68" t="s">
        <v>380</v>
      </c>
      <c r="B381" s="68" t="s">
        <v>381</v>
      </c>
      <c r="C381" s="69" t="s">
        <v>5208</v>
      </c>
      <c r="D381" s="70">
        <v>1</v>
      </c>
      <c r="E381" s="71" t="s">
        <v>132</v>
      </c>
      <c r="F381" s="72">
        <v>32</v>
      </c>
      <c r="G381" s="69" t="s">
        <v>51</v>
      </c>
      <c r="H381" s="73"/>
      <c r="I381" s="74"/>
      <c r="J381" s="74"/>
      <c r="K381" s="35" t="s">
        <v>66</v>
      </c>
      <c r="L381" s="82">
        <v>381</v>
      </c>
      <c r="M381" s="82"/>
      <c r="N381" s="76"/>
      <c r="O381" s="84" t="s">
        <v>440</v>
      </c>
      <c r="P381" s="86">
        <v>44081.71776620371</v>
      </c>
      <c r="Q381" s="84" t="s">
        <v>448</v>
      </c>
      <c r="R381" s="87" t="str">
        <f>HYPERLINK("https://www.peoplematters.in/news/technology/job-searches-in-artificial-intelligence-rise-106-in-one-year-report-26898")</f>
        <v>https://www.peoplematters.in/news/technology/job-searches-in-artificial-intelligence-rise-106-in-one-year-report-26898</v>
      </c>
      <c r="S381" s="84" t="s">
        <v>532</v>
      </c>
      <c r="T381" s="84" t="s">
        <v>568</v>
      </c>
      <c r="U381" s="87" t="str">
        <f>HYPERLINK("https://pbs.twimg.com/media/EhVAOmdWoAAOQiY.jpg")</f>
        <v>https://pbs.twimg.com/media/EhVAOmdWoAAOQiY.jpg</v>
      </c>
      <c r="V381" s="87" t="str">
        <f>HYPERLINK("https://pbs.twimg.com/media/EhVAOmdWoAAOQiY.jpg")</f>
        <v>https://pbs.twimg.com/media/EhVAOmdWoAAOQiY.jpg</v>
      </c>
      <c r="W381" s="86">
        <v>44081.71776620371</v>
      </c>
      <c r="X381" s="90">
        <v>44081</v>
      </c>
      <c r="Y381" s="92" t="s">
        <v>847</v>
      </c>
      <c r="Z381" s="87" t="str">
        <f>HYPERLINK("https://twitter.com/jolaburnett/status/1303018588907991043")</f>
        <v>https://twitter.com/jolaburnett/status/1303018588907991043</v>
      </c>
      <c r="AA381" s="84"/>
      <c r="AB381" s="84"/>
      <c r="AC381" s="92" t="s">
        <v>1244</v>
      </c>
      <c r="AD381" s="84"/>
      <c r="AE381" s="84" t="b">
        <v>0</v>
      </c>
      <c r="AF381" s="84">
        <v>0</v>
      </c>
      <c r="AG381" s="92" t="s">
        <v>1453</v>
      </c>
      <c r="AH381" s="84" t="b">
        <v>0</v>
      </c>
      <c r="AI381" s="84" t="s">
        <v>1456</v>
      </c>
      <c r="AJ381" s="84"/>
      <c r="AK381" s="92" t="s">
        <v>1453</v>
      </c>
      <c r="AL381" s="84" t="b">
        <v>0</v>
      </c>
      <c r="AM381" s="84">
        <v>25</v>
      </c>
      <c r="AN381" s="92" t="s">
        <v>1248</v>
      </c>
      <c r="AO381" s="84" t="s">
        <v>1467</v>
      </c>
      <c r="AP381" s="84" t="b">
        <v>0</v>
      </c>
      <c r="AQ381" s="92" t="s">
        <v>1248</v>
      </c>
      <c r="AR381" s="84" t="s">
        <v>187</v>
      </c>
      <c r="AS381" s="84">
        <v>0</v>
      </c>
      <c r="AT381" s="84">
        <v>0</v>
      </c>
      <c r="AU381" s="84"/>
      <c r="AV381" s="84"/>
      <c r="AW381" s="84"/>
      <c r="AX381" s="84"/>
      <c r="AY381" s="84"/>
      <c r="AZ381" s="84"/>
      <c r="BA381" s="84"/>
      <c r="BB381" s="84"/>
      <c r="BC381">
        <v>1</v>
      </c>
      <c r="BD381" s="83" t="str">
        <f>REPLACE(INDEX(GroupVertices[Group],MATCH(Edges[[#This Row],[Vertex 1]],GroupVertices[Vertex],0)),1,1,"")</f>
        <v>4</v>
      </c>
      <c r="BE381" s="83" t="str">
        <f>REPLACE(INDEX(GroupVertices[Group],MATCH(Edges[[#This Row],[Vertex 2]],GroupVertices[Vertex],0)),1,1,"")</f>
        <v>4</v>
      </c>
      <c r="BF381" s="49"/>
      <c r="BG381" s="50"/>
      <c r="BH381" s="49"/>
      <c r="BI381" s="50"/>
      <c r="BJ381" s="49"/>
      <c r="BK381" s="50"/>
      <c r="BL381" s="49"/>
      <c r="BM381" s="50"/>
      <c r="BN381" s="49"/>
    </row>
    <row r="382" spans="1:66" ht="15">
      <c r="A382" s="68" t="s">
        <v>380</v>
      </c>
      <c r="B382" s="68" t="s">
        <v>431</v>
      </c>
      <c r="C382" s="69" t="s">
        <v>5208</v>
      </c>
      <c r="D382" s="70">
        <v>1</v>
      </c>
      <c r="E382" s="71" t="s">
        <v>132</v>
      </c>
      <c r="F382" s="72">
        <v>32</v>
      </c>
      <c r="G382" s="69" t="s">
        <v>51</v>
      </c>
      <c r="H382" s="73"/>
      <c r="I382" s="74"/>
      <c r="J382" s="74"/>
      <c r="K382" s="35" t="s">
        <v>65</v>
      </c>
      <c r="L382" s="82">
        <v>382</v>
      </c>
      <c r="M382" s="82"/>
      <c r="N382" s="76"/>
      <c r="O382" s="84" t="s">
        <v>440</v>
      </c>
      <c r="P382" s="86">
        <v>44081.71776620371</v>
      </c>
      <c r="Q382" s="84" t="s">
        <v>448</v>
      </c>
      <c r="R382" s="87" t="str">
        <f>HYPERLINK("https://www.peoplematters.in/news/technology/job-searches-in-artificial-intelligence-rise-106-in-one-year-report-26898")</f>
        <v>https://www.peoplematters.in/news/technology/job-searches-in-artificial-intelligence-rise-106-in-one-year-report-26898</v>
      </c>
      <c r="S382" s="84" t="s">
        <v>532</v>
      </c>
      <c r="T382" s="84" t="s">
        <v>568</v>
      </c>
      <c r="U382" s="87" t="str">
        <f>HYPERLINK("https://pbs.twimg.com/media/EhVAOmdWoAAOQiY.jpg")</f>
        <v>https://pbs.twimg.com/media/EhVAOmdWoAAOQiY.jpg</v>
      </c>
      <c r="V382" s="87" t="str">
        <f>HYPERLINK("https://pbs.twimg.com/media/EhVAOmdWoAAOQiY.jpg")</f>
        <v>https://pbs.twimg.com/media/EhVAOmdWoAAOQiY.jpg</v>
      </c>
      <c r="W382" s="86">
        <v>44081.71776620371</v>
      </c>
      <c r="X382" s="90">
        <v>44081</v>
      </c>
      <c r="Y382" s="92" t="s">
        <v>847</v>
      </c>
      <c r="Z382" s="87" t="str">
        <f>HYPERLINK("https://twitter.com/jolaburnett/status/1303018588907991043")</f>
        <v>https://twitter.com/jolaburnett/status/1303018588907991043</v>
      </c>
      <c r="AA382" s="84"/>
      <c r="AB382" s="84"/>
      <c r="AC382" s="92" t="s">
        <v>1244</v>
      </c>
      <c r="AD382" s="84"/>
      <c r="AE382" s="84" t="b">
        <v>0</v>
      </c>
      <c r="AF382" s="84">
        <v>0</v>
      </c>
      <c r="AG382" s="92" t="s">
        <v>1453</v>
      </c>
      <c r="AH382" s="84" t="b">
        <v>0</v>
      </c>
      <c r="AI382" s="84" t="s">
        <v>1456</v>
      </c>
      <c r="AJ382" s="84"/>
      <c r="AK382" s="92" t="s">
        <v>1453</v>
      </c>
      <c r="AL382" s="84" t="b">
        <v>0</v>
      </c>
      <c r="AM382" s="84">
        <v>25</v>
      </c>
      <c r="AN382" s="92" t="s">
        <v>1248</v>
      </c>
      <c r="AO382" s="84" t="s">
        <v>1467</v>
      </c>
      <c r="AP382" s="84" t="b">
        <v>0</v>
      </c>
      <c r="AQ382" s="92" t="s">
        <v>1248</v>
      </c>
      <c r="AR382" s="84" t="s">
        <v>187</v>
      </c>
      <c r="AS382" s="84">
        <v>0</v>
      </c>
      <c r="AT382" s="84">
        <v>0</v>
      </c>
      <c r="AU382" s="84"/>
      <c r="AV382" s="84"/>
      <c r="AW382" s="84"/>
      <c r="AX382" s="84"/>
      <c r="AY382" s="84"/>
      <c r="AZ382" s="84"/>
      <c r="BA382" s="84"/>
      <c r="BB382" s="84"/>
      <c r="BC382">
        <v>1</v>
      </c>
      <c r="BD382" s="83" t="str">
        <f>REPLACE(INDEX(GroupVertices[Group],MATCH(Edges[[#This Row],[Vertex 1]],GroupVertices[Vertex],0)),1,1,"")</f>
        <v>4</v>
      </c>
      <c r="BE382" s="83" t="str">
        <f>REPLACE(INDEX(GroupVertices[Group],MATCH(Edges[[#This Row],[Vertex 2]],GroupVertices[Vertex],0)),1,1,"")</f>
        <v>4</v>
      </c>
      <c r="BF382" s="49"/>
      <c r="BG382" s="50"/>
      <c r="BH382" s="49"/>
      <c r="BI382" s="50"/>
      <c r="BJ382" s="49"/>
      <c r="BK382" s="50"/>
      <c r="BL382" s="49"/>
      <c r="BM382" s="50"/>
      <c r="BN382" s="49"/>
    </row>
    <row r="383" spans="1:66" ht="15">
      <c r="A383" s="68" t="s">
        <v>380</v>
      </c>
      <c r="B383" s="68" t="s">
        <v>432</v>
      </c>
      <c r="C383" s="69" t="s">
        <v>5208</v>
      </c>
      <c r="D383" s="70">
        <v>1</v>
      </c>
      <c r="E383" s="71" t="s">
        <v>132</v>
      </c>
      <c r="F383" s="72">
        <v>32</v>
      </c>
      <c r="G383" s="69" t="s">
        <v>51</v>
      </c>
      <c r="H383" s="73"/>
      <c r="I383" s="74"/>
      <c r="J383" s="74"/>
      <c r="K383" s="35" t="s">
        <v>65</v>
      </c>
      <c r="L383" s="82">
        <v>383</v>
      </c>
      <c r="M383" s="82"/>
      <c r="N383" s="76"/>
      <c r="O383" s="84" t="s">
        <v>440</v>
      </c>
      <c r="P383" s="86">
        <v>44081.71776620371</v>
      </c>
      <c r="Q383" s="84" t="s">
        <v>448</v>
      </c>
      <c r="R383" s="87" t="str">
        <f>HYPERLINK("https://www.peoplematters.in/news/technology/job-searches-in-artificial-intelligence-rise-106-in-one-year-report-26898")</f>
        <v>https://www.peoplematters.in/news/technology/job-searches-in-artificial-intelligence-rise-106-in-one-year-report-26898</v>
      </c>
      <c r="S383" s="84" t="s">
        <v>532</v>
      </c>
      <c r="T383" s="84" t="s">
        <v>568</v>
      </c>
      <c r="U383" s="87" t="str">
        <f>HYPERLINK("https://pbs.twimg.com/media/EhVAOmdWoAAOQiY.jpg")</f>
        <v>https://pbs.twimg.com/media/EhVAOmdWoAAOQiY.jpg</v>
      </c>
      <c r="V383" s="87" t="str">
        <f>HYPERLINK("https://pbs.twimg.com/media/EhVAOmdWoAAOQiY.jpg")</f>
        <v>https://pbs.twimg.com/media/EhVAOmdWoAAOQiY.jpg</v>
      </c>
      <c r="W383" s="86">
        <v>44081.71776620371</v>
      </c>
      <c r="X383" s="90">
        <v>44081</v>
      </c>
      <c r="Y383" s="92" t="s">
        <v>847</v>
      </c>
      <c r="Z383" s="87" t="str">
        <f>HYPERLINK("https://twitter.com/jolaburnett/status/1303018588907991043")</f>
        <v>https://twitter.com/jolaburnett/status/1303018588907991043</v>
      </c>
      <c r="AA383" s="84"/>
      <c r="AB383" s="84"/>
      <c r="AC383" s="92" t="s">
        <v>1244</v>
      </c>
      <c r="AD383" s="84"/>
      <c r="AE383" s="84" t="b">
        <v>0</v>
      </c>
      <c r="AF383" s="84">
        <v>0</v>
      </c>
      <c r="AG383" s="92" t="s">
        <v>1453</v>
      </c>
      <c r="AH383" s="84" t="b">
        <v>0</v>
      </c>
      <c r="AI383" s="84" t="s">
        <v>1456</v>
      </c>
      <c r="AJ383" s="84"/>
      <c r="AK383" s="92" t="s">
        <v>1453</v>
      </c>
      <c r="AL383" s="84" t="b">
        <v>0</v>
      </c>
      <c r="AM383" s="84">
        <v>25</v>
      </c>
      <c r="AN383" s="92" t="s">
        <v>1248</v>
      </c>
      <c r="AO383" s="84" t="s">
        <v>1467</v>
      </c>
      <c r="AP383" s="84" t="b">
        <v>0</v>
      </c>
      <c r="AQ383" s="92" t="s">
        <v>1248</v>
      </c>
      <c r="AR383" s="84" t="s">
        <v>187</v>
      </c>
      <c r="AS383" s="84">
        <v>0</v>
      </c>
      <c r="AT383" s="84">
        <v>0</v>
      </c>
      <c r="AU383" s="84"/>
      <c r="AV383" s="84"/>
      <c r="AW383" s="84"/>
      <c r="AX383" s="84"/>
      <c r="AY383" s="84"/>
      <c r="AZ383" s="84"/>
      <c r="BA383" s="84"/>
      <c r="BB383" s="84"/>
      <c r="BC383">
        <v>1</v>
      </c>
      <c r="BD383" s="83" t="str">
        <f>REPLACE(INDEX(GroupVertices[Group],MATCH(Edges[[#This Row],[Vertex 1]],GroupVertices[Vertex],0)),1,1,"")</f>
        <v>4</v>
      </c>
      <c r="BE383" s="83" t="str">
        <f>REPLACE(INDEX(GroupVertices[Group],MATCH(Edges[[#This Row],[Vertex 2]],GroupVertices[Vertex],0)),1,1,"")</f>
        <v>4</v>
      </c>
      <c r="BF383" s="49"/>
      <c r="BG383" s="50"/>
      <c r="BH383" s="49"/>
      <c r="BI383" s="50"/>
      <c r="BJ383" s="49"/>
      <c r="BK383" s="50"/>
      <c r="BL383" s="49"/>
      <c r="BM383" s="50"/>
      <c r="BN383" s="49"/>
    </row>
    <row r="384" spans="1:66" ht="15">
      <c r="A384" s="68" t="s">
        <v>380</v>
      </c>
      <c r="B384" s="68" t="s">
        <v>384</v>
      </c>
      <c r="C384" s="69" t="s">
        <v>5208</v>
      </c>
      <c r="D384" s="70">
        <v>1</v>
      </c>
      <c r="E384" s="71" t="s">
        <v>132</v>
      </c>
      <c r="F384" s="72">
        <v>32</v>
      </c>
      <c r="G384" s="69" t="s">
        <v>51</v>
      </c>
      <c r="H384" s="73"/>
      <c r="I384" s="74"/>
      <c r="J384" s="74"/>
      <c r="K384" s="35" t="s">
        <v>66</v>
      </c>
      <c r="L384" s="82">
        <v>384</v>
      </c>
      <c r="M384" s="82"/>
      <c r="N384" s="76"/>
      <c r="O384" s="84" t="s">
        <v>439</v>
      </c>
      <c r="P384" s="86">
        <v>44081.71776620371</v>
      </c>
      <c r="Q384" s="84" t="s">
        <v>448</v>
      </c>
      <c r="R384" s="87" t="str">
        <f>HYPERLINK("https://www.peoplematters.in/news/technology/job-searches-in-artificial-intelligence-rise-106-in-one-year-report-26898")</f>
        <v>https://www.peoplematters.in/news/technology/job-searches-in-artificial-intelligence-rise-106-in-one-year-report-26898</v>
      </c>
      <c r="S384" s="84" t="s">
        <v>532</v>
      </c>
      <c r="T384" s="84" t="s">
        <v>568</v>
      </c>
      <c r="U384" s="87" t="str">
        <f>HYPERLINK("https://pbs.twimg.com/media/EhVAOmdWoAAOQiY.jpg")</f>
        <v>https://pbs.twimg.com/media/EhVAOmdWoAAOQiY.jpg</v>
      </c>
      <c r="V384" s="87" t="str">
        <f>HYPERLINK("https://pbs.twimg.com/media/EhVAOmdWoAAOQiY.jpg")</f>
        <v>https://pbs.twimg.com/media/EhVAOmdWoAAOQiY.jpg</v>
      </c>
      <c r="W384" s="86">
        <v>44081.71776620371</v>
      </c>
      <c r="X384" s="90">
        <v>44081</v>
      </c>
      <c r="Y384" s="92" t="s">
        <v>847</v>
      </c>
      <c r="Z384" s="87" t="str">
        <f>HYPERLINK("https://twitter.com/jolaburnett/status/1303018588907991043")</f>
        <v>https://twitter.com/jolaburnett/status/1303018588907991043</v>
      </c>
      <c r="AA384" s="84"/>
      <c r="AB384" s="84"/>
      <c r="AC384" s="92" t="s">
        <v>1244</v>
      </c>
      <c r="AD384" s="84"/>
      <c r="AE384" s="84" t="b">
        <v>0</v>
      </c>
      <c r="AF384" s="84">
        <v>0</v>
      </c>
      <c r="AG384" s="92" t="s">
        <v>1453</v>
      </c>
      <c r="AH384" s="84" t="b">
        <v>0</v>
      </c>
      <c r="AI384" s="84" t="s">
        <v>1456</v>
      </c>
      <c r="AJ384" s="84"/>
      <c r="AK384" s="92" t="s">
        <v>1453</v>
      </c>
      <c r="AL384" s="84" t="b">
        <v>0</v>
      </c>
      <c r="AM384" s="84">
        <v>25</v>
      </c>
      <c r="AN384" s="92" t="s">
        <v>1248</v>
      </c>
      <c r="AO384" s="84" t="s">
        <v>1467</v>
      </c>
      <c r="AP384" s="84" t="b">
        <v>0</v>
      </c>
      <c r="AQ384" s="92" t="s">
        <v>1248</v>
      </c>
      <c r="AR384" s="84" t="s">
        <v>187</v>
      </c>
      <c r="AS384" s="84">
        <v>0</v>
      </c>
      <c r="AT384" s="84">
        <v>0</v>
      </c>
      <c r="AU384" s="84"/>
      <c r="AV384" s="84"/>
      <c r="AW384" s="84"/>
      <c r="AX384" s="84"/>
      <c r="AY384" s="84"/>
      <c r="AZ384" s="84"/>
      <c r="BA384" s="84"/>
      <c r="BB384" s="84"/>
      <c r="BC384">
        <v>1</v>
      </c>
      <c r="BD384" s="83" t="str">
        <f>REPLACE(INDEX(GroupVertices[Group],MATCH(Edges[[#This Row],[Vertex 1]],GroupVertices[Vertex],0)),1,1,"")</f>
        <v>4</v>
      </c>
      <c r="BE384" s="83" t="str">
        <f>REPLACE(INDEX(GroupVertices[Group],MATCH(Edges[[#This Row],[Vertex 2]],GroupVertices[Vertex],0)),1,1,"")</f>
        <v>4</v>
      </c>
      <c r="BF384" s="49">
        <v>0</v>
      </c>
      <c r="BG384" s="50">
        <v>0</v>
      </c>
      <c r="BH384" s="49">
        <v>0</v>
      </c>
      <c r="BI384" s="50">
        <v>0</v>
      </c>
      <c r="BJ384" s="49">
        <v>0</v>
      </c>
      <c r="BK384" s="50">
        <v>0</v>
      </c>
      <c r="BL384" s="49">
        <v>28</v>
      </c>
      <c r="BM384" s="50">
        <v>100</v>
      </c>
      <c r="BN384" s="49">
        <v>28</v>
      </c>
    </row>
    <row r="385" spans="1:66" ht="15">
      <c r="A385" s="68" t="s">
        <v>381</v>
      </c>
      <c r="B385" s="68" t="s">
        <v>380</v>
      </c>
      <c r="C385" s="69" t="s">
        <v>5208</v>
      </c>
      <c r="D385" s="70">
        <v>1</v>
      </c>
      <c r="E385" s="71" t="s">
        <v>132</v>
      </c>
      <c r="F385" s="72">
        <v>32</v>
      </c>
      <c r="G385" s="69" t="s">
        <v>51</v>
      </c>
      <c r="H385" s="73"/>
      <c r="I385" s="74"/>
      <c r="J385" s="74"/>
      <c r="K385" s="35" t="s">
        <v>66</v>
      </c>
      <c r="L385" s="82">
        <v>385</v>
      </c>
      <c r="M385" s="82"/>
      <c r="N385" s="76"/>
      <c r="O385" s="84" t="s">
        <v>440</v>
      </c>
      <c r="P385" s="86">
        <v>44081.82989583333</v>
      </c>
      <c r="Q385" s="84" t="s">
        <v>448</v>
      </c>
      <c r="R385" s="87" t="str">
        <f>HYPERLINK("https://www.peoplematters.in/news/technology/job-searches-in-artificial-intelligence-rise-106-in-one-year-report-26898")</f>
        <v>https://www.peoplematters.in/news/technology/job-searches-in-artificial-intelligence-rise-106-in-one-year-report-26898</v>
      </c>
      <c r="S385" s="84" t="s">
        <v>532</v>
      </c>
      <c r="T385" s="84" t="s">
        <v>568</v>
      </c>
      <c r="U385" s="87" t="str">
        <f>HYPERLINK("https://pbs.twimg.com/media/EhVAOmdWoAAOQiY.jpg")</f>
        <v>https://pbs.twimg.com/media/EhVAOmdWoAAOQiY.jpg</v>
      </c>
      <c r="V385" s="87" t="str">
        <f>HYPERLINK("https://pbs.twimg.com/media/EhVAOmdWoAAOQiY.jpg")</f>
        <v>https://pbs.twimg.com/media/EhVAOmdWoAAOQiY.jpg</v>
      </c>
      <c r="W385" s="86">
        <v>44081.82989583333</v>
      </c>
      <c r="X385" s="90">
        <v>44081</v>
      </c>
      <c r="Y385" s="92" t="s">
        <v>848</v>
      </c>
      <c r="Z385" s="87" t="str">
        <f>HYPERLINK("https://twitter.com/debraruh/status/1303059226315624448")</f>
        <v>https://twitter.com/debraruh/status/1303059226315624448</v>
      </c>
      <c r="AA385" s="84"/>
      <c r="AB385" s="84"/>
      <c r="AC385" s="92" t="s">
        <v>1245</v>
      </c>
      <c r="AD385" s="84"/>
      <c r="AE385" s="84" t="b">
        <v>0</v>
      </c>
      <c r="AF385" s="84">
        <v>0</v>
      </c>
      <c r="AG385" s="92" t="s">
        <v>1453</v>
      </c>
      <c r="AH385" s="84" t="b">
        <v>0</v>
      </c>
      <c r="AI385" s="84" t="s">
        <v>1456</v>
      </c>
      <c r="AJ385" s="84"/>
      <c r="AK385" s="92" t="s">
        <v>1453</v>
      </c>
      <c r="AL385" s="84" t="b">
        <v>0</v>
      </c>
      <c r="AM385" s="84">
        <v>25</v>
      </c>
      <c r="AN385" s="92" t="s">
        <v>1248</v>
      </c>
      <c r="AO385" s="84" t="s">
        <v>1467</v>
      </c>
      <c r="AP385" s="84" t="b">
        <v>0</v>
      </c>
      <c r="AQ385" s="92" t="s">
        <v>1248</v>
      </c>
      <c r="AR385" s="84" t="s">
        <v>187</v>
      </c>
      <c r="AS385" s="84">
        <v>0</v>
      </c>
      <c r="AT385" s="84">
        <v>0</v>
      </c>
      <c r="AU385" s="84"/>
      <c r="AV385" s="84"/>
      <c r="AW385" s="84"/>
      <c r="AX385" s="84"/>
      <c r="AY385" s="84"/>
      <c r="AZ385" s="84"/>
      <c r="BA385" s="84"/>
      <c r="BB385" s="84"/>
      <c r="BC385">
        <v>1</v>
      </c>
      <c r="BD385" s="83" t="str">
        <f>REPLACE(INDEX(GroupVertices[Group],MATCH(Edges[[#This Row],[Vertex 1]],GroupVertices[Vertex],0)),1,1,"")</f>
        <v>4</v>
      </c>
      <c r="BE385" s="83" t="str">
        <f>REPLACE(INDEX(GroupVertices[Group],MATCH(Edges[[#This Row],[Vertex 2]],GroupVertices[Vertex],0)),1,1,"")</f>
        <v>4</v>
      </c>
      <c r="BF385" s="49"/>
      <c r="BG385" s="50"/>
      <c r="BH385" s="49"/>
      <c r="BI385" s="50"/>
      <c r="BJ385" s="49"/>
      <c r="BK385" s="50"/>
      <c r="BL385" s="49"/>
      <c r="BM385" s="50"/>
      <c r="BN385" s="49"/>
    </row>
    <row r="386" spans="1:66" ht="15">
      <c r="A386" s="68" t="s">
        <v>384</v>
      </c>
      <c r="B386" s="68" t="s">
        <v>380</v>
      </c>
      <c r="C386" s="69" t="s">
        <v>5208</v>
      </c>
      <c r="D386" s="70">
        <v>1</v>
      </c>
      <c r="E386" s="71" t="s">
        <v>132</v>
      </c>
      <c r="F386" s="72">
        <v>32</v>
      </c>
      <c r="G386" s="69" t="s">
        <v>51</v>
      </c>
      <c r="H386" s="73"/>
      <c r="I386" s="74"/>
      <c r="J386" s="74"/>
      <c r="K386" s="35" t="s">
        <v>66</v>
      </c>
      <c r="L386" s="82">
        <v>386</v>
      </c>
      <c r="M386" s="82"/>
      <c r="N386" s="76"/>
      <c r="O386" s="84" t="s">
        <v>441</v>
      </c>
      <c r="P386" s="86">
        <v>44081.71693287037</v>
      </c>
      <c r="Q386" s="84" t="s">
        <v>448</v>
      </c>
      <c r="R386" s="87" t="str">
        <f>HYPERLINK("https://www.peoplematters.in/news/technology/job-searches-in-artificial-intelligence-rise-106-in-one-year-report-26898")</f>
        <v>https://www.peoplematters.in/news/technology/job-searches-in-artificial-intelligence-rise-106-in-one-year-report-26898</v>
      </c>
      <c r="S386" s="84" t="s">
        <v>532</v>
      </c>
      <c r="T386" s="84" t="s">
        <v>619</v>
      </c>
      <c r="U386" s="87" t="str">
        <f>HYPERLINK("https://pbs.twimg.com/media/EhVAOmdWoAAOQiY.jpg")</f>
        <v>https://pbs.twimg.com/media/EhVAOmdWoAAOQiY.jpg</v>
      </c>
      <c r="V386" s="87" t="str">
        <f>HYPERLINK("https://pbs.twimg.com/media/EhVAOmdWoAAOQiY.jpg")</f>
        <v>https://pbs.twimg.com/media/EhVAOmdWoAAOQiY.jpg</v>
      </c>
      <c r="W386" s="86">
        <v>44081.71693287037</v>
      </c>
      <c r="X386" s="90">
        <v>44081</v>
      </c>
      <c r="Y386" s="92" t="s">
        <v>851</v>
      </c>
      <c r="Z386" s="87" t="str">
        <f>HYPERLINK("https://twitter.com/fabriziobustama/status/1303018290026106884")</f>
        <v>https://twitter.com/fabriziobustama/status/1303018290026106884</v>
      </c>
      <c r="AA386" s="84"/>
      <c r="AB386" s="84"/>
      <c r="AC386" s="92" t="s">
        <v>1248</v>
      </c>
      <c r="AD386" s="84"/>
      <c r="AE386" s="84" t="b">
        <v>0</v>
      </c>
      <c r="AF386" s="84">
        <v>22</v>
      </c>
      <c r="AG386" s="92" t="s">
        <v>1453</v>
      </c>
      <c r="AH386" s="84" t="b">
        <v>0</v>
      </c>
      <c r="AI386" s="84" t="s">
        <v>1456</v>
      </c>
      <c r="AJ386" s="84"/>
      <c r="AK386" s="92" t="s">
        <v>1453</v>
      </c>
      <c r="AL386" s="84" t="b">
        <v>0</v>
      </c>
      <c r="AM386" s="84">
        <v>25</v>
      </c>
      <c r="AN386" s="92" t="s">
        <v>1453</v>
      </c>
      <c r="AO386" s="84" t="s">
        <v>1464</v>
      </c>
      <c r="AP386" s="84" t="b">
        <v>0</v>
      </c>
      <c r="AQ386" s="92" t="s">
        <v>1248</v>
      </c>
      <c r="AR386" s="84" t="s">
        <v>187</v>
      </c>
      <c r="AS386" s="84">
        <v>0</v>
      </c>
      <c r="AT386" s="84">
        <v>0</v>
      </c>
      <c r="AU386" s="84"/>
      <c r="AV386" s="84"/>
      <c r="AW386" s="84"/>
      <c r="AX386" s="84"/>
      <c r="AY386" s="84"/>
      <c r="AZ386" s="84"/>
      <c r="BA386" s="84"/>
      <c r="BB386" s="84"/>
      <c r="BC386">
        <v>1</v>
      </c>
      <c r="BD386" s="83" t="str">
        <f>REPLACE(INDEX(GroupVertices[Group],MATCH(Edges[[#This Row],[Vertex 1]],GroupVertices[Vertex],0)),1,1,"")</f>
        <v>4</v>
      </c>
      <c r="BE386" s="83" t="str">
        <f>REPLACE(INDEX(GroupVertices[Group],MATCH(Edges[[#This Row],[Vertex 2]],GroupVertices[Vertex],0)),1,1,"")</f>
        <v>4</v>
      </c>
      <c r="BF386" s="49"/>
      <c r="BG386" s="50"/>
      <c r="BH386" s="49"/>
      <c r="BI386" s="50"/>
      <c r="BJ386" s="49"/>
      <c r="BK386" s="50"/>
      <c r="BL386" s="49"/>
      <c r="BM386" s="50"/>
      <c r="BN386" s="49"/>
    </row>
    <row r="387" spans="1:66" ht="15">
      <c r="A387" s="68" t="s">
        <v>384</v>
      </c>
      <c r="B387" s="68" t="s">
        <v>380</v>
      </c>
      <c r="C387" s="69" t="s">
        <v>5208</v>
      </c>
      <c r="D387" s="70">
        <v>1</v>
      </c>
      <c r="E387" s="71" t="s">
        <v>132</v>
      </c>
      <c r="F387" s="72">
        <v>32</v>
      </c>
      <c r="G387" s="69" t="s">
        <v>51</v>
      </c>
      <c r="H387" s="73"/>
      <c r="I387" s="74"/>
      <c r="J387" s="74"/>
      <c r="K387" s="35" t="s">
        <v>66</v>
      </c>
      <c r="L387" s="82">
        <v>387</v>
      </c>
      <c r="M387" s="82"/>
      <c r="N387" s="76"/>
      <c r="O387" s="84" t="s">
        <v>440</v>
      </c>
      <c r="P387" s="86">
        <v>44082.14244212963</v>
      </c>
      <c r="Q387" s="84" t="s">
        <v>448</v>
      </c>
      <c r="R387" s="87" t="str">
        <f>HYPERLINK("https://www.peoplematters.in/news/technology/job-searches-in-artificial-intelligence-rise-106-in-one-year-report-26898")</f>
        <v>https://www.peoplematters.in/news/technology/job-searches-in-artificial-intelligence-rise-106-in-one-year-report-26898</v>
      </c>
      <c r="S387" s="84" t="s">
        <v>532</v>
      </c>
      <c r="T387" s="84" t="s">
        <v>568</v>
      </c>
      <c r="U387" s="87" t="str">
        <f>HYPERLINK("https://pbs.twimg.com/media/EhVAOmdWoAAOQiY.jpg")</f>
        <v>https://pbs.twimg.com/media/EhVAOmdWoAAOQiY.jpg</v>
      </c>
      <c r="V387" s="87" t="str">
        <f>HYPERLINK("https://pbs.twimg.com/media/EhVAOmdWoAAOQiY.jpg")</f>
        <v>https://pbs.twimg.com/media/EhVAOmdWoAAOQiY.jpg</v>
      </c>
      <c r="W387" s="86">
        <v>44082.14244212963</v>
      </c>
      <c r="X387" s="90">
        <v>44082</v>
      </c>
      <c r="Y387" s="92" t="s">
        <v>852</v>
      </c>
      <c r="Z387" s="87" t="str">
        <f>HYPERLINK("https://twitter.com/fabriziobustama/status/1303172486956290054")</f>
        <v>https://twitter.com/fabriziobustama/status/1303172486956290054</v>
      </c>
      <c r="AA387" s="84"/>
      <c r="AB387" s="84"/>
      <c r="AC387" s="92" t="s">
        <v>1249</v>
      </c>
      <c r="AD387" s="84"/>
      <c r="AE387" s="84" t="b">
        <v>0</v>
      </c>
      <c r="AF387" s="84">
        <v>0</v>
      </c>
      <c r="AG387" s="92" t="s">
        <v>1453</v>
      </c>
      <c r="AH387" s="84" t="b">
        <v>0</v>
      </c>
      <c r="AI387" s="84" t="s">
        <v>1456</v>
      </c>
      <c r="AJ387" s="84"/>
      <c r="AK387" s="92" t="s">
        <v>1453</v>
      </c>
      <c r="AL387" s="84" t="b">
        <v>0</v>
      </c>
      <c r="AM387" s="84">
        <v>25</v>
      </c>
      <c r="AN387" s="92" t="s">
        <v>1248</v>
      </c>
      <c r="AO387" s="84" t="s">
        <v>1464</v>
      </c>
      <c r="AP387" s="84" t="b">
        <v>0</v>
      </c>
      <c r="AQ387" s="92" t="s">
        <v>1248</v>
      </c>
      <c r="AR387" s="84" t="s">
        <v>187</v>
      </c>
      <c r="AS387" s="84">
        <v>0</v>
      </c>
      <c r="AT387" s="84">
        <v>0</v>
      </c>
      <c r="AU387" s="84"/>
      <c r="AV387" s="84"/>
      <c r="AW387" s="84"/>
      <c r="AX387" s="84"/>
      <c r="AY387" s="84"/>
      <c r="AZ387" s="84"/>
      <c r="BA387" s="84"/>
      <c r="BB387" s="84"/>
      <c r="BC387">
        <v>1</v>
      </c>
      <c r="BD387" s="83" t="str">
        <f>REPLACE(INDEX(GroupVertices[Group],MATCH(Edges[[#This Row],[Vertex 1]],GroupVertices[Vertex],0)),1,1,"")</f>
        <v>4</v>
      </c>
      <c r="BE387" s="83" t="str">
        <f>REPLACE(INDEX(GroupVertices[Group],MATCH(Edges[[#This Row],[Vertex 2]],GroupVertices[Vertex],0)),1,1,"")</f>
        <v>4</v>
      </c>
      <c r="BF387" s="49"/>
      <c r="BG387" s="50"/>
      <c r="BH387" s="49"/>
      <c r="BI387" s="50"/>
      <c r="BJ387" s="49"/>
      <c r="BK387" s="50"/>
      <c r="BL387" s="49"/>
      <c r="BM387" s="50"/>
      <c r="BN387" s="49"/>
    </row>
    <row r="388" spans="1:66" ht="15">
      <c r="A388" s="68" t="s">
        <v>386</v>
      </c>
      <c r="B388" s="68" t="s">
        <v>380</v>
      </c>
      <c r="C388" s="69" t="s">
        <v>5209</v>
      </c>
      <c r="D388" s="70">
        <v>6.678367782143116</v>
      </c>
      <c r="E388" s="71" t="s">
        <v>132</v>
      </c>
      <c r="F388" s="72">
        <v>21</v>
      </c>
      <c r="G388" s="69" t="s">
        <v>51</v>
      </c>
      <c r="H388" s="73"/>
      <c r="I388" s="74"/>
      <c r="J388" s="74"/>
      <c r="K388" s="35" t="s">
        <v>65</v>
      </c>
      <c r="L388" s="82">
        <v>388</v>
      </c>
      <c r="M388" s="82"/>
      <c r="N388" s="76"/>
      <c r="O388" s="84" t="s">
        <v>440</v>
      </c>
      <c r="P388" s="86">
        <v>44081.72045138889</v>
      </c>
      <c r="Q388" s="84" t="s">
        <v>448</v>
      </c>
      <c r="R388" s="87" t="str">
        <f>HYPERLINK("https://www.peoplematters.in/news/technology/job-searches-in-artificial-intelligence-rise-106-in-one-year-report-26898")</f>
        <v>https://www.peoplematters.in/news/technology/job-searches-in-artificial-intelligence-rise-106-in-one-year-report-26898</v>
      </c>
      <c r="S388" s="84" t="s">
        <v>532</v>
      </c>
      <c r="T388" s="84" t="s">
        <v>568</v>
      </c>
      <c r="U388" s="87" t="str">
        <f>HYPERLINK("https://pbs.twimg.com/media/EhVAOmdWoAAOQiY.jpg")</f>
        <v>https://pbs.twimg.com/media/EhVAOmdWoAAOQiY.jpg</v>
      </c>
      <c r="V388" s="87" t="str">
        <f>HYPERLINK("https://pbs.twimg.com/media/EhVAOmdWoAAOQiY.jpg")</f>
        <v>https://pbs.twimg.com/media/EhVAOmdWoAAOQiY.jpg</v>
      </c>
      <c r="W388" s="86">
        <v>44081.72045138889</v>
      </c>
      <c r="X388" s="90">
        <v>44081</v>
      </c>
      <c r="Y388" s="92" t="s">
        <v>854</v>
      </c>
      <c r="Z388" s="87" t="str">
        <f>HYPERLINK("https://twitter.com/hubofml/status/1303019562942763008")</f>
        <v>https://twitter.com/hubofml/status/1303019562942763008</v>
      </c>
      <c r="AA388" s="84"/>
      <c r="AB388" s="84"/>
      <c r="AC388" s="92" t="s">
        <v>1251</v>
      </c>
      <c r="AD388" s="84"/>
      <c r="AE388" s="84" t="b">
        <v>0</v>
      </c>
      <c r="AF388" s="84">
        <v>0</v>
      </c>
      <c r="AG388" s="92" t="s">
        <v>1453</v>
      </c>
      <c r="AH388" s="84" t="b">
        <v>0</v>
      </c>
      <c r="AI388" s="84" t="s">
        <v>1456</v>
      </c>
      <c r="AJ388" s="84"/>
      <c r="AK388" s="92" t="s">
        <v>1453</v>
      </c>
      <c r="AL388" s="84" t="b">
        <v>0</v>
      </c>
      <c r="AM388" s="84">
        <v>25</v>
      </c>
      <c r="AN388" s="92" t="s">
        <v>1248</v>
      </c>
      <c r="AO388" s="84" t="s">
        <v>386</v>
      </c>
      <c r="AP388" s="84" t="b">
        <v>0</v>
      </c>
      <c r="AQ388" s="92" t="s">
        <v>1248</v>
      </c>
      <c r="AR388" s="84" t="s">
        <v>187</v>
      </c>
      <c r="AS388" s="84">
        <v>0</v>
      </c>
      <c r="AT388" s="84">
        <v>0</v>
      </c>
      <c r="AU388" s="84"/>
      <c r="AV388" s="84"/>
      <c r="AW388" s="84"/>
      <c r="AX388" s="84"/>
      <c r="AY388" s="84"/>
      <c r="AZ388" s="84"/>
      <c r="BA388" s="84"/>
      <c r="BB388" s="84"/>
      <c r="BC388">
        <v>2</v>
      </c>
      <c r="BD388" s="83" t="str">
        <f>REPLACE(INDEX(GroupVertices[Group],MATCH(Edges[[#This Row],[Vertex 1]],GroupVertices[Vertex],0)),1,1,"")</f>
        <v>5</v>
      </c>
      <c r="BE388" s="83" t="str">
        <f>REPLACE(INDEX(GroupVertices[Group],MATCH(Edges[[#This Row],[Vertex 2]],GroupVertices[Vertex],0)),1,1,"")</f>
        <v>4</v>
      </c>
      <c r="BF388" s="49"/>
      <c r="BG388" s="50"/>
      <c r="BH388" s="49"/>
      <c r="BI388" s="50"/>
      <c r="BJ388" s="49"/>
      <c r="BK388" s="50"/>
      <c r="BL388" s="49"/>
      <c r="BM388" s="50"/>
      <c r="BN388" s="49"/>
    </row>
    <row r="389" spans="1:66" ht="15">
      <c r="A389" s="68" t="s">
        <v>386</v>
      </c>
      <c r="B389" s="68" t="s">
        <v>380</v>
      </c>
      <c r="C389" s="69" t="s">
        <v>5209</v>
      </c>
      <c r="D389" s="70">
        <v>6.678367782143116</v>
      </c>
      <c r="E389" s="71" t="s">
        <v>132</v>
      </c>
      <c r="F389" s="72">
        <v>21</v>
      </c>
      <c r="G389" s="69" t="s">
        <v>51</v>
      </c>
      <c r="H389" s="73"/>
      <c r="I389" s="74"/>
      <c r="J389" s="74"/>
      <c r="K389" s="35" t="s">
        <v>65</v>
      </c>
      <c r="L389" s="82">
        <v>389</v>
      </c>
      <c r="M389" s="82"/>
      <c r="N389" s="76"/>
      <c r="O389" s="84" t="s">
        <v>440</v>
      </c>
      <c r="P389" s="86">
        <v>44082.62331018518</v>
      </c>
      <c r="Q389" s="84" t="s">
        <v>448</v>
      </c>
      <c r="R389" s="87" t="str">
        <f>HYPERLINK("https://www.peoplematters.in/news/technology/job-searches-in-artificial-intelligence-rise-106-in-one-year-report-26898")</f>
        <v>https://www.peoplematters.in/news/technology/job-searches-in-artificial-intelligence-rise-106-in-one-year-report-26898</v>
      </c>
      <c r="S389" s="84" t="s">
        <v>532</v>
      </c>
      <c r="T389" s="84" t="s">
        <v>568</v>
      </c>
      <c r="U389" s="87" t="str">
        <f>HYPERLINK("https://pbs.twimg.com/media/EhVAOmdWoAAOQiY.jpg")</f>
        <v>https://pbs.twimg.com/media/EhVAOmdWoAAOQiY.jpg</v>
      </c>
      <c r="V389" s="87" t="str">
        <f>HYPERLINK("https://pbs.twimg.com/media/EhVAOmdWoAAOQiY.jpg")</f>
        <v>https://pbs.twimg.com/media/EhVAOmdWoAAOQiY.jpg</v>
      </c>
      <c r="W389" s="86">
        <v>44082.62331018518</v>
      </c>
      <c r="X389" s="90">
        <v>44082</v>
      </c>
      <c r="Y389" s="92" t="s">
        <v>855</v>
      </c>
      <c r="Z389" s="87" t="str">
        <f>HYPERLINK("https://twitter.com/hubofml/status/1303346747805138946")</f>
        <v>https://twitter.com/hubofml/status/1303346747805138946</v>
      </c>
      <c r="AA389" s="84"/>
      <c r="AB389" s="84"/>
      <c r="AC389" s="92" t="s">
        <v>1252</v>
      </c>
      <c r="AD389" s="84"/>
      <c r="AE389" s="84" t="b">
        <v>0</v>
      </c>
      <c r="AF389" s="84">
        <v>0</v>
      </c>
      <c r="AG389" s="92" t="s">
        <v>1453</v>
      </c>
      <c r="AH389" s="84" t="b">
        <v>0</v>
      </c>
      <c r="AI389" s="84" t="s">
        <v>1456</v>
      </c>
      <c r="AJ389" s="84"/>
      <c r="AK389" s="92" t="s">
        <v>1453</v>
      </c>
      <c r="AL389" s="84" t="b">
        <v>0</v>
      </c>
      <c r="AM389" s="84">
        <v>25</v>
      </c>
      <c r="AN389" s="92" t="s">
        <v>1248</v>
      </c>
      <c r="AO389" s="84" t="s">
        <v>386</v>
      </c>
      <c r="AP389" s="84" t="b">
        <v>0</v>
      </c>
      <c r="AQ389" s="92" t="s">
        <v>1248</v>
      </c>
      <c r="AR389" s="84" t="s">
        <v>187</v>
      </c>
      <c r="AS389" s="84">
        <v>0</v>
      </c>
      <c r="AT389" s="84">
        <v>0</v>
      </c>
      <c r="AU389" s="84"/>
      <c r="AV389" s="84"/>
      <c r="AW389" s="84"/>
      <c r="AX389" s="84"/>
      <c r="AY389" s="84"/>
      <c r="AZ389" s="84"/>
      <c r="BA389" s="84"/>
      <c r="BB389" s="84"/>
      <c r="BC389">
        <v>2</v>
      </c>
      <c r="BD389" s="83" t="str">
        <f>REPLACE(INDEX(GroupVertices[Group],MATCH(Edges[[#This Row],[Vertex 1]],GroupVertices[Vertex],0)),1,1,"")</f>
        <v>5</v>
      </c>
      <c r="BE389" s="83" t="str">
        <f>REPLACE(INDEX(GroupVertices[Group],MATCH(Edges[[#This Row],[Vertex 2]],GroupVertices[Vertex],0)),1,1,"")</f>
        <v>4</v>
      </c>
      <c r="BF389" s="49"/>
      <c r="BG389" s="50"/>
      <c r="BH389" s="49"/>
      <c r="BI389" s="50"/>
      <c r="BJ389" s="49"/>
      <c r="BK389" s="50"/>
      <c r="BL389" s="49"/>
      <c r="BM389" s="50"/>
      <c r="BN389" s="49"/>
    </row>
    <row r="390" spans="1:66" ht="15">
      <c r="A390" s="68" t="s">
        <v>381</v>
      </c>
      <c r="B390" s="68" t="s">
        <v>431</v>
      </c>
      <c r="C390" s="69" t="s">
        <v>5208</v>
      </c>
      <c r="D390" s="70">
        <v>1</v>
      </c>
      <c r="E390" s="71" t="s">
        <v>132</v>
      </c>
      <c r="F390" s="72">
        <v>32</v>
      </c>
      <c r="G390" s="69" t="s">
        <v>51</v>
      </c>
      <c r="H390" s="73"/>
      <c r="I390" s="74"/>
      <c r="J390" s="74"/>
      <c r="K390" s="35" t="s">
        <v>65</v>
      </c>
      <c r="L390" s="82">
        <v>390</v>
      </c>
      <c r="M390" s="82"/>
      <c r="N390" s="76"/>
      <c r="O390" s="84" t="s">
        <v>440</v>
      </c>
      <c r="P390" s="86">
        <v>44081.82989583333</v>
      </c>
      <c r="Q390" s="84" t="s">
        <v>448</v>
      </c>
      <c r="R390" s="87" t="str">
        <f>HYPERLINK("https://www.peoplematters.in/news/technology/job-searches-in-artificial-intelligence-rise-106-in-one-year-report-26898")</f>
        <v>https://www.peoplematters.in/news/technology/job-searches-in-artificial-intelligence-rise-106-in-one-year-report-26898</v>
      </c>
      <c r="S390" s="84" t="s">
        <v>532</v>
      </c>
      <c r="T390" s="84" t="s">
        <v>568</v>
      </c>
      <c r="U390" s="87" t="str">
        <f>HYPERLINK("https://pbs.twimg.com/media/EhVAOmdWoAAOQiY.jpg")</f>
        <v>https://pbs.twimg.com/media/EhVAOmdWoAAOQiY.jpg</v>
      </c>
      <c r="V390" s="87" t="str">
        <f>HYPERLINK("https://pbs.twimg.com/media/EhVAOmdWoAAOQiY.jpg")</f>
        <v>https://pbs.twimg.com/media/EhVAOmdWoAAOQiY.jpg</v>
      </c>
      <c r="W390" s="86">
        <v>44081.82989583333</v>
      </c>
      <c r="X390" s="90">
        <v>44081</v>
      </c>
      <c r="Y390" s="92" t="s">
        <v>848</v>
      </c>
      <c r="Z390" s="87" t="str">
        <f>HYPERLINK("https://twitter.com/debraruh/status/1303059226315624448")</f>
        <v>https://twitter.com/debraruh/status/1303059226315624448</v>
      </c>
      <c r="AA390" s="84"/>
      <c r="AB390" s="84"/>
      <c r="AC390" s="92" t="s">
        <v>1245</v>
      </c>
      <c r="AD390" s="84"/>
      <c r="AE390" s="84" t="b">
        <v>0</v>
      </c>
      <c r="AF390" s="84">
        <v>0</v>
      </c>
      <c r="AG390" s="92" t="s">
        <v>1453</v>
      </c>
      <c r="AH390" s="84" t="b">
        <v>0</v>
      </c>
      <c r="AI390" s="84" t="s">
        <v>1456</v>
      </c>
      <c r="AJ390" s="84"/>
      <c r="AK390" s="92" t="s">
        <v>1453</v>
      </c>
      <c r="AL390" s="84" t="b">
        <v>0</v>
      </c>
      <c r="AM390" s="84">
        <v>25</v>
      </c>
      <c r="AN390" s="92" t="s">
        <v>1248</v>
      </c>
      <c r="AO390" s="84" t="s">
        <v>1467</v>
      </c>
      <c r="AP390" s="84" t="b">
        <v>0</v>
      </c>
      <c r="AQ390" s="92" t="s">
        <v>1248</v>
      </c>
      <c r="AR390" s="84" t="s">
        <v>187</v>
      </c>
      <c r="AS390" s="84">
        <v>0</v>
      </c>
      <c r="AT390" s="84">
        <v>0</v>
      </c>
      <c r="AU390" s="84"/>
      <c r="AV390" s="84"/>
      <c r="AW390" s="84"/>
      <c r="AX390" s="84"/>
      <c r="AY390" s="84"/>
      <c r="AZ390" s="84"/>
      <c r="BA390" s="84"/>
      <c r="BB390" s="84"/>
      <c r="BC390">
        <v>1</v>
      </c>
      <c r="BD390" s="83" t="str">
        <f>REPLACE(INDEX(GroupVertices[Group],MATCH(Edges[[#This Row],[Vertex 1]],GroupVertices[Vertex],0)),1,1,"")</f>
        <v>4</v>
      </c>
      <c r="BE390" s="83" t="str">
        <f>REPLACE(INDEX(GroupVertices[Group],MATCH(Edges[[#This Row],[Vertex 2]],GroupVertices[Vertex],0)),1,1,"")</f>
        <v>4</v>
      </c>
      <c r="BF390" s="49"/>
      <c r="BG390" s="50"/>
      <c r="BH390" s="49"/>
      <c r="BI390" s="50"/>
      <c r="BJ390" s="49"/>
      <c r="BK390" s="50"/>
      <c r="BL390" s="49"/>
      <c r="BM390" s="50"/>
      <c r="BN390" s="49"/>
    </row>
    <row r="391" spans="1:66" ht="15">
      <c r="A391" s="68" t="s">
        <v>381</v>
      </c>
      <c r="B391" s="68" t="s">
        <v>432</v>
      </c>
      <c r="C391" s="69" t="s">
        <v>5208</v>
      </c>
      <c r="D391" s="70">
        <v>1</v>
      </c>
      <c r="E391" s="71" t="s">
        <v>132</v>
      </c>
      <c r="F391" s="72">
        <v>32</v>
      </c>
      <c r="G391" s="69" t="s">
        <v>51</v>
      </c>
      <c r="H391" s="73"/>
      <c r="I391" s="74"/>
      <c r="J391" s="74"/>
      <c r="K391" s="35" t="s">
        <v>65</v>
      </c>
      <c r="L391" s="82">
        <v>391</v>
      </c>
      <c r="M391" s="82"/>
      <c r="N391" s="76"/>
      <c r="O391" s="84" t="s">
        <v>440</v>
      </c>
      <c r="P391" s="86">
        <v>44081.82989583333</v>
      </c>
      <c r="Q391" s="84" t="s">
        <v>448</v>
      </c>
      <c r="R391" s="87" t="str">
        <f>HYPERLINK("https://www.peoplematters.in/news/technology/job-searches-in-artificial-intelligence-rise-106-in-one-year-report-26898")</f>
        <v>https://www.peoplematters.in/news/technology/job-searches-in-artificial-intelligence-rise-106-in-one-year-report-26898</v>
      </c>
      <c r="S391" s="84" t="s">
        <v>532</v>
      </c>
      <c r="T391" s="84" t="s">
        <v>568</v>
      </c>
      <c r="U391" s="87" t="str">
        <f>HYPERLINK("https://pbs.twimg.com/media/EhVAOmdWoAAOQiY.jpg")</f>
        <v>https://pbs.twimg.com/media/EhVAOmdWoAAOQiY.jpg</v>
      </c>
      <c r="V391" s="87" t="str">
        <f>HYPERLINK("https://pbs.twimg.com/media/EhVAOmdWoAAOQiY.jpg")</f>
        <v>https://pbs.twimg.com/media/EhVAOmdWoAAOQiY.jpg</v>
      </c>
      <c r="W391" s="86">
        <v>44081.82989583333</v>
      </c>
      <c r="X391" s="90">
        <v>44081</v>
      </c>
      <c r="Y391" s="92" t="s">
        <v>848</v>
      </c>
      <c r="Z391" s="87" t="str">
        <f>HYPERLINK("https://twitter.com/debraruh/status/1303059226315624448")</f>
        <v>https://twitter.com/debraruh/status/1303059226315624448</v>
      </c>
      <c r="AA391" s="84"/>
      <c r="AB391" s="84"/>
      <c r="AC391" s="92" t="s">
        <v>1245</v>
      </c>
      <c r="AD391" s="84"/>
      <c r="AE391" s="84" t="b">
        <v>0</v>
      </c>
      <c r="AF391" s="84">
        <v>0</v>
      </c>
      <c r="AG391" s="92" t="s">
        <v>1453</v>
      </c>
      <c r="AH391" s="84" t="b">
        <v>0</v>
      </c>
      <c r="AI391" s="84" t="s">
        <v>1456</v>
      </c>
      <c r="AJ391" s="84"/>
      <c r="AK391" s="92" t="s">
        <v>1453</v>
      </c>
      <c r="AL391" s="84" t="b">
        <v>0</v>
      </c>
      <c r="AM391" s="84">
        <v>25</v>
      </c>
      <c r="AN391" s="92" t="s">
        <v>1248</v>
      </c>
      <c r="AO391" s="84" t="s">
        <v>1467</v>
      </c>
      <c r="AP391" s="84" t="b">
        <v>0</v>
      </c>
      <c r="AQ391" s="92" t="s">
        <v>1248</v>
      </c>
      <c r="AR391" s="84" t="s">
        <v>187</v>
      </c>
      <c r="AS391" s="84">
        <v>0</v>
      </c>
      <c r="AT391" s="84">
        <v>0</v>
      </c>
      <c r="AU391" s="84"/>
      <c r="AV391" s="84"/>
      <c r="AW391" s="84"/>
      <c r="AX391" s="84"/>
      <c r="AY391" s="84"/>
      <c r="AZ391" s="84"/>
      <c r="BA391" s="84"/>
      <c r="BB391" s="84"/>
      <c r="BC391">
        <v>1</v>
      </c>
      <c r="BD391" s="83" t="str">
        <f>REPLACE(INDEX(GroupVertices[Group],MATCH(Edges[[#This Row],[Vertex 1]],GroupVertices[Vertex],0)),1,1,"")</f>
        <v>4</v>
      </c>
      <c r="BE391" s="83" t="str">
        <f>REPLACE(INDEX(GroupVertices[Group],MATCH(Edges[[#This Row],[Vertex 2]],GroupVertices[Vertex],0)),1,1,"")</f>
        <v>4</v>
      </c>
      <c r="BF391" s="49"/>
      <c r="BG391" s="50"/>
      <c r="BH391" s="49"/>
      <c r="BI391" s="50"/>
      <c r="BJ391" s="49"/>
      <c r="BK391" s="50"/>
      <c r="BL391" s="49"/>
      <c r="BM391" s="50"/>
      <c r="BN391" s="49"/>
    </row>
    <row r="392" spans="1:66" ht="15">
      <c r="A392" s="68" t="s">
        <v>381</v>
      </c>
      <c r="B392" s="68" t="s">
        <v>384</v>
      </c>
      <c r="C392" s="69" t="s">
        <v>5208</v>
      </c>
      <c r="D392" s="70">
        <v>1</v>
      </c>
      <c r="E392" s="71" t="s">
        <v>132</v>
      </c>
      <c r="F392" s="72">
        <v>32</v>
      </c>
      <c r="G392" s="69" t="s">
        <v>51</v>
      </c>
      <c r="H392" s="73"/>
      <c r="I392" s="74"/>
      <c r="J392" s="74"/>
      <c r="K392" s="35" t="s">
        <v>66</v>
      </c>
      <c r="L392" s="82">
        <v>392</v>
      </c>
      <c r="M392" s="82"/>
      <c r="N392" s="76"/>
      <c r="O392" s="84" t="s">
        <v>439</v>
      </c>
      <c r="P392" s="86">
        <v>44081.82989583333</v>
      </c>
      <c r="Q392" s="84" t="s">
        <v>448</v>
      </c>
      <c r="R392" s="87" t="str">
        <f>HYPERLINK("https://www.peoplematters.in/news/technology/job-searches-in-artificial-intelligence-rise-106-in-one-year-report-26898")</f>
        <v>https://www.peoplematters.in/news/technology/job-searches-in-artificial-intelligence-rise-106-in-one-year-report-26898</v>
      </c>
      <c r="S392" s="84" t="s">
        <v>532</v>
      </c>
      <c r="T392" s="84" t="s">
        <v>568</v>
      </c>
      <c r="U392" s="87" t="str">
        <f>HYPERLINK("https://pbs.twimg.com/media/EhVAOmdWoAAOQiY.jpg")</f>
        <v>https://pbs.twimg.com/media/EhVAOmdWoAAOQiY.jpg</v>
      </c>
      <c r="V392" s="87" t="str">
        <f>HYPERLINK("https://pbs.twimg.com/media/EhVAOmdWoAAOQiY.jpg")</f>
        <v>https://pbs.twimg.com/media/EhVAOmdWoAAOQiY.jpg</v>
      </c>
      <c r="W392" s="86">
        <v>44081.82989583333</v>
      </c>
      <c r="X392" s="90">
        <v>44081</v>
      </c>
      <c r="Y392" s="92" t="s">
        <v>848</v>
      </c>
      <c r="Z392" s="87" t="str">
        <f>HYPERLINK("https://twitter.com/debraruh/status/1303059226315624448")</f>
        <v>https://twitter.com/debraruh/status/1303059226315624448</v>
      </c>
      <c r="AA392" s="84"/>
      <c r="AB392" s="84"/>
      <c r="AC392" s="92" t="s">
        <v>1245</v>
      </c>
      <c r="AD392" s="84"/>
      <c r="AE392" s="84" t="b">
        <v>0</v>
      </c>
      <c r="AF392" s="84">
        <v>0</v>
      </c>
      <c r="AG392" s="92" t="s">
        <v>1453</v>
      </c>
      <c r="AH392" s="84" t="b">
        <v>0</v>
      </c>
      <c r="AI392" s="84" t="s">
        <v>1456</v>
      </c>
      <c r="AJ392" s="84"/>
      <c r="AK392" s="92" t="s">
        <v>1453</v>
      </c>
      <c r="AL392" s="84" t="b">
        <v>0</v>
      </c>
      <c r="AM392" s="84">
        <v>25</v>
      </c>
      <c r="AN392" s="92" t="s">
        <v>1248</v>
      </c>
      <c r="AO392" s="84" t="s">
        <v>1467</v>
      </c>
      <c r="AP392" s="84" t="b">
        <v>0</v>
      </c>
      <c r="AQ392" s="92" t="s">
        <v>1248</v>
      </c>
      <c r="AR392" s="84" t="s">
        <v>187</v>
      </c>
      <c r="AS392" s="84">
        <v>0</v>
      </c>
      <c r="AT392" s="84">
        <v>0</v>
      </c>
      <c r="AU392" s="84"/>
      <c r="AV392" s="84"/>
      <c r="AW392" s="84"/>
      <c r="AX392" s="84"/>
      <c r="AY392" s="84"/>
      <c r="AZ392" s="84"/>
      <c r="BA392" s="84"/>
      <c r="BB392" s="84"/>
      <c r="BC392">
        <v>1</v>
      </c>
      <c r="BD392" s="83" t="str">
        <f>REPLACE(INDEX(GroupVertices[Group],MATCH(Edges[[#This Row],[Vertex 1]],GroupVertices[Vertex],0)),1,1,"")</f>
        <v>4</v>
      </c>
      <c r="BE392" s="83" t="str">
        <f>REPLACE(INDEX(GroupVertices[Group],MATCH(Edges[[#This Row],[Vertex 2]],GroupVertices[Vertex],0)),1,1,"")</f>
        <v>4</v>
      </c>
      <c r="BF392" s="49">
        <v>0</v>
      </c>
      <c r="BG392" s="50">
        <v>0</v>
      </c>
      <c r="BH392" s="49">
        <v>0</v>
      </c>
      <c r="BI392" s="50">
        <v>0</v>
      </c>
      <c r="BJ392" s="49">
        <v>0</v>
      </c>
      <c r="BK392" s="50">
        <v>0</v>
      </c>
      <c r="BL392" s="49">
        <v>28</v>
      </c>
      <c r="BM392" s="50">
        <v>100</v>
      </c>
      <c r="BN392" s="49">
        <v>28</v>
      </c>
    </row>
    <row r="393" spans="1:66" ht="15">
      <c r="A393" s="68" t="s">
        <v>384</v>
      </c>
      <c r="B393" s="68" t="s">
        <v>381</v>
      </c>
      <c r="C393" s="69" t="s">
        <v>5208</v>
      </c>
      <c r="D393" s="70">
        <v>1</v>
      </c>
      <c r="E393" s="71" t="s">
        <v>132</v>
      </c>
      <c r="F393" s="72">
        <v>32</v>
      </c>
      <c r="G393" s="69" t="s">
        <v>51</v>
      </c>
      <c r="H393" s="73"/>
      <c r="I393" s="74"/>
      <c r="J393" s="74"/>
      <c r="K393" s="35" t="s">
        <v>66</v>
      </c>
      <c r="L393" s="82">
        <v>393</v>
      </c>
      <c r="M393" s="82"/>
      <c r="N393" s="76"/>
      <c r="O393" s="84" t="s">
        <v>441</v>
      </c>
      <c r="P393" s="86">
        <v>44081.71693287037</v>
      </c>
      <c r="Q393" s="84" t="s">
        <v>448</v>
      </c>
      <c r="R393" s="87" t="str">
        <f>HYPERLINK("https://www.peoplematters.in/news/technology/job-searches-in-artificial-intelligence-rise-106-in-one-year-report-26898")</f>
        <v>https://www.peoplematters.in/news/technology/job-searches-in-artificial-intelligence-rise-106-in-one-year-report-26898</v>
      </c>
      <c r="S393" s="84" t="s">
        <v>532</v>
      </c>
      <c r="T393" s="84" t="s">
        <v>619</v>
      </c>
      <c r="U393" s="87" t="str">
        <f>HYPERLINK("https://pbs.twimg.com/media/EhVAOmdWoAAOQiY.jpg")</f>
        <v>https://pbs.twimg.com/media/EhVAOmdWoAAOQiY.jpg</v>
      </c>
      <c r="V393" s="87" t="str">
        <f>HYPERLINK("https://pbs.twimg.com/media/EhVAOmdWoAAOQiY.jpg")</f>
        <v>https://pbs.twimg.com/media/EhVAOmdWoAAOQiY.jpg</v>
      </c>
      <c r="W393" s="86">
        <v>44081.71693287037</v>
      </c>
      <c r="X393" s="90">
        <v>44081</v>
      </c>
      <c r="Y393" s="92" t="s">
        <v>851</v>
      </c>
      <c r="Z393" s="87" t="str">
        <f>HYPERLINK("https://twitter.com/fabriziobustama/status/1303018290026106884")</f>
        <v>https://twitter.com/fabriziobustama/status/1303018290026106884</v>
      </c>
      <c r="AA393" s="84"/>
      <c r="AB393" s="84"/>
      <c r="AC393" s="92" t="s">
        <v>1248</v>
      </c>
      <c r="AD393" s="84"/>
      <c r="AE393" s="84" t="b">
        <v>0</v>
      </c>
      <c r="AF393" s="84">
        <v>22</v>
      </c>
      <c r="AG393" s="92" t="s">
        <v>1453</v>
      </c>
      <c r="AH393" s="84" t="b">
        <v>0</v>
      </c>
      <c r="AI393" s="84" t="s">
        <v>1456</v>
      </c>
      <c r="AJ393" s="84"/>
      <c r="AK393" s="92" t="s">
        <v>1453</v>
      </c>
      <c r="AL393" s="84" t="b">
        <v>0</v>
      </c>
      <c r="AM393" s="84">
        <v>25</v>
      </c>
      <c r="AN393" s="92" t="s">
        <v>1453</v>
      </c>
      <c r="AO393" s="84" t="s">
        <v>1464</v>
      </c>
      <c r="AP393" s="84" t="b">
        <v>0</v>
      </c>
      <c r="AQ393" s="92" t="s">
        <v>1248</v>
      </c>
      <c r="AR393" s="84" t="s">
        <v>187</v>
      </c>
      <c r="AS393" s="84">
        <v>0</v>
      </c>
      <c r="AT393" s="84">
        <v>0</v>
      </c>
      <c r="AU393" s="84"/>
      <c r="AV393" s="84"/>
      <c r="AW393" s="84"/>
      <c r="AX393" s="84"/>
      <c r="AY393" s="84"/>
      <c r="AZ393" s="84"/>
      <c r="BA393" s="84"/>
      <c r="BB393" s="84"/>
      <c r="BC393">
        <v>1</v>
      </c>
      <c r="BD393" s="83" t="str">
        <f>REPLACE(INDEX(GroupVertices[Group],MATCH(Edges[[#This Row],[Vertex 1]],GroupVertices[Vertex],0)),1,1,"")</f>
        <v>4</v>
      </c>
      <c r="BE393" s="83" t="str">
        <f>REPLACE(INDEX(GroupVertices[Group],MATCH(Edges[[#This Row],[Vertex 2]],GroupVertices[Vertex],0)),1,1,"")</f>
        <v>4</v>
      </c>
      <c r="BF393" s="49"/>
      <c r="BG393" s="50"/>
      <c r="BH393" s="49"/>
      <c r="BI393" s="50"/>
      <c r="BJ393" s="49"/>
      <c r="BK393" s="50"/>
      <c r="BL393" s="49"/>
      <c r="BM393" s="50"/>
      <c r="BN393" s="49"/>
    </row>
    <row r="394" spans="1:66" ht="15">
      <c r="A394" s="68" t="s">
        <v>384</v>
      </c>
      <c r="B394" s="68" t="s">
        <v>381</v>
      </c>
      <c r="C394" s="69" t="s">
        <v>5208</v>
      </c>
      <c r="D394" s="70">
        <v>1</v>
      </c>
      <c r="E394" s="71" t="s">
        <v>132</v>
      </c>
      <c r="F394" s="72">
        <v>32</v>
      </c>
      <c r="G394" s="69" t="s">
        <v>51</v>
      </c>
      <c r="H394" s="73"/>
      <c r="I394" s="74"/>
      <c r="J394" s="74"/>
      <c r="K394" s="35" t="s">
        <v>66</v>
      </c>
      <c r="L394" s="82">
        <v>394</v>
      </c>
      <c r="M394" s="82"/>
      <c r="N394" s="76"/>
      <c r="O394" s="84" t="s">
        <v>440</v>
      </c>
      <c r="P394" s="86">
        <v>44082.14244212963</v>
      </c>
      <c r="Q394" s="84" t="s">
        <v>448</v>
      </c>
      <c r="R394" s="87" t="str">
        <f>HYPERLINK("https://www.peoplematters.in/news/technology/job-searches-in-artificial-intelligence-rise-106-in-one-year-report-26898")</f>
        <v>https://www.peoplematters.in/news/technology/job-searches-in-artificial-intelligence-rise-106-in-one-year-report-26898</v>
      </c>
      <c r="S394" s="84" t="s">
        <v>532</v>
      </c>
      <c r="T394" s="84" t="s">
        <v>568</v>
      </c>
      <c r="U394" s="87" t="str">
        <f>HYPERLINK("https://pbs.twimg.com/media/EhVAOmdWoAAOQiY.jpg")</f>
        <v>https://pbs.twimg.com/media/EhVAOmdWoAAOQiY.jpg</v>
      </c>
      <c r="V394" s="87" t="str">
        <f>HYPERLINK("https://pbs.twimg.com/media/EhVAOmdWoAAOQiY.jpg")</f>
        <v>https://pbs.twimg.com/media/EhVAOmdWoAAOQiY.jpg</v>
      </c>
      <c r="W394" s="86">
        <v>44082.14244212963</v>
      </c>
      <c r="X394" s="90">
        <v>44082</v>
      </c>
      <c r="Y394" s="92" t="s">
        <v>852</v>
      </c>
      <c r="Z394" s="87" t="str">
        <f>HYPERLINK("https://twitter.com/fabriziobustama/status/1303172486956290054")</f>
        <v>https://twitter.com/fabriziobustama/status/1303172486956290054</v>
      </c>
      <c r="AA394" s="84"/>
      <c r="AB394" s="84"/>
      <c r="AC394" s="92" t="s">
        <v>1249</v>
      </c>
      <c r="AD394" s="84"/>
      <c r="AE394" s="84" t="b">
        <v>0</v>
      </c>
      <c r="AF394" s="84">
        <v>0</v>
      </c>
      <c r="AG394" s="92" t="s">
        <v>1453</v>
      </c>
      <c r="AH394" s="84" t="b">
        <v>0</v>
      </c>
      <c r="AI394" s="84" t="s">
        <v>1456</v>
      </c>
      <c r="AJ394" s="84"/>
      <c r="AK394" s="92" t="s">
        <v>1453</v>
      </c>
      <c r="AL394" s="84" t="b">
        <v>0</v>
      </c>
      <c r="AM394" s="84">
        <v>25</v>
      </c>
      <c r="AN394" s="92" t="s">
        <v>1248</v>
      </c>
      <c r="AO394" s="84" t="s">
        <v>1464</v>
      </c>
      <c r="AP394" s="84" t="b">
        <v>0</v>
      </c>
      <c r="AQ394" s="92" t="s">
        <v>1248</v>
      </c>
      <c r="AR394" s="84" t="s">
        <v>187</v>
      </c>
      <c r="AS394" s="84">
        <v>0</v>
      </c>
      <c r="AT394" s="84">
        <v>0</v>
      </c>
      <c r="AU394" s="84"/>
      <c r="AV394" s="84"/>
      <c r="AW394" s="84"/>
      <c r="AX394" s="84"/>
      <c r="AY394" s="84"/>
      <c r="AZ394" s="84"/>
      <c r="BA394" s="84"/>
      <c r="BB394" s="84"/>
      <c r="BC394">
        <v>1</v>
      </c>
      <c r="BD394" s="83" t="str">
        <f>REPLACE(INDEX(GroupVertices[Group],MATCH(Edges[[#This Row],[Vertex 1]],GroupVertices[Vertex],0)),1,1,"")</f>
        <v>4</v>
      </c>
      <c r="BE394" s="83" t="str">
        <f>REPLACE(INDEX(GroupVertices[Group],MATCH(Edges[[#This Row],[Vertex 2]],GroupVertices[Vertex],0)),1,1,"")</f>
        <v>4</v>
      </c>
      <c r="BF394" s="49"/>
      <c r="BG394" s="50"/>
      <c r="BH394" s="49"/>
      <c r="BI394" s="50"/>
      <c r="BJ394" s="49"/>
      <c r="BK394" s="50"/>
      <c r="BL394" s="49"/>
      <c r="BM394" s="50"/>
      <c r="BN394" s="49"/>
    </row>
    <row r="395" spans="1:66" ht="15">
      <c r="A395" s="68" t="s">
        <v>386</v>
      </c>
      <c r="B395" s="68" t="s">
        <v>381</v>
      </c>
      <c r="C395" s="69" t="s">
        <v>5209</v>
      </c>
      <c r="D395" s="70">
        <v>6.678367782143116</v>
      </c>
      <c r="E395" s="71" t="s">
        <v>132</v>
      </c>
      <c r="F395" s="72">
        <v>21</v>
      </c>
      <c r="G395" s="69" t="s">
        <v>51</v>
      </c>
      <c r="H395" s="73"/>
      <c r="I395" s="74"/>
      <c r="J395" s="74"/>
      <c r="K395" s="35" t="s">
        <v>65</v>
      </c>
      <c r="L395" s="82">
        <v>395</v>
      </c>
      <c r="M395" s="82"/>
      <c r="N395" s="76"/>
      <c r="O395" s="84" t="s">
        <v>440</v>
      </c>
      <c r="P395" s="86">
        <v>44081.72045138889</v>
      </c>
      <c r="Q395" s="84" t="s">
        <v>448</v>
      </c>
      <c r="R395" s="87" t="str">
        <f>HYPERLINK("https://www.peoplematters.in/news/technology/job-searches-in-artificial-intelligence-rise-106-in-one-year-report-26898")</f>
        <v>https://www.peoplematters.in/news/technology/job-searches-in-artificial-intelligence-rise-106-in-one-year-report-26898</v>
      </c>
      <c r="S395" s="84" t="s">
        <v>532</v>
      </c>
      <c r="T395" s="84" t="s">
        <v>568</v>
      </c>
      <c r="U395" s="87" t="str">
        <f>HYPERLINK("https://pbs.twimg.com/media/EhVAOmdWoAAOQiY.jpg")</f>
        <v>https://pbs.twimg.com/media/EhVAOmdWoAAOQiY.jpg</v>
      </c>
      <c r="V395" s="87" t="str">
        <f>HYPERLINK("https://pbs.twimg.com/media/EhVAOmdWoAAOQiY.jpg")</f>
        <v>https://pbs.twimg.com/media/EhVAOmdWoAAOQiY.jpg</v>
      </c>
      <c r="W395" s="86">
        <v>44081.72045138889</v>
      </c>
      <c r="X395" s="90">
        <v>44081</v>
      </c>
      <c r="Y395" s="92" t="s">
        <v>854</v>
      </c>
      <c r="Z395" s="87" t="str">
        <f>HYPERLINK("https://twitter.com/hubofml/status/1303019562942763008")</f>
        <v>https://twitter.com/hubofml/status/1303019562942763008</v>
      </c>
      <c r="AA395" s="84"/>
      <c r="AB395" s="84"/>
      <c r="AC395" s="92" t="s">
        <v>1251</v>
      </c>
      <c r="AD395" s="84"/>
      <c r="AE395" s="84" t="b">
        <v>0</v>
      </c>
      <c r="AF395" s="84">
        <v>0</v>
      </c>
      <c r="AG395" s="92" t="s">
        <v>1453</v>
      </c>
      <c r="AH395" s="84" t="b">
        <v>0</v>
      </c>
      <c r="AI395" s="84" t="s">
        <v>1456</v>
      </c>
      <c r="AJ395" s="84"/>
      <c r="AK395" s="92" t="s">
        <v>1453</v>
      </c>
      <c r="AL395" s="84" t="b">
        <v>0</v>
      </c>
      <c r="AM395" s="84">
        <v>25</v>
      </c>
      <c r="AN395" s="92" t="s">
        <v>1248</v>
      </c>
      <c r="AO395" s="84" t="s">
        <v>386</v>
      </c>
      <c r="AP395" s="84" t="b">
        <v>0</v>
      </c>
      <c r="AQ395" s="92" t="s">
        <v>1248</v>
      </c>
      <c r="AR395" s="84" t="s">
        <v>187</v>
      </c>
      <c r="AS395" s="84">
        <v>0</v>
      </c>
      <c r="AT395" s="84">
        <v>0</v>
      </c>
      <c r="AU395" s="84"/>
      <c r="AV395" s="84"/>
      <c r="AW395" s="84"/>
      <c r="AX395" s="84"/>
      <c r="AY395" s="84"/>
      <c r="AZ395" s="84"/>
      <c r="BA395" s="84"/>
      <c r="BB395" s="84"/>
      <c r="BC395">
        <v>2</v>
      </c>
      <c r="BD395" s="83" t="str">
        <f>REPLACE(INDEX(GroupVertices[Group],MATCH(Edges[[#This Row],[Vertex 1]],GroupVertices[Vertex],0)),1,1,"")</f>
        <v>5</v>
      </c>
      <c r="BE395" s="83" t="str">
        <f>REPLACE(INDEX(GroupVertices[Group],MATCH(Edges[[#This Row],[Vertex 2]],GroupVertices[Vertex],0)),1,1,"")</f>
        <v>4</v>
      </c>
      <c r="BF395" s="49"/>
      <c r="BG395" s="50"/>
      <c r="BH395" s="49"/>
      <c r="BI395" s="50"/>
      <c r="BJ395" s="49"/>
      <c r="BK395" s="50"/>
      <c r="BL395" s="49"/>
      <c r="BM395" s="50"/>
      <c r="BN395" s="49"/>
    </row>
    <row r="396" spans="1:66" ht="15">
      <c r="A396" s="68" t="s">
        <v>386</v>
      </c>
      <c r="B396" s="68" t="s">
        <v>381</v>
      </c>
      <c r="C396" s="69" t="s">
        <v>5209</v>
      </c>
      <c r="D396" s="70">
        <v>6.678367782143116</v>
      </c>
      <c r="E396" s="71" t="s">
        <v>132</v>
      </c>
      <c r="F396" s="72">
        <v>21</v>
      </c>
      <c r="G396" s="69" t="s">
        <v>51</v>
      </c>
      <c r="H396" s="73"/>
      <c r="I396" s="74"/>
      <c r="J396" s="74"/>
      <c r="K396" s="35" t="s">
        <v>65</v>
      </c>
      <c r="L396" s="82">
        <v>396</v>
      </c>
      <c r="M396" s="82"/>
      <c r="N396" s="76"/>
      <c r="O396" s="84" t="s">
        <v>440</v>
      </c>
      <c r="P396" s="86">
        <v>44082.62331018518</v>
      </c>
      <c r="Q396" s="84" t="s">
        <v>448</v>
      </c>
      <c r="R396" s="87" t="str">
        <f>HYPERLINK("https://www.peoplematters.in/news/technology/job-searches-in-artificial-intelligence-rise-106-in-one-year-report-26898")</f>
        <v>https://www.peoplematters.in/news/technology/job-searches-in-artificial-intelligence-rise-106-in-one-year-report-26898</v>
      </c>
      <c r="S396" s="84" t="s">
        <v>532</v>
      </c>
      <c r="T396" s="84" t="s">
        <v>568</v>
      </c>
      <c r="U396" s="87" t="str">
        <f>HYPERLINK("https://pbs.twimg.com/media/EhVAOmdWoAAOQiY.jpg")</f>
        <v>https://pbs.twimg.com/media/EhVAOmdWoAAOQiY.jpg</v>
      </c>
      <c r="V396" s="87" t="str">
        <f>HYPERLINK("https://pbs.twimg.com/media/EhVAOmdWoAAOQiY.jpg")</f>
        <v>https://pbs.twimg.com/media/EhVAOmdWoAAOQiY.jpg</v>
      </c>
      <c r="W396" s="86">
        <v>44082.62331018518</v>
      </c>
      <c r="X396" s="90">
        <v>44082</v>
      </c>
      <c r="Y396" s="92" t="s">
        <v>855</v>
      </c>
      <c r="Z396" s="87" t="str">
        <f>HYPERLINK("https://twitter.com/hubofml/status/1303346747805138946")</f>
        <v>https://twitter.com/hubofml/status/1303346747805138946</v>
      </c>
      <c r="AA396" s="84"/>
      <c r="AB396" s="84"/>
      <c r="AC396" s="92" t="s">
        <v>1252</v>
      </c>
      <c r="AD396" s="84"/>
      <c r="AE396" s="84" t="b">
        <v>0</v>
      </c>
      <c r="AF396" s="84">
        <v>0</v>
      </c>
      <c r="AG396" s="92" t="s">
        <v>1453</v>
      </c>
      <c r="AH396" s="84" t="b">
        <v>0</v>
      </c>
      <c r="AI396" s="84" t="s">
        <v>1456</v>
      </c>
      <c r="AJ396" s="84"/>
      <c r="AK396" s="92" t="s">
        <v>1453</v>
      </c>
      <c r="AL396" s="84" t="b">
        <v>0</v>
      </c>
      <c r="AM396" s="84">
        <v>25</v>
      </c>
      <c r="AN396" s="92" t="s">
        <v>1248</v>
      </c>
      <c r="AO396" s="84" t="s">
        <v>386</v>
      </c>
      <c r="AP396" s="84" t="b">
        <v>0</v>
      </c>
      <c r="AQ396" s="92" t="s">
        <v>1248</v>
      </c>
      <c r="AR396" s="84" t="s">
        <v>187</v>
      </c>
      <c r="AS396" s="84">
        <v>0</v>
      </c>
      <c r="AT396" s="84">
        <v>0</v>
      </c>
      <c r="AU396" s="84"/>
      <c r="AV396" s="84"/>
      <c r="AW396" s="84"/>
      <c r="AX396" s="84"/>
      <c r="AY396" s="84"/>
      <c r="AZ396" s="84"/>
      <c r="BA396" s="84"/>
      <c r="BB396" s="84"/>
      <c r="BC396">
        <v>2</v>
      </c>
      <c r="BD396" s="83" t="str">
        <f>REPLACE(INDEX(GroupVertices[Group],MATCH(Edges[[#This Row],[Vertex 1]],GroupVertices[Vertex],0)),1,1,"")</f>
        <v>5</v>
      </c>
      <c r="BE396" s="83" t="str">
        <f>REPLACE(INDEX(GroupVertices[Group],MATCH(Edges[[#This Row],[Vertex 2]],GroupVertices[Vertex],0)),1,1,"")</f>
        <v>4</v>
      </c>
      <c r="BF396" s="49"/>
      <c r="BG396" s="50"/>
      <c r="BH396" s="49"/>
      <c r="BI396" s="50"/>
      <c r="BJ396" s="49"/>
      <c r="BK396" s="50"/>
      <c r="BL396" s="49"/>
      <c r="BM396" s="50"/>
      <c r="BN396" s="49"/>
    </row>
    <row r="397" spans="1:66" ht="15">
      <c r="A397" s="68" t="s">
        <v>384</v>
      </c>
      <c r="B397" s="68" t="s">
        <v>431</v>
      </c>
      <c r="C397" s="69" t="s">
        <v>5208</v>
      </c>
      <c r="D397" s="70">
        <v>1</v>
      </c>
      <c r="E397" s="71" t="s">
        <v>132</v>
      </c>
      <c r="F397" s="72">
        <v>32</v>
      </c>
      <c r="G397" s="69" t="s">
        <v>51</v>
      </c>
      <c r="H397" s="73"/>
      <c r="I397" s="74"/>
      <c r="J397" s="74"/>
      <c r="K397" s="35" t="s">
        <v>65</v>
      </c>
      <c r="L397" s="82">
        <v>397</v>
      </c>
      <c r="M397" s="82"/>
      <c r="N397" s="76"/>
      <c r="O397" s="84" t="s">
        <v>441</v>
      </c>
      <c r="P397" s="86">
        <v>44081.71693287037</v>
      </c>
      <c r="Q397" s="84" t="s">
        <v>448</v>
      </c>
      <c r="R397" s="87" t="str">
        <f>HYPERLINK("https://www.peoplematters.in/news/technology/job-searches-in-artificial-intelligence-rise-106-in-one-year-report-26898")</f>
        <v>https://www.peoplematters.in/news/technology/job-searches-in-artificial-intelligence-rise-106-in-one-year-report-26898</v>
      </c>
      <c r="S397" s="84" t="s">
        <v>532</v>
      </c>
      <c r="T397" s="84" t="s">
        <v>619</v>
      </c>
      <c r="U397" s="87" t="str">
        <f>HYPERLINK("https://pbs.twimg.com/media/EhVAOmdWoAAOQiY.jpg")</f>
        <v>https://pbs.twimg.com/media/EhVAOmdWoAAOQiY.jpg</v>
      </c>
      <c r="V397" s="87" t="str">
        <f>HYPERLINK("https://pbs.twimg.com/media/EhVAOmdWoAAOQiY.jpg")</f>
        <v>https://pbs.twimg.com/media/EhVAOmdWoAAOQiY.jpg</v>
      </c>
      <c r="W397" s="86">
        <v>44081.71693287037</v>
      </c>
      <c r="X397" s="90">
        <v>44081</v>
      </c>
      <c r="Y397" s="92" t="s">
        <v>851</v>
      </c>
      <c r="Z397" s="87" t="str">
        <f>HYPERLINK("https://twitter.com/fabriziobustama/status/1303018290026106884")</f>
        <v>https://twitter.com/fabriziobustama/status/1303018290026106884</v>
      </c>
      <c r="AA397" s="84"/>
      <c r="AB397" s="84"/>
      <c r="AC397" s="92" t="s">
        <v>1248</v>
      </c>
      <c r="AD397" s="84"/>
      <c r="AE397" s="84" t="b">
        <v>0</v>
      </c>
      <c r="AF397" s="84">
        <v>22</v>
      </c>
      <c r="AG397" s="92" t="s">
        <v>1453</v>
      </c>
      <c r="AH397" s="84" t="b">
        <v>0</v>
      </c>
      <c r="AI397" s="84" t="s">
        <v>1456</v>
      </c>
      <c r="AJ397" s="84"/>
      <c r="AK397" s="92" t="s">
        <v>1453</v>
      </c>
      <c r="AL397" s="84" t="b">
        <v>0</v>
      </c>
      <c r="AM397" s="84">
        <v>25</v>
      </c>
      <c r="AN397" s="92" t="s">
        <v>1453</v>
      </c>
      <c r="AO397" s="84" t="s">
        <v>1464</v>
      </c>
      <c r="AP397" s="84" t="b">
        <v>0</v>
      </c>
      <c r="AQ397" s="92" t="s">
        <v>1248</v>
      </c>
      <c r="AR397" s="84" t="s">
        <v>187</v>
      </c>
      <c r="AS397" s="84">
        <v>0</v>
      </c>
      <c r="AT397" s="84">
        <v>0</v>
      </c>
      <c r="AU397" s="84"/>
      <c r="AV397" s="84"/>
      <c r="AW397" s="84"/>
      <c r="AX397" s="84"/>
      <c r="AY397" s="84"/>
      <c r="AZ397" s="84"/>
      <c r="BA397" s="84"/>
      <c r="BB397" s="84"/>
      <c r="BC397">
        <v>1</v>
      </c>
      <c r="BD397" s="83" t="str">
        <f>REPLACE(INDEX(GroupVertices[Group],MATCH(Edges[[#This Row],[Vertex 1]],GroupVertices[Vertex],0)),1,1,"")</f>
        <v>4</v>
      </c>
      <c r="BE397" s="83" t="str">
        <f>REPLACE(INDEX(GroupVertices[Group],MATCH(Edges[[#This Row],[Vertex 2]],GroupVertices[Vertex],0)),1,1,"")</f>
        <v>4</v>
      </c>
      <c r="BF397" s="49"/>
      <c r="BG397" s="50"/>
      <c r="BH397" s="49"/>
      <c r="BI397" s="50"/>
      <c r="BJ397" s="49"/>
      <c r="BK397" s="50"/>
      <c r="BL397" s="49"/>
      <c r="BM397" s="50"/>
      <c r="BN397" s="49"/>
    </row>
    <row r="398" spans="1:66" ht="15">
      <c r="A398" s="68" t="s">
        <v>384</v>
      </c>
      <c r="B398" s="68" t="s">
        <v>431</v>
      </c>
      <c r="C398" s="69" t="s">
        <v>5208</v>
      </c>
      <c r="D398" s="70">
        <v>1</v>
      </c>
      <c r="E398" s="71" t="s">
        <v>132</v>
      </c>
      <c r="F398" s="72">
        <v>32</v>
      </c>
      <c r="G398" s="69" t="s">
        <v>51</v>
      </c>
      <c r="H398" s="73"/>
      <c r="I398" s="74"/>
      <c r="J398" s="74"/>
      <c r="K398" s="35" t="s">
        <v>65</v>
      </c>
      <c r="L398" s="82">
        <v>398</v>
      </c>
      <c r="M398" s="82"/>
      <c r="N398" s="76"/>
      <c r="O398" s="84" t="s">
        <v>440</v>
      </c>
      <c r="P398" s="86">
        <v>44082.14244212963</v>
      </c>
      <c r="Q398" s="84" t="s">
        <v>448</v>
      </c>
      <c r="R398" s="87" t="str">
        <f>HYPERLINK("https://www.peoplematters.in/news/technology/job-searches-in-artificial-intelligence-rise-106-in-one-year-report-26898")</f>
        <v>https://www.peoplematters.in/news/technology/job-searches-in-artificial-intelligence-rise-106-in-one-year-report-26898</v>
      </c>
      <c r="S398" s="84" t="s">
        <v>532</v>
      </c>
      <c r="T398" s="84" t="s">
        <v>568</v>
      </c>
      <c r="U398" s="87" t="str">
        <f>HYPERLINK("https://pbs.twimg.com/media/EhVAOmdWoAAOQiY.jpg")</f>
        <v>https://pbs.twimg.com/media/EhVAOmdWoAAOQiY.jpg</v>
      </c>
      <c r="V398" s="87" t="str">
        <f>HYPERLINK("https://pbs.twimg.com/media/EhVAOmdWoAAOQiY.jpg")</f>
        <v>https://pbs.twimg.com/media/EhVAOmdWoAAOQiY.jpg</v>
      </c>
      <c r="W398" s="86">
        <v>44082.14244212963</v>
      </c>
      <c r="X398" s="90">
        <v>44082</v>
      </c>
      <c r="Y398" s="92" t="s">
        <v>852</v>
      </c>
      <c r="Z398" s="87" t="str">
        <f>HYPERLINK("https://twitter.com/fabriziobustama/status/1303172486956290054")</f>
        <v>https://twitter.com/fabriziobustama/status/1303172486956290054</v>
      </c>
      <c r="AA398" s="84"/>
      <c r="AB398" s="84"/>
      <c r="AC398" s="92" t="s">
        <v>1249</v>
      </c>
      <c r="AD398" s="84"/>
      <c r="AE398" s="84" t="b">
        <v>0</v>
      </c>
      <c r="AF398" s="84">
        <v>0</v>
      </c>
      <c r="AG398" s="92" t="s">
        <v>1453</v>
      </c>
      <c r="AH398" s="84" t="b">
        <v>0</v>
      </c>
      <c r="AI398" s="84" t="s">
        <v>1456</v>
      </c>
      <c r="AJ398" s="84"/>
      <c r="AK398" s="92" t="s">
        <v>1453</v>
      </c>
      <c r="AL398" s="84" t="b">
        <v>0</v>
      </c>
      <c r="AM398" s="84">
        <v>25</v>
      </c>
      <c r="AN398" s="92" t="s">
        <v>1248</v>
      </c>
      <c r="AO398" s="84" t="s">
        <v>1464</v>
      </c>
      <c r="AP398" s="84" t="b">
        <v>0</v>
      </c>
      <c r="AQ398" s="92" t="s">
        <v>1248</v>
      </c>
      <c r="AR398" s="84" t="s">
        <v>187</v>
      </c>
      <c r="AS398" s="84">
        <v>0</v>
      </c>
      <c r="AT398" s="84">
        <v>0</v>
      </c>
      <c r="AU398" s="84"/>
      <c r="AV398" s="84"/>
      <c r="AW398" s="84"/>
      <c r="AX398" s="84"/>
      <c r="AY398" s="84"/>
      <c r="AZ398" s="84"/>
      <c r="BA398" s="84"/>
      <c r="BB398" s="84"/>
      <c r="BC398">
        <v>1</v>
      </c>
      <c r="BD398" s="83" t="str">
        <f>REPLACE(INDEX(GroupVertices[Group],MATCH(Edges[[#This Row],[Vertex 1]],GroupVertices[Vertex],0)),1,1,"")</f>
        <v>4</v>
      </c>
      <c r="BE398" s="83" t="str">
        <f>REPLACE(INDEX(GroupVertices[Group],MATCH(Edges[[#This Row],[Vertex 2]],GroupVertices[Vertex],0)),1,1,"")</f>
        <v>4</v>
      </c>
      <c r="BF398" s="49"/>
      <c r="BG398" s="50"/>
      <c r="BH398" s="49"/>
      <c r="BI398" s="50"/>
      <c r="BJ398" s="49"/>
      <c r="BK398" s="50"/>
      <c r="BL398" s="49"/>
      <c r="BM398" s="50"/>
      <c r="BN398" s="49"/>
    </row>
    <row r="399" spans="1:66" ht="15">
      <c r="A399" s="68" t="s">
        <v>386</v>
      </c>
      <c r="B399" s="68" t="s">
        <v>431</v>
      </c>
      <c r="C399" s="69" t="s">
        <v>5209</v>
      </c>
      <c r="D399" s="70">
        <v>6.678367782143116</v>
      </c>
      <c r="E399" s="71" t="s">
        <v>132</v>
      </c>
      <c r="F399" s="72">
        <v>21</v>
      </c>
      <c r="G399" s="69" t="s">
        <v>51</v>
      </c>
      <c r="H399" s="73"/>
      <c r="I399" s="74"/>
      <c r="J399" s="74"/>
      <c r="K399" s="35" t="s">
        <v>65</v>
      </c>
      <c r="L399" s="82">
        <v>399</v>
      </c>
      <c r="M399" s="82"/>
      <c r="N399" s="76"/>
      <c r="O399" s="84" t="s">
        <v>440</v>
      </c>
      <c r="P399" s="86">
        <v>44081.72045138889</v>
      </c>
      <c r="Q399" s="84" t="s">
        <v>448</v>
      </c>
      <c r="R399" s="87" t="str">
        <f>HYPERLINK("https://www.peoplematters.in/news/technology/job-searches-in-artificial-intelligence-rise-106-in-one-year-report-26898")</f>
        <v>https://www.peoplematters.in/news/technology/job-searches-in-artificial-intelligence-rise-106-in-one-year-report-26898</v>
      </c>
      <c r="S399" s="84" t="s">
        <v>532</v>
      </c>
      <c r="T399" s="84" t="s">
        <v>568</v>
      </c>
      <c r="U399" s="87" t="str">
        <f>HYPERLINK("https://pbs.twimg.com/media/EhVAOmdWoAAOQiY.jpg")</f>
        <v>https://pbs.twimg.com/media/EhVAOmdWoAAOQiY.jpg</v>
      </c>
      <c r="V399" s="87" t="str">
        <f>HYPERLINK("https://pbs.twimg.com/media/EhVAOmdWoAAOQiY.jpg")</f>
        <v>https://pbs.twimg.com/media/EhVAOmdWoAAOQiY.jpg</v>
      </c>
      <c r="W399" s="86">
        <v>44081.72045138889</v>
      </c>
      <c r="X399" s="90">
        <v>44081</v>
      </c>
      <c r="Y399" s="92" t="s">
        <v>854</v>
      </c>
      <c r="Z399" s="87" t="str">
        <f>HYPERLINK("https://twitter.com/hubofml/status/1303019562942763008")</f>
        <v>https://twitter.com/hubofml/status/1303019562942763008</v>
      </c>
      <c r="AA399" s="84"/>
      <c r="AB399" s="84"/>
      <c r="AC399" s="92" t="s">
        <v>1251</v>
      </c>
      <c r="AD399" s="84"/>
      <c r="AE399" s="84" t="b">
        <v>0</v>
      </c>
      <c r="AF399" s="84">
        <v>0</v>
      </c>
      <c r="AG399" s="92" t="s">
        <v>1453</v>
      </c>
      <c r="AH399" s="84" t="b">
        <v>0</v>
      </c>
      <c r="AI399" s="84" t="s">
        <v>1456</v>
      </c>
      <c r="AJ399" s="84"/>
      <c r="AK399" s="92" t="s">
        <v>1453</v>
      </c>
      <c r="AL399" s="84" t="b">
        <v>0</v>
      </c>
      <c r="AM399" s="84">
        <v>25</v>
      </c>
      <c r="AN399" s="92" t="s">
        <v>1248</v>
      </c>
      <c r="AO399" s="84" t="s">
        <v>386</v>
      </c>
      <c r="AP399" s="84" t="b">
        <v>0</v>
      </c>
      <c r="AQ399" s="92" t="s">
        <v>1248</v>
      </c>
      <c r="AR399" s="84" t="s">
        <v>187</v>
      </c>
      <c r="AS399" s="84">
        <v>0</v>
      </c>
      <c r="AT399" s="84">
        <v>0</v>
      </c>
      <c r="AU399" s="84"/>
      <c r="AV399" s="84"/>
      <c r="AW399" s="84"/>
      <c r="AX399" s="84"/>
      <c r="AY399" s="84"/>
      <c r="AZ399" s="84"/>
      <c r="BA399" s="84"/>
      <c r="BB399" s="84"/>
      <c r="BC399">
        <v>2</v>
      </c>
      <c r="BD399" s="83" t="str">
        <f>REPLACE(INDEX(GroupVertices[Group],MATCH(Edges[[#This Row],[Vertex 1]],GroupVertices[Vertex],0)),1,1,"")</f>
        <v>5</v>
      </c>
      <c r="BE399" s="83" t="str">
        <f>REPLACE(INDEX(GroupVertices[Group],MATCH(Edges[[#This Row],[Vertex 2]],GroupVertices[Vertex],0)),1,1,"")</f>
        <v>4</v>
      </c>
      <c r="BF399" s="49"/>
      <c r="BG399" s="50"/>
      <c r="BH399" s="49"/>
      <c r="BI399" s="50"/>
      <c r="BJ399" s="49"/>
      <c r="BK399" s="50"/>
      <c r="BL399" s="49"/>
      <c r="BM399" s="50"/>
      <c r="BN399" s="49"/>
    </row>
    <row r="400" spans="1:66" ht="15">
      <c r="A400" s="68" t="s">
        <v>386</v>
      </c>
      <c r="B400" s="68" t="s">
        <v>431</v>
      </c>
      <c r="C400" s="69" t="s">
        <v>5209</v>
      </c>
      <c r="D400" s="70">
        <v>6.678367782143116</v>
      </c>
      <c r="E400" s="71" t="s">
        <v>132</v>
      </c>
      <c r="F400" s="72">
        <v>21</v>
      </c>
      <c r="G400" s="69" t="s">
        <v>51</v>
      </c>
      <c r="H400" s="73"/>
      <c r="I400" s="74"/>
      <c r="J400" s="74"/>
      <c r="K400" s="35" t="s">
        <v>65</v>
      </c>
      <c r="L400" s="82">
        <v>400</v>
      </c>
      <c r="M400" s="82"/>
      <c r="N400" s="76"/>
      <c r="O400" s="84" t="s">
        <v>440</v>
      </c>
      <c r="P400" s="86">
        <v>44082.62331018518</v>
      </c>
      <c r="Q400" s="84" t="s">
        <v>448</v>
      </c>
      <c r="R400" s="87" t="str">
        <f>HYPERLINK("https://www.peoplematters.in/news/technology/job-searches-in-artificial-intelligence-rise-106-in-one-year-report-26898")</f>
        <v>https://www.peoplematters.in/news/technology/job-searches-in-artificial-intelligence-rise-106-in-one-year-report-26898</v>
      </c>
      <c r="S400" s="84" t="s">
        <v>532</v>
      </c>
      <c r="T400" s="84" t="s">
        <v>568</v>
      </c>
      <c r="U400" s="87" t="str">
        <f>HYPERLINK("https://pbs.twimg.com/media/EhVAOmdWoAAOQiY.jpg")</f>
        <v>https://pbs.twimg.com/media/EhVAOmdWoAAOQiY.jpg</v>
      </c>
      <c r="V400" s="87" t="str">
        <f>HYPERLINK("https://pbs.twimg.com/media/EhVAOmdWoAAOQiY.jpg")</f>
        <v>https://pbs.twimg.com/media/EhVAOmdWoAAOQiY.jpg</v>
      </c>
      <c r="W400" s="86">
        <v>44082.62331018518</v>
      </c>
      <c r="X400" s="90">
        <v>44082</v>
      </c>
      <c r="Y400" s="92" t="s">
        <v>855</v>
      </c>
      <c r="Z400" s="87" t="str">
        <f>HYPERLINK("https://twitter.com/hubofml/status/1303346747805138946")</f>
        <v>https://twitter.com/hubofml/status/1303346747805138946</v>
      </c>
      <c r="AA400" s="84"/>
      <c r="AB400" s="84"/>
      <c r="AC400" s="92" t="s">
        <v>1252</v>
      </c>
      <c r="AD400" s="84"/>
      <c r="AE400" s="84" t="b">
        <v>0</v>
      </c>
      <c r="AF400" s="84">
        <v>0</v>
      </c>
      <c r="AG400" s="92" t="s">
        <v>1453</v>
      </c>
      <c r="AH400" s="84" t="b">
        <v>0</v>
      </c>
      <c r="AI400" s="84" t="s">
        <v>1456</v>
      </c>
      <c r="AJ400" s="84"/>
      <c r="AK400" s="92" t="s">
        <v>1453</v>
      </c>
      <c r="AL400" s="84" t="b">
        <v>0</v>
      </c>
      <c r="AM400" s="84">
        <v>25</v>
      </c>
      <c r="AN400" s="92" t="s">
        <v>1248</v>
      </c>
      <c r="AO400" s="84" t="s">
        <v>386</v>
      </c>
      <c r="AP400" s="84" t="b">
        <v>0</v>
      </c>
      <c r="AQ400" s="92" t="s">
        <v>1248</v>
      </c>
      <c r="AR400" s="84" t="s">
        <v>187</v>
      </c>
      <c r="AS400" s="84">
        <v>0</v>
      </c>
      <c r="AT400" s="84">
        <v>0</v>
      </c>
      <c r="AU400" s="84"/>
      <c r="AV400" s="84"/>
      <c r="AW400" s="84"/>
      <c r="AX400" s="84"/>
      <c r="AY400" s="84"/>
      <c r="AZ400" s="84"/>
      <c r="BA400" s="84"/>
      <c r="BB400" s="84"/>
      <c r="BC400">
        <v>2</v>
      </c>
      <c r="BD400" s="83" t="str">
        <f>REPLACE(INDEX(GroupVertices[Group],MATCH(Edges[[#This Row],[Vertex 1]],GroupVertices[Vertex],0)),1,1,"")</f>
        <v>5</v>
      </c>
      <c r="BE400" s="83" t="str">
        <f>REPLACE(INDEX(GroupVertices[Group],MATCH(Edges[[#This Row],[Vertex 2]],GroupVertices[Vertex],0)),1,1,"")</f>
        <v>4</v>
      </c>
      <c r="BF400" s="49"/>
      <c r="BG400" s="50"/>
      <c r="BH400" s="49"/>
      <c r="BI400" s="50"/>
      <c r="BJ400" s="49"/>
      <c r="BK400" s="50"/>
      <c r="BL400" s="49"/>
      <c r="BM400" s="50"/>
      <c r="BN400" s="49"/>
    </row>
    <row r="401" spans="1:66" ht="15">
      <c r="A401" s="68" t="s">
        <v>384</v>
      </c>
      <c r="B401" s="68" t="s">
        <v>432</v>
      </c>
      <c r="C401" s="69" t="s">
        <v>5208</v>
      </c>
      <c r="D401" s="70">
        <v>1</v>
      </c>
      <c r="E401" s="71" t="s">
        <v>132</v>
      </c>
      <c r="F401" s="72">
        <v>32</v>
      </c>
      <c r="G401" s="69" t="s">
        <v>51</v>
      </c>
      <c r="H401" s="73"/>
      <c r="I401" s="74"/>
      <c r="J401" s="74"/>
      <c r="K401" s="35" t="s">
        <v>65</v>
      </c>
      <c r="L401" s="82">
        <v>401</v>
      </c>
      <c r="M401" s="82"/>
      <c r="N401" s="76"/>
      <c r="O401" s="84" t="s">
        <v>441</v>
      </c>
      <c r="P401" s="86">
        <v>44081.71693287037</v>
      </c>
      <c r="Q401" s="84" t="s">
        <v>448</v>
      </c>
      <c r="R401" s="87" t="str">
        <f>HYPERLINK("https://www.peoplematters.in/news/technology/job-searches-in-artificial-intelligence-rise-106-in-one-year-report-26898")</f>
        <v>https://www.peoplematters.in/news/technology/job-searches-in-artificial-intelligence-rise-106-in-one-year-report-26898</v>
      </c>
      <c r="S401" s="84" t="s">
        <v>532</v>
      </c>
      <c r="T401" s="84" t="s">
        <v>619</v>
      </c>
      <c r="U401" s="87" t="str">
        <f>HYPERLINK("https://pbs.twimg.com/media/EhVAOmdWoAAOQiY.jpg")</f>
        <v>https://pbs.twimg.com/media/EhVAOmdWoAAOQiY.jpg</v>
      </c>
      <c r="V401" s="87" t="str">
        <f>HYPERLINK("https://pbs.twimg.com/media/EhVAOmdWoAAOQiY.jpg")</f>
        <v>https://pbs.twimg.com/media/EhVAOmdWoAAOQiY.jpg</v>
      </c>
      <c r="W401" s="86">
        <v>44081.71693287037</v>
      </c>
      <c r="X401" s="90">
        <v>44081</v>
      </c>
      <c r="Y401" s="92" t="s">
        <v>851</v>
      </c>
      <c r="Z401" s="87" t="str">
        <f>HYPERLINK("https://twitter.com/fabriziobustama/status/1303018290026106884")</f>
        <v>https://twitter.com/fabriziobustama/status/1303018290026106884</v>
      </c>
      <c r="AA401" s="84"/>
      <c r="AB401" s="84"/>
      <c r="AC401" s="92" t="s">
        <v>1248</v>
      </c>
      <c r="AD401" s="84"/>
      <c r="AE401" s="84" t="b">
        <v>0</v>
      </c>
      <c r="AF401" s="84">
        <v>22</v>
      </c>
      <c r="AG401" s="92" t="s">
        <v>1453</v>
      </c>
      <c r="AH401" s="84" t="b">
        <v>0</v>
      </c>
      <c r="AI401" s="84" t="s">
        <v>1456</v>
      </c>
      <c r="AJ401" s="84"/>
      <c r="AK401" s="92" t="s">
        <v>1453</v>
      </c>
      <c r="AL401" s="84" t="b">
        <v>0</v>
      </c>
      <c r="AM401" s="84">
        <v>25</v>
      </c>
      <c r="AN401" s="92" t="s">
        <v>1453</v>
      </c>
      <c r="AO401" s="84" t="s">
        <v>1464</v>
      </c>
      <c r="AP401" s="84" t="b">
        <v>0</v>
      </c>
      <c r="AQ401" s="92" t="s">
        <v>1248</v>
      </c>
      <c r="AR401" s="84" t="s">
        <v>187</v>
      </c>
      <c r="AS401" s="84">
        <v>0</v>
      </c>
      <c r="AT401" s="84">
        <v>0</v>
      </c>
      <c r="AU401" s="84"/>
      <c r="AV401" s="84"/>
      <c r="AW401" s="84"/>
      <c r="AX401" s="84"/>
      <c r="AY401" s="84"/>
      <c r="AZ401" s="84"/>
      <c r="BA401" s="84"/>
      <c r="BB401" s="84"/>
      <c r="BC401">
        <v>1</v>
      </c>
      <c r="BD401" s="83" t="str">
        <f>REPLACE(INDEX(GroupVertices[Group],MATCH(Edges[[#This Row],[Vertex 1]],GroupVertices[Vertex],0)),1,1,"")</f>
        <v>4</v>
      </c>
      <c r="BE401" s="83" t="str">
        <f>REPLACE(INDEX(GroupVertices[Group],MATCH(Edges[[#This Row],[Vertex 2]],GroupVertices[Vertex],0)),1,1,"")</f>
        <v>4</v>
      </c>
      <c r="BF401" s="49">
        <v>0</v>
      </c>
      <c r="BG401" s="50">
        <v>0</v>
      </c>
      <c r="BH401" s="49">
        <v>0</v>
      </c>
      <c r="BI401" s="50">
        <v>0</v>
      </c>
      <c r="BJ401" s="49">
        <v>0</v>
      </c>
      <c r="BK401" s="50">
        <v>0</v>
      </c>
      <c r="BL401" s="49">
        <v>28</v>
      </c>
      <c r="BM401" s="50">
        <v>100</v>
      </c>
      <c r="BN401" s="49">
        <v>28</v>
      </c>
    </row>
    <row r="402" spans="1:66" ht="15">
      <c r="A402" s="68" t="s">
        <v>384</v>
      </c>
      <c r="B402" s="68" t="s">
        <v>432</v>
      </c>
      <c r="C402" s="69" t="s">
        <v>5208</v>
      </c>
      <c r="D402" s="70">
        <v>1</v>
      </c>
      <c r="E402" s="71" t="s">
        <v>132</v>
      </c>
      <c r="F402" s="72">
        <v>32</v>
      </c>
      <c r="G402" s="69" t="s">
        <v>51</v>
      </c>
      <c r="H402" s="73"/>
      <c r="I402" s="74"/>
      <c r="J402" s="74"/>
      <c r="K402" s="35" t="s">
        <v>65</v>
      </c>
      <c r="L402" s="82">
        <v>402</v>
      </c>
      <c r="M402" s="82"/>
      <c r="N402" s="76"/>
      <c r="O402" s="84" t="s">
        <v>440</v>
      </c>
      <c r="P402" s="86">
        <v>44082.14244212963</v>
      </c>
      <c r="Q402" s="84" t="s">
        <v>448</v>
      </c>
      <c r="R402" s="87" t="str">
        <f>HYPERLINK("https://www.peoplematters.in/news/technology/job-searches-in-artificial-intelligence-rise-106-in-one-year-report-26898")</f>
        <v>https://www.peoplematters.in/news/technology/job-searches-in-artificial-intelligence-rise-106-in-one-year-report-26898</v>
      </c>
      <c r="S402" s="84" t="s">
        <v>532</v>
      </c>
      <c r="T402" s="84" t="s">
        <v>568</v>
      </c>
      <c r="U402" s="87" t="str">
        <f>HYPERLINK("https://pbs.twimg.com/media/EhVAOmdWoAAOQiY.jpg")</f>
        <v>https://pbs.twimg.com/media/EhVAOmdWoAAOQiY.jpg</v>
      </c>
      <c r="V402" s="87" t="str">
        <f>HYPERLINK("https://pbs.twimg.com/media/EhVAOmdWoAAOQiY.jpg")</f>
        <v>https://pbs.twimg.com/media/EhVAOmdWoAAOQiY.jpg</v>
      </c>
      <c r="W402" s="86">
        <v>44082.14244212963</v>
      </c>
      <c r="X402" s="90">
        <v>44082</v>
      </c>
      <c r="Y402" s="92" t="s">
        <v>852</v>
      </c>
      <c r="Z402" s="87" t="str">
        <f>HYPERLINK("https://twitter.com/fabriziobustama/status/1303172486956290054")</f>
        <v>https://twitter.com/fabriziobustama/status/1303172486956290054</v>
      </c>
      <c r="AA402" s="84"/>
      <c r="AB402" s="84"/>
      <c r="AC402" s="92" t="s">
        <v>1249</v>
      </c>
      <c r="AD402" s="84"/>
      <c r="AE402" s="84" t="b">
        <v>0</v>
      </c>
      <c r="AF402" s="84">
        <v>0</v>
      </c>
      <c r="AG402" s="92" t="s">
        <v>1453</v>
      </c>
      <c r="AH402" s="84" t="b">
        <v>0</v>
      </c>
      <c r="AI402" s="84" t="s">
        <v>1456</v>
      </c>
      <c r="AJ402" s="84"/>
      <c r="AK402" s="92" t="s">
        <v>1453</v>
      </c>
      <c r="AL402" s="84" t="b">
        <v>0</v>
      </c>
      <c r="AM402" s="84">
        <v>25</v>
      </c>
      <c r="AN402" s="92" t="s">
        <v>1248</v>
      </c>
      <c r="AO402" s="84" t="s">
        <v>1464</v>
      </c>
      <c r="AP402" s="84" t="b">
        <v>0</v>
      </c>
      <c r="AQ402" s="92" t="s">
        <v>1248</v>
      </c>
      <c r="AR402" s="84" t="s">
        <v>187</v>
      </c>
      <c r="AS402" s="84">
        <v>0</v>
      </c>
      <c r="AT402" s="84">
        <v>0</v>
      </c>
      <c r="AU402" s="84"/>
      <c r="AV402" s="84"/>
      <c r="AW402" s="84"/>
      <c r="AX402" s="84"/>
      <c r="AY402" s="84"/>
      <c r="AZ402" s="84"/>
      <c r="BA402" s="84"/>
      <c r="BB402" s="84"/>
      <c r="BC402">
        <v>1</v>
      </c>
      <c r="BD402" s="83" t="str">
        <f>REPLACE(INDEX(GroupVertices[Group],MATCH(Edges[[#This Row],[Vertex 1]],GroupVertices[Vertex],0)),1,1,"")</f>
        <v>4</v>
      </c>
      <c r="BE402" s="83" t="str">
        <f>REPLACE(INDEX(GroupVertices[Group],MATCH(Edges[[#This Row],[Vertex 2]],GroupVertices[Vertex],0)),1,1,"")</f>
        <v>4</v>
      </c>
      <c r="BF402" s="49"/>
      <c r="BG402" s="50"/>
      <c r="BH402" s="49"/>
      <c r="BI402" s="50"/>
      <c r="BJ402" s="49"/>
      <c r="BK402" s="50"/>
      <c r="BL402" s="49"/>
      <c r="BM402" s="50"/>
      <c r="BN402" s="49"/>
    </row>
    <row r="403" spans="1:66" ht="15">
      <c r="A403" s="68" t="s">
        <v>386</v>
      </c>
      <c r="B403" s="68" t="s">
        <v>432</v>
      </c>
      <c r="C403" s="69" t="s">
        <v>5209</v>
      </c>
      <c r="D403" s="70">
        <v>6.678367782143116</v>
      </c>
      <c r="E403" s="71" t="s">
        <v>132</v>
      </c>
      <c r="F403" s="72">
        <v>21</v>
      </c>
      <c r="G403" s="69" t="s">
        <v>51</v>
      </c>
      <c r="H403" s="73"/>
      <c r="I403" s="74"/>
      <c r="J403" s="74"/>
      <c r="K403" s="35" t="s">
        <v>65</v>
      </c>
      <c r="L403" s="82">
        <v>403</v>
      </c>
      <c r="M403" s="82"/>
      <c r="N403" s="76"/>
      <c r="O403" s="84" t="s">
        <v>440</v>
      </c>
      <c r="P403" s="86">
        <v>44081.72045138889</v>
      </c>
      <c r="Q403" s="84" t="s">
        <v>448</v>
      </c>
      <c r="R403" s="87" t="str">
        <f>HYPERLINK("https://www.peoplematters.in/news/technology/job-searches-in-artificial-intelligence-rise-106-in-one-year-report-26898")</f>
        <v>https://www.peoplematters.in/news/technology/job-searches-in-artificial-intelligence-rise-106-in-one-year-report-26898</v>
      </c>
      <c r="S403" s="84" t="s">
        <v>532</v>
      </c>
      <c r="T403" s="84" t="s">
        <v>568</v>
      </c>
      <c r="U403" s="87" t="str">
        <f>HYPERLINK("https://pbs.twimg.com/media/EhVAOmdWoAAOQiY.jpg")</f>
        <v>https://pbs.twimg.com/media/EhVAOmdWoAAOQiY.jpg</v>
      </c>
      <c r="V403" s="87" t="str">
        <f>HYPERLINK("https://pbs.twimg.com/media/EhVAOmdWoAAOQiY.jpg")</f>
        <v>https://pbs.twimg.com/media/EhVAOmdWoAAOQiY.jpg</v>
      </c>
      <c r="W403" s="86">
        <v>44081.72045138889</v>
      </c>
      <c r="X403" s="90">
        <v>44081</v>
      </c>
      <c r="Y403" s="92" t="s">
        <v>854</v>
      </c>
      <c r="Z403" s="87" t="str">
        <f>HYPERLINK("https://twitter.com/hubofml/status/1303019562942763008")</f>
        <v>https://twitter.com/hubofml/status/1303019562942763008</v>
      </c>
      <c r="AA403" s="84"/>
      <c r="AB403" s="84"/>
      <c r="AC403" s="92" t="s">
        <v>1251</v>
      </c>
      <c r="AD403" s="84"/>
      <c r="AE403" s="84" t="b">
        <v>0</v>
      </c>
      <c r="AF403" s="84">
        <v>0</v>
      </c>
      <c r="AG403" s="92" t="s">
        <v>1453</v>
      </c>
      <c r="AH403" s="84" t="b">
        <v>0</v>
      </c>
      <c r="AI403" s="84" t="s">
        <v>1456</v>
      </c>
      <c r="AJ403" s="84"/>
      <c r="AK403" s="92" t="s">
        <v>1453</v>
      </c>
      <c r="AL403" s="84" t="b">
        <v>0</v>
      </c>
      <c r="AM403" s="84">
        <v>25</v>
      </c>
      <c r="AN403" s="92" t="s">
        <v>1248</v>
      </c>
      <c r="AO403" s="84" t="s">
        <v>386</v>
      </c>
      <c r="AP403" s="84" t="b">
        <v>0</v>
      </c>
      <c r="AQ403" s="92" t="s">
        <v>1248</v>
      </c>
      <c r="AR403" s="84" t="s">
        <v>187</v>
      </c>
      <c r="AS403" s="84">
        <v>0</v>
      </c>
      <c r="AT403" s="84">
        <v>0</v>
      </c>
      <c r="AU403" s="84"/>
      <c r="AV403" s="84"/>
      <c r="AW403" s="84"/>
      <c r="AX403" s="84"/>
      <c r="AY403" s="84"/>
      <c r="AZ403" s="84"/>
      <c r="BA403" s="84"/>
      <c r="BB403" s="84"/>
      <c r="BC403">
        <v>2</v>
      </c>
      <c r="BD403" s="83" t="str">
        <f>REPLACE(INDEX(GroupVertices[Group],MATCH(Edges[[#This Row],[Vertex 1]],GroupVertices[Vertex],0)),1,1,"")</f>
        <v>5</v>
      </c>
      <c r="BE403" s="83" t="str">
        <f>REPLACE(INDEX(GroupVertices[Group],MATCH(Edges[[#This Row],[Vertex 2]],GroupVertices[Vertex],0)),1,1,"")</f>
        <v>4</v>
      </c>
      <c r="BF403" s="49"/>
      <c r="BG403" s="50"/>
      <c r="BH403" s="49"/>
      <c r="BI403" s="50"/>
      <c r="BJ403" s="49"/>
      <c r="BK403" s="50"/>
      <c r="BL403" s="49"/>
      <c r="BM403" s="50"/>
      <c r="BN403" s="49"/>
    </row>
    <row r="404" spans="1:66" ht="15">
      <c r="A404" s="68" t="s">
        <v>386</v>
      </c>
      <c r="B404" s="68" t="s">
        <v>432</v>
      </c>
      <c r="C404" s="69" t="s">
        <v>5209</v>
      </c>
      <c r="D404" s="70">
        <v>6.678367782143116</v>
      </c>
      <c r="E404" s="71" t="s">
        <v>132</v>
      </c>
      <c r="F404" s="72">
        <v>21</v>
      </c>
      <c r="G404" s="69" t="s">
        <v>51</v>
      </c>
      <c r="H404" s="73"/>
      <c r="I404" s="74"/>
      <c r="J404" s="74"/>
      <c r="K404" s="35" t="s">
        <v>65</v>
      </c>
      <c r="L404" s="82">
        <v>404</v>
      </c>
      <c r="M404" s="82"/>
      <c r="N404" s="76"/>
      <c r="O404" s="84" t="s">
        <v>440</v>
      </c>
      <c r="P404" s="86">
        <v>44082.62331018518</v>
      </c>
      <c r="Q404" s="84" t="s">
        <v>448</v>
      </c>
      <c r="R404" s="87" t="str">
        <f>HYPERLINK("https://www.peoplematters.in/news/technology/job-searches-in-artificial-intelligence-rise-106-in-one-year-report-26898")</f>
        <v>https://www.peoplematters.in/news/technology/job-searches-in-artificial-intelligence-rise-106-in-one-year-report-26898</v>
      </c>
      <c r="S404" s="84" t="s">
        <v>532</v>
      </c>
      <c r="T404" s="84" t="s">
        <v>568</v>
      </c>
      <c r="U404" s="87" t="str">
        <f>HYPERLINK("https://pbs.twimg.com/media/EhVAOmdWoAAOQiY.jpg")</f>
        <v>https://pbs.twimg.com/media/EhVAOmdWoAAOQiY.jpg</v>
      </c>
      <c r="V404" s="87" t="str">
        <f>HYPERLINK("https://pbs.twimg.com/media/EhVAOmdWoAAOQiY.jpg")</f>
        <v>https://pbs.twimg.com/media/EhVAOmdWoAAOQiY.jpg</v>
      </c>
      <c r="W404" s="86">
        <v>44082.62331018518</v>
      </c>
      <c r="X404" s="90">
        <v>44082</v>
      </c>
      <c r="Y404" s="92" t="s">
        <v>855</v>
      </c>
      <c r="Z404" s="87" t="str">
        <f>HYPERLINK("https://twitter.com/hubofml/status/1303346747805138946")</f>
        <v>https://twitter.com/hubofml/status/1303346747805138946</v>
      </c>
      <c r="AA404" s="84"/>
      <c r="AB404" s="84"/>
      <c r="AC404" s="92" t="s">
        <v>1252</v>
      </c>
      <c r="AD404" s="84"/>
      <c r="AE404" s="84" t="b">
        <v>0</v>
      </c>
      <c r="AF404" s="84">
        <v>0</v>
      </c>
      <c r="AG404" s="92" t="s">
        <v>1453</v>
      </c>
      <c r="AH404" s="84" t="b">
        <v>0</v>
      </c>
      <c r="AI404" s="84" t="s">
        <v>1456</v>
      </c>
      <c r="AJ404" s="84"/>
      <c r="AK404" s="92" t="s">
        <v>1453</v>
      </c>
      <c r="AL404" s="84" t="b">
        <v>0</v>
      </c>
      <c r="AM404" s="84">
        <v>25</v>
      </c>
      <c r="AN404" s="92" t="s">
        <v>1248</v>
      </c>
      <c r="AO404" s="84" t="s">
        <v>386</v>
      </c>
      <c r="AP404" s="84" t="b">
        <v>0</v>
      </c>
      <c r="AQ404" s="92" t="s">
        <v>1248</v>
      </c>
      <c r="AR404" s="84" t="s">
        <v>187</v>
      </c>
      <c r="AS404" s="84">
        <v>0</v>
      </c>
      <c r="AT404" s="84">
        <v>0</v>
      </c>
      <c r="AU404" s="84"/>
      <c r="AV404" s="84"/>
      <c r="AW404" s="84"/>
      <c r="AX404" s="84"/>
      <c r="AY404" s="84"/>
      <c r="AZ404" s="84"/>
      <c r="BA404" s="84"/>
      <c r="BB404" s="84"/>
      <c r="BC404">
        <v>2</v>
      </c>
      <c r="BD404" s="83" t="str">
        <f>REPLACE(INDEX(GroupVertices[Group],MATCH(Edges[[#This Row],[Vertex 1]],GroupVertices[Vertex],0)),1,1,"")</f>
        <v>5</v>
      </c>
      <c r="BE404" s="83" t="str">
        <f>REPLACE(INDEX(GroupVertices[Group],MATCH(Edges[[#This Row],[Vertex 2]],GroupVertices[Vertex],0)),1,1,"")</f>
        <v>4</v>
      </c>
      <c r="BF404" s="49"/>
      <c r="BG404" s="50"/>
      <c r="BH404" s="49"/>
      <c r="BI404" s="50"/>
      <c r="BJ404" s="49"/>
      <c r="BK404" s="50"/>
      <c r="BL404" s="49"/>
      <c r="BM404" s="50"/>
      <c r="BN404" s="49"/>
    </row>
    <row r="405" spans="1:66" ht="15">
      <c r="A405" s="68" t="s">
        <v>384</v>
      </c>
      <c r="B405" s="68" t="s">
        <v>384</v>
      </c>
      <c r="C405" s="69" t="s">
        <v>5208</v>
      </c>
      <c r="D405" s="70">
        <v>1</v>
      </c>
      <c r="E405" s="71" t="s">
        <v>132</v>
      </c>
      <c r="F405" s="72">
        <v>32</v>
      </c>
      <c r="G405" s="69" t="s">
        <v>51</v>
      </c>
      <c r="H405" s="73"/>
      <c r="I405" s="74"/>
      <c r="J405" s="74"/>
      <c r="K405" s="35" t="s">
        <v>65</v>
      </c>
      <c r="L405" s="82">
        <v>405</v>
      </c>
      <c r="M405" s="82"/>
      <c r="N405" s="76"/>
      <c r="O405" s="84" t="s">
        <v>439</v>
      </c>
      <c r="P405" s="86">
        <v>44082.14244212963</v>
      </c>
      <c r="Q405" s="84" t="s">
        <v>448</v>
      </c>
      <c r="R405" s="87" t="str">
        <f>HYPERLINK("https://www.peoplematters.in/news/technology/job-searches-in-artificial-intelligence-rise-106-in-one-year-report-26898")</f>
        <v>https://www.peoplematters.in/news/technology/job-searches-in-artificial-intelligence-rise-106-in-one-year-report-26898</v>
      </c>
      <c r="S405" s="84" t="s">
        <v>532</v>
      </c>
      <c r="T405" s="84" t="s">
        <v>568</v>
      </c>
      <c r="U405" s="87" t="str">
        <f>HYPERLINK("https://pbs.twimg.com/media/EhVAOmdWoAAOQiY.jpg")</f>
        <v>https://pbs.twimg.com/media/EhVAOmdWoAAOQiY.jpg</v>
      </c>
      <c r="V405" s="87" t="str">
        <f>HYPERLINK("https://pbs.twimg.com/media/EhVAOmdWoAAOQiY.jpg")</f>
        <v>https://pbs.twimg.com/media/EhVAOmdWoAAOQiY.jpg</v>
      </c>
      <c r="W405" s="86">
        <v>44082.14244212963</v>
      </c>
      <c r="X405" s="90">
        <v>44082</v>
      </c>
      <c r="Y405" s="92" t="s">
        <v>852</v>
      </c>
      <c r="Z405" s="87" t="str">
        <f>HYPERLINK("https://twitter.com/fabriziobustama/status/1303172486956290054")</f>
        <v>https://twitter.com/fabriziobustama/status/1303172486956290054</v>
      </c>
      <c r="AA405" s="84"/>
      <c r="AB405" s="84"/>
      <c r="AC405" s="92" t="s">
        <v>1249</v>
      </c>
      <c r="AD405" s="84"/>
      <c r="AE405" s="84" t="b">
        <v>0</v>
      </c>
      <c r="AF405" s="84">
        <v>0</v>
      </c>
      <c r="AG405" s="92" t="s">
        <v>1453</v>
      </c>
      <c r="AH405" s="84" t="b">
        <v>0</v>
      </c>
      <c r="AI405" s="84" t="s">
        <v>1456</v>
      </c>
      <c r="AJ405" s="84"/>
      <c r="AK405" s="92" t="s">
        <v>1453</v>
      </c>
      <c r="AL405" s="84" t="b">
        <v>0</v>
      </c>
      <c r="AM405" s="84">
        <v>25</v>
      </c>
      <c r="AN405" s="92" t="s">
        <v>1248</v>
      </c>
      <c r="AO405" s="84" t="s">
        <v>1464</v>
      </c>
      <c r="AP405" s="84" t="b">
        <v>0</v>
      </c>
      <c r="AQ405" s="92" t="s">
        <v>1248</v>
      </c>
      <c r="AR405" s="84" t="s">
        <v>187</v>
      </c>
      <c r="AS405" s="84">
        <v>0</v>
      </c>
      <c r="AT405" s="84">
        <v>0</v>
      </c>
      <c r="AU405" s="84"/>
      <c r="AV405" s="84"/>
      <c r="AW405" s="84"/>
      <c r="AX405" s="84"/>
      <c r="AY405" s="84"/>
      <c r="AZ405" s="84"/>
      <c r="BA405" s="84"/>
      <c r="BB405" s="84"/>
      <c r="BC405">
        <v>1</v>
      </c>
      <c r="BD405" s="83" t="str">
        <f>REPLACE(INDEX(GroupVertices[Group],MATCH(Edges[[#This Row],[Vertex 1]],GroupVertices[Vertex],0)),1,1,"")</f>
        <v>4</v>
      </c>
      <c r="BE405" s="83" t="str">
        <f>REPLACE(INDEX(GroupVertices[Group],MATCH(Edges[[#This Row],[Vertex 2]],GroupVertices[Vertex],0)),1,1,"")</f>
        <v>4</v>
      </c>
      <c r="BF405" s="49">
        <v>0</v>
      </c>
      <c r="BG405" s="50">
        <v>0</v>
      </c>
      <c r="BH405" s="49">
        <v>0</v>
      </c>
      <c r="BI405" s="50">
        <v>0</v>
      </c>
      <c r="BJ405" s="49">
        <v>0</v>
      </c>
      <c r="BK405" s="50">
        <v>0</v>
      </c>
      <c r="BL405" s="49">
        <v>28</v>
      </c>
      <c r="BM405" s="50">
        <v>100</v>
      </c>
      <c r="BN405" s="49">
        <v>28</v>
      </c>
    </row>
    <row r="406" spans="1:66" ht="15">
      <c r="A406" s="68" t="s">
        <v>386</v>
      </c>
      <c r="B406" s="68" t="s">
        <v>384</v>
      </c>
      <c r="C406" s="69" t="s">
        <v>5209</v>
      </c>
      <c r="D406" s="70">
        <v>6.678367782143116</v>
      </c>
      <c r="E406" s="71" t="s">
        <v>132</v>
      </c>
      <c r="F406" s="72">
        <v>21</v>
      </c>
      <c r="G406" s="69" t="s">
        <v>51</v>
      </c>
      <c r="H406" s="73"/>
      <c r="I406" s="74"/>
      <c r="J406" s="74"/>
      <c r="K406" s="35" t="s">
        <v>65</v>
      </c>
      <c r="L406" s="82">
        <v>406</v>
      </c>
      <c r="M406" s="82"/>
      <c r="N406" s="76"/>
      <c r="O406" s="84" t="s">
        <v>439</v>
      </c>
      <c r="P406" s="86">
        <v>44081.72045138889</v>
      </c>
      <c r="Q406" s="84" t="s">
        <v>448</v>
      </c>
      <c r="R406" s="87" t="str">
        <f>HYPERLINK("https://www.peoplematters.in/news/technology/job-searches-in-artificial-intelligence-rise-106-in-one-year-report-26898")</f>
        <v>https://www.peoplematters.in/news/technology/job-searches-in-artificial-intelligence-rise-106-in-one-year-report-26898</v>
      </c>
      <c r="S406" s="84" t="s">
        <v>532</v>
      </c>
      <c r="T406" s="84" t="s">
        <v>568</v>
      </c>
      <c r="U406" s="87" t="str">
        <f>HYPERLINK("https://pbs.twimg.com/media/EhVAOmdWoAAOQiY.jpg")</f>
        <v>https://pbs.twimg.com/media/EhVAOmdWoAAOQiY.jpg</v>
      </c>
      <c r="V406" s="87" t="str">
        <f>HYPERLINK("https://pbs.twimg.com/media/EhVAOmdWoAAOQiY.jpg")</f>
        <v>https://pbs.twimg.com/media/EhVAOmdWoAAOQiY.jpg</v>
      </c>
      <c r="W406" s="86">
        <v>44081.72045138889</v>
      </c>
      <c r="X406" s="90">
        <v>44081</v>
      </c>
      <c r="Y406" s="92" t="s">
        <v>854</v>
      </c>
      <c r="Z406" s="87" t="str">
        <f>HYPERLINK("https://twitter.com/hubofml/status/1303019562942763008")</f>
        <v>https://twitter.com/hubofml/status/1303019562942763008</v>
      </c>
      <c r="AA406" s="84"/>
      <c r="AB406" s="84"/>
      <c r="AC406" s="92" t="s">
        <v>1251</v>
      </c>
      <c r="AD406" s="84"/>
      <c r="AE406" s="84" t="b">
        <v>0</v>
      </c>
      <c r="AF406" s="84">
        <v>0</v>
      </c>
      <c r="AG406" s="92" t="s">
        <v>1453</v>
      </c>
      <c r="AH406" s="84" t="b">
        <v>0</v>
      </c>
      <c r="AI406" s="84" t="s">
        <v>1456</v>
      </c>
      <c r="AJ406" s="84"/>
      <c r="AK406" s="92" t="s">
        <v>1453</v>
      </c>
      <c r="AL406" s="84" t="b">
        <v>0</v>
      </c>
      <c r="AM406" s="84">
        <v>25</v>
      </c>
      <c r="AN406" s="92" t="s">
        <v>1248</v>
      </c>
      <c r="AO406" s="84" t="s">
        <v>386</v>
      </c>
      <c r="AP406" s="84" t="b">
        <v>0</v>
      </c>
      <c r="AQ406" s="92" t="s">
        <v>1248</v>
      </c>
      <c r="AR406" s="84" t="s">
        <v>187</v>
      </c>
      <c r="AS406" s="84">
        <v>0</v>
      </c>
      <c r="AT406" s="84">
        <v>0</v>
      </c>
      <c r="AU406" s="84"/>
      <c r="AV406" s="84"/>
      <c r="AW406" s="84"/>
      <c r="AX406" s="84"/>
      <c r="AY406" s="84"/>
      <c r="AZ406" s="84"/>
      <c r="BA406" s="84"/>
      <c r="BB406" s="84"/>
      <c r="BC406">
        <v>2</v>
      </c>
      <c r="BD406" s="83" t="str">
        <f>REPLACE(INDEX(GroupVertices[Group],MATCH(Edges[[#This Row],[Vertex 1]],GroupVertices[Vertex],0)),1,1,"")</f>
        <v>5</v>
      </c>
      <c r="BE406" s="83" t="str">
        <f>REPLACE(INDEX(GroupVertices[Group],MATCH(Edges[[#This Row],[Vertex 2]],GroupVertices[Vertex],0)),1,1,"")</f>
        <v>4</v>
      </c>
      <c r="BF406" s="49">
        <v>0</v>
      </c>
      <c r="BG406" s="50">
        <v>0</v>
      </c>
      <c r="BH406" s="49">
        <v>0</v>
      </c>
      <c r="BI406" s="50">
        <v>0</v>
      </c>
      <c r="BJ406" s="49">
        <v>0</v>
      </c>
      <c r="BK406" s="50">
        <v>0</v>
      </c>
      <c r="BL406" s="49">
        <v>28</v>
      </c>
      <c r="BM406" s="50">
        <v>100</v>
      </c>
      <c r="BN406" s="49">
        <v>28</v>
      </c>
    </row>
    <row r="407" spans="1:66" ht="15">
      <c r="A407" s="68" t="s">
        <v>386</v>
      </c>
      <c r="B407" s="68" t="s">
        <v>384</v>
      </c>
      <c r="C407" s="69" t="s">
        <v>5209</v>
      </c>
      <c r="D407" s="70">
        <v>6.678367782143116</v>
      </c>
      <c r="E407" s="71" t="s">
        <v>132</v>
      </c>
      <c r="F407" s="72">
        <v>21</v>
      </c>
      <c r="G407" s="69" t="s">
        <v>51</v>
      </c>
      <c r="H407" s="73"/>
      <c r="I407" s="74"/>
      <c r="J407" s="74"/>
      <c r="K407" s="35" t="s">
        <v>65</v>
      </c>
      <c r="L407" s="82">
        <v>407</v>
      </c>
      <c r="M407" s="82"/>
      <c r="N407" s="76"/>
      <c r="O407" s="84" t="s">
        <v>439</v>
      </c>
      <c r="P407" s="86">
        <v>44082.62331018518</v>
      </c>
      <c r="Q407" s="84" t="s">
        <v>448</v>
      </c>
      <c r="R407" s="87" t="str">
        <f>HYPERLINK("https://www.peoplematters.in/news/technology/job-searches-in-artificial-intelligence-rise-106-in-one-year-report-26898")</f>
        <v>https://www.peoplematters.in/news/technology/job-searches-in-artificial-intelligence-rise-106-in-one-year-report-26898</v>
      </c>
      <c r="S407" s="84" t="s">
        <v>532</v>
      </c>
      <c r="T407" s="84" t="s">
        <v>568</v>
      </c>
      <c r="U407" s="87" t="str">
        <f>HYPERLINK("https://pbs.twimg.com/media/EhVAOmdWoAAOQiY.jpg")</f>
        <v>https://pbs.twimg.com/media/EhVAOmdWoAAOQiY.jpg</v>
      </c>
      <c r="V407" s="87" t="str">
        <f>HYPERLINK("https://pbs.twimg.com/media/EhVAOmdWoAAOQiY.jpg")</f>
        <v>https://pbs.twimg.com/media/EhVAOmdWoAAOQiY.jpg</v>
      </c>
      <c r="W407" s="86">
        <v>44082.62331018518</v>
      </c>
      <c r="X407" s="90">
        <v>44082</v>
      </c>
      <c r="Y407" s="92" t="s">
        <v>855</v>
      </c>
      <c r="Z407" s="87" t="str">
        <f>HYPERLINK("https://twitter.com/hubofml/status/1303346747805138946")</f>
        <v>https://twitter.com/hubofml/status/1303346747805138946</v>
      </c>
      <c r="AA407" s="84"/>
      <c r="AB407" s="84"/>
      <c r="AC407" s="92" t="s">
        <v>1252</v>
      </c>
      <c r="AD407" s="84"/>
      <c r="AE407" s="84" t="b">
        <v>0</v>
      </c>
      <c r="AF407" s="84">
        <v>0</v>
      </c>
      <c r="AG407" s="92" t="s">
        <v>1453</v>
      </c>
      <c r="AH407" s="84" t="b">
        <v>0</v>
      </c>
      <c r="AI407" s="84" t="s">
        <v>1456</v>
      </c>
      <c r="AJ407" s="84"/>
      <c r="AK407" s="92" t="s">
        <v>1453</v>
      </c>
      <c r="AL407" s="84" t="b">
        <v>0</v>
      </c>
      <c r="AM407" s="84">
        <v>25</v>
      </c>
      <c r="AN407" s="92" t="s">
        <v>1248</v>
      </c>
      <c r="AO407" s="84" t="s">
        <v>386</v>
      </c>
      <c r="AP407" s="84" t="b">
        <v>0</v>
      </c>
      <c r="AQ407" s="92" t="s">
        <v>1248</v>
      </c>
      <c r="AR407" s="84" t="s">
        <v>187</v>
      </c>
      <c r="AS407" s="84">
        <v>0</v>
      </c>
      <c r="AT407" s="84">
        <v>0</v>
      </c>
      <c r="AU407" s="84"/>
      <c r="AV407" s="84"/>
      <c r="AW407" s="84"/>
      <c r="AX407" s="84"/>
      <c r="AY407" s="84"/>
      <c r="AZ407" s="84"/>
      <c r="BA407" s="84"/>
      <c r="BB407" s="84"/>
      <c r="BC407">
        <v>2</v>
      </c>
      <c r="BD407" s="83" t="str">
        <f>REPLACE(INDEX(GroupVertices[Group],MATCH(Edges[[#This Row],[Vertex 1]],GroupVertices[Vertex],0)),1,1,"")</f>
        <v>5</v>
      </c>
      <c r="BE407" s="83" t="str">
        <f>REPLACE(INDEX(GroupVertices[Group],MATCH(Edges[[#This Row],[Vertex 2]],GroupVertices[Vertex],0)),1,1,"")</f>
        <v>4</v>
      </c>
      <c r="BF407" s="49">
        <v>0</v>
      </c>
      <c r="BG407" s="50">
        <v>0</v>
      </c>
      <c r="BH407" s="49">
        <v>0</v>
      </c>
      <c r="BI407" s="50">
        <v>0</v>
      </c>
      <c r="BJ407" s="49">
        <v>0</v>
      </c>
      <c r="BK407" s="50">
        <v>0</v>
      </c>
      <c r="BL407" s="49">
        <v>28</v>
      </c>
      <c r="BM407" s="50">
        <v>100</v>
      </c>
      <c r="BN407" s="49">
        <v>28</v>
      </c>
    </row>
    <row r="408" spans="1:66" ht="15">
      <c r="A408" s="68" t="s">
        <v>387</v>
      </c>
      <c r="B408" s="68" t="s">
        <v>387</v>
      </c>
      <c r="C408" s="69" t="s">
        <v>5209</v>
      </c>
      <c r="D408" s="70">
        <v>6.678367782143116</v>
      </c>
      <c r="E408" s="71" t="s">
        <v>132</v>
      </c>
      <c r="F408" s="72">
        <v>21</v>
      </c>
      <c r="G408" s="69" t="s">
        <v>51</v>
      </c>
      <c r="H408" s="73"/>
      <c r="I408" s="74"/>
      <c r="J408" s="74"/>
      <c r="K408" s="35" t="s">
        <v>65</v>
      </c>
      <c r="L408" s="82">
        <v>408</v>
      </c>
      <c r="M408" s="82"/>
      <c r="N408" s="76"/>
      <c r="O408" s="84" t="s">
        <v>187</v>
      </c>
      <c r="P408" s="86">
        <v>44082.31313657408</v>
      </c>
      <c r="Q408" s="84" t="s">
        <v>453</v>
      </c>
      <c r="R408" s="87" t="str">
        <f>HYPERLINK("https://www.youtube.com/watch?v=b2mLDkMSyn4&amp;feature=youtu.be&amp;t=510")</f>
        <v>https://www.youtube.com/watch?v=b2mLDkMSyn4&amp;feature=youtu.be&amp;t=510</v>
      </c>
      <c r="S408" s="84" t="s">
        <v>535</v>
      </c>
      <c r="T408" s="84" t="s">
        <v>572</v>
      </c>
      <c r="U408" s="84"/>
      <c r="V408" s="87" t="str">
        <f>HYPERLINK("http://pbs.twimg.com/profile_images/1050418048660791297/l-w9j5Xk_normal.jpg")</f>
        <v>http://pbs.twimg.com/profile_images/1050418048660791297/l-w9j5Xk_normal.jpg</v>
      </c>
      <c r="W408" s="86">
        <v>44082.31313657408</v>
      </c>
      <c r="X408" s="90">
        <v>44082</v>
      </c>
      <c r="Y408" s="92" t="s">
        <v>856</v>
      </c>
      <c r="Z408" s="87" t="str">
        <f>HYPERLINK("https://twitter.com/aakashns/status/1303234343591194629")</f>
        <v>https://twitter.com/aakashns/status/1303234343591194629</v>
      </c>
      <c r="AA408" s="84"/>
      <c r="AB408" s="84"/>
      <c r="AC408" s="92" t="s">
        <v>1253</v>
      </c>
      <c r="AD408" s="84"/>
      <c r="AE408" s="84" t="b">
        <v>0</v>
      </c>
      <c r="AF408" s="84">
        <v>16</v>
      </c>
      <c r="AG408" s="92" t="s">
        <v>1453</v>
      </c>
      <c r="AH408" s="84" t="b">
        <v>0</v>
      </c>
      <c r="AI408" s="84" t="s">
        <v>1456</v>
      </c>
      <c r="AJ408" s="84"/>
      <c r="AK408" s="92" t="s">
        <v>1453</v>
      </c>
      <c r="AL408" s="84" t="b">
        <v>0</v>
      </c>
      <c r="AM408" s="84">
        <v>10</v>
      </c>
      <c r="AN408" s="92" t="s">
        <v>1453</v>
      </c>
      <c r="AO408" s="84" t="s">
        <v>1465</v>
      </c>
      <c r="AP408" s="84" t="b">
        <v>0</v>
      </c>
      <c r="AQ408" s="92" t="s">
        <v>1253</v>
      </c>
      <c r="AR408" s="84" t="s">
        <v>187</v>
      </c>
      <c r="AS408" s="84">
        <v>0</v>
      </c>
      <c r="AT408" s="84">
        <v>0</v>
      </c>
      <c r="AU408" s="84"/>
      <c r="AV408" s="84"/>
      <c r="AW408" s="84"/>
      <c r="AX408" s="84"/>
      <c r="AY408" s="84"/>
      <c r="AZ408" s="84"/>
      <c r="BA408" s="84"/>
      <c r="BB408" s="84"/>
      <c r="BC408">
        <v>2</v>
      </c>
      <c r="BD408" s="83" t="str">
        <f>REPLACE(INDEX(GroupVertices[Group],MATCH(Edges[[#This Row],[Vertex 1]],GroupVertices[Vertex],0)),1,1,"")</f>
        <v>5</v>
      </c>
      <c r="BE408" s="83" t="str">
        <f>REPLACE(INDEX(GroupVertices[Group],MATCH(Edges[[#This Row],[Vertex 2]],GroupVertices[Vertex],0)),1,1,"")</f>
        <v>5</v>
      </c>
      <c r="BF408" s="49">
        <v>0</v>
      </c>
      <c r="BG408" s="50">
        <v>0</v>
      </c>
      <c r="BH408" s="49">
        <v>0</v>
      </c>
      <c r="BI408" s="50">
        <v>0</v>
      </c>
      <c r="BJ408" s="49">
        <v>0</v>
      </c>
      <c r="BK408" s="50">
        <v>0</v>
      </c>
      <c r="BL408" s="49">
        <v>20</v>
      </c>
      <c r="BM408" s="50">
        <v>100</v>
      </c>
      <c r="BN408" s="49">
        <v>20</v>
      </c>
    </row>
    <row r="409" spans="1:66" ht="15">
      <c r="A409" s="68" t="s">
        <v>387</v>
      </c>
      <c r="B409" s="68" t="s">
        <v>387</v>
      </c>
      <c r="C409" s="69" t="s">
        <v>5209</v>
      </c>
      <c r="D409" s="70">
        <v>6.678367782143116</v>
      </c>
      <c r="E409" s="71" t="s">
        <v>132</v>
      </c>
      <c r="F409" s="72">
        <v>21</v>
      </c>
      <c r="G409" s="69" t="s">
        <v>51</v>
      </c>
      <c r="H409" s="73"/>
      <c r="I409" s="74"/>
      <c r="J409" s="74"/>
      <c r="K409" s="35" t="s">
        <v>65</v>
      </c>
      <c r="L409" s="82">
        <v>409</v>
      </c>
      <c r="M409" s="82"/>
      <c r="N409" s="76"/>
      <c r="O409" s="84" t="s">
        <v>187</v>
      </c>
      <c r="P409" s="86">
        <v>44082.80693287037</v>
      </c>
      <c r="Q409" s="84" t="s">
        <v>468</v>
      </c>
      <c r="R409" s="87" t="str">
        <f>HYPERLINK("https://jovian.ml/forum/t/data-science-daily-newsletter-september-8-2020/11527")</f>
        <v>https://jovian.ml/forum/t/data-science-daily-newsletter-september-8-2020/11527</v>
      </c>
      <c r="S409" s="84" t="s">
        <v>543</v>
      </c>
      <c r="T409" s="84" t="s">
        <v>585</v>
      </c>
      <c r="U409" s="84"/>
      <c r="V409" s="87" t="str">
        <f>HYPERLINK("http://pbs.twimg.com/profile_images/1050418048660791297/l-w9j5Xk_normal.jpg")</f>
        <v>http://pbs.twimg.com/profile_images/1050418048660791297/l-w9j5Xk_normal.jpg</v>
      </c>
      <c r="W409" s="86">
        <v>44082.80693287037</v>
      </c>
      <c r="X409" s="90">
        <v>44082</v>
      </c>
      <c r="Y409" s="92" t="s">
        <v>857</v>
      </c>
      <c r="Z409" s="87" t="str">
        <f>HYPERLINK("https://twitter.com/aakashns/status/1303413291109224460")</f>
        <v>https://twitter.com/aakashns/status/1303413291109224460</v>
      </c>
      <c r="AA409" s="84"/>
      <c r="AB409" s="84"/>
      <c r="AC409" s="92" t="s">
        <v>1254</v>
      </c>
      <c r="AD409" s="84"/>
      <c r="AE409" s="84" t="b">
        <v>0</v>
      </c>
      <c r="AF409" s="84">
        <v>10</v>
      </c>
      <c r="AG409" s="92" t="s">
        <v>1453</v>
      </c>
      <c r="AH409" s="84" t="b">
        <v>0</v>
      </c>
      <c r="AI409" s="84" t="s">
        <v>1456</v>
      </c>
      <c r="AJ409" s="84"/>
      <c r="AK409" s="92" t="s">
        <v>1453</v>
      </c>
      <c r="AL409" s="84" t="b">
        <v>0</v>
      </c>
      <c r="AM409" s="84">
        <v>11</v>
      </c>
      <c r="AN409" s="92" t="s">
        <v>1453</v>
      </c>
      <c r="AO409" s="84" t="s">
        <v>1465</v>
      </c>
      <c r="AP409" s="84" t="b">
        <v>0</v>
      </c>
      <c r="AQ409" s="92" t="s">
        <v>1254</v>
      </c>
      <c r="AR409" s="84" t="s">
        <v>187</v>
      </c>
      <c r="AS409" s="84">
        <v>0</v>
      </c>
      <c r="AT409" s="84">
        <v>0</v>
      </c>
      <c r="AU409" s="84"/>
      <c r="AV409" s="84"/>
      <c r="AW409" s="84"/>
      <c r="AX409" s="84"/>
      <c r="AY409" s="84"/>
      <c r="AZ409" s="84"/>
      <c r="BA409" s="84"/>
      <c r="BB409" s="84"/>
      <c r="BC409">
        <v>2</v>
      </c>
      <c r="BD409" s="83" t="str">
        <f>REPLACE(INDEX(GroupVertices[Group],MATCH(Edges[[#This Row],[Vertex 1]],GroupVertices[Vertex],0)),1,1,"")</f>
        <v>5</v>
      </c>
      <c r="BE409" s="83" t="str">
        <f>REPLACE(INDEX(GroupVertices[Group],MATCH(Edges[[#This Row],[Vertex 2]],GroupVertices[Vertex],0)),1,1,"")</f>
        <v>5</v>
      </c>
      <c r="BF409" s="49">
        <v>0</v>
      </c>
      <c r="BG409" s="50">
        <v>0</v>
      </c>
      <c r="BH409" s="49">
        <v>0</v>
      </c>
      <c r="BI409" s="50">
        <v>0</v>
      </c>
      <c r="BJ409" s="49">
        <v>0</v>
      </c>
      <c r="BK409" s="50">
        <v>0</v>
      </c>
      <c r="BL409" s="49">
        <v>31</v>
      </c>
      <c r="BM409" s="50">
        <v>100</v>
      </c>
      <c r="BN409" s="49">
        <v>31</v>
      </c>
    </row>
    <row r="410" spans="1:66" ht="15">
      <c r="A410" s="68" t="s">
        <v>386</v>
      </c>
      <c r="B410" s="68" t="s">
        <v>387</v>
      </c>
      <c r="C410" s="69" t="s">
        <v>5210</v>
      </c>
      <c r="D410" s="70">
        <v>10</v>
      </c>
      <c r="E410" s="71" t="s">
        <v>132</v>
      </c>
      <c r="F410" s="72">
        <v>10</v>
      </c>
      <c r="G410" s="69" t="s">
        <v>51</v>
      </c>
      <c r="H410" s="73"/>
      <c r="I410" s="74"/>
      <c r="J410" s="74"/>
      <c r="K410" s="35" t="s">
        <v>65</v>
      </c>
      <c r="L410" s="82">
        <v>410</v>
      </c>
      <c r="M410" s="82"/>
      <c r="N410" s="76"/>
      <c r="O410" s="84" t="s">
        <v>439</v>
      </c>
      <c r="P410" s="86">
        <v>44082.533368055556</v>
      </c>
      <c r="Q410" s="84" t="s">
        <v>453</v>
      </c>
      <c r="R410" s="87" t="str">
        <f>HYPERLINK("https://www.youtube.com/watch?v=b2mLDkMSyn4&amp;feature=youtu.be&amp;t=510")</f>
        <v>https://www.youtube.com/watch?v=b2mLDkMSyn4&amp;feature=youtu.be&amp;t=510</v>
      </c>
      <c r="S410" s="84" t="s">
        <v>535</v>
      </c>
      <c r="T410" s="84" t="s">
        <v>572</v>
      </c>
      <c r="U410" s="84"/>
      <c r="V410" s="87" t="str">
        <f>HYPERLINK("http://pbs.twimg.com/profile_images/1254334743333818373/F3xeh1db_normal.jpg")</f>
        <v>http://pbs.twimg.com/profile_images/1254334743333818373/F3xeh1db_normal.jpg</v>
      </c>
      <c r="W410" s="86">
        <v>44082.533368055556</v>
      </c>
      <c r="X410" s="90">
        <v>44082</v>
      </c>
      <c r="Y410" s="92" t="s">
        <v>858</v>
      </c>
      <c r="Z410" s="87" t="str">
        <f>HYPERLINK("https://twitter.com/hubofml/status/1303314152669220864")</f>
        <v>https://twitter.com/hubofml/status/1303314152669220864</v>
      </c>
      <c r="AA410" s="84"/>
      <c r="AB410" s="84"/>
      <c r="AC410" s="92" t="s">
        <v>1255</v>
      </c>
      <c r="AD410" s="84"/>
      <c r="AE410" s="84" t="b">
        <v>0</v>
      </c>
      <c r="AF410" s="84">
        <v>0</v>
      </c>
      <c r="AG410" s="92" t="s">
        <v>1453</v>
      </c>
      <c r="AH410" s="84" t="b">
        <v>0</v>
      </c>
      <c r="AI410" s="84" t="s">
        <v>1456</v>
      </c>
      <c r="AJ410" s="84"/>
      <c r="AK410" s="92" t="s">
        <v>1453</v>
      </c>
      <c r="AL410" s="84" t="b">
        <v>0</v>
      </c>
      <c r="AM410" s="84">
        <v>10</v>
      </c>
      <c r="AN410" s="92" t="s">
        <v>1253</v>
      </c>
      <c r="AO410" s="84" t="s">
        <v>386</v>
      </c>
      <c r="AP410" s="84" t="b">
        <v>0</v>
      </c>
      <c r="AQ410" s="92" t="s">
        <v>1253</v>
      </c>
      <c r="AR410" s="84" t="s">
        <v>187</v>
      </c>
      <c r="AS410" s="84">
        <v>0</v>
      </c>
      <c r="AT410" s="84">
        <v>0</v>
      </c>
      <c r="AU410" s="84"/>
      <c r="AV410" s="84"/>
      <c r="AW410" s="84"/>
      <c r="AX410" s="84"/>
      <c r="AY410" s="84"/>
      <c r="AZ410" s="84"/>
      <c r="BA410" s="84"/>
      <c r="BB410" s="84"/>
      <c r="BC410">
        <v>3</v>
      </c>
      <c r="BD410" s="83" t="str">
        <f>REPLACE(INDEX(GroupVertices[Group],MATCH(Edges[[#This Row],[Vertex 1]],GroupVertices[Vertex],0)),1,1,"")</f>
        <v>5</v>
      </c>
      <c r="BE410" s="83" t="str">
        <f>REPLACE(INDEX(GroupVertices[Group],MATCH(Edges[[#This Row],[Vertex 2]],GroupVertices[Vertex],0)),1,1,"")</f>
        <v>5</v>
      </c>
      <c r="BF410" s="49">
        <v>0</v>
      </c>
      <c r="BG410" s="50">
        <v>0</v>
      </c>
      <c r="BH410" s="49">
        <v>0</v>
      </c>
      <c r="BI410" s="50">
        <v>0</v>
      </c>
      <c r="BJ410" s="49">
        <v>0</v>
      </c>
      <c r="BK410" s="50">
        <v>0</v>
      </c>
      <c r="BL410" s="49">
        <v>20</v>
      </c>
      <c r="BM410" s="50">
        <v>100</v>
      </c>
      <c r="BN410" s="49">
        <v>20</v>
      </c>
    </row>
    <row r="411" spans="1:66" ht="15">
      <c r="A411" s="68" t="s">
        <v>386</v>
      </c>
      <c r="B411" s="68" t="s">
        <v>387</v>
      </c>
      <c r="C411" s="69" t="s">
        <v>5210</v>
      </c>
      <c r="D411" s="70">
        <v>10</v>
      </c>
      <c r="E411" s="71" t="s">
        <v>132</v>
      </c>
      <c r="F411" s="72">
        <v>10</v>
      </c>
      <c r="G411" s="69" t="s">
        <v>51</v>
      </c>
      <c r="H411" s="73"/>
      <c r="I411" s="74"/>
      <c r="J411" s="74"/>
      <c r="K411" s="35" t="s">
        <v>65</v>
      </c>
      <c r="L411" s="82">
        <v>411</v>
      </c>
      <c r="M411" s="82"/>
      <c r="N411" s="76"/>
      <c r="O411" s="84" t="s">
        <v>439</v>
      </c>
      <c r="P411" s="86">
        <v>44083.24239583333</v>
      </c>
      <c r="Q411" s="84" t="s">
        <v>468</v>
      </c>
      <c r="R411" s="87" t="str">
        <f>HYPERLINK("https://jovian.ml/forum/t/data-science-daily-newsletter-september-8-2020/11527")</f>
        <v>https://jovian.ml/forum/t/data-science-daily-newsletter-september-8-2020/11527</v>
      </c>
      <c r="S411" s="84" t="s">
        <v>543</v>
      </c>
      <c r="T411" s="84" t="s">
        <v>585</v>
      </c>
      <c r="U411" s="84"/>
      <c r="V411" s="87" t="str">
        <f>HYPERLINK("http://pbs.twimg.com/profile_images/1254334743333818373/F3xeh1db_normal.jpg")</f>
        <v>http://pbs.twimg.com/profile_images/1254334743333818373/F3xeh1db_normal.jpg</v>
      </c>
      <c r="W411" s="86">
        <v>44083.24239583333</v>
      </c>
      <c r="X411" s="90">
        <v>44083</v>
      </c>
      <c r="Y411" s="92" t="s">
        <v>859</v>
      </c>
      <c r="Z411" s="87" t="str">
        <f>HYPERLINK("https://twitter.com/hubofml/status/1303571098580246531")</f>
        <v>https://twitter.com/hubofml/status/1303571098580246531</v>
      </c>
      <c r="AA411" s="84"/>
      <c r="AB411" s="84"/>
      <c r="AC411" s="92" t="s">
        <v>1256</v>
      </c>
      <c r="AD411" s="84"/>
      <c r="AE411" s="84" t="b">
        <v>0</v>
      </c>
      <c r="AF411" s="84">
        <v>0</v>
      </c>
      <c r="AG411" s="92" t="s">
        <v>1453</v>
      </c>
      <c r="AH411" s="84" t="b">
        <v>0</v>
      </c>
      <c r="AI411" s="84" t="s">
        <v>1456</v>
      </c>
      <c r="AJ411" s="84"/>
      <c r="AK411" s="92" t="s">
        <v>1453</v>
      </c>
      <c r="AL411" s="84" t="b">
        <v>0</v>
      </c>
      <c r="AM411" s="84">
        <v>11</v>
      </c>
      <c r="AN411" s="92" t="s">
        <v>1254</v>
      </c>
      <c r="AO411" s="84" t="s">
        <v>386</v>
      </c>
      <c r="AP411" s="84" t="b">
        <v>0</v>
      </c>
      <c r="AQ411" s="92" t="s">
        <v>1254</v>
      </c>
      <c r="AR411" s="84" t="s">
        <v>187</v>
      </c>
      <c r="AS411" s="84">
        <v>0</v>
      </c>
      <c r="AT411" s="84">
        <v>0</v>
      </c>
      <c r="AU411" s="84"/>
      <c r="AV411" s="84"/>
      <c r="AW411" s="84"/>
      <c r="AX411" s="84"/>
      <c r="AY411" s="84"/>
      <c r="AZ411" s="84"/>
      <c r="BA411" s="84"/>
      <c r="BB411" s="84"/>
      <c r="BC411">
        <v>3</v>
      </c>
      <c r="BD411" s="83" t="str">
        <f>REPLACE(INDEX(GroupVertices[Group],MATCH(Edges[[#This Row],[Vertex 1]],GroupVertices[Vertex],0)),1,1,"")</f>
        <v>5</v>
      </c>
      <c r="BE411" s="83" t="str">
        <f>REPLACE(INDEX(GroupVertices[Group],MATCH(Edges[[#This Row],[Vertex 2]],GroupVertices[Vertex],0)),1,1,"")</f>
        <v>5</v>
      </c>
      <c r="BF411" s="49">
        <v>0</v>
      </c>
      <c r="BG411" s="50">
        <v>0</v>
      </c>
      <c r="BH411" s="49">
        <v>0</v>
      </c>
      <c r="BI411" s="50">
        <v>0</v>
      </c>
      <c r="BJ411" s="49">
        <v>0</v>
      </c>
      <c r="BK411" s="50">
        <v>0</v>
      </c>
      <c r="BL411" s="49">
        <v>31</v>
      </c>
      <c r="BM411" s="50">
        <v>100</v>
      </c>
      <c r="BN411" s="49">
        <v>31</v>
      </c>
    </row>
    <row r="412" spans="1:66" ht="15">
      <c r="A412" s="68" t="s">
        <v>386</v>
      </c>
      <c r="B412" s="68" t="s">
        <v>387</v>
      </c>
      <c r="C412" s="69" t="s">
        <v>5210</v>
      </c>
      <c r="D412" s="70">
        <v>10</v>
      </c>
      <c r="E412" s="71" t="s">
        <v>132</v>
      </c>
      <c r="F412" s="72">
        <v>10</v>
      </c>
      <c r="G412" s="69" t="s">
        <v>51</v>
      </c>
      <c r="H412" s="73"/>
      <c r="I412" s="74"/>
      <c r="J412" s="74"/>
      <c r="K412" s="35" t="s">
        <v>65</v>
      </c>
      <c r="L412" s="82">
        <v>412</v>
      </c>
      <c r="M412" s="82"/>
      <c r="N412" s="76"/>
      <c r="O412" s="84" t="s">
        <v>439</v>
      </c>
      <c r="P412" s="86">
        <v>44083.810891203706</v>
      </c>
      <c r="Q412" s="84" t="s">
        <v>453</v>
      </c>
      <c r="R412" s="87" t="str">
        <f>HYPERLINK("https://www.youtube.com/watch?v=b2mLDkMSyn4&amp;feature=youtu.be&amp;t=510")</f>
        <v>https://www.youtube.com/watch?v=b2mLDkMSyn4&amp;feature=youtu.be&amp;t=510</v>
      </c>
      <c r="S412" s="84" t="s">
        <v>535</v>
      </c>
      <c r="T412" s="84" t="s">
        <v>572</v>
      </c>
      <c r="U412" s="84"/>
      <c r="V412" s="87" t="str">
        <f>HYPERLINK("http://pbs.twimg.com/profile_images/1254334743333818373/F3xeh1db_normal.jpg")</f>
        <v>http://pbs.twimg.com/profile_images/1254334743333818373/F3xeh1db_normal.jpg</v>
      </c>
      <c r="W412" s="86">
        <v>44083.810891203706</v>
      </c>
      <c r="X412" s="90">
        <v>44083</v>
      </c>
      <c r="Y412" s="92" t="s">
        <v>860</v>
      </c>
      <c r="Z412" s="87" t="str">
        <f>HYPERLINK("https://twitter.com/hubofml/status/1303777111442948096")</f>
        <v>https://twitter.com/hubofml/status/1303777111442948096</v>
      </c>
      <c r="AA412" s="84"/>
      <c r="AB412" s="84"/>
      <c r="AC412" s="92" t="s">
        <v>1257</v>
      </c>
      <c r="AD412" s="84"/>
      <c r="AE412" s="84" t="b">
        <v>0</v>
      </c>
      <c r="AF412" s="84">
        <v>0</v>
      </c>
      <c r="AG412" s="92" t="s">
        <v>1453</v>
      </c>
      <c r="AH412" s="84" t="b">
        <v>0</v>
      </c>
      <c r="AI412" s="84" t="s">
        <v>1456</v>
      </c>
      <c r="AJ412" s="84"/>
      <c r="AK412" s="92" t="s">
        <v>1453</v>
      </c>
      <c r="AL412" s="84" t="b">
        <v>0</v>
      </c>
      <c r="AM412" s="84">
        <v>10</v>
      </c>
      <c r="AN412" s="92" t="s">
        <v>1253</v>
      </c>
      <c r="AO412" s="84" t="s">
        <v>386</v>
      </c>
      <c r="AP412" s="84" t="b">
        <v>0</v>
      </c>
      <c r="AQ412" s="92" t="s">
        <v>1253</v>
      </c>
      <c r="AR412" s="84" t="s">
        <v>187</v>
      </c>
      <c r="AS412" s="84">
        <v>0</v>
      </c>
      <c r="AT412" s="84">
        <v>0</v>
      </c>
      <c r="AU412" s="84"/>
      <c r="AV412" s="84"/>
      <c r="AW412" s="84"/>
      <c r="AX412" s="84"/>
      <c r="AY412" s="84"/>
      <c r="AZ412" s="84"/>
      <c r="BA412" s="84"/>
      <c r="BB412" s="84"/>
      <c r="BC412">
        <v>3</v>
      </c>
      <c r="BD412" s="83" t="str">
        <f>REPLACE(INDEX(GroupVertices[Group],MATCH(Edges[[#This Row],[Vertex 1]],GroupVertices[Vertex],0)),1,1,"")</f>
        <v>5</v>
      </c>
      <c r="BE412" s="83" t="str">
        <f>REPLACE(INDEX(GroupVertices[Group],MATCH(Edges[[#This Row],[Vertex 2]],GroupVertices[Vertex],0)),1,1,"")</f>
        <v>5</v>
      </c>
      <c r="BF412" s="49">
        <v>0</v>
      </c>
      <c r="BG412" s="50">
        <v>0</v>
      </c>
      <c r="BH412" s="49">
        <v>0</v>
      </c>
      <c r="BI412" s="50">
        <v>0</v>
      </c>
      <c r="BJ412" s="49">
        <v>0</v>
      </c>
      <c r="BK412" s="50">
        <v>0</v>
      </c>
      <c r="BL412" s="49">
        <v>20</v>
      </c>
      <c r="BM412" s="50">
        <v>100</v>
      </c>
      <c r="BN412" s="49">
        <v>20</v>
      </c>
    </row>
    <row r="413" spans="1:66" ht="15">
      <c r="A413" s="68" t="s">
        <v>386</v>
      </c>
      <c r="B413" s="68" t="s">
        <v>389</v>
      </c>
      <c r="C413" s="69" t="s">
        <v>5210</v>
      </c>
      <c r="D413" s="70">
        <v>10</v>
      </c>
      <c r="E413" s="71" t="s">
        <v>136</v>
      </c>
      <c r="F413" s="72">
        <v>10</v>
      </c>
      <c r="G413" s="69" t="s">
        <v>51</v>
      </c>
      <c r="H413" s="73"/>
      <c r="I413" s="74"/>
      <c r="J413" s="74"/>
      <c r="K413" s="35" t="s">
        <v>65</v>
      </c>
      <c r="L413" s="82">
        <v>413</v>
      </c>
      <c r="M413" s="82"/>
      <c r="N413" s="76"/>
      <c r="O413" s="84" t="s">
        <v>439</v>
      </c>
      <c r="P413" s="86">
        <v>44081.002546296295</v>
      </c>
      <c r="Q413" s="84" t="s">
        <v>462</v>
      </c>
      <c r="R413" s="87" t="str">
        <f>HYPERLINK("http://www.globalbigdataconference.com/news/145693/bias-in-machine-learning-examples-policing-banking-covid-19.html")</f>
        <v>http://www.globalbigdataconference.com/news/145693/bias-in-machine-learning-examples-policing-banking-covid-19.html</v>
      </c>
      <c r="S413" s="84" t="s">
        <v>541</v>
      </c>
      <c r="T413" s="84" t="s">
        <v>580</v>
      </c>
      <c r="U413" s="84"/>
      <c r="V413" s="87" t="str">
        <f>HYPERLINK("http://pbs.twimg.com/profile_images/1254334743333818373/F3xeh1db_normal.jpg")</f>
        <v>http://pbs.twimg.com/profile_images/1254334743333818373/F3xeh1db_normal.jpg</v>
      </c>
      <c r="W413" s="86">
        <v>44081.002546296295</v>
      </c>
      <c r="X413" s="90">
        <v>44081</v>
      </c>
      <c r="Y413" s="92" t="s">
        <v>861</v>
      </c>
      <c r="Z413" s="87" t="str">
        <f>HYPERLINK("https://twitter.com/hubofml/status/1302759402567589889")</f>
        <v>https://twitter.com/hubofml/status/1302759402567589889</v>
      </c>
      <c r="AA413" s="84"/>
      <c r="AB413" s="84"/>
      <c r="AC413" s="92" t="s">
        <v>1258</v>
      </c>
      <c r="AD413" s="84"/>
      <c r="AE413" s="84" t="b">
        <v>0</v>
      </c>
      <c r="AF413" s="84">
        <v>0</v>
      </c>
      <c r="AG413" s="92" t="s">
        <v>1453</v>
      </c>
      <c r="AH413" s="84" t="b">
        <v>0</v>
      </c>
      <c r="AI413" s="84" t="s">
        <v>1456</v>
      </c>
      <c r="AJ413" s="84"/>
      <c r="AK413" s="92" t="s">
        <v>1453</v>
      </c>
      <c r="AL413" s="84" t="b">
        <v>0</v>
      </c>
      <c r="AM413" s="84">
        <v>28</v>
      </c>
      <c r="AN413" s="92" t="s">
        <v>1286</v>
      </c>
      <c r="AO413" s="84" t="s">
        <v>386</v>
      </c>
      <c r="AP413" s="84" t="b">
        <v>0</v>
      </c>
      <c r="AQ413" s="92" t="s">
        <v>1286</v>
      </c>
      <c r="AR413" s="84" t="s">
        <v>187</v>
      </c>
      <c r="AS413" s="84">
        <v>0</v>
      </c>
      <c r="AT413" s="84">
        <v>0</v>
      </c>
      <c r="AU413" s="84"/>
      <c r="AV413" s="84"/>
      <c r="AW413" s="84"/>
      <c r="AX413" s="84"/>
      <c r="AY413" s="84"/>
      <c r="AZ413" s="84"/>
      <c r="BA413" s="84"/>
      <c r="BB413" s="84"/>
      <c r="BC413">
        <v>5</v>
      </c>
      <c r="BD413" s="83" t="str">
        <f>REPLACE(INDEX(GroupVertices[Group],MATCH(Edges[[#This Row],[Vertex 1]],GroupVertices[Vertex],0)),1,1,"")</f>
        <v>5</v>
      </c>
      <c r="BE413" s="83" t="str">
        <f>REPLACE(INDEX(GroupVertices[Group],MATCH(Edges[[#This Row],[Vertex 2]],GroupVertices[Vertex],0)),1,1,"")</f>
        <v>3</v>
      </c>
      <c r="BF413" s="49">
        <v>0</v>
      </c>
      <c r="BG413" s="50">
        <v>0</v>
      </c>
      <c r="BH413" s="49">
        <v>0</v>
      </c>
      <c r="BI413" s="50">
        <v>0</v>
      </c>
      <c r="BJ413" s="49">
        <v>0</v>
      </c>
      <c r="BK413" s="50">
        <v>0</v>
      </c>
      <c r="BL413" s="49">
        <v>27</v>
      </c>
      <c r="BM413" s="50">
        <v>100</v>
      </c>
      <c r="BN413" s="49">
        <v>27</v>
      </c>
    </row>
    <row r="414" spans="1:66" ht="15">
      <c r="A414" s="68" t="s">
        <v>386</v>
      </c>
      <c r="B414" s="68" t="s">
        <v>423</v>
      </c>
      <c r="C414" s="69" t="s">
        <v>5210</v>
      </c>
      <c r="D414" s="70">
        <v>10</v>
      </c>
      <c r="E414" s="71" t="s">
        <v>136</v>
      </c>
      <c r="F414" s="72">
        <v>10</v>
      </c>
      <c r="G414" s="69" t="s">
        <v>51</v>
      </c>
      <c r="H414" s="73"/>
      <c r="I414" s="74"/>
      <c r="J414" s="74"/>
      <c r="K414" s="35" t="s">
        <v>65</v>
      </c>
      <c r="L414" s="82">
        <v>414</v>
      </c>
      <c r="M414" s="82"/>
      <c r="N414" s="76"/>
      <c r="O414" s="84" t="s">
        <v>439</v>
      </c>
      <c r="P414" s="86">
        <v>44081.62501157408</v>
      </c>
      <c r="Q414" s="84" t="s">
        <v>457</v>
      </c>
      <c r="R414" s="84"/>
      <c r="S414" s="84"/>
      <c r="T414" s="84" t="s">
        <v>576</v>
      </c>
      <c r="U414" s="87" t="str">
        <f>HYPERLINK("https://pbs.twimg.com/media/Eg6GGrgXgAIxG2X.jpg")</f>
        <v>https://pbs.twimg.com/media/Eg6GGrgXgAIxG2X.jpg</v>
      </c>
      <c r="V414" s="87" t="str">
        <f>HYPERLINK("https://pbs.twimg.com/media/Eg6GGrgXgAIxG2X.jpg")</f>
        <v>https://pbs.twimg.com/media/Eg6GGrgXgAIxG2X.jpg</v>
      </c>
      <c r="W414" s="86">
        <v>44081.62501157408</v>
      </c>
      <c r="X414" s="90">
        <v>44081</v>
      </c>
      <c r="Y414" s="92" t="s">
        <v>862</v>
      </c>
      <c r="Z414" s="87" t="str">
        <f>HYPERLINK("https://twitter.com/hubofml/status/1302984975793491970")</f>
        <v>https://twitter.com/hubofml/status/1302984975793491970</v>
      </c>
      <c r="AA414" s="84"/>
      <c r="AB414" s="84"/>
      <c r="AC414" s="92" t="s">
        <v>1259</v>
      </c>
      <c r="AD414" s="84"/>
      <c r="AE414" s="84" t="b">
        <v>0</v>
      </c>
      <c r="AF414" s="84">
        <v>0</v>
      </c>
      <c r="AG414" s="92" t="s">
        <v>1453</v>
      </c>
      <c r="AH414" s="84" t="b">
        <v>0</v>
      </c>
      <c r="AI414" s="84" t="s">
        <v>1456</v>
      </c>
      <c r="AJ414" s="84"/>
      <c r="AK414" s="92" t="s">
        <v>1453</v>
      </c>
      <c r="AL414" s="84" t="b">
        <v>0</v>
      </c>
      <c r="AM414" s="84">
        <v>51</v>
      </c>
      <c r="AN414" s="92" t="s">
        <v>1425</v>
      </c>
      <c r="AO414" s="84" t="s">
        <v>386</v>
      </c>
      <c r="AP414" s="84" t="b">
        <v>0</v>
      </c>
      <c r="AQ414" s="92" t="s">
        <v>1425</v>
      </c>
      <c r="AR414" s="84" t="s">
        <v>187</v>
      </c>
      <c r="AS414" s="84">
        <v>0</v>
      </c>
      <c r="AT414" s="84">
        <v>0</v>
      </c>
      <c r="AU414" s="84"/>
      <c r="AV414" s="84"/>
      <c r="AW414" s="84"/>
      <c r="AX414" s="84"/>
      <c r="AY414" s="84"/>
      <c r="AZ414" s="84"/>
      <c r="BA414" s="84"/>
      <c r="BB414" s="84"/>
      <c r="BC414">
        <v>7</v>
      </c>
      <c r="BD414" s="83" t="str">
        <f>REPLACE(INDEX(GroupVertices[Group],MATCH(Edges[[#This Row],[Vertex 1]],GroupVertices[Vertex],0)),1,1,"")</f>
        <v>5</v>
      </c>
      <c r="BE414" s="83" t="str">
        <f>REPLACE(INDEX(GroupVertices[Group],MATCH(Edges[[#This Row],[Vertex 2]],GroupVertices[Vertex],0)),1,1,"")</f>
        <v>1</v>
      </c>
      <c r="BF414" s="49">
        <v>0</v>
      </c>
      <c r="BG414" s="50">
        <v>0</v>
      </c>
      <c r="BH414" s="49">
        <v>0</v>
      </c>
      <c r="BI414" s="50">
        <v>0</v>
      </c>
      <c r="BJ414" s="49">
        <v>0</v>
      </c>
      <c r="BK414" s="50">
        <v>0</v>
      </c>
      <c r="BL414" s="49">
        <v>34</v>
      </c>
      <c r="BM414" s="50">
        <v>100</v>
      </c>
      <c r="BN414" s="49">
        <v>34</v>
      </c>
    </row>
    <row r="415" spans="1:66" ht="15">
      <c r="A415" s="68" t="s">
        <v>386</v>
      </c>
      <c r="B415" s="68" t="s">
        <v>404</v>
      </c>
      <c r="C415" s="69" t="s">
        <v>5208</v>
      </c>
      <c r="D415" s="70">
        <v>1</v>
      </c>
      <c r="E415" s="71" t="s">
        <v>132</v>
      </c>
      <c r="F415" s="72">
        <v>32</v>
      </c>
      <c r="G415" s="69" t="s">
        <v>51</v>
      </c>
      <c r="H415" s="73"/>
      <c r="I415" s="74"/>
      <c r="J415" s="74"/>
      <c r="K415" s="35" t="s">
        <v>65</v>
      </c>
      <c r="L415" s="82">
        <v>415</v>
      </c>
      <c r="M415" s="82"/>
      <c r="N415" s="76"/>
      <c r="O415" s="84" t="s">
        <v>439</v>
      </c>
      <c r="P415" s="86">
        <v>44081.699375</v>
      </c>
      <c r="Q415" s="84" t="s">
        <v>447</v>
      </c>
      <c r="R415" s="87" t="str">
        <f>HYPERLINK("https://www.latimes.com/world-nation/story/2020-03-16/coronavirus-vaccine-test-opens-as-us-volunteer-gets-1st-shot")</f>
        <v>https://www.latimes.com/world-nation/story/2020-03-16/coronavirus-vaccine-test-opens-as-us-volunteer-gets-1st-shot</v>
      </c>
      <c r="S415" s="84" t="s">
        <v>531</v>
      </c>
      <c r="T415" s="84" t="s">
        <v>567</v>
      </c>
      <c r="U415" s="87" t="str">
        <f>HYPERLINK("https://pbs.twimg.com/media/EhAhLRtWoAEsEe_.jpg")</f>
        <v>https://pbs.twimg.com/media/EhAhLRtWoAEsEe_.jpg</v>
      </c>
      <c r="V415" s="87" t="str">
        <f>HYPERLINK("https://pbs.twimg.com/media/EhAhLRtWoAEsEe_.jpg")</f>
        <v>https://pbs.twimg.com/media/EhAhLRtWoAEsEe_.jpg</v>
      </c>
      <c r="W415" s="86">
        <v>44081.699375</v>
      </c>
      <c r="X415" s="90">
        <v>44081</v>
      </c>
      <c r="Y415" s="92" t="s">
        <v>863</v>
      </c>
      <c r="Z415" s="87" t="str">
        <f>HYPERLINK("https://twitter.com/hubofml/status/1303011925001932802")</f>
        <v>https://twitter.com/hubofml/status/1303011925001932802</v>
      </c>
      <c r="AA415" s="84"/>
      <c r="AB415" s="84"/>
      <c r="AC415" s="92" t="s">
        <v>1260</v>
      </c>
      <c r="AD415" s="84"/>
      <c r="AE415" s="84" t="b">
        <v>0</v>
      </c>
      <c r="AF415" s="84">
        <v>0</v>
      </c>
      <c r="AG415" s="92" t="s">
        <v>1453</v>
      </c>
      <c r="AH415" s="84" t="b">
        <v>0</v>
      </c>
      <c r="AI415" s="84" t="s">
        <v>1456</v>
      </c>
      <c r="AJ415" s="84"/>
      <c r="AK415" s="92" t="s">
        <v>1453</v>
      </c>
      <c r="AL415" s="84" t="b">
        <v>0</v>
      </c>
      <c r="AM415" s="84">
        <v>80</v>
      </c>
      <c r="AN415" s="92" t="s">
        <v>1343</v>
      </c>
      <c r="AO415" s="84" t="s">
        <v>386</v>
      </c>
      <c r="AP415" s="84" t="b">
        <v>0</v>
      </c>
      <c r="AQ415" s="92" t="s">
        <v>1343</v>
      </c>
      <c r="AR415" s="84" t="s">
        <v>187</v>
      </c>
      <c r="AS415" s="84">
        <v>0</v>
      </c>
      <c r="AT415" s="84">
        <v>0</v>
      </c>
      <c r="AU415" s="84"/>
      <c r="AV415" s="84"/>
      <c r="AW415" s="84"/>
      <c r="AX415" s="84"/>
      <c r="AY415" s="84"/>
      <c r="AZ415" s="84"/>
      <c r="BA415" s="84"/>
      <c r="BB415" s="84"/>
      <c r="BC415">
        <v>1</v>
      </c>
      <c r="BD415" s="83" t="str">
        <f>REPLACE(INDEX(GroupVertices[Group],MATCH(Edges[[#This Row],[Vertex 1]],GroupVertices[Vertex],0)),1,1,"")</f>
        <v>5</v>
      </c>
      <c r="BE415" s="83" t="str">
        <f>REPLACE(INDEX(GroupVertices[Group],MATCH(Edges[[#This Row],[Vertex 2]],GroupVertices[Vertex],0)),1,1,"")</f>
        <v>5</v>
      </c>
      <c r="BF415" s="49">
        <v>0</v>
      </c>
      <c r="BG415" s="50">
        <v>0</v>
      </c>
      <c r="BH415" s="49">
        <v>0</v>
      </c>
      <c r="BI415" s="50">
        <v>0</v>
      </c>
      <c r="BJ415" s="49">
        <v>0</v>
      </c>
      <c r="BK415" s="50">
        <v>0</v>
      </c>
      <c r="BL415" s="49">
        <v>31</v>
      </c>
      <c r="BM415" s="50">
        <v>100</v>
      </c>
      <c r="BN415" s="49">
        <v>31</v>
      </c>
    </row>
    <row r="416" spans="1:66" ht="15">
      <c r="A416" s="68" t="s">
        <v>386</v>
      </c>
      <c r="B416" s="68" t="s">
        <v>389</v>
      </c>
      <c r="C416" s="69" t="s">
        <v>5210</v>
      </c>
      <c r="D416" s="70">
        <v>10</v>
      </c>
      <c r="E416" s="71" t="s">
        <v>136</v>
      </c>
      <c r="F416" s="72">
        <v>10</v>
      </c>
      <c r="G416" s="69" t="s">
        <v>51</v>
      </c>
      <c r="H416" s="73"/>
      <c r="I416" s="74"/>
      <c r="J416" s="74"/>
      <c r="K416" s="35" t="s">
        <v>65</v>
      </c>
      <c r="L416" s="82">
        <v>416</v>
      </c>
      <c r="M416" s="82"/>
      <c r="N416" s="76"/>
      <c r="O416" s="84" t="s">
        <v>439</v>
      </c>
      <c r="P416" s="86">
        <v>44082.07152777778</v>
      </c>
      <c r="Q416" s="84" t="s">
        <v>462</v>
      </c>
      <c r="R416" s="87" t="str">
        <f>HYPERLINK("http://www.globalbigdataconference.com/news/145693/bias-in-machine-learning-examples-policing-banking-covid-19.html")</f>
        <v>http://www.globalbigdataconference.com/news/145693/bias-in-machine-learning-examples-policing-banking-covid-19.html</v>
      </c>
      <c r="S416" s="84" t="s">
        <v>541</v>
      </c>
      <c r="T416" s="84" t="s">
        <v>580</v>
      </c>
      <c r="U416" s="84"/>
      <c r="V416" s="87" t="str">
        <f>HYPERLINK("http://pbs.twimg.com/profile_images/1254334743333818373/F3xeh1db_normal.jpg")</f>
        <v>http://pbs.twimg.com/profile_images/1254334743333818373/F3xeh1db_normal.jpg</v>
      </c>
      <c r="W416" s="86">
        <v>44082.07152777778</v>
      </c>
      <c r="X416" s="90">
        <v>44082</v>
      </c>
      <c r="Y416" s="92" t="s">
        <v>864</v>
      </c>
      <c r="Z416" s="87" t="str">
        <f>HYPERLINK("https://twitter.com/hubofml/status/1303146789353263104")</f>
        <v>https://twitter.com/hubofml/status/1303146789353263104</v>
      </c>
      <c r="AA416" s="84"/>
      <c r="AB416" s="84"/>
      <c r="AC416" s="92" t="s">
        <v>1261</v>
      </c>
      <c r="AD416" s="84"/>
      <c r="AE416" s="84" t="b">
        <v>0</v>
      </c>
      <c r="AF416" s="84">
        <v>0</v>
      </c>
      <c r="AG416" s="92" t="s">
        <v>1453</v>
      </c>
      <c r="AH416" s="84" t="b">
        <v>0</v>
      </c>
      <c r="AI416" s="84" t="s">
        <v>1456</v>
      </c>
      <c r="AJ416" s="84"/>
      <c r="AK416" s="92" t="s">
        <v>1453</v>
      </c>
      <c r="AL416" s="84" t="b">
        <v>0</v>
      </c>
      <c r="AM416" s="84">
        <v>28</v>
      </c>
      <c r="AN416" s="92" t="s">
        <v>1286</v>
      </c>
      <c r="AO416" s="84" t="s">
        <v>386</v>
      </c>
      <c r="AP416" s="84" t="b">
        <v>0</v>
      </c>
      <c r="AQ416" s="92" t="s">
        <v>1286</v>
      </c>
      <c r="AR416" s="84" t="s">
        <v>187</v>
      </c>
      <c r="AS416" s="84">
        <v>0</v>
      </c>
      <c r="AT416" s="84">
        <v>0</v>
      </c>
      <c r="AU416" s="84"/>
      <c r="AV416" s="84"/>
      <c r="AW416" s="84"/>
      <c r="AX416" s="84"/>
      <c r="AY416" s="84"/>
      <c r="AZ416" s="84"/>
      <c r="BA416" s="84"/>
      <c r="BB416" s="84"/>
      <c r="BC416">
        <v>5</v>
      </c>
      <c r="BD416" s="83" t="str">
        <f>REPLACE(INDEX(GroupVertices[Group],MATCH(Edges[[#This Row],[Vertex 1]],GroupVertices[Vertex],0)),1,1,"")</f>
        <v>5</v>
      </c>
      <c r="BE416" s="83" t="str">
        <f>REPLACE(INDEX(GroupVertices[Group],MATCH(Edges[[#This Row],[Vertex 2]],GroupVertices[Vertex],0)),1,1,"")</f>
        <v>3</v>
      </c>
      <c r="BF416" s="49">
        <v>0</v>
      </c>
      <c r="BG416" s="50">
        <v>0</v>
      </c>
      <c r="BH416" s="49">
        <v>0</v>
      </c>
      <c r="BI416" s="50">
        <v>0</v>
      </c>
      <c r="BJ416" s="49">
        <v>0</v>
      </c>
      <c r="BK416" s="50">
        <v>0</v>
      </c>
      <c r="BL416" s="49">
        <v>27</v>
      </c>
      <c r="BM416" s="50">
        <v>100</v>
      </c>
      <c r="BN416" s="49">
        <v>27</v>
      </c>
    </row>
    <row r="417" spans="1:66" ht="15">
      <c r="A417" s="68" t="s">
        <v>386</v>
      </c>
      <c r="B417" s="68" t="s">
        <v>423</v>
      </c>
      <c r="C417" s="69" t="s">
        <v>5210</v>
      </c>
      <c r="D417" s="70">
        <v>10</v>
      </c>
      <c r="E417" s="71" t="s">
        <v>136</v>
      </c>
      <c r="F417" s="72">
        <v>10</v>
      </c>
      <c r="G417" s="69" t="s">
        <v>51</v>
      </c>
      <c r="H417" s="73"/>
      <c r="I417" s="74"/>
      <c r="J417" s="74"/>
      <c r="K417" s="35" t="s">
        <v>65</v>
      </c>
      <c r="L417" s="82">
        <v>417</v>
      </c>
      <c r="M417" s="82"/>
      <c r="N417" s="76"/>
      <c r="O417" s="84" t="s">
        <v>439</v>
      </c>
      <c r="P417" s="86">
        <v>44082.51896990741</v>
      </c>
      <c r="Q417" s="84" t="s">
        <v>457</v>
      </c>
      <c r="R417" s="84"/>
      <c r="S417" s="84"/>
      <c r="T417" s="84" t="s">
        <v>576</v>
      </c>
      <c r="U417" s="87" t="str">
        <f>HYPERLINK("https://pbs.twimg.com/media/Eg6GGrgXgAIxG2X.jpg")</f>
        <v>https://pbs.twimg.com/media/Eg6GGrgXgAIxG2X.jpg</v>
      </c>
      <c r="V417" s="87" t="str">
        <f>HYPERLINK("https://pbs.twimg.com/media/Eg6GGrgXgAIxG2X.jpg")</f>
        <v>https://pbs.twimg.com/media/Eg6GGrgXgAIxG2X.jpg</v>
      </c>
      <c r="W417" s="86">
        <v>44082.51896990741</v>
      </c>
      <c r="X417" s="90">
        <v>44082</v>
      </c>
      <c r="Y417" s="92" t="s">
        <v>865</v>
      </c>
      <c r="Z417" s="87" t="str">
        <f>HYPERLINK("https://twitter.com/hubofml/status/1303308937924673536")</f>
        <v>https://twitter.com/hubofml/status/1303308937924673536</v>
      </c>
      <c r="AA417" s="84"/>
      <c r="AB417" s="84"/>
      <c r="AC417" s="92" t="s">
        <v>1262</v>
      </c>
      <c r="AD417" s="84"/>
      <c r="AE417" s="84" t="b">
        <v>0</v>
      </c>
      <c r="AF417" s="84">
        <v>0</v>
      </c>
      <c r="AG417" s="92" t="s">
        <v>1453</v>
      </c>
      <c r="AH417" s="84" t="b">
        <v>0</v>
      </c>
      <c r="AI417" s="84" t="s">
        <v>1456</v>
      </c>
      <c r="AJ417" s="84"/>
      <c r="AK417" s="92" t="s">
        <v>1453</v>
      </c>
      <c r="AL417" s="84" t="b">
        <v>0</v>
      </c>
      <c r="AM417" s="84">
        <v>51</v>
      </c>
      <c r="AN417" s="92" t="s">
        <v>1425</v>
      </c>
      <c r="AO417" s="84" t="s">
        <v>386</v>
      </c>
      <c r="AP417" s="84" t="b">
        <v>0</v>
      </c>
      <c r="AQ417" s="92" t="s">
        <v>1425</v>
      </c>
      <c r="AR417" s="84" t="s">
        <v>187</v>
      </c>
      <c r="AS417" s="84">
        <v>0</v>
      </c>
      <c r="AT417" s="84">
        <v>0</v>
      </c>
      <c r="AU417" s="84"/>
      <c r="AV417" s="84"/>
      <c r="AW417" s="84"/>
      <c r="AX417" s="84"/>
      <c r="AY417" s="84"/>
      <c r="AZ417" s="84"/>
      <c r="BA417" s="84"/>
      <c r="BB417" s="84"/>
      <c r="BC417">
        <v>7</v>
      </c>
      <c r="BD417" s="83" t="str">
        <f>REPLACE(INDEX(GroupVertices[Group],MATCH(Edges[[#This Row],[Vertex 1]],GroupVertices[Vertex],0)),1,1,"")</f>
        <v>5</v>
      </c>
      <c r="BE417" s="83" t="str">
        <f>REPLACE(INDEX(GroupVertices[Group],MATCH(Edges[[#This Row],[Vertex 2]],GroupVertices[Vertex],0)),1,1,"")</f>
        <v>1</v>
      </c>
      <c r="BF417" s="49">
        <v>0</v>
      </c>
      <c r="BG417" s="50">
        <v>0</v>
      </c>
      <c r="BH417" s="49">
        <v>0</v>
      </c>
      <c r="BI417" s="50">
        <v>0</v>
      </c>
      <c r="BJ417" s="49">
        <v>0</v>
      </c>
      <c r="BK417" s="50">
        <v>0</v>
      </c>
      <c r="BL417" s="49">
        <v>34</v>
      </c>
      <c r="BM417" s="50">
        <v>100</v>
      </c>
      <c r="BN417" s="49">
        <v>34</v>
      </c>
    </row>
    <row r="418" spans="1:66" ht="15">
      <c r="A418" s="68" t="s">
        <v>386</v>
      </c>
      <c r="B418" s="68" t="s">
        <v>423</v>
      </c>
      <c r="C418" s="69" t="s">
        <v>5210</v>
      </c>
      <c r="D418" s="70">
        <v>10</v>
      </c>
      <c r="E418" s="71" t="s">
        <v>136</v>
      </c>
      <c r="F418" s="72">
        <v>10</v>
      </c>
      <c r="G418" s="69" t="s">
        <v>51</v>
      </c>
      <c r="H418" s="73"/>
      <c r="I418" s="74"/>
      <c r="J418" s="74"/>
      <c r="K418" s="35" t="s">
        <v>65</v>
      </c>
      <c r="L418" s="82">
        <v>418</v>
      </c>
      <c r="M418" s="82"/>
      <c r="N418" s="76"/>
      <c r="O418" s="84" t="s">
        <v>439</v>
      </c>
      <c r="P418" s="86">
        <v>44082.58149305556</v>
      </c>
      <c r="Q418" s="84" t="s">
        <v>459</v>
      </c>
      <c r="R418" s="84"/>
      <c r="S418" s="84"/>
      <c r="T418" s="84" t="s">
        <v>578</v>
      </c>
      <c r="U418" s="87" t="str">
        <f>HYPERLINK("https://pbs.twimg.com/media/EhZc5KGWoAIz_Wo.jpg")</f>
        <v>https://pbs.twimg.com/media/EhZc5KGWoAIz_Wo.jpg</v>
      </c>
      <c r="V418" s="87" t="str">
        <f>HYPERLINK("https://pbs.twimg.com/media/EhZc5KGWoAIz_Wo.jpg")</f>
        <v>https://pbs.twimg.com/media/EhZc5KGWoAIz_Wo.jpg</v>
      </c>
      <c r="W418" s="86">
        <v>44082.58149305556</v>
      </c>
      <c r="X418" s="90">
        <v>44082</v>
      </c>
      <c r="Y418" s="92" t="s">
        <v>866</v>
      </c>
      <c r="Z418" s="87" t="str">
        <f>HYPERLINK("https://twitter.com/hubofml/status/1303331595173146624")</f>
        <v>https://twitter.com/hubofml/status/1303331595173146624</v>
      </c>
      <c r="AA418" s="84"/>
      <c r="AB418" s="84"/>
      <c r="AC418" s="92" t="s">
        <v>1263</v>
      </c>
      <c r="AD418" s="84"/>
      <c r="AE418" s="84" t="b">
        <v>0</v>
      </c>
      <c r="AF418" s="84">
        <v>0</v>
      </c>
      <c r="AG418" s="92" t="s">
        <v>1453</v>
      </c>
      <c r="AH418" s="84" t="b">
        <v>0</v>
      </c>
      <c r="AI418" s="84" t="s">
        <v>1456</v>
      </c>
      <c r="AJ418" s="84"/>
      <c r="AK418" s="92" t="s">
        <v>1453</v>
      </c>
      <c r="AL418" s="84" t="b">
        <v>0</v>
      </c>
      <c r="AM418" s="84">
        <v>44</v>
      </c>
      <c r="AN418" s="92" t="s">
        <v>1428</v>
      </c>
      <c r="AO418" s="84" t="s">
        <v>386</v>
      </c>
      <c r="AP418" s="84" t="b">
        <v>0</v>
      </c>
      <c r="AQ418" s="92" t="s">
        <v>1428</v>
      </c>
      <c r="AR418" s="84" t="s">
        <v>187</v>
      </c>
      <c r="AS418" s="84">
        <v>0</v>
      </c>
      <c r="AT418" s="84">
        <v>0</v>
      </c>
      <c r="AU418" s="84"/>
      <c r="AV418" s="84"/>
      <c r="AW418" s="84"/>
      <c r="AX418" s="84"/>
      <c r="AY418" s="84"/>
      <c r="AZ418" s="84"/>
      <c r="BA418" s="84"/>
      <c r="BB418" s="84"/>
      <c r="BC418">
        <v>7</v>
      </c>
      <c r="BD418" s="83" t="str">
        <f>REPLACE(INDEX(GroupVertices[Group],MATCH(Edges[[#This Row],[Vertex 1]],GroupVertices[Vertex],0)),1,1,"")</f>
        <v>5</v>
      </c>
      <c r="BE418" s="83" t="str">
        <f>REPLACE(INDEX(GroupVertices[Group],MATCH(Edges[[#This Row],[Vertex 2]],GroupVertices[Vertex],0)),1,1,"")</f>
        <v>1</v>
      </c>
      <c r="BF418" s="49">
        <v>0</v>
      </c>
      <c r="BG418" s="50">
        <v>0</v>
      </c>
      <c r="BH418" s="49">
        <v>0</v>
      </c>
      <c r="BI418" s="50">
        <v>0</v>
      </c>
      <c r="BJ418" s="49">
        <v>0</v>
      </c>
      <c r="BK418" s="50">
        <v>0</v>
      </c>
      <c r="BL418" s="49">
        <v>30</v>
      </c>
      <c r="BM418" s="50">
        <v>100</v>
      </c>
      <c r="BN418" s="49">
        <v>30</v>
      </c>
    </row>
    <row r="419" spans="1:66" ht="15">
      <c r="A419" s="68" t="s">
        <v>386</v>
      </c>
      <c r="B419" s="68" t="s">
        <v>425</v>
      </c>
      <c r="C419" s="69" t="s">
        <v>5208</v>
      </c>
      <c r="D419" s="70">
        <v>1</v>
      </c>
      <c r="E419" s="71" t="s">
        <v>132</v>
      </c>
      <c r="F419" s="72">
        <v>32</v>
      </c>
      <c r="G419" s="69" t="s">
        <v>51</v>
      </c>
      <c r="H419" s="73"/>
      <c r="I419" s="74"/>
      <c r="J419" s="74"/>
      <c r="K419" s="35" t="s">
        <v>65</v>
      </c>
      <c r="L419" s="82">
        <v>419</v>
      </c>
      <c r="M419" s="82"/>
      <c r="N419" s="76"/>
      <c r="O419" s="84" t="s">
        <v>439</v>
      </c>
      <c r="P419" s="86">
        <v>44083.37957175926</v>
      </c>
      <c r="Q419" s="84" t="s">
        <v>472</v>
      </c>
      <c r="R419" s="87" t="str">
        <f>HYPERLINK("https://techairesearch.com/comparative-study-of-best-time-series-models-for-urgent-pandemic-management-2/")</f>
        <v>https://techairesearch.com/comparative-study-of-best-time-series-models-for-urgent-pandemic-management-2/</v>
      </c>
      <c r="S419" s="84" t="s">
        <v>544</v>
      </c>
      <c r="T419" s="84" t="s">
        <v>589</v>
      </c>
      <c r="U419" s="84"/>
      <c r="V419" s="87" t="str">
        <f>HYPERLINK("http://pbs.twimg.com/profile_images/1254334743333818373/F3xeh1db_normal.jpg")</f>
        <v>http://pbs.twimg.com/profile_images/1254334743333818373/F3xeh1db_normal.jpg</v>
      </c>
      <c r="W419" s="86">
        <v>44083.37957175926</v>
      </c>
      <c r="X419" s="90">
        <v>44083</v>
      </c>
      <c r="Y419" s="92" t="s">
        <v>867</v>
      </c>
      <c r="Z419" s="87" t="str">
        <f>HYPERLINK("https://twitter.com/hubofml/status/1303620809169215488")</f>
        <v>https://twitter.com/hubofml/status/1303620809169215488</v>
      </c>
      <c r="AA419" s="84"/>
      <c r="AB419" s="84"/>
      <c r="AC419" s="92" t="s">
        <v>1264</v>
      </c>
      <c r="AD419" s="84"/>
      <c r="AE419" s="84" t="b">
        <v>0</v>
      </c>
      <c r="AF419" s="84">
        <v>0</v>
      </c>
      <c r="AG419" s="92" t="s">
        <v>1453</v>
      </c>
      <c r="AH419" s="84" t="b">
        <v>0</v>
      </c>
      <c r="AI419" s="84" t="s">
        <v>1456</v>
      </c>
      <c r="AJ419" s="84"/>
      <c r="AK419" s="92" t="s">
        <v>1453</v>
      </c>
      <c r="AL419" s="84" t="b">
        <v>0</v>
      </c>
      <c r="AM419" s="84">
        <v>12</v>
      </c>
      <c r="AN419" s="92" t="s">
        <v>1431</v>
      </c>
      <c r="AO419" s="84" t="s">
        <v>386</v>
      </c>
      <c r="AP419" s="84" t="b">
        <v>0</v>
      </c>
      <c r="AQ419" s="92" t="s">
        <v>1431</v>
      </c>
      <c r="AR419" s="84" t="s">
        <v>187</v>
      </c>
      <c r="AS419" s="84">
        <v>0</v>
      </c>
      <c r="AT419" s="84">
        <v>0</v>
      </c>
      <c r="AU419" s="84"/>
      <c r="AV419" s="84"/>
      <c r="AW419" s="84"/>
      <c r="AX419" s="84"/>
      <c r="AY419" s="84"/>
      <c r="AZ419" s="84"/>
      <c r="BA419" s="84"/>
      <c r="BB419" s="84"/>
      <c r="BC419">
        <v>1</v>
      </c>
      <c r="BD419" s="83" t="str">
        <f>REPLACE(INDEX(GroupVertices[Group],MATCH(Edges[[#This Row],[Vertex 1]],GroupVertices[Vertex],0)),1,1,"")</f>
        <v>5</v>
      </c>
      <c r="BE419" s="83" t="str">
        <f>REPLACE(INDEX(GroupVertices[Group],MATCH(Edges[[#This Row],[Vertex 2]],GroupVertices[Vertex],0)),1,1,"")</f>
        <v>5</v>
      </c>
      <c r="BF419" s="49">
        <v>0</v>
      </c>
      <c r="BG419" s="50">
        <v>0</v>
      </c>
      <c r="BH419" s="49">
        <v>0</v>
      </c>
      <c r="BI419" s="50">
        <v>0</v>
      </c>
      <c r="BJ419" s="49">
        <v>0</v>
      </c>
      <c r="BK419" s="50">
        <v>0</v>
      </c>
      <c r="BL419" s="49">
        <v>26</v>
      </c>
      <c r="BM419" s="50">
        <v>100</v>
      </c>
      <c r="BN419" s="49">
        <v>26</v>
      </c>
    </row>
    <row r="420" spans="1:66" ht="15">
      <c r="A420" s="68" t="s">
        <v>386</v>
      </c>
      <c r="B420" s="68" t="s">
        <v>423</v>
      </c>
      <c r="C420" s="69" t="s">
        <v>5210</v>
      </c>
      <c r="D420" s="70">
        <v>10</v>
      </c>
      <c r="E420" s="71" t="s">
        <v>136</v>
      </c>
      <c r="F420" s="72">
        <v>10</v>
      </c>
      <c r="G420" s="69" t="s">
        <v>51</v>
      </c>
      <c r="H420" s="73"/>
      <c r="I420" s="74"/>
      <c r="J420" s="74"/>
      <c r="K420" s="35" t="s">
        <v>65</v>
      </c>
      <c r="L420" s="82">
        <v>420</v>
      </c>
      <c r="M420" s="82"/>
      <c r="N420" s="76"/>
      <c r="O420" s="84" t="s">
        <v>439</v>
      </c>
      <c r="P420" s="86">
        <v>44083.46737268518</v>
      </c>
      <c r="Q420" s="84" t="s">
        <v>459</v>
      </c>
      <c r="R420" s="84"/>
      <c r="S420" s="84"/>
      <c r="T420" s="84" t="s">
        <v>578</v>
      </c>
      <c r="U420" s="87" t="str">
        <f>HYPERLINK("https://pbs.twimg.com/media/EhZc5KGWoAIz_Wo.jpg")</f>
        <v>https://pbs.twimg.com/media/EhZc5KGWoAIz_Wo.jpg</v>
      </c>
      <c r="V420" s="87" t="str">
        <f>HYPERLINK("https://pbs.twimg.com/media/EhZc5KGWoAIz_Wo.jpg")</f>
        <v>https://pbs.twimg.com/media/EhZc5KGWoAIz_Wo.jpg</v>
      </c>
      <c r="W420" s="86">
        <v>44083.46737268518</v>
      </c>
      <c r="X420" s="90">
        <v>44083</v>
      </c>
      <c r="Y420" s="92" t="s">
        <v>868</v>
      </c>
      <c r="Z420" s="87" t="str">
        <f>HYPERLINK("https://twitter.com/hubofml/status/1303652627243315201")</f>
        <v>https://twitter.com/hubofml/status/1303652627243315201</v>
      </c>
      <c r="AA420" s="84"/>
      <c r="AB420" s="84"/>
      <c r="AC420" s="92" t="s">
        <v>1265</v>
      </c>
      <c r="AD420" s="84"/>
      <c r="AE420" s="84" t="b">
        <v>0</v>
      </c>
      <c r="AF420" s="84">
        <v>0</v>
      </c>
      <c r="AG420" s="92" t="s">
        <v>1453</v>
      </c>
      <c r="AH420" s="84" t="b">
        <v>0</v>
      </c>
      <c r="AI420" s="84" t="s">
        <v>1456</v>
      </c>
      <c r="AJ420" s="84"/>
      <c r="AK420" s="92" t="s">
        <v>1453</v>
      </c>
      <c r="AL420" s="84" t="b">
        <v>0</v>
      </c>
      <c r="AM420" s="84">
        <v>44</v>
      </c>
      <c r="AN420" s="92" t="s">
        <v>1428</v>
      </c>
      <c r="AO420" s="84" t="s">
        <v>386</v>
      </c>
      <c r="AP420" s="84" t="b">
        <v>0</v>
      </c>
      <c r="AQ420" s="92" t="s">
        <v>1428</v>
      </c>
      <c r="AR420" s="84" t="s">
        <v>187</v>
      </c>
      <c r="AS420" s="84">
        <v>0</v>
      </c>
      <c r="AT420" s="84">
        <v>0</v>
      </c>
      <c r="AU420" s="84"/>
      <c r="AV420" s="84"/>
      <c r="AW420" s="84"/>
      <c r="AX420" s="84"/>
      <c r="AY420" s="84"/>
      <c r="AZ420" s="84"/>
      <c r="BA420" s="84"/>
      <c r="BB420" s="84"/>
      <c r="BC420">
        <v>7</v>
      </c>
      <c r="BD420" s="83" t="str">
        <f>REPLACE(INDEX(GroupVertices[Group],MATCH(Edges[[#This Row],[Vertex 1]],GroupVertices[Vertex],0)),1,1,"")</f>
        <v>5</v>
      </c>
      <c r="BE420" s="83" t="str">
        <f>REPLACE(INDEX(GroupVertices[Group],MATCH(Edges[[#This Row],[Vertex 2]],GroupVertices[Vertex],0)),1,1,"")</f>
        <v>1</v>
      </c>
      <c r="BF420" s="49">
        <v>0</v>
      </c>
      <c r="BG420" s="50">
        <v>0</v>
      </c>
      <c r="BH420" s="49">
        <v>0</v>
      </c>
      <c r="BI420" s="50">
        <v>0</v>
      </c>
      <c r="BJ420" s="49">
        <v>0</v>
      </c>
      <c r="BK420" s="50">
        <v>0</v>
      </c>
      <c r="BL420" s="49">
        <v>30</v>
      </c>
      <c r="BM420" s="50">
        <v>100</v>
      </c>
      <c r="BN420" s="49">
        <v>30</v>
      </c>
    </row>
    <row r="421" spans="1:66" ht="15">
      <c r="A421" s="68" t="s">
        <v>386</v>
      </c>
      <c r="B421" s="68" t="s">
        <v>423</v>
      </c>
      <c r="C421" s="69" t="s">
        <v>5210</v>
      </c>
      <c r="D421" s="70">
        <v>10</v>
      </c>
      <c r="E421" s="71" t="s">
        <v>136</v>
      </c>
      <c r="F421" s="72">
        <v>10</v>
      </c>
      <c r="G421" s="69" t="s">
        <v>51</v>
      </c>
      <c r="H421" s="73"/>
      <c r="I421" s="74"/>
      <c r="J421" s="74"/>
      <c r="K421" s="35" t="s">
        <v>65</v>
      </c>
      <c r="L421" s="82">
        <v>421</v>
      </c>
      <c r="M421" s="82"/>
      <c r="N421" s="76"/>
      <c r="O421" s="84" t="s">
        <v>439</v>
      </c>
      <c r="P421" s="86">
        <v>44083.644895833335</v>
      </c>
      <c r="Q421" s="84" t="s">
        <v>474</v>
      </c>
      <c r="R421" s="84"/>
      <c r="S421" s="84"/>
      <c r="T421" s="84" t="s">
        <v>591</v>
      </c>
      <c r="U421" s="87" t="str">
        <f>HYPERLINK("https://pbs.twimg.com/media/EhOErS9WAAUfUqQ.jpg")</f>
        <v>https://pbs.twimg.com/media/EhOErS9WAAUfUqQ.jpg</v>
      </c>
      <c r="V421" s="87" t="str">
        <f>HYPERLINK("https://pbs.twimg.com/media/EhOErS9WAAUfUqQ.jpg")</f>
        <v>https://pbs.twimg.com/media/EhOErS9WAAUfUqQ.jpg</v>
      </c>
      <c r="W421" s="86">
        <v>44083.644895833335</v>
      </c>
      <c r="X421" s="90">
        <v>44083</v>
      </c>
      <c r="Y421" s="92" t="s">
        <v>869</v>
      </c>
      <c r="Z421" s="87" t="str">
        <f>HYPERLINK("https://twitter.com/hubofml/status/1303716957284376576")</f>
        <v>https://twitter.com/hubofml/status/1303716957284376576</v>
      </c>
      <c r="AA421" s="84"/>
      <c r="AB421" s="84"/>
      <c r="AC421" s="92" t="s">
        <v>1266</v>
      </c>
      <c r="AD421" s="84"/>
      <c r="AE421" s="84" t="b">
        <v>0</v>
      </c>
      <c r="AF421" s="84">
        <v>0</v>
      </c>
      <c r="AG421" s="92" t="s">
        <v>1453</v>
      </c>
      <c r="AH421" s="84" t="b">
        <v>0</v>
      </c>
      <c r="AI421" s="84" t="s">
        <v>1456</v>
      </c>
      <c r="AJ421" s="84"/>
      <c r="AK421" s="92" t="s">
        <v>1453</v>
      </c>
      <c r="AL421" s="84" t="b">
        <v>0</v>
      </c>
      <c r="AM421" s="84">
        <v>55</v>
      </c>
      <c r="AN421" s="92" t="s">
        <v>1426</v>
      </c>
      <c r="AO421" s="84" t="s">
        <v>386</v>
      </c>
      <c r="AP421" s="84" t="b">
        <v>0</v>
      </c>
      <c r="AQ421" s="92" t="s">
        <v>1426</v>
      </c>
      <c r="AR421" s="84" t="s">
        <v>187</v>
      </c>
      <c r="AS421" s="84">
        <v>0</v>
      </c>
      <c r="AT421" s="84">
        <v>0</v>
      </c>
      <c r="AU421" s="84"/>
      <c r="AV421" s="84"/>
      <c r="AW421" s="84"/>
      <c r="AX421" s="84"/>
      <c r="AY421" s="84"/>
      <c r="AZ421" s="84"/>
      <c r="BA421" s="84"/>
      <c r="BB421" s="84"/>
      <c r="BC421">
        <v>7</v>
      </c>
      <c r="BD421" s="83" t="str">
        <f>REPLACE(INDEX(GroupVertices[Group],MATCH(Edges[[#This Row],[Vertex 1]],GroupVertices[Vertex],0)),1,1,"")</f>
        <v>5</v>
      </c>
      <c r="BE421" s="83" t="str">
        <f>REPLACE(INDEX(GroupVertices[Group],MATCH(Edges[[#This Row],[Vertex 2]],GroupVertices[Vertex],0)),1,1,"")</f>
        <v>1</v>
      </c>
      <c r="BF421" s="49">
        <v>0</v>
      </c>
      <c r="BG421" s="50">
        <v>0</v>
      </c>
      <c r="BH421" s="49">
        <v>0</v>
      </c>
      <c r="BI421" s="50">
        <v>0</v>
      </c>
      <c r="BJ421" s="49">
        <v>0</v>
      </c>
      <c r="BK421" s="50">
        <v>0</v>
      </c>
      <c r="BL421" s="49">
        <v>31</v>
      </c>
      <c r="BM421" s="50">
        <v>100</v>
      </c>
      <c r="BN421" s="49">
        <v>31</v>
      </c>
    </row>
    <row r="422" spans="1:66" ht="15">
      <c r="A422" s="68" t="s">
        <v>386</v>
      </c>
      <c r="B422" s="68" t="s">
        <v>389</v>
      </c>
      <c r="C422" s="69" t="s">
        <v>5210</v>
      </c>
      <c r="D422" s="70">
        <v>10</v>
      </c>
      <c r="E422" s="71" t="s">
        <v>136</v>
      </c>
      <c r="F422" s="72">
        <v>10</v>
      </c>
      <c r="G422" s="69" t="s">
        <v>51</v>
      </c>
      <c r="H422" s="73"/>
      <c r="I422" s="74"/>
      <c r="J422" s="74"/>
      <c r="K422" s="35" t="s">
        <v>65</v>
      </c>
      <c r="L422" s="82">
        <v>422</v>
      </c>
      <c r="M422" s="82"/>
      <c r="N422" s="76"/>
      <c r="O422" s="84" t="s">
        <v>439</v>
      </c>
      <c r="P422" s="86">
        <v>44083.85362268519</v>
      </c>
      <c r="Q422" s="84" t="s">
        <v>478</v>
      </c>
      <c r="R422" s="87" t="str">
        <f>HYPERLINK("http://www.globalbigdataconference.com/145756/combatting-covid-19-misinformation-with-machine-learning/industrynews-details.html")</f>
        <v>http://www.globalbigdataconference.com/145756/combatting-covid-19-misinformation-with-machine-learning/industrynews-details.html</v>
      </c>
      <c r="S422" s="84" t="s">
        <v>541</v>
      </c>
      <c r="T422" s="84" t="s">
        <v>580</v>
      </c>
      <c r="U422" s="84"/>
      <c r="V422" s="87" t="str">
        <f>HYPERLINK("http://pbs.twimg.com/profile_images/1254334743333818373/F3xeh1db_normal.jpg")</f>
        <v>http://pbs.twimg.com/profile_images/1254334743333818373/F3xeh1db_normal.jpg</v>
      </c>
      <c r="W422" s="86">
        <v>44083.85362268519</v>
      </c>
      <c r="X422" s="90">
        <v>44083</v>
      </c>
      <c r="Y422" s="92" t="s">
        <v>870</v>
      </c>
      <c r="Z422" s="87" t="str">
        <f>HYPERLINK("https://twitter.com/hubofml/status/1303792598214217728")</f>
        <v>https://twitter.com/hubofml/status/1303792598214217728</v>
      </c>
      <c r="AA422" s="84"/>
      <c r="AB422" s="84"/>
      <c r="AC422" s="92" t="s">
        <v>1267</v>
      </c>
      <c r="AD422" s="84"/>
      <c r="AE422" s="84" t="b">
        <v>0</v>
      </c>
      <c r="AF422" s="84">
        <v>0</v>
      </c>
      <c r="AG422" s="92" t="s">
        <v>1453</v>
      </c>
      <c r="AH422" s="84" t="b">
        <v>0</v>
      </c>
      <c r="AI422" s="84" t="s">
        <v>1456</v>
      </c>
      <c r="AJ422" s="84"/>
      <c r="AK422" s="92" t="s">
        <v>1453</v>
      </c>
      <c r="AL422" s="84" t="b">
        <v>0</v>
      </c>
      <c r="AM422" s="84">
        <v>25</v>
      </c>
      <c r="AN422" s="92" t="s">
        <v>1287</v>
      </c>
      <c r="AO422" s="84" t="s">
        <v>386</v>
      </c>
      <c r="AP422" s="84" t="b">
        <v>0</v>
      </c>
      <c r="AQ422" s="92" t="s">
        <v>1287</v>
      </c>
      <c r="AR422" s="84" t="s">
        <v>187</v>
      </c>
      <c r="AS422" s="84">
        <v>0</v>
      </c>
      <c r="AT422" s="84">
        <v>0</v>
      </c>
      <c r="AU422" s="84"/>
      <c r="AV422" s="84"/>
      <c r="AW422" s="84"/>
      <c r="AX422" s="84"/>
      <c r="AY422" s="84"/>
      <c r="AZ422" s="84"/>
      <c r="BA422" s="84"/>
      <c r="BB422" s="84"/>
      <c r="BC422">
        <v>5</v>
      </c>
      <c r="BD422" s="83" t="str">
        <f>REPLACE(INDEX(GroupVertices[Group],MATCH(Edges[[#This Row],[Vertex 1]],GroupVertices[Vertex],0)),1,1,"")</f>
        <v>5</v>
      </c>
      <c r="BE422" s="83" t="str">
        <f>REPLACE(INDEX(GroupVertices[Group],MATCH(Edges[[#This Row],[Vertex 2]],GroupVertices[Vertex],0)),1,1,"")</f>
        <v>3</v>
      </c>
      <c r="BF422" s="49">
        <v>0</v>
      </c>
      <c r="BG422" s="50">
        <v>0</v>
      </c>
      <c r="BH422" s="49">
        <v>0</v>
      </c>
      <c r="BI422" s="50">
        <v>0</v>
      </c>
      <c r="BJ422" s="49">
        <v>0</v>
      </c>
      <c r="BK422" s="50">
        <v>0</v>
      </c>
      <c r="BL422" s="49">
        <v>25</v>
      </c>
      <c r="BM422" s="50">
        <v>100</v>
      </c>
      <c r="BN422" s="49">
        <v>25</v>
      </c>
    </row>
    <row r="423" spans="1:66" ht="15">
      <c r="A423" s="68" t="s">
        <v>386</v>
      </c>
      <c r="B423" s="68" t="s">
        <v>389</v>
      </c>
      <c r="C423" s="69" t="s">
        <v>5210</v>
      </c>
      <c r="D423" s="70">
        <v>10</v>
      </c>
      <c r="E423" s="71" t="s">
        <v>136</v>
      </c>
      <c r="F423" s="72">
        <v>10</v>
      </c>
      <c r="G423" s="69" t="s">
        <v>51</v>
      </c>
      <c r="H423" s="73"/>
      <c r="I423" s="74"/>
      <c r="J423" s="74"/>
      <c r="K423" s="35" t="s">
        <v>65</v>
      </c>
      <c r="L423" s="82">
        <v>423</v>
      </c>
      <c r="M423" s="82"/>
      <c r="N423" s="76"/>
      <c r="O423" s="84" t="s">
        <v>439</v>
      </c>
      <c r="P423" s="86">
        <v>44084.720983796295</v>
      </c>
      <c r="Q423" s="84" t="s">
        <v>478</v>
      </c>
      <c r="R423" s="87" t="str">
        <f>HYPERLINK("http://www.globalbigdataconference.com/145756/combatting-covid-19-misinformation-with-machine-learning/industrynews-details.html")</f>
        <v>http://www.globalbigdataconference.com/145756/combatting-covid-19-misinformation-with-machine-learning/industrynews-details.html</v>
      </c>
      <c r="S423" s="84" t="s">
        <v>541</v>
      </c>
      <c r="T423" s="84" t="s">
        <v>580</v>
      </c>
      <c r="U423" s="84"/>
      <c r="V423" s="87" t="str">
        <f>HYPERLINK("http://pbs.twimg.com/profile_images/1254334743333818373/F3xeh1db_normal.jpg")</f>
        <v>http://pbs.twimg.com/profile_images/1254334743333818373/F3xeh1db_normal.jpg</v>
      </c>
      <c r="W423" s="86">
        <v>44084.720983796295</v>
      </c>
      <c r="X423" s="90">
        <v>44084</v>
      </c>
      <c r="Y423" s="92" t="s">
        <v>871</v>
      </c>
      <c r="Z423" s="87" t="str">
        <f>HYPERLINK("https://twitter.com/hubofml/status/1304106921578946562")</f>
        <v>https://twitter.com/hubofml/status/1304106921578946562</v>
      </c>
      <c r="AA423" s="84"/>
      <c r="AB423" s="84"/>
      <c r="AC423" s="92" t="s">
        <v>1268</v>
      </c>
      <c r="AD423" s="84"/>
      <c r="AE423" s="84" t="b">
        <v>0</v>
      </c>
      <c r="AF423" s="84">
        <v>0</v>
      </c>
      <c r="AG423" s="92" t="s">
        <v>1453</v>
      </c>
      <c r="AH423" s="84" t="b">
        <v>0</v>
      </c>
      <c r="AI423" s="84" t="s">
        <v>1456</v>
      </c>
      <c r="AJ423" s="84"/>
      <c r="AK423" s="92" t="s">
        <v>1453</v>
      </c>
      <c r="AL423" s="84" t="b">
        <v>0</v>
      </c>
      <c r="AM423" s="84">
        <v>25</v>
      </c>
      <c r="AN423" s="92" t="s">
        <v>1287</v>
      </c>
      <c r="AO423" s="84" t="s">
        <v>386</v>
      </c>
      <c r="AP423" s="84" t="b">
        <v>0</v>
      </c>
      <c r="AQ423" s="92" t="s">
        <v>1287</v>
      </c>
      <c r="AR423" s="84" t="s">
        <v>187</v>
      </c>
      <c r="AS423" s="84">
        <v>0</v>
      </c>
      <c r="AT423" s="84">
        <v>0</v>
      </c>
      <c r="AU423" s="84"/>
      <c r="AV423" s="84"/>
      <c r="AW423" s="84"/>
      <c r="AX423" s="84"/>
      <c r="AY423" s="84"/>
      <c r="AZ423" s="84"/>
      <c r="BA423" s="84"/>
      <c r="BB423" s="84"/>
      <c r="BC423">
        <v>5</v>
      </c>
      <c r="BD423" s="83" t="str">
        <f>REPLACE(INDEX(GroupVertices[Group],MATCH(Edges[[#This Row],[Vertex 1]],GroupVertices[Vertex],0)),1,1,"")</f>
        <v>5</v>
      </c>
      <c r="BE423" s="83" t="str">
        <f>REPLACE(INDEX(GroupVertices[Group],MATCH(Edges[[#This Row],[Vertex 2]],GroupVertices[Vertex],0)),1,1,"")</f>
        <v>3</v>
      </c>
      <c r="BF423" s="49">
        <v>0</v>
      </c>
      <c r="BG423" s="50">
        <v>0</v>
      </c>
      <c r="BH423" s="49">
        <v>0</v>
      </c>
      <c r="BI423" s="50">
        <v>0</v>
      </c>
      <c r="BJ423" s="49">
        <v>0</v>
      </c>
      <c r="BK423" s="50">
        <v>0</v>
      </c>
      <c r="BL423" s="49">
        <v>25</v>
      </c>
      <c r="BM423" s="50">
        <v>100</v>
      </c>
      <c r="BN423" s="49">
        <v>25</v>
      </c>
    </row>
    <row r="424" spans="1:66" ht="15">
      <c r="A424" s="68" t="s">
        <v>386</v>
      </c>
      <c r="B424" s="68" t="s">
        <v>423</v>
      </c>
      <c r="C424" s="69" t="s">
        <v>5210</v>
      </c>
      <c r="D424" s="70">
        <v>10</v>
      </c>
      <c r="E424" s="71" t="s">
        <v>136</v>
      </c>
      <c r="F424" s="72">
        <v>10</v>
      </c>
      <c r="G424" s="69" t="s">
        <v>51</v>
      </c>
      <c r="H424" s="73"/>
      <c r="I424" s="74"/>
      <c r="J424" s="74"/>
      <c r="K424" s="35" t="s">
        <v>65</v>
      </c>
      <c r="L424" s="82">
        <v>424</v>
      </c>
      <c r="M424" s="82"/>
      <c r="N424" s="76"/>
      <c r="O424" s="84" t="s">
        <v>439</v>
      </c>
      <c r="P424" s="86">
        <v>44084.74663194444</v>
      </c>
      <c r="Q424" s="84" t="s">
        <v>474</v>
      </c>
      <c r="R424" s="84"/>
      <c r="S424" s="84"/>
      <c r="T424" s="84" t="s">
        <v>591</v>
      </c>
      <c r="U424" s="87" t="str">
        <f>HYPERLINK("https://pbs.twimg.com/media/EhOErS9WAAUfUqQ.jpg")</f>
        <v>https://pbs.twimg.com/media/EhOErS9WAAUfUqQ.jpg</v>
      </c>
      <c r="V424" s="87" t="str">
        <f>HYPERLINK("https://pbs.twimg.com/media/EhOErS9WAAUfUqQ.jpg")</f>
        <v>https://pbs.twimg.com/media/EhOErS9WAAUfUqQ.jpg</v>
      </c>
      <c r="W424" s="86">
        <v>44084.74663194444</v>
      </c>
      <c r="X424" s="90">
        <v>44084</v>
      </c>
      <c r="Y424" s="92" t="s">
        <v>872</v>
      </c>
      <c r="Z424" s="87" t="str">
        <f>HYPERLINK("https://twitter.com/hubofml/status/1304116215099650050")</f>
        <v>https://twitter.com/hubofml/status/1304116215099650050</v>
      </c>
      <c r="AA424" s="84"/>
      <c r="AB424" s="84"/>
      <c r="AC424" s="92" t="s">
        <v>1269</v>
      </c>
      <c r="AD424" s="84"/>
      <c r="AE424" s="84" t="b">
        <v>0</v>
      </c>
      <c r="AF424" s="84">
        <v>0</v>
      </c>
      <c r="AG424" s="92" t="s">
        <v>1453</v>
      </c>
      <c r="AH424" s="84" t="b">
        <v>0</v>
      </c>
      <c r="AI424" s="84" t="s">
        <v>1456</v>
      </c>
      <c r="AJ424" s="84"/>
      <c r="AK424" s="92" t="s">
        <v>1453</v>
      </c>
      <c r="AL424" s="84" t="b">
        <v>0</v>
      </c>
      <c r="AM424" s="84">
        <v>55</v>
      </c>
      <c r="AN424" s="92" t="s">
        <v>1426</v>
      </c>
      <c r="AO424" s="84" t="s">
        <v>386</v>
      </c>
      <c r="AP424" s="84" t="b">
        <v>0</v>
      </c>
      <c r="AQ424" s="92" t="s">
        <v>1426</v>
      </c>
      <c r="AR424" s="84" t="s">
        <v>187</v>
      </c>
      <c r="AS424" s="84">
        <v>0</v>
      </c>
      <c r="AT424" s="84">
        <v>0</v>
      </c>
      <c r="AU424" s="84"/>
      <c r="AV424" s="84"/>
      <c r="AW424" s="84"/>
      <c r="AX424" s="84"/>
      <c r="AY424" s="84"/>
      <c r="AZ424" s="84"/>
      <c r="BA424" s="84"/>
      <c r="BB424" s="84"/>
      <c r="BC424">
        <v>7</v>
      </c>
      <c r="BD424" s="83" t="str">
        <f>REPLACE(INDEX(GroupVertices[Group],MATCH(Edges[[#This Row],[Vertex 1]],GroupVertices[Vertex],0)),1,1,"")</f>
        <v>5</v>
      </c>
      <c r="BE424" s="83" t="str">
        <f>REPLACE(INDEX(GroupVertices[Group],MATCH(Edges[[#This Row],[Vertex 2]],GroupVertices[Vertex],0)),1,1,"")</f>
        <v>1</v>
      </c>
      <c r="BF424" s="49">
        <v>0</v>
      </c>
      <c r="BG424" s="50">
        <v>0</v>
      </c>
      <c r="BH424" s="49">
        <v>0</v>
      </c>
      <c r="BI424" s="50">
        <v>0</v>
      </c>
      <c r="BJ424" s="49">
        <v>0</v>
      </c>
      <c r="BK424" s="50">
        <v>0</v>
      </c>
      <c r="BL424" s="49">
        <v>31</v>
      </c>
      <c r="BM424" s="50">
        <v>100</v>
      </c>
      <c r="BN424" s="49">
        <v>31</v>
      </c>
    </row>
    <row r="425" spans="1:66" ht="15">
      <c r="A425" s="68" t="s">
        <v>386</v>
      </c>
      <c r="B425" s="68" t="s">
        <v>389</v>
      </c>
      <c r="C425" s="69" t="s">
        <v>5210</v>
      </c>
      <c r="D425" s="70">
        <v>10</v>
      </c>
      <c r="E425" s="71" t="s">
        <v>136</v>
      </c>
      <c r="F425" s="72">
        <v>10</v>
      </c>
      <c r="G425" s="69" t="s">
        <v>51</v>
      </c>
      <c r="H425" s="73"/>
      <c r="I425" s="74"/>
      <c r="J425" s="74"/>
      <c r="K425" s="35" t="s">
        <v>65</v>
      </c>
      <c r="L425" s="82">
        <v>425</v>
      </c>
      <c r="M425" s="82"/>
      <c r="N425" s="76"/>
      <c r="O425" s="84" t="s">
        <v>439</v>
      </c>
      <c r="P425" s="86">
        <v>44085.6649537037</v>
      </c>
      <c r="Q425" s="84" t="s">
        <v>482</v>
      </c>
      <c r="R425" s="87" t="str">
        <f>HYPERLINK("http://www.globalbigdataconference.com/145761/big-datas-role-in-the-post-covid-era/industrynews-details.html")</f>
        <v>http://www.globalbigdataconference.com/145761/big-datas-role-in-the-post-covid-era/industrynews-details.html</v>
      </c>
      <c r="S425" s="84" t="s">
        <v>541</v>
      </c>
      <c r="T425" s="84" t="s">
        <v>598</v>
      </c>
      <c r="U425" s="84"/>
      <c r="V425" s="87" t="str">
        <f>HYPERLINK("http://pbs.twimg.com/profile_images/1254334743333818373/F3xeh1db_normal.jpg")</f>
        <v>http://pbs.twimg.com/profile_images/1254334743333818373/F3xeh1db_normal.jpg</v>
      </c>
      <c r="W425" s="86">
        <v>44085.6649537037</v>
      </c>
      <c r="X425" s="90">
        <v>44085</v>
      </c>
      <c r="Y425" s="92" t="s">
        <v>873</v>
      </c>
      <c r="Z425" s="87" t="str">
        <f>HYPERLINK("https://twitter.com/hubofml/status/1304449003170529280")</f>
        <v>https://twitter.com/hubofml/status/1304449003170529280</v>
      </c>
      <c r="AA425" s="84"/>
      <c r="AB425" s="84"/>
      <c r="AC425" s="92" t="s">
        <v>1270</v>
      </c>
      <c r="AD425" s="84"/>
      <c r="AE425" s="84" t="b">
        <v>0</v>
      </c>
      <c r="AF425" s="84">
        <v>0</v>
      </c>
      <c r="AG425" s="92" t="s">
        <v>1453</v>
      </c>
      <c r="AH425" s="84" t="b">
        <v>0</v>
      </c>
      <c r="AI425" s="84" t="s">
        <v>1456</v>
      </c>
      <c r="AJ425" s="84"/>
      <c r="AK425" s="92" t="s">
        <v>1453</v>
      </c>
      <c r="AL425" s="84" t="b">
        <v>0</v>
      </c>
      <c r="AM425" s="84">
        <v>22</v>
      </c>
      <c r="AN425" s="92" t="s">
        <v>1288</v>
      </c>
      <c r="AO425" s="84" t="s">
        <v>386</v>
      </c>
      <c r="AP425" s="84" t="b">
        <v>0</v>
      </c>
      <c r="AQ425" s="92" t="s">
        <v>1288</v>
      </c>
      <c r="AR425" s="84" t="s">
        <v>187</v>
      </c>
      <c r="AS425" s="84">
        <v>0</v>
      </c>
      <c r="AT425" s="84">
        <v>0</v>
      </c>
      <c r="AU425" s="84"/>
      <c r="AV425" s="84"/>
      <c r="AW425" s="84"/>
      <c r="AX425" s="84"/>
      <c r="AY425" s="84"/>
      <c r="AZ425" s="84"/>
      <c r="BA425" s="84"/>
      <c r="BB425" s="84"/>
      <c r="BC425">
        <v>5</v>
      </c>
      <c r="BD425" s="83" t="str">
        <f>REPLACE(INDEX(GroupVertices[Group],MATCH(Edges[[#This Row],[Vertex 1]],GroupVertices[Vertex],0)),1,1,"")</f>
        <v>5</v>
      </c>
      <c r="BE425" s="83" t="str">
        <f>REPLACE(INDEX(GroupVertices[Group],MATCH(Edges[[#This Row],[Vertex 2]],GroupVertices[Vertex],0)),1,1,"")</f>
        <v>3</v>
      </c>
      <c r="BF425" s="49">
        <v>0</v>
      </c>
      <c r="BG425" s="50">
        <v>0</v>
      </c>
      <c r="BH425" s="49">
        <v>0</v>
      </c>
      <c r="BI425" s="50">
        <v>0</v>
      </c>
      <c r="BJ425" s="49">
        <v>0</v>
      </c>
      <c r="BK425" s="50">
        <v>0</v>
      </c>
      <c r="BL425" s="49">
        <v>28</v>
      </c>
      <c r="BM425" s="50">
        <v>100</v>
      </c>
      <c r="BN425" s="49">
        <v>28</v>
      </c>
    </row>
    <row r="426" spans="1:66" ht="15">
      <c r="A426" s="68" t="s">
        <v>386</v>
      </c>
      <c r="B426" s="68" t="s">
        <v>436</v>
      </c>
      <c r="C426" s="69" t="s">
        <v>5209</v>
      </c>
      <c r="D426" s="70">
        <v>6.678367782143116</v>
      </c>
      <c r="E426" s="71" t="s">
        <v>132</v>
      </c>
      <c r="F426" s="72">
        <v>21</v>
      </c>
      <c r="G426" s="69" t="s">
        <v>51</v>
      </c>
      <c r="H426" s="73"/>
      <c r="I426" s="74"/>
      <c r="J426" s="74"/>
      <c r="K426" s="35" t="s">
        <v>65</v>
      </c>
      <c r="L426" s="82">
        <v>426</v>
      </c>
      <c r="M426" s="82"/>
      <c r="N426" s="76"/>
      <c r="O426" s="84" t="s">
        <v>440</v>
      </c>
      <c r="P426" s="86">
        <v>44087.11369212963</v>
      </c>
      <c r="Q426" s="84" t="s">
        <v>490</v>
      </c>
      <c r="R426" s="87" t="str">
        <f>HYPERLINK("https://online-learning.harvard.edu/catalog")</f>
        <v>https://online-learning.harvard.edu/catalog</v>
      </c>
      <c r="S426" s="84" t="s">
        <v>551</v>
      </c>
      <c r="T426" s="84" t="s">
        <v>606</v>
      </c>
      <c r="U426" s="84"/>
      <c r="V426" s="87" t="str">
        <f>HYPERLINK("http://pbs.twimg.com/profile_images/1254334743333818373/F3xeh1db_normal.jpg")</f>
        <v>http://pbs.twimg.com/profile_images/1254334743333818373/F3xeh1db_normal.jpg</v>
      </c>
      <c r="W426" s="86">
        <v>44087.11369212963</v>
      </c>
      <c r="X426" s="90">
        <v>44087</v>
      </c>
      <c r="Y426" s="92" t="s">
        <v>793</v>
      </c>
      <c r="Z426" s="87" t="str">
        <f>HYPERLINK("https://twitter.com/hubofml/status/1304974008367099905")</f>
        <v>https://twitter.com/hubofml/status/1304974008367099905</v>
      </c>
      <c r="AA426" s="84"/>
      <c r="AB426" s="84"/>
      <c r="AC426" s="92" t="s">
        <v>1271</v>
      </c>
      <c r="AD426" s="84"/>
      <c r="AE426" s="84" t="b">
        <v>0</v>
      </c>
      <c r="AF426" s="84">
        <v>0</v>
      </c>
      <c r="AG426" s="92" t="s">
        <v>1453</v>
      </c>
      <c r="AH426" s="84" t="b">
        <v>0</v>
      </c>
      <c r="AI426" s="84" t="s">
        <v>1456</v>
      </c>
      <c r="AJ426" s="84"/>
      <c r="AK426" s="92" t="s">
        <v>1453</v>
      </c>
      <c r="AL426" s="84" t="b">
        <v>0</v>
      </c>
      <c r="AM426" s="84">
        <v>449</v>
      </c>
      <c r="AN426" s="92" t="s">
        <v>1406</v>
      </c>
      <c r="AO426" s="84" t="s">
        <v>386</v>
      </c>
      <c r="AP426" s="84" t="b">
        <v>0</v>
      </c>
      <c r="AQ426" s="92" t="s">
        <v>1406</v>
      </c>
      <c r="AR426" s="84" t="s">
        <v>187</v>
      </c>
      <c r="AS426" s="84">
        <v>0</v>
      </c>
      <c r="AT426" s="84">
        <v>0</v>
      </c>
      <c r="AU426" s="84"/>
      <c r="AV426" s="84"/>
      <c r="AW426" s="84"/>
      <c r="AX426" s="84"/>
      <c r="AY426" s="84"/>
      <c r="AZ426" s="84"/>
      <c r="BA426" s="84"/>
      <c r="BB426" s="84"/>
      <c r="BC426">
        <v>2</v>
      </c>
      <c r="BD426" s="83" t="str">
        <f>REPLACE(INDEX(GroupVertices[Group],MATCH(Edges[[#This Row],[Vertex 1]],GroupVertices[Vertex],0)),1,1,"")</f>
        <v>5</v>
      </c>
      <c r="BE426" s="83" t="str">
        <f>REPLACE(INDEX(GroupVertices[Group],MATCH(Edges[[#This Row],[Vertex 2]],GroupVertices[Vertex],0)),1,1,"")</f>
        <v>1</v>
      </c>
      <c r="BF426" s="49"/>
      <c r="BG426" s="50"/>
      <c r="BH426" s="49"/>
      <c r="BI426" s="50"/>
      <c r="BJ426" s="49"/>
      <c r="BK426" s="50"/>
      <c r="BL426" s="49"/>
      <c r="BM426" s="50"/>
      <c r="BN426" s="49"/>
    </row>
    <row r="427" spans="1:66" ht="15">
      <c r="A427" s="68" t="s">
        <v>386</v>
      </c>
      <c r="B427" s="68" t="s">
        <v>418</v>
      </c>
      <c r="C427" s="69" t="s">
        <v>5209</v>
      </c>
      <c r="D427" s="70">
        <v>6.678367782143116</v>
      </c>
      <c r="E427" s="71" t="s">
        <v>132</v>
      </c>
      <c r="F427" s="72">
        <v>21</v>
      </c>
      <c r="G427" s="69" t="s">
        <v>51</v>
      </c>
      <c r="H427" s="73"/>
      <c r="I427" s="74"/>
      <c r="J427" s="74"/>
      <c r="K427" s="35" t="s">
        <v>65</v>
      </c>
      <c r="L427" s="82">
        <v>427</v>
      </c>
      <c r="M427" s="82"/>
      <c r="N427" s="76"/>
      <c r="O427" s="84" t="s">
        <v>439</v>
      </c>
      <c r="P427" s="86">
        <v>44087.11369212963</v>
      </c>
      <c r="Q427" s="84" t="s">
        <v>490</v>
      </c>
      <c r="R427" s="87" t="str">
        <f>HYPERLINK("https://online-learning.harvard.edu/catalog")</f>
        <v>https://online-learning.harvard.edu/catalog</v>
      </c>
      <c r="S427" s="84" t="s">
        <v>551</v>
      </c>
      <c r="T427" s="84" t="s">
        <v>606</v>
      </c>
      <c r="U427" s="84"/>
      <c r="V427" s="87" t="str">
        <f>HYPERLINK("http://pbs.twimg.com/profile_images/1254334743333818373/F3xeh1db_normal.jpg")</f>
        <v>http://pbs.twimg.com/profile_images/1254334743333818373/F3xeh1db_normal.jpg</v>
      </c>
      <c r="W427" s="86">
        <v>44087.11369212963</v>
      </c>
      <c r="X427" s="90">
        <v>44087</v>
      </c>
      <c r="Y427" s="92" t="s">
        <v>793</v>
      </c>
      <c r="Z427" s="87" t="str">
        <f>HYPERLINK("https://twitter.com/hubofml/status/1304974008367099905")</f>
        <v>https://twitter.com/hubofml/status/1304974008367099905</v>
      </c>
      <c r="AA427" s="84"/>
      <c r="AB427" s="84"/>
      <c r="AC427" s="92" t="s">
        <v>1271</v>
      </c>
      <c r="AD427" s="84"/>
      <c r="AE427" s="84" t="b">
        <v>0</v>
      </c>
      <c r="AF427" s="84">
        <v>0</v>
      </c>
      <c r="AG427" s="92" t="s">
        <v>1453</v>
      </c>
      <c r="AH427" s="84" t="b">
        <v>0</v>
      </c>
      <c r="AI427" s="84" t="s">
        <v>1456</v>
      </c>
      <c r="AJ427" s="84"/>
      <c r="AK427" s="92" t="s">
        <v>1453</v>
      </c>
      <c r="AL427" s="84" t="b">
        <v>0</v>
      </c>
      <c r="AM427" s="84">
        <v>449</v>
      </c>
      <c r="AN427" s="92" t="s">
        <v>1406</v>
      </c>
      <c r="AO427" s="84" t="s">
        <v>386</v>
      </c>
      <c r="AP427" s="84" t="b">
        <v>0</v>
      </c>
      <c r="AQ427" s="92" t="s">
        <v>1406</v>
      </c>
      <c r="AR427" s="84" t="s">
        <v>187</v>
      </c>
      <c r="AS427" s="84">
        <v>0</v>
      </c>
      <c r="AT427" s="84">
        <v>0</v>
      </c>
      <c r="AU427" s="84"/>
      <c r="AV427" s="84"/>
      <c r="AW427" s="84"/>
      <c r="AX427" s="84"/>
      <c r="AY427" s="84"/>
      <c r="AZ427" s="84"/>
      <c r="BA427" s="84"/>
      <c r="BB427" s="84"/>
      <c r="BC427">
        <v>2</v>
      </c>
      <c r="BD427" s="83" t="str">
        <f>REPLACE(INDEX(GroupVertices[Group],MATCH(Edges[[#This Row],[Vertex 1]],GroupVertices[Vertex],0)),1,1,"")</f>
        <v>5</v>
      </c>
      <c r="BE427" s="83" t="str">
        <f>REPLACE(INDEX(GroupVertices[Group],MATCH(Edges[[#This Row],[Vertex 2]],GroupVertices[Vertex],0)),1,1,"")</f>
        <v>1</v>
      </c>
      <c r="BF427" s="49">
        <v>0</v>
      </c>
      <c r="BG427" s="50">
        <v>0</v>
      </c>
      <c r="BH427" s="49">
        <v>0</v>
      </c>
      <c r="BI427" s="50">
        <v>0</v>
      </c>
      <c r="BJ427" s="49">
        <v>0</v>
      </c>
      <c r="BK427" s="50">
        <v>0</v>
      </c>
      <c r="BL427" s="49">
        <v>25</v>
      </c>
      <c r="BM427" s="50">
        <v>100</v>
      </c>
      <c r="BN427" s="49">
        <v>25</v>
      </c>
    </row>
    <row r="428" spans="1:66" ht="15">
      <c r="A428" s="68" t="s">
        <v>386</v>
      </c>
      <c r="B428" s="68" t="s">
        <v>423</v>
      </c>
      <c r="C428" s="69" t="s">
        <v>5210</v>
      </c>
      <c r="D428" s="70">
        <v>10</v>
      </c>
      <c r="E428" s="71" t="s">
        <v>136</v>
      </c>
      <c r="F428" s="72">
        <v>10</v>
      </c>
      <c r="G428" s="69" t="s">
        <v>51</v>
      </c>
      <c r="H428" s="73"/>
      <c r="I428" s="74"/>
      <c r="J428" s="74"/>
      <c r="K428" s="35" t="s">
        <v>65</v>
      </c>
      <c r="L428" s="82">
        <v>428</v>
      </c>
      <c r="M428" s="82"/>
      <c r="N428" s="76"/>
      <c r="O428" s="84" t="s">
        <v>439</v>
      </c>
      <c r="P428" s="86">
        <v>44087.731412037036</v>
      </c>
      <c r="Q428" s="84" t="s">
        <v>494</v>
      </c>
      <c r="R428" s="87" t="str">
        <f>HYPERLINK("https://twitter.com/RadioSilentplay/status/1294087895364636672")</f>
        <v>https://twitter.com/RadioSilentplay/status/1294087895364636672</v>
      </c>
      <c r="S428" s="84" t="s">
        <v>553</v>
      </c>
      <c r="T428" s="84" t="s">
        <v>576</v>
      </c>
      <c r="U428" s="87" t="str">
        <f>HYPERLINK("https://pbs.twimg.com/media/EfYggXsXYAEbRme.jpg")</f>
        <v>https://pbs.twimg.com/media/EfYggXsXYAEbRme.jpg</v>
      </c>
      <c r="V428" s="87" t="str">
        <f>HYPERLINK("https://pbs.twimg.com/media/EfYggXsXYAEbRme.jpg")</f>
        <v>https://pbs.twimg.com/media/EfYggXsXYAEbRme.jpg</v>
      </c>
      <c r="W428" s="86">
        <v>44087.731412037036</v>
      </c>
      <c r="X428" s="90">
        <v>44087</v>
      </c>
      <c r="Y428" s="92" t="s">
        <v>874</v>
      </c>
      <c r="Z428" s="87" t="str">
        <f>HYPERLINK("https://twitter.com/hubofml/status/1305197862435905536")</f>
        <v>https://twitter.com/hubofml/status/1305197862435905536</v>
      </c>
      <c r="AA428" s="84"/>
      <c r="AB428" s="84"/>
      <c r="AC428" s="92" t="s">
        <v>1272</v>
      </c>
      <c r="AD428" s="84"/>
      <c r="AE428" s="84" t="b">
        <v>0</v>
      </c>
      <c r="AF428" s="84">
        <v>0</v>
      </c>
      <c r="AG428" s="92" t="s">
        <v>1453</v>
      </c>
      <c r="AH428" s="84" t="b">
        <v>1</v>
      </c>
      <c r="AI428" s="84" t="s">
        <v>1456</v>
      </c>
      <c r="AJ428" s="84"/>
      <c r="AK428" s="92" t="s">
        <v>1463</v>
      </c>
      <c r="AL428" s="84" t="b">
        <v>0</v>
      </c>
      <c r="AM428" s="84">
        <v>50</v>
      </c>
      <c r="AN428" s="92" t="s">
        <v>1427</v>
      </c>
      <c r="AO428" s="84" t="s">
        <v>386</v>
      </c>
      <c r="AP428" s="84" t="b">
        <v>0</v>
      </c>
      <c r="AQ428" s="92" t="s">
        <v>1427</v>
      </c>
      <c r="AR428" s="84" t="s">
        <v>187</v>
      </c>
      <c r="AS428" s="84">
        <v>0</v>
      </c>
      <c r="AT428" s="84">
        <v>0</v>
      </c>
      <c r="AU428" s="84"/>
      <c r="AV428" s="84"/>
      <c r="AW428" s="84"/>
      <c r="AX428" s="84"/>
      <c r="AY428" s="84"/>
      <c r="AZ428" s="84"/>
      <c r="BA428" s="84"/>
      <c r="BB428" s="84"/>
      <c r="BC428">
        <v>7</v>
      </c>
      <c r="BD428" s="83" t="str">
        <f>REPLACE(INDEX(GroupVertices[Group],MATCH(Edges[[#This Row],[Vertex 1]],GroupVertices[Vertex],0)),1,1,"")</f>
        <v>5</v>
      </c>
      <c r="BE428" s="83" t="str">
        <f>REPLACE(INDEX(GroupVertices[Group],MATCH(Edges[[#This Row],[Vertex 2]],GroupVertices[Vertex],0)),1,1,"")</f>
        <v>1</v>
      </c>
      <c r="BF428" s="49">
        <v>0</v>
      </c>
      <c r="BG428" s="50">
        <v>0</v>
      </c>
      <c r="BH428" s="49">
        <v>0</v>
      </c>
      <c r="BI428" s="50">
        <v>0</v>
      </c>
      <c r="BJ428" s="49">
        <v>0</v>
      </c>
      <c r="BK428" s="50">
        <v>0</v>
      </c>
      <c r="BL428" s="49">
        <v>34</v>
      </c>
      <c r="BM428" s="50">
        <v>100</v>
      </c>
      <c r="BN428" s="49">
        <v>34</v>
      </c>
    </row>
    <row r="429" spans="1:66" ht="15">
      <c r="A429" s="68" t="s">
        <v>386</v>
      </c>
      <c r="B429" s="68" t="s">
        <v>436</v>
      </c>
      <c r="C429" s="69" t="s">
        <v>5209</v>
      </c>
      <c r="D429" s="70">
        <v>6.678367782143116</v>
      </c>
      <c r="E429" s="71" t="s">
        <v>132</v>
      </c>
      <c r="F429" s="72">
        <v>21</v>
      </c>
      <c r="G429" s="69" t="s">
        <v>51</v>
      </c>
      <c r="H429" s="73"/>
      <c r="I429" s="74"/>
      <c r="J429" s="74"/>
      <c r="K429" s="35" t="s">
        <v>65</v>
      </c>
      <c r="L429" s="82">
        <v>429</v>
      </c>
      <c r="M429" s="82"/>
      <c r="N429" s="76"/>
      <c r="O429" s="84" t="s">
        <v>440</v>
      </c>
      <c r="P429" s="86">
        <v>44088.72179398148</v>
      </c>
      <c r="Q429" s="84" t="s">
        <v>490</v>
      </c>
      <c r="R429" s="87" t="str">
        <f>HYPERLINK("https://online-learning.harvard.edu/catalog")</f>
        <v>https://online-learning.harvard.edu/catalog</v>
      </c>
      <c r="S429" s="84" t="s">
        <v>551</v>
      </c>
      <c r="T429" s="84" t="s">
        <v>606</v>
      </c>
      <c r="U429" s="84"/>
      <c r="V429" s="87" t="str">
        <f>HYPERLINK("http://pbs.twimg.com/profile_images/1254334743333818373/F3xeh1db_normal.jpg")</f>
        <v>http://pbs.twimg.com/profile_images/1254334743333818373/F3xeh1db_normal.jpg</v>
      </c>
      <c r="W429" s="86">
        <v>44088.72179398148</v>
      </c>
      <c r="X429" s="90">
        <v>44088</v>
      </c>
      <c r="Y429" s="92" t="s">
        <v>875</v>
      </c>
      <c r="Z429" s="87" t="str">
        <f>HYPERLINK("https://twitter.com/hubofml/status/1305556765673762821")</f>
        <v>https://twitter.com/hubofml/status/1305556765673762821</v>
      </c>
      <c r="AA429" s="84"/>
      <c r="AB429" s="84"/>
      <c r="AC429" s="92" t="s">
        <v>1273</v>
      </c>
      <c r="AD429" s="84"/>
      <c r="AE429" s="84" t="b">
        <v>0</v>
      </c>
      <c r="AF429" s="84">
        <v>0</v>
      </c>
      <c r="AG429" s="92" t="s">
        <v>1453</v>
      </c>
      <c r="AH429" s="84" t="b">
        <v>0</v>
      </c>
      <c r="AI429" s="84" t="s">
        <v>1456</v>
      </c>
      <c r="AJ429" s="84"/>
      <c r="AK429" s="92" t="s">
        <v>1453</v>
      </c>
      <c r="AL429" s="84" t="b">
        <v>0</v>
      </c>
      <c r="AM429" s="84">
        <v>449</v>
      </c>
      <c r="AN429" s="92" t="s">
        <v>1406</v>
      </c>
      <c r="AO429" s="84" t="s">
        <v>386</v>
      </c>
      <c r="AP429" s="84" t="b">
        <v>0</v>
      </c>
      <c r="AQ429" s="92" t="s">
        <v>1406</v>
      </c>
      <c r="AR429" s="84" t="s">
        <v>187</v>
      </c>
      <c r="AS429" s="84">
        <v>0</v>
      </c>
      <c r="AT429" s="84">
        <v>0</v>
      </c>
      <c r="AU429" s="84"/>
      <c r="AV429" s="84"/>
      <c r="AW429" s="84"/>
      <c r="AX429" s="84"/>
      <c r="AY429" s="84"/>
      <c r="AZ429" s="84"/>
      <c r="BA429" s="84"/>
      <c r="BB429" s="84"/>
      <c r="BC429">
        <v>2</v>
      </c>
      <c r="BD429" s="83" t="str">
        <f>REPLACE(INDEX(GroupVertices[Group],MATCH(Edges[[#This Row],[Vertex 1]],GroupVertices[Vertex],0)),1,1,"")</f>
        <v>5</v>
      </c>
      <c r="BE429" s="83" t="str">
        <f>REPLACE(INDEX(GroupVertices[Group],MATCH(Edges[[#This Row],[Vertex 2]],GroupVertices[Vertex],0)),1,1,"")</f>
        <v>1</v>
      </c>
      <c r="BF429" s="49"/>
      <c r="BG429" s="50"/>
      <c r="BH429" s="49"/>
      <c r="BI429" s="50"/>
      <c r="BJ429" s="49"/>
      <c r="BK429" s="50"/>
      <c r="BL429" s="49"/>
      <c r="BM429" s="50"/>
      <c r="BN429" s="49"/>
    </row>
    <row r="430" spans="1:66" ht="15">
      <c r="A430" s="68" t="s">
        <v>386</v>
      </c>
      <c r="B430" s="68" t="s">
        <v>418</v>
      </c>
      <c r="C430" s="69" t="s">
        <v>5209</v>
      </c>
      <c r="D430" s="70">
        <v>6.678367782143116</v>
      </c>
      <c r="E430" s="71" t="s">
        <v>132</v>
      </c>
      <c r="F430" s="72">
        <v>21</v>
      </c>
      <c r="G430" s="69" t="s">
        <v>51</v>
      </c>
      <c r="H430" s="73"/>
      <c r="I430" s="74"/>
      <c r="J430" s="74"/>
      <c r="K430" s="35" t="s">
        <v>65</v>
      </c>
      <c r="L430" s="82">
        <v>430</v>
      </c>
      <c r="M430" s="82"/>
      <c r="N430" s="76"/>
      <c r="O430" s="84" t="s">
        <v>439</v>
      </c>
      <c r="P430" s="86">
        <v>44088.72179398148</v>
      </c>
      <c r="Q430" s="84" t="s">
        <v>490</v>
      </c>
      <c r="R430" s="87" t="str">
        <f>HYPERLINK("https://online-learning.harvard.edu/catalog")</f>
        <v>https://online-learning.harvard.edu/catalog</v>
      </c>
      <c r="S430" s="84" t="s">
        <v>551</v>
      </c>
      <c r="T430" s="84" t="s">
        <v>606</v>
      </c>
      <c r="U430" s="84"/>
      <c r="V430" s="87" t="str">
        <f>HYPERLINK("http://pbs.twimg.com/profile_images/1254334743333818373/F3xeh1db_normal.jpg")</f>
        <v>http://pbs.twimg.com/profile_images/1254334743333818373/F3xeh1db_normal.jpg</v>
      </c>
      <c r="W430" s="86">
        <v>44088.72179398148</v>
      </c>
      <c r="X430" s="90">
        <v>44088</v>
      </c>
      <c r="Y430" s="92" t="s">
        <v>875</v>
      </c>
      <c r="Z430" s="87" t="str">
        <f>HYPERLINK("https://twitter.com/hubofml/status/1305556765673762821")</f>
        <v>https://twitter.com/hubofml/status/1305556765673762821</v>
      </c>
      <c r="AA430" s="84"/>
      <c r="AB430" s="84"/>
      <c r="AC430" s="92" t="s">
        <v>1273</v>
      </c>
      <c r="AD430" s="84"/>
      <c r="AE430" s="84" t="b">
        <v>0</v>
      </c>
      <c r="AF430" s="84">
        <v>0</v>
      </c>
      <c r="AG430" s="92" t="s">
        <v>1453</v>
      </c>
      <c r="AH430" s="84" t="b">
        <v>0</v>
      </c>
      <c r="AI430" s="84" t="s">
        <v>1456</v>
      </c>
      <c r="AJ430" s="84"/>
      <c r="AK430" s="92" t="s">
        <v>1453</v>
      </c>
      <c r="AL430" s="84" t="b">
        <v>0</v>
      </c>
      <c r="AM430" s="84">
        <v>449</v>
      </c>
      <c r="AN430" s="92" t="s">
        <v>1406</v>
      </c>
      <c r="AO430" s="84" t="s">
        <v>386</v>
      </c>
      <c r="AP430" s="84" t="b">
        <v>0</v>
      </c>
      <c r="AQ430" s="92" t="s">
        <v>1406</v>
      </c>
      <c r="AR430" s="84" t="s">
        <v>187</v>
      </c>
      <c r="AS430" s="84">
        <v>0</v>
      </c>
      <c r="AT430" s="84">
        <v>0</v>
      </c>
      <c r="AU430" s="84"/>
      <c r="AV430" s="84"/>
      <c r="AW430" s="84"/>
      <c r="AX430" s="84"/>
      <c r="AY430" s="84"/>
      <c r="AZ430" s="84"/>
      <c r="BA430" s="84"/>
      <c r="BB430" s="84"/>
      <c r="BC430">
        <v>2</v>
      </c>
      <c r="BD430" s="83" t="str">
        <f>REPLACE(INDEX(GroupVertices[Group],MATCH(Edges[[#This Row],[Vertex 1]],GroupVertices[Vertex],0)),1,1,"")</f>
        <v>5</v>
      </c>
      <c r="BE430" s="83" t="str">
        <f>REPLACE(INDEX(GroupVertices[Group],MATCH(Edges[[#This Row],[Vertex 2]],GroupVertices[Vertex],0)),1,1,"")</f>
        <v>1</v>
      </c>
      <c r="BF430" s="49">
        <v>0</v>
      </c>
      <c r="BG430" s="50">
        <v>0</v>
      </c>
      <c r="BH430" s="49">
        <v>0</v>
      </c>
      <c r="BI430" s="50">
        <v>0</v>
      </c>
      <c r="BJ430" s="49">
        <v>0</v>
      </c>
      <c r="BK430" s="50">
        <v>0</v>
      </c>
      <c r="BL430" s="49">
        <v>25</v>
      </c>
      <c r="BM430" s="50">
        <v>100</v>
      </c>
      <c r="BN430" s="49">
        <v>25</v>
      </c>
    </row>
    <row r="431" spans="1:66" ht="15">
      <c r="A431" s="68" t="s">
        <v>388</v>
      </c>
      <c r="B431" s="68" t="s">
        <v>423</v>
      </c>
      <c r="C431" s="69" t="s">
        <v>5210</v>
      </c>
      <c r="D431" s="70">
        <v>10</v>
      </c>
      <c r="E431" s="71" t="s">
        <v>136</v>
      </c>
      <c r="F431" s="72">
        <v>10</v>
      </c>
      <c r="G431" s="69" t="s">
        <v>51</v>
      </c>
      <c r="H431" s="73"/>
      <c r="I431" s="74"/>
      <c r="J431" s="74"/>
      <c r="K431" s="35" t="s">
        <v>65</v>
      </c>
      <c r="L431" s="82">
        <v>431</v>
      </c>
      <c r="M431" s="82"/>
      <c r="N431" s="76"/>
      <c r="O431" s="84" t="s">
        <v>439</v>
      </c>
      <c r="P431" s="86">
        <v>44082.51899305556</v>
      </c>
      <c r="Q431" s="84" t="s">
        <v>457</v>
      </c>
      <c r="R431" s="84"/>
      <c r="S431" s="84"/>
      <c r="T431" s="84" t="s">
        <v>576</v>
      </c>
      <c r="U431" s="87" t="str">
        <f>HYPERLINK("https://pbs.twimg.com/media/Eg6GGrgXgAIxG2X.jpg")</f>
        <v>https://pbs.twimg.com/media/Eg6GGrgXgAIxG2X.jpg</v>
      </c>
      <c r="V431" s="87" t="str">
        <f>HYPERLINK("https://pbs.twimg.com/media/Eg6GGrgXgAIxG2X.jpg")</f>
        <v>https://pbs.twimg.com/media/Eg6GGrgXgAIxG2X.jpg</v>
      </c>
      <c r="W431" s="86">
        <v>44082.51899305556</v>
      </c>
      <c r="X431" s="90">
        <v>44082</v>
      </c>
      <c r="Y431" s="92" t="s">
        <v>876</v>
      </c>
      <c r="Z431" s="87" t="str">
        <f>HYPERLINK("https://twitter.com/nlognbot/status/1303308946334154759")</f>
        <v>https://twitter.com/nlognbot/status/1303308946334154759</v>
      </c>
      <c r="AA431" s="84"/>
      <c r="AB431" s="84"/>
      <c r="AC431" s="92" t="s">
        <v>1274</v>
      </c>
      <c r="AD431" s="84"/>
      <c r="AE431" s="84" t="b">
        <v>0</v>
      </c>
      <c r="AF431" s="84">
        <v>0</v>
      </c>
      <c r="AG431" s="92" t="s">
        <v>1453</v>
      </c>
      <c r="AH431" s="84" t="b">
        <v>0</v>
      </c>
      <c r="AI431" s="84" t="s">
        <v>1456</v>
      </c>
      <c r="AJ431" s="84"/>
      <c r="AK431" s="92" t="s">
        <v>1453</v>
      </c>
      <c r="AL431" s="84" t="b">
        <v>0</v>
      </c>
      <c r="AM431" s="84">
        <v>51</v>
      </c>
      <c r="AN431" s="92" t="s">
        <v>1425</v>
      </c>
      <c r="AO431" s="84" t="s">
        <v>1517</v>
      </c>
      <c r="AP431" s="84" t="b">
        <v>0</v>
      </c>
      <c r="AQ431" s="92" t="s">
        <v>1425</v>
      </c>
      <c r="AR431" s="84" t="s">
        <v>187</v>
      </c>
      <c r="AS431" s="84">
        <v>0</v>
      </c>
      <c r="AT431" s="84">
        <v>0</v>
      </c>
      <c r="AU431" s="84"/>
      <c r="AV431" s="84"/>
      <c r="AW431" s="84"/>
      <c r="AX431" s="84"/>
      <c r="AY431" s="84"/>
      <c r="AZ431" s="84"/>
      <c r="BA431" s="84"/>
      <c r="BB431" s="84"/>
      <c r="BC431">
        <v>5</v>
      </c>
      <c r="BD431" s="83" t="str">
        <f>REPLACE(INDEX(GroupVertices[Group],MATCH(Edges[[#This Row],[Vertex 1]],GroupVertices[Vertex],0)),1,1,"")</f>
        <v>1</v>
      </c>
      <c r="BE431" s="83" t="str">
        <f>REPLACE(INDEX(GroupVertices[Group],MATCH(Edges[[#This Row],[Vertex 2]],GroupVertices[Vertex],0)),1,1,"")</f>
        <v>1</v>
      </c>
      <c r="BF431" s="49">
        <v>0</v>
      </c>
      <c r="BG431" s="50">
        <v>0</v>
      </c>
      <c r="BH431" s="49">
        <v>0</v>
      </c>
      <c r="BI431" s="50">
        <v>0</v>
      </c>
      <c r="BJ431" s="49">
        <v>0</v>
      </c>
      <c r="BK431" s="50">
        <v>0</v>
      </c>
      <c r="BL431" s="49">
        <v>34</v>
      </c>
      <c r="BM431" s="50">
        <v>100</v>
      </c>
      <c r="BN431" s="49">
        <v>34</v>
      </c>
    </row>
    <row r="432" spans="1:66" ht="15">
      <c r="A432" s="68" t="s">
        <v>388</v>
      </c>
      <c r="B432" s="68" t="s">
        <v>423</v>
      </c>
      <c r="C432" s="69" t="s">
        <v>5210</v>
      </c>
      <c r="D432" s="70">
        <v>10</v>
      </c>
      <c r="E432" s="71" t="s">
        <v>136</v>
      </c>
      <c r="F432" s="72">
        <v>10</v>
      </c>
      <c r="G432" s="69" t="s">
        <v>51</v>
      </c>
      <c r="H432" s="73"/>
      <c r="I432" s="74"/>
      <c r="J432" s="74"/>
      <c r="K432" s="35" t="s">
        <v>65</v>
      </c>
      <c r="L432" s="82">
        <v>432</v>
      </c>
      <c r="M432" s="82"/>
      <c r="N432" s="76"/>
      <c r="O432" s="84" t="s">
        <v>439</v>
      </c>
      <c r="P432" s="86">
        <v>44082.58346064815</v>
      </c>
      <c r="Q432" s="84" t="s">
        <v>459</v>
      </c>
      <c r="R432" s="84"/>
      <c r="S432" s="84"/>
      <c r="T432" s="84" t="s">
        <v>578</v>
      </c>
      <c r="U432" s="87" t="str">
        <f>HYPERLINK("https://pbs.twimg.com/media/EhZc5KGWoAIz_Wo.jpg")</f>
        <v>https://pbs.twimg.com/media/EhZc5KGWoAIz_Wo.jpg</v>
      </c>
      <c r="V432" s="87" t="str">
        <f>HYPERLINK("https://pbs.twimg.com/media/EhZc5KGWoAIz_Wo.jpg")</f>
        <v>https://pbs.twimg.com/media/EhZc5KGWoAIz_Wo.jpg</v>
      </c>
      <c r="W432" s="86">
        <v>44082.58346064815</v>
      </c>
      <c r="X432" s="90">
        <v>44082</v>
      </c>
      <c r="Y432" s="92" t="s">
        <v>877</v>
      </c>
      <c r="Z432" s="87" t="str">
        <f>HYPERLINK("https://twitter.com/nlognbot/status/1303332306271305731")</f>
        <v>https://twitter.com/nlognbot/status/1303332306271305731</v>
      </c>
      <c r="AA432" s="84"/>
      <c r="AB432" s="84"/>
      <c r="AC432" s="92" t="s">
        <v>1275</v>
      </c>
      <c r="AD432" s="84"/>
      <c r="AE432" s="84" t="b">
        <v>0</v>
      </c>
      <c r="AF432" s="84">
        <v>0</v>
      </c>
      <c r="AG432" s="92" t="s">
        <v>1453</v>
      </c>
      <c r="AH432" s="84" t="b">
        <v>0</v>
      </c>
      <c r="AI432" s="84" t="s">
        <v>1456</v>
      </c>
      <c r="AJ432" s="84"/>
      <c r="AK432" s="92" t="s">
        <v>1453</v>
      </c>
      <c r="AL432" s="84" t="b">
        <v>0</v>
      </c>
      <c r="AM432" s="84">
        <v>44</v>
      </c>
      <c r="AN432" s="92" t="s">
        <v>1428</v>
      </c>
      <c r="AO432" s="84" t="s">
        <v>1517</v>
      </c>
      <c r="AP432" s="84" t="b">
        <v>0</v>
      </c>
      <c r="AQ432" s="92" t="s">
        <v>1428</v>
      </c>
      <c r="AR432" s="84" t="s">
        <v>187</v>
      </c>
      <c r="AS432" s="84">
        <v>0</v>
      </c>
      <c r="AT432" s="84">
        <v>0</v>
      </c>
      <c r="AU432" s="84"/>
      <c r="AV432" s="84"/>
      <c r="AW432" s="84"/>
      <c r="AX432" s="84"/>
      <c r="AY432" s="84"/>
      <c r="AZ432" s="84"/>
      <c r="BA432" s="84"/>
      <c r="BB432" s="84"/>
      <c r="BC432">
        <v>5</v>
      </c>
      <c r="BD432" s="83" t="str">
        <f>REPLACE(INDEX(GroupVertices[Group],MATCH(Edges[[#This Row],[Vertex 1]],GroupVertices[Vertex],0)),1,1,"")</f>
        <v>1</v>
      </c>
      <c r="BE432" s="83" t="str">
        <f>REPLACE(INDEX(GroupVertices[Group],MATCH(Edges[[#This Row],[Vertex 2]],GroupVertices[Vertex],0)),1,1,"")</f>
        <v>1</v>
      </c>
      <c r="BF432" s="49">
        <v>0</v>
      </c>
      <c r="BG432" s="50">
        <v>0</v>
      </c>
      <c r="BH432" s="49">
        <v>0</v>
      </c>
      <c r="BI432" s="50">
        <v>0</v>
      </c>
      <c r="BJ432" s="49">
        <v>0</v>
      </c>
      <c r="BK432" s="50">
        <v>0</v>
      </c>
      <c r="BL432" s="49">
        <v>30</v>
      </c>
      <c r="BM432" s="50">
        <v>100</v>
      </c>
      <c r="BN432" s="49">
        <v>30</v>
      </c>
    </row>
    <row r="433" spans="1:66" ht="15">
      <c r="A433" s="68" t="s">
        <v>388</v>
      </c>
      <c r="B433" s="68" t="s">
        <v>437</v>
      </c>
      <c r="C433" s="69" t="s">
        <v>5208</v>
      </c>
      <c r="D433" s="70">
        <v>1</v>
      </c>
      <c r="E433" s="71" t="s">
        <v>132</v>
      </c>
      <c r="F433" s="72">
        <v>32</v>
      </c>
      <c r="G433" s="69" t="s">
        <v>51</v>
      </c>
      <c r="H433" s="73"/>
      <c r="I433" s="74"/>
      <c r="J433" s="74"/>
      <c r="K433" s="35" t="s">
        <v>65</v>
      </c>
      <c r="L433" s="82">
        <v>433</v>
      </c>
      <c r="M433" s="82"/>
      <c r="N433" s="76"/>
      <c r="O433" s="84" t="s">
        <v>440</v>
      </c>
      <c r="P433" s="86">
        <v>44083.615798611114</v>
      </c>
      <c r="Q433" s="84" t="s">
        <v>509</v>
      </c>
      <c r="R433" s="87" t="str">
        <f>HYPERLINK("https://www.dailymail.co.uk/news/article-8714225/US-daily-COVID-19-cases-drop-40k-time-June.html?ito=amp_twitter_share-top")</f>
        <v>https://www.dailymail.co.uk/news/article-8714225/US-daily-COVID-19-cases-drop-40k-time-June.html?ito=amp_twitter_share-top</v>
      </c>
      <c r="S433" s="84" t="s">
        <v>558</v>
      </c>
      <c r="T433" s="84" t="s">
        <v>620</v>
      </c>
      <c r="U433" s="84"/>
      <c r="V433" s="87" t="str">
        <f>HYPERLINK("http://pbs.twimg.com/profile_images/1296364137849602048/f9gCNIbT_normal.jpg")</f>
        <v>http://pbs.twimg.com/profile_images/1296364137849602048/f9gCNIbT_normal.jpg</v>
      </c>
      <c r="W433" s="86">
        <v>44083.615798611114</v>
      </c>
      <c r="X433" s="90">
        <v>44083</v>
      </c>
      <c r="Y433" s="92" t="s">
        <v>878</v>
      </c>
      <c r="Z433" s="87" t="str">
        <f>HYPERLINK("https://twitter.com/nlognbot/status/1303706413408104449")</f>
        <v>https://twitter.com/nlognbot/status/1303706413408104449</v>
      </c>
      <c r="AA433" s="84"/>
      <c r="AB433" s="84"/>
      <c r="AC433" s="92" t="s">
        <v>1276</v>
      </c>
      <c r="AD433" s="84"/>
      <c r="AE433" s="84" t="b">
        <v>0</v>
      </c>
      <c r="AF433" s="84">
        <v>0</v>
      </c>
      <c r="AG433" s="92" t="s">
        <v>1453</v>
      </c>
      <c r="AH433" s="84" t="b">
        <v>0</v>
      </c>
      <c r="AI433" s="84" t="s">
        <v>1456</v>
      </c>
      <c r="AJ433" s="84"/>
      <c r="AK433" s="92" t="s">
        <v>1453</v>
      </c>
      <c r="AL433" s="84" t="b">
        <v>0</v>
      </c>
      <c r="AM433" s="84">
        <v>15</v>
      </c>
      <c r="AN433" s="92" t="s">
        <v>1398</v>
      </c>
      <c r="AO433" s="84" t="s">
        <v>1517</v>
      </c>
      <c r="AP433" s="84" t="b">
        <v>0</v>
      </c>
      <c r="AQ433" s="92" t="s">
        <v>1398</v>
      </c>
      <c r="AR433" s="84" t="s">
        <v>187</v>
      </c>
      <c r="AS433" s="84">
        <v>0</v>
      </c>
      <c r="AT433" s="84">
        <v>0</v>
      </c>
      <c r="AU433" s="84"/>
      <c r="AV433" s="84"/>
      <c r="AW433" s="84"/>
      <c r="AX433" s="84"/>
      <c r="AY433" s="84"/>
      <c r="AZ433" s="84"/>
      <c r="BA433" s="84"/>
      <c r="BB433" s="84"/>
      <c r="BC433">
        <v>1</v>
      </c>
      <c r="BD433" s="83" t="str">
        <f>REPLACE(INDEX(GroupVertices[Group],MATCH(Edges[[#This Row],[Vertex 1]],GroupVertices[Vertex],0)),1,1,"")</f>
        <v>1</v>
      </c>
      <c r="BE433" s="83" t="str">
        <f>REPLACE(INDEX(GroupVertices[Group],MATCH(Edges[[#This Row],[Vertex 2]],GroupVertices[Vertex],0)),1,1,"")</f>
        <v>1</v>
      </c>
      <c r="BF433" s="49">
        <v>0</v>
      </c>
      <c r="BG433" s="50">
        <v>0</v>
      </c>
      <c r="BH433" s="49">
        <v>0</v>
      </c>
      <c r="BI433" s="50">
        <v>0</v>
      </c>
      <c r="BJ433" s="49">
        <v>0</v>
      </c>
      <c r="BK433" s="50">
        <v>0</v>
      </c>
      <c r="BL433" s="49">
        <v>33</v>
      </c>
      <c r="BM433" s="50">
        <v>100</v>
      </c>
      <c r="BN433" s="49">
        <v>33</v>
      </c>
    </row>
    <row r="434" spans="1:66" ht="15">
      <c r="A434" s="68" t="s">
        <v>388</v>
      </c>
      <c r="B434" s="68" t="s">
        <v>390</v>
      </c>
      <c r="C434" s="69" t="s">
        <v>5210</v>
      </c>
      <c r="D434" s="70">
        <v>10</v>
      </c>
      <c r="E434" s="71" t="s">
        <v>132</v>
      </c>
      <c r="F434" s="72">
        <v>10</v>
      </c>
      <c r="G434" s="69" t="s">
        <v>51</v>
      </c>
      <c r="H434" s="73"/>
      <c r="I434" s="74"/>
      <c r="J434" s="74"/>
      <c r="K434" s="35" t="s">
        <v>65</v>
      </c>
      <c r="L434" s="82">
        <v>434</v>
      </c>
      <c r="M434" s="82"/>
      <c r="N434" s="76"/>
      <c r="O434" s="84" t="s">
        <v>439</v>
      </c>
      <c r="P434" s="86">
        <v>44083.615798611114</v>
      </c>
      <c r="Q434" s="84" t="s">
        <v>509</v>
      </c>
      <c r="R434" s="87" t="str">
        <f>HYPERLINK("https://www.dailymail.co.uk/news/article-8714225/US-daily-COVID-19-cases-drop-40k-time-June.html?ito=amp_twitter_share-top")</f>
        <v>https://www.dailymail.co.uk/news/article-8714225/US-daily-COVID-19-cases-drop-40k-time-June.html?ito=amp_twitter_share-top</v>
      </c>
      <c r="S434" s="84" t="s">
        <v>558</v>
      </c>
      <c r="T434" s="84" t="s">
        <v>620</v>
      </c>
      <c r="U434" s="84"/>
      <c r="V434" s="87" t="str">
        <f>HYPERLINK("http://pbs.twimg.com/profile_images/1296364137849602048/f9gCNIbT_normal.jpg")</f>
        <v>http://pbs.twimg.com/profile_images/1296364137849602048/f9gCNIbT_normal.jpg</v>
      </c>
      <c r="W434" s="86">
        <v>44083.615798611114</v>
      </c>
      <c r="X434" s="90">
        <v>44083</v>
      </c>
      <c r="Y434" s="92" t="s">
        <v>878</v>
      </c>
      <c r="Z434" s="87" t="str">
        <f>HYPERLINK("https://twitter.com/nlognbot/status/1303706413408104449")</f>
        <v>https://twitter.com/nlognbot/status/1303706413408104449</v>
      </c>
      <c r="AA434" s="84"/>
      <c r="AB434" s="84"/>
      <c r="AC434" s="92" t="s">
        <v>1276</v>
      </c>
      <c r="AD434" s="84"/>
      <c r="AE434" s="84" t="b">
        <v>0</v>
      </c>
      <c r="AF434" s="84">
        <v>0</v>
      </c>
      <c r="AG434" s="92" t="s">
        <v>1453</v>
      </c>
      <c r="AH434" s="84" t="b">
        <v>0</v>
      </c>
      <c r="AI434" s="84" t="s">
        <v>1456</v>
      </c>
      <c r="AJ434" s="84"/>
      <c r="AK434" s="92" t="s">
        <v>1453</v>
      </c>
      <c r="AL434" s="84" t="b">
        <v>0</v>
      </c>
      <c r="AM434" s="84">
        <v>15</v>
      </c>
      <c r="AN434" s="92" t="s">
        <v>1398</v>
      </c>
      <c r="AO434" s="84" t="s">
        <v>1517</v>
      </c>
      <c r="AP434" s="84" t="b">
        <v>0</v>
      </c>
      <c r="AQ434" s="92" t="s">
        <v>1398</v>
      </c>
      <c r="AR434" s="84" t="s">
        <v>187</v>
      </c>
      <c r="AS434" s="84">
        <v>0</v>
      </c>
      <c r="AT434" s="84">
        <v>0</v>
      </c>
      <c r="AU434" s="84"/>
      <c r="AV434" s="84"/>
      <c r="AW434" s="84"/>
      <c r="AX434" s="84"/>
      <c r="AY434" s="84"/>
      <c r="AZ434" s="84"/>
      <c r="BA434" s="84"/>
      <c r="BB434" s="84"/>
      <c r="BC434">
        <v>3</v>
      </c>
      <c r="BD434" s="83" t="str">
        <f>REPLACE(INDEX(GroupVertices[Group],MATCH(Edges[[#This Row],[Vertex 1]],GroupVertices[Vertex],0)),1,1,"")</f>
        <v>1</v>
      </c>
      <c r="BE434" s="83" t="str">
        <f>REPLACE(INDEX(GroupVertices[Group],MATCH(Edges[[#This Row],[Vertex 2]],GroupVertices[Vertex],0)),1,1,"")</f>
        <v>1</v>
      </c>
      <c r="BF434" s="49"/>
      <c r="BG434" s="50"/>
      <c r="BH434" s="49"/>
      <c r="BI434" s="50"/>
      <c r="BJ434" s="49"/>
      <c r="BK434" s="50"/>
      <c r="BL434" s="49"/>
      <c r="BM434" s="50"/>
      <c r="BN434" s="49"/>
    </row>
    <row r="435" spans="1:66" ht="15">
      <c r="A435" s="68" t="s">
        <v>388</v>
      </c>
      <c r="B435" s="68" t="s">
        <v>423</v>
      </c>
      <c r="C435" s="69" t="s">
        <v>5210</v>
      </c>
      <c r="D435" s="70">
        <v>10</v>
      </c>
      <c r="E435" s="71" t="s">
        <v>136</v>
      </c>
      <c r="F435" s="72">
        <v>10</v>
      </c>
      <c r="G435" s="69" t="s">
        <v>51</v>
      </c>
      <c r="H435" s="73"/>
      <c r="I435" s="74"/>
      <c r="J435" s="74"/>
      <c r="K435" s="35" t="s">
        <v>65</v>
      </c>
      <c r="L435" s="82">
        <v>435</v>
      </c>
      <c r="M435" s="82"/>
      <c r="N435" s="76"/>
      <c r="O435" s="84" t="s">
        <v>439</v>
      </c>
      <c r="P435" s="86">
        <v>44083.645219907405</v>
      </c>
      <c r="Q435" s="84" t="s">
        <v>474</v>
      </c>
      <c r="R435" s="84"/>
      <c r="S435" s="84"/>
      <c r="T435" s="84" t="s">
        <v>591</v>
      </c>
      <c r="U435" s="87" t="str">
        <f>HYPERLINK("https://pbs.twimg.com/media/EhOErS9WAAUfUqQ.jpg")</f>
        <v>https://pbs.twimg.com/media/EhOErS9WAAUfUqQ.jpg</v>
      </c>
      <c r="V435" s="87" t="str">
        <f>HYPERLINK("https://pbs.twimg.com/media/EhOErS9WAAUfUqQ.jpg")</f>
        <v>https://pbs.twimg.com/media/EhOErS9WAAUfUqQ.jpg</v>
      </c>
      <c r="W435" s="86">
        <v>44083.645219907405</v>
      </c>
      <c r="X435" s="90">
        <v>44083</v>
      </c>
      <c r="Y435" s="92" t="s">
        <v>879</v>
      </c>
      <c r="Z435" s="87" t="str">
        <f>HYPERLINK("https://twitter.com/nlognbot/status/1303717075098234880")</f>
        <v>https://twitter.com/nlognbot/status/1303717075098234880</v>
      </c>
      <c r="AA435" s="84"/>
      <c r="AB435" s="84"/>
      <c r="AC435" s="92" t="s">
        <v>1277</v>
      </c>
      <c r="AD435" s="84"/>
      <c r="AE435" s="84" t="b">
        <v>0</v>
      </c>
      <c r="AF435" s="84">
        <v>0</v>
      </c>
      <c r="AG435" s="92" t="s">
        <v>1453</v>
      </c>
      <c r="AH435" s="84" t="b">
        <v>0</v>
      </c>
      <c r="AI435" s="84" t="s">
        <v>1456</v>
      </c>
      <c r="AJ435" s="84"/>
      <c r="AK435" s="92" t="s">
        <v>1453</v>
      </c>
      <c r="AL435" s="84" t="b">
        <v>0</v>
      </c>
      <c r="AM435" s="84">
        <v>55</v>
      </c>
      <c r="AN435" s="92" t="s">
        <v>1426</v>
      </c>
      <c r="AO435" s="84" t="s">
        <v>1517</v>
      </c>
      <c r="AP435" s="84" t="b">
        <v>0</v>
      </c>
      <c r="AQ435" s="92" t="s">
        <v>1426</v>
      </c>
      <c r="AR435" s="84" t="s">
        <v>187</v>
      </c>
      <c r="AS435" s="84">
        <v>0</v>
      </c>
      <c r="AT435" s="84">
        <v>0</v>
      </c>
      <c r="AU435" s="84"/>
      <c r="AV435" s="84"/>
      <c r="AW435" s="84"/>
      <c r="AX435" s="84"/>
      <c r="AY435" s="84"/>
      <c r="AZ435" s="84"/>
      <c r="BA435" s="84"/>
      <c r="BB435" s="84"/>
      <c r="BC435">
        <v>5</v>
      </c>
      <c r="BD435" s="83" t="str">
        <f>REPLACE(INDEX(GroupVertices[Group],MATCH(Edges[[#This Row],[Vertex 1]],GroupVertices[Vertex],0)),1,1,"")</f>
        <v>1</v>
      </c>
      <c r="BE435" s="83" t="str">
        <f>REPLACE(INDEX(GroupVertices[Group],MATCH(Edges[[#This Row],[Vertex 2]],GroupVertices[Vertex],0)),1,1,"")</f>
        <v>1</v>
      </c>
      <c r="BF435" s="49">
        <v>0</v>
      </c>
      <c r="BG435" s="50">
        <v>0</v>
      </c>
      <c r="BH435" s="49">
        <v>0</v>
      </c>
      <c r="BI435" s="50">
        <v>0</v>
      </c>
      <c r="BJ435" s="49">
        <v>0</v>
      </c>
      <c r="BK435" s="50">
        <v>0</v>
      </c>
      <c r="BL435" s="49">
        <v>31</v>
      </c>
      <c r="BM435" s="50">
        <v>100</v>
      </c>
      <c r="BN435" s="49">
        <v>31</v>
      </c>
    </row>
    <row r="436" spans="1:66" ht="15">
      <c r="A436" s="68" t="s">
        <v>388</v>
      </c>
      <c r="B436" s="68" t="s">
        <v>423</v>
      </c>
      <c r="C436" s="69" t="s">
        <v>5210</v>
      </c>
      <c r="D436" s="70">
        <v>10</v>
      </c>
      <c r="E436" s="71" t="s">
        <v>136</v>
      </c>
      <c r="F436" s="72">
        <v>10</v>
      </c>
      <c r="G436" s="69" t="s">
        <v>51</v>
      </c>
      <c r="H436" s="73"/>
      <c r="I436" s="74"/>
      <c r="J436" s="74"/>
      <c r="K436" s="35" t="s">
        <v>65</v>
      </c>
      <c r="L436" s="82">
        <v>436</v>
      </c>
      <c r="M436" s="82"/>
      <c r="N436" s="76"/>
      <c r="O436" s="84" t="s">
        <v>439</v>
      </c>
      <c r="P436" s="86">
        <v>44084.14078703704</v>
      </c>
      <c r="Q436" s="84" t="s">
        <v>459</v>
      </c>
      <c r="R436" s="84"/>
      <c r="S436" s="84"/>
      <c r="T436" s="84" t="s">
        <v>578</v>
      </c>
      <c r="U436" s="87" t="str">
        <f>HYPERLINK("https://pbs.twimg.com/media/EhZc5KGWoAIz_Wo.jpg")</f>
        <v>https://pbs.twimg.com/media/EhZc5KGWoAIz_Wo.jpg</v>
      </c>
      <c r="V436" s="87" t="str">
        <f>HYPERLINK("https://pbs.twimg.com/media/EhZc5KGWoAIz_Wo.jpg")</f>
        <v>https://pbs.twimg.com/media/EhZc5KGWoAIz_Wo.jpg</v>
      </c>
      <c r="W436" s="86">
        <v>44084.14078703704</v>
      </c>
      <c r="X436" s="90">
        <v>44084</v>
      </c>
      <c r="Y436" s="92" t="s">
        <v>880</v>
      </c>
      <c r="Z436" s="87" t="str">
        <f>HYPERLINK("https://twitter.com/nlognbot/status/1303896663002615808")</f>
        <v>https://twitter.com/nlognbot/status/1303896663002615808</v>
      </c>
      <c r="AA436" s="84"/>
      <c r="AB436" s="84"/>
      <c r="AC436" s="92" t="s">
        <v>1278</v>
      </c>
      <c r="AD436" s="84"/>
      <c r="AE436" s="84" t="b">
        <v>0</v>
      </c>
      <c r="AF436" s="84">
        <v>0</v>
      </c>
      <c r="AG436" s="92" t="s">
        <v>1453</v>
      </c>
      <c r="AH436" s="84" t="b">
        <v>0</v>
      </c>
      <c r="AI436" s="84" t="s">
        <v>1456</v>
      </c>
      <c r="AJ436" s="84"/>
      <c r="AK436" s="92" t="s">
        <v>1453</v>
      </c>
      <c r="AL436" s="84" t="b">
        <v>0</v>
      </c>
      <c r="AM436" s="84">
        <v>44</v>
      </c>
      <c r="AN436" s="92" t="s">
        <v>1428</v>
      </c>
      <c r="AO436" s="84" t="s">
        <v>1517</v>
      </c>
      <c r="AP436" s="84" t="b">
        <v>0</v>
      </c>
      <c r="AQ436" s="92" t="s">
        <v>1428</v>
      </c>
      <c r="AR436" s="84" t="s">
        <v>187</v>
      </c>
      <c r="AS436" s="84">
        <v>0</v>
      </c>
      <c r="AT436" s="84">
        <v>0</v>
      </c>
      <c r="AU436" s="84"/>
      <c r="AV436" s="84"/>
      <c r="AW436" s="84"/>
      <c r="AX436" s="84"/>
      <c r="AY436" s="84"/>
      <c r="AZ436" s="84"/>
      <c r="BA436" s="84"/>
      <c r="BB436" s="84"/>
      <c r="BC436">
        <v>5</v>
      </c>
      <c r="BD436" s="83" t="str">
        <f>REPLACE(INDEX(GroupVertices[Group],MATCH(Edges[[#This Row],[Vertex 1]],GroupVertices[Vertex],0)),1,1,"")</f>
        <v>1</v>
      </c>
      <c r="BE436" s="83" t="str">
        <f>REPLACE(INDEX(GroupVertices[Group],MATCH(Edges[[#This Row],[Vertex 2]],GroupVertices[Vertex],0)),1,1,"")</f>
        <v>1</v>
      </c>
      <c r="BF436" s="49">
        <v>0</v>
      </c>
      <c r="BG436" s="50">
        <v>0</v>
      </c>
      <c r="BH436" s="49">
        <v>0</v>
      </c>
      <c r="BI436" s="50">
        <v>0</v>
      </c>
      <c r="BJ436" s="49">
        <v>0</v>
      </c>
      <c r="BK436" s="50">
        <v>0</v>
      </c>
      <c r="BL436" s="49">
        <v>30</v>
      </c>
      <c r="BM436" s="50">
        <v>100</v>
      </c>
      <c r="BN436" s="49">
        <v>30</v>
      </c>
    </row>
    <row r="437" spans="1:66" ht="15">
      <c r="A437" s="68" t="s">
        <v>388</v>
      </c>
      <c r="B437" s="68" t="s">
        <v>423</v>
      </c>
      <c r="C437" s="69" t="s">
        <v>5210</v>
      </c>
      <c r="D437" s="70">
        <v>10</v>
      </c>
      <c r="E437" s="71" t="s">
        <v>136</v>
      </c>
      <c r="F437" s="72">
        <v>10</v>
      </c>
      <c r="G437" s="69" t="s">
        <v>51</v>
      </c>
      <c r="H437" s="73"/>
      <c r="I437" s="74"/>
      <c r="J437" s="74"/>
      <c r="K437" s="35" t="s">
        <v>65</v>
      </c>
      <c r="L437" s="82">
        <v>437</v>
      </c>
      <c r="M437" s="82"/>
      <c r="N437" s="76"/>
      <c r="O437" s="84" t="s">
        <v>439</v>
      </c>
      <c r="P437" s="86">
        <v>44084.74886574074</v>
      </c>
      <c r="Q437" s="84" t="s">
        <v>474</v>
      </c>
      <c r="R437" s="84"/>
      <c r="S437" s="84"/>
      <c r="T437" s="84" t="s">
        <v>591</v>
      </c>
      <c r="U437" s="87" t="str">
        <f>HYPERLINK("https://pbs.twimg.com/media/EhOErS9WAAUfUqQ.jpg")</f>
        <v>https://pbs.twimg.com/media/EhOErS9WAAUfUqQ.jpg</v>
      </c>
      <c r="V437" s="87" t="str">
        <f>HYPERLINK("https://pbs.twimg.com/media/EhOErS9WAAUfUqQ.jpg")</f>
        <v>https://pbs.twimg.com/media/EhOErS9WAAUfUqQ.jpg</v>
      </c>
      <c r="W437" s="86">
        <v>44084.74886574074</v>
      </c>
      <c r="X437" s="90">
        <v>44084</v>
      </c>
      <c r="Y437" s="92" t="s">
        <v>881</v>
      </c>
      <c r="Z437" s="87" t="str">
        <f>HYPERLINK("https://twitter.com/nlognbot/status/1304117024684208129")</f>
        <v>https://twitter.com/nlognbot/status/1304117024684208129</v>
      </c>
      <c r="AA437" s="84"/>
      <c r="AB437" s="84"/>
      <c r="AC437" s="92" t="s">
        <v>1279</v>
      </c>
      <c r="AD437" s="84"/>
      <c r="AE437" s="84" t="b">
        <v>0</v>
      </c>
      <c r="AF437" s="84">
        <v>0</v>
      </c>
      <c r="AG437" s="92" t="s">
        <v>1453</v>
      </c>
      <c r="AH437" s="84" t="b">
        <v>0</v>
      </c>
      <c r="AI437" s="84" t="s">
        <v>1456</v>
      </c>
      <c r="AJ437" s="84"/>
      <c r="AK437" s="92" t="s">
        <v>1453</v>
      </c>
      <c r="AL437" s="84" t="b">
        <v>0</v>
      </c>
      <c r="AM437" s="84">
        <v>55</v>
      </c>
      <c r="AN437" s="92" t="s">
        <v>1426</v>
      </c>
      <c r="AO437" s="84" t="s">
        <v>1517</v>
      </c>
      <c r="AP437" s="84" t="b">
        <v>0</v>
      </c>
      <c r="AQ437" s="92" t="s">
        <v>1426</v>
      </c>
      <c r="AR437" s="84" t="s">
        <v>187</v>
      </c>
      <c r="AS437" s="84">
        <v>0</v>
      </c>
      <c r="AT437" s="84">
        <v>0</v>
      </c>
      <c r="AU437" s="84"/>
      <c r="AV437" s="84"/>
      <c r="AW437" s="84"/>
      <c r="AX437" s="84"/>
      <c r="AY437" s="84"/>
      <c r="AZ437" s="84"/>
      <c r="BA437" s="84"/>
      <c r="BB437" s="84"/>
      <c r="BC437">
        <v>5</v>
      </c>
      <c r="BD437" s="83" t="str">
        <f>REPLACE(INDEX(GroupVertices[Group],MATCH(Edges[[#This Row],[Vertex 1]],GroupVertices[Vertex],0)),1,1,"")</f>
        <v>1</v>
      </c>
      <c r="BE437" s="83" t="str">
        <f>REPLACE(INDEX(GroupVertices[Group],MATCH(Edges[[#This Row],[Vertex 2]],GroupVertices[Vertex],0)),1,1,"")</f>
        <v>1</v>
      </c>
      <c r="BF437" s="49">
        <v>0</v>
      </c>
      <c r="BG437" s="50">
        <v>0</v>
      </c>
      <c r="BH437" s="49">
        <v>0</v>
      </c>
      <c r="BI437" s="50">
        <v>0</v>
      </c>
      <c r="BJ437" s="49">
        <v>0</v>
      </c>
      <c r="BK437" s="50">
        <v>0</v>
      </c>
      <c r="BL437" s="49">
        <v>31</v>
      </c>
      <c r="BM437" s="50">
        <v>100</v>
      </c>
      <c r="BN437" s="49">
        <v>31</v>
      </c>
    </row>
    <row r="438" spans="1:66" ht="15">
      <c r="A438" s="68" t="s">
        <v>388</v>
      </c>
      <c r="B438" s="68" t="s">
        <v>390</v>
      </c>
      <c r="C438" s="69" t="s">
        <v>5210</v>
      </c>
      <c r="D438" s="70">
        <v>10</v>
      </c>
      <c r="E438" s="71" t="s">
        <v>132</v>
      </c>
      <c r="F438" s="72">
        <v>10</v>
      </c>
      <c r="G438" s="69" t="s">
        <v>51</v>
      </c>
      <c r="H438" s="73"/>
      <c r="I438" s="74"/>
      <c r="J438" s="74"/>
      <c r="K438" s="35" t="s">
        <v>65</v>
      </c>
      <c r="L438" s="82">
        <v>438</v>
      </c>
      <c r="M438" s="82"/>
      <c r="N438" s="76"/>
      <c r="O438" s="84" t="s">
        <v>439</v>
      </c>
      <c r="P438" s="86">
        <v>44084.77412037037</v>
      </c>
      <c r="Q438" s="84" t="s">
        <v>481</v>
      </c>
      <c r="R438" s="87" t="str">
        <f>HYPERLINK("https://www.aitrends.com/ai-research/covid-19-ai-update-nih-developing-imaging-tools/")</f>
        <v>https://www.aitrends.com/ai-research/covid-19-ai-update-nih-developing-imaging-tools/</v>
      </c>
      <c r="S438" s="84" t="s">
        <v>548</v>
      </c>
      <c r="T438" s="84" t="s">
        <v>597</v>
      </c>
      <c r="U438" s="84"/>
      <c r="V438" s="87" t="str">
        <f>HYPERLINK("http://pbs.twimg.com/profile_images/1296364137849602048/f9gCNIbT_normal.jpg")</f>
        <v>http://pbs.twimg.com/profile_images/1296364137849602048/f9gCNIbT_normal.jpg</v>
      </c>
      <c r="W438" s="86">
        <v>44084.77412037037</v>
      </c>
      <c r="X438" s="90">
        <v>44084</v>
      </c>
      <c r="Y438" s="92" t="s">
        <v>882</v>
      </c>
      <c r="Z438" s="87" t="str">
        <f>HYPERLINK("https://twitter.com/nlognbot/status/1304126175665676290")</f>
        <v>https://twitter.com/nlognbot/status/1304126175665676290</v>
      </c>
      <c r="AA438" s="84"/>
      <c r="AB438" s="84"/>
      <c r="AC438" s="92" t="s">
        <v>1280</v>
      </c>
      <c r="AD438" s="84"/>
      <c r="AE438" s="84" t="b">
        <v>0</v>
      </c>
      <c r="AF438" s="84">
        <v>0</v>
      </c>
      <c r="AG438" s="92" t="s">
        <v>1453</v>
      </c>
      <c r="AH438" s="84" t="b">
        <v>0</v>
      </c>
      <c r="AI438" s="84" t="s">
        <v>1456</v>
      </c>
      <c r="AJ438" s="84"/>
      <c r="AK438" s="92" t="s">
        <v>1453</v>
      </c>
      <c r="AL438" s="84" t="b">
        <v>0</v>
      </c>
      <c r="AM438" s="84">
        <v>17</v>
      </c>
      <c r="AN438" s="92" t="s">
        <v>1405</v>
      </c>
      <c r="AO438" s="84" t="s">
        <v>1517</v>
      </c>
      <c r="AP438" s="84" t="b">
        <v>0</v>
      </c>
      <c r="AQ438" s="92" t="s">
        <v>1405</v>
      </c>
      <c r="AR438" s="84" t="s">
        <v>187</v>
      </c>
      <c r="AS438" s="84">
        <v>0</v>
      </c>
      <c r="AT438" s="84">
        <v>0</v>
      </c>
      <c r="AU438" s="84"/>
      <c r="AV438" s="84"/>
      <c r="AW438" s="84"/>
      <c r="AX438" s="84"/>
      <c r="AY438" s="84"/>
      <c r="AZ438" s="84"/>
      <c r="BA438" s="84"/>
      <c r="BB438" s="84"/>
      <c r="BC438">
        <v>3</v>
      </c>
      <c r="BD438" s="83" t="str">
        <f>REPLACE(INDEX(GroupVertices[Group],MATCH(Edges[[#This Row],[Vertex 1]],GroupVertices[Vertex],0)),1,1,"")</f>
        <v>1</v>
      </c>
      <c r="BE438" s="83" t="str">
        <f>REPLACE(INDEX(GroupVertices[Group],MATCH(Edges[[#This Row],[Vertex 2]],GroupVertices[Vertex],0)),1,1,"")</f>
        <v>1</v>
      </c>
      <c r="BF438" s="49">
        <v>0</v>
      </c>
      <c r="BG438" s="50">
        <v>0</v>
      </c>
      <c r="BH438" s="49">
        <v>0</v>
      </c>
      <c r="BI438" s="50">
        <v>0</v>
      </c>
      <c r="BJ438" s="49">
        <v>0</v>
      </c>
      <c r="BK438" s="50">
        <v>0</v>
      </c>
      <c r="BL438" s="49">
        <v>28</v>
      </c>
      <c r="BM438" s="50">
        <v>100</v>
      </c>
      <c r="BN438" s="49">
        <v>28</v>
      </c>
    </row>
    <row r="439" spans="1:66" ht="15">
      <c r="A439" s="68" t="s">
        <v>388</v>
      </c>
      <c r="B439" s="68" t="s">
        <v>435</v>
      </c>
      <c r="C439" s="69" t="s">
        <v>5208</v>
      </c>
      <c r="D439" s="70">
        <v>1</v>
      </c>
      <c r="E439" s="71" t="s">
        <v>132</v>
      </c>
      <c r="F439" s="72">
        <v>32</v>
      </c>
      <c r="G439" s="69" t="s">
        <v>51</v>
      </c>
      <c r="H439" s="73"/>
      <c r="I439" s="74"/>
      <c r="J439" s="74"/>
      <c r="K439" s="35" t="s">
        <v>65</v>
      </c>
      <c r="L439" s="82">
        <v>439</v>
      </c>
      <c r="M439" s="82"/>
      <c r="N439" s="76"/>
      <c r="O439" s="84" t="s">
        <v>440</v>
      </c>
      <c r="P439" s="86">
        <v>44086.36672453704</v>
      </c>
      <c r="Q439" s="84" t="s">
        <v>484</v>
      </c>
      <c r="R439" s="87" t="str">
        <f>HYPERLINK("https://www.weforum.org/agenda/2020/09/prevent-post-covid-carmageddon")</f>
        <v>https://www.weforum.org/agenda/2020/09/prevent-post-covid-carmageddon</v>
      </c>
      <c r="S439" s="84" t="s">
        <v>549</v>
      </c>
      <c r="T439" s="84" t="s">
        <v>600</v>
      </c>
      <c r="U439" s="84"/>
      <c r="V439" s="87" t="str">
        <f>HYPERLINK("http://pbs.twimg.com/profile_images/1296364137849602048/f9gCNIbT_normal.jpg")</f>
        <v>http://pbs.twimg.com/profile_images/1296364137849602048/f9gCNIbT_normal.jpg</v>
      </c>
      <c r="W439" s="86">
        <v>44086.36672453704</v>
      </c>
      <c r="X439" s="90">
        <v>44086</v>
      </c>
      <c r="Y439" s="92" t="s">
        <v>883</v>
      </c>
      <c r="Z439" s="87" t="str">
        <f>HYPERLINK("https://twitter.com/nlognbot/status/1304703317155745794")</f>
        <v>https://twitter.com/nlognbot/status/1304703317155745794</v>
      </c>
      <c r="AA439" s="84"/>
      <c r="AB439" s="84"/>
      <c r="AC439" s="92" t="s">
        <v>1281</v>
      </c>
      <c r="AD439" s="84"/>
      <c r="AE439" s="84" t="b">
        <v>0</v>
      </c>
      <c r="AF439" s="84">
        <v>0</v>
      </c>
      <c r="AG439" s="92" t="s">
        <v>1453</v>
      </c>
      <c r="AH439" s="84" t="b">
        <v>0</v>
      </c>
      <c r="AI439" s="84" t="s">
        <v>1456</v>
      </c>
      <c r="AJ439" s="84"/>
      <c r="AK439" s="92" t="s">
        <v>1453</v>
      </c>
      <c r="AL439" s="84" t="b">
        <v>0</v>
      </c>
      <c r="AM439" s="84">
        <v>36</v>
      </c>
      <c r="AN439" s="92" t="s">
        <v>1401</v>
      </c>
      <c r="AO439" s="84" t="s">
        <v>1517</v>
      </c>
      <c r="AP439" s="84" t="b">
        <v>0</v>
      </c>
      <c r="AQ439" s="92" t="s">
        <v>1401</v>
      </c>
      <c r="AR439" s="84" t="s">
        <v>187</v>
      </c>
      <c r="AS439" s="84">
        <v>0</v>
      </c>
      <c r="AT439" s="84">
        <v>0</v>
      </c>
      <c r="AU439" s="84"/>
      <c r="AV439" s="84"/>
      <c r="AW439" s="84"/>
      <c r="AX439" s="84"/>
      <c r="AY439" s="84"/>
      <c r="AZ439" s="84"/>
      <c r="BA439" s="84"/>
      <c r="BB439" s="84"/>
      <c r="BC439">
        <v>1</v>
      </c>
      <c r="BD439" s="83" t="str">
        <f>REPLACE(INDEX(GroupVertices[Group],MATCH(Edges[[#This Row],[Vertex 1]],GroupVertices[Vertex],0)),1,1,"")</f>
        <v>1</v>
      </c>
      <c r="BE439" s="83" t="str">
        <f>REPLACE(INDEX(GroupVertices[Group],MATCH(Edges[[#This Row],[Vertex 2]],GroupVertices[Vertex],0)),1,1,"")</f>
        <v>1</v>
      </c>
      <c r="BF439" s="49"/>
      <c r="BG439" s="50"/>
      <c r="BH439" s="49"/>
      <c r="BI439" s="50"/>
      <c r="BJ439" s="49"/>
      <c r="BK439" s="50"/>
      <c r="BL439" s="49"/>
      <c r="BM439" s="50"/>
      <c r="BN439" s="49"/>
    </row>
    <row r="440" spans="1:66" ht="15">
      <c r="A440" s="68" t="s">
        <v>388</v>
      </c>
      <c r="B440" s="68" t="s">
        <v>390</v>
      </c>
      <c r="C440" s="69" t="s">
        <v>5210</v>
      </c>
      <c r="D440" s="70">
        <v>10</v>
      </c>
      <c r="E440" s="71" t="s">
        <v>132</v>
      </c>
      <c r="F440" s="72">
        <v>10</v>
      </c>
      <c r="G440" s="69" t="s">
        <v>51</v>
      </c>
      <c r="H440" s="73"/>
      <c r="I440" s="74"/>
      <c r="J440" s="74"/>
      <c r="K440" s="35" t="s">
        <v>65</v>
      </c>
      <c r="L440" s="82">
        <v>440</v>
      </c>
      <c r="M440" s="82"/>
      <c r="N440" s="76"/>
      <c r="O440" s="84" t="s">
        <v>439</v>
      </c>
      <c r="P440" s="86">
        <v>44086.36672453704</v>
      </c>
      <c r="Q440" s="84" t="s">
        <v>484</v>
      </c>
      <c r="R440" s="87" t="str">
        <f>HYPERLINK("https://www.weforum.org/agenda/2020/09/prevent-post-covid-carmageddon")</f>
        <v>https://www.weforum.org/agenda/2020/09/prevent-post-covid-carmageddon</v>
      </c>
      <c r="S440" s="84" t="s">
        <v>549</v>
      </c>
      <c r="T440" s="84" t="s">
        <v>600</v>
      </c>
      <c r="U440" s="84"/>
      <c r="V440" s="87" t="str">
        <f>HYPERLINK("http://pbs.twimg.com/profile_images/1296364137849602048/f9gCNIbT_normal.jpg")</f>
        <v>http://pbs.twimg.com/profile_images/1296364137849602048/f9gCNIbT_normal.jpg</v>
      </c>
      <c r="W440" s="86">
        <v>44086.36672453704</v>
      </c>
      <c r="X440" s="90">
        <v>44086</v>
      </c>
      <c r="Y440" s="92" t="s">
        <v>883</v>
      </c>
      <c r="Z440" s="87" t="str">
        <f>HYPERLINK("https://twitter.com/nlognbot/status/1304703317155745794")</f>
        <v>https://twitter.com/nlognbot/status/1304703317155745794</v>
      </c>
      <c r="AA440" s="84"/>
      <c r="AB440" s="84"/>
      <c r="AC440" s="92" t="s">
        <v>1281</v>
      </c>
      <c r="AD440" s="84"/>
      <c r="AE440" s="84" t="b">
        <v>0</v>
      </c>
      <c r="AF440" s="84">
        <v>0</v>
      </c>
      <c r="AG440" s="92" t="s">
        <v>1453</v>
      </c>
      <c r="AH440" s="84" t="b">
        <v>0</v>
      </c>
      <c r="AI440" s="84" t="s">
        <v>1456</v>
      </c>
      <c r="AJ440" s="84"/>
      <c r="AK440" s="92" t="s">
        <v>1453</v>
      </c>
      <c r="AL440" s="84" t="b">
        <v>0</v>
      </c>
      <c r="AM440" s="84">
        <v>36</v>
      </c>
      <c r="AN440" s="92" t="s">
        <v>1401</v>
      </c>
      <c r="AO440" s="84" t="s">
        <v>1517</v>
      </c>
      <c r="AP440" s="84" t="b">
        <v>0</v>
      </c>
      <c r="AQ440" s="92" t="s">
        <v>1401</v>
      </c>
      <c r="AR440" s="84" t="s">
        <v>187</v>
      </c>
      <c r="AS440" s="84">
        <v>0</v>
      </c>
      <c r="AT440" s="84">
        <v>0</v>
      </c>
      <c r="AU440" s="84"/>
      <c r="AV440" s="84"/>
      <c r="AW440" s="84"/>
      <c r="AX440" s="84"/>
      <c r="AY440" s="84"/>
      <c r="AZ440" s="84"/>
      <c r="BA440" s="84"/>
      <c r="BB440" s="84"/>
      <c r="BC440">
        <v>3</v>
      </c>
      <c r="BD440" s="83" t="str">
        <f>REPLACE(INDEX(GroupVertices[Group],MATCH(Edges[[#This Row],[Vertex 1]],GroupVertices[Vertex],0)),1,1,"")</f>
        <v>1</v>
      </c>
      <c r="BE440" s="83" t="str">
        <f>REPLACE(INDEX(GroupVertices[Group],MATCH(Edges[[#This Row],[Vertex 2]],GroupVertices[Vertex],0)),1,1,"")</f>
        <v>1</v>
      </c>
      <c r="BF440" s="49">
        <v>0</v>
      </c>
      <c r="BG440" s="50">
        <v>0</v>
      </c>
      <c r="BH440" s="49">
        <v>0</v>
      </c>
      <c r="BI440" s="50">
        <v>0</v>
      </c>
      <c r="BJ440" s="49">
        <v>0</v>
      </c>
      <c r="BK440" s="50">
        <v>0</v>
      </c>
      <c r="BL440" s="49">
        <v>31</v>
      </c>
      <c r="BM440" s="50">
        <v>100</v>
      </c>
      <c r="BN440" s="49">
        <v>31</v>
      </c>
    </row>
    <row r="441" spans="1:66" ht="15">
      <c r="A441" s="68" t="s">
        <v>388</v>
      </c>
      <c r="B441" s="68" t="s">
        <v>436</v>
      </c>
      <c r="C441" s="69" t="s">
        <v>5209</v>
      </c>
      <c r="D441" s="70">
        <v>6.678367782143116</v>
      </c>
      <c r="E441" s="71" t="s">
        <v>132</v>
      </c>
      <c r="F441" s="72">
        <v>21</v>
      </c>
      <c r="G441" s="69" t="s">
        <v>51</v>
      </c>
      <c r="H441" s="73"/>
      <c r="I441" s="74"/>
      <c r="J441" s="74"/>
      <c r="K441" s="35" t="s">
        <v>65</v>
      </c>
      <c r="L441" s="82">
        <v>441</v>
      </c>
      <c r="M441" s="82"/>
      <c r="N441" s="76"/>
      <c r="O441" s="84" t="s">
        <v>440</v>
      </c>
      <c r="P441" s="86">
        <v>44087.17743055556</v>
      </c>
      <c r="Q441" s="84" t="s">
        <v>490</v>
      </c>
      <c r="R441" s="87" t="str">
        <f>HYPERLINK("https://online-learning.harvard.edu/catalog")</f>
        <v>https://online-learning.harvard.edu/catalog</v>
      </c>
      <c r="S441" s="84" t="s">
        <v>551</v>
      </c>
      <c r="T441" s="84" t="s">
        <v>606</v>
      </c>
      <c r="U441" s="84"/>
      <c r="V441" s="87" t="str">
        <f>HYPERLINK("http://pbs.twimg.com/profile_images/1296364137849602048/f9gCNIbT_normal.jpg")</f>
        <v>http://pbs.twimg.com/profile_images/1296364137849602048/f9gCNIbT_normal.jpg</v>
      </c>
      <c r="W441" s="86">
        <v>44087.17743055556</v>
      </c>
      <c r="X441" s="90">
        <v>44087</v>
      </c>
      <c r="Y441" s="92" t="s">
        <v>884</v>
      </c>
      <c r="Z441" s="87" t="str">
        <f>HYPERLINK("https://twitter.com/nlognbot/status/1304997105753350144")</f>
        <v>https://twitter.com/nlognbot/status/1304997105753350144</v>
      </c>
      <c r="AA441" s="84"/>
      <c r="AB441" s="84"/>
      <c r="AC441" s="92" t="s">
        <v>1282</v>
      </c>
      <c r="AD441" s="84"/>
      <c r="AE441" s="84" t="b">
        <v>0</v>
      </c>
      <c r="AF441" s="84">
        <v>0</v>
      </c>
      <c r="AG441" s="92" t="s">
        <v>1453</v>
      </c>
      <c r="AH441" s="84" t="b">
        <v>0</v>
      </c>
      <c r="AI441" s="84" t="s">
        <v>1456</v>
      </c>
      <c r="AJ441" s="84"/>
      <c r="AK441" s="92" t="s">
        <v>1453</v>
      </c>
      <c r="AL441" s="84" t="b">
        <v>0</v>
      </c>
      <c r="AM441" s="84">
        <v>449</v>
      </c>
      <c r="AN441" s="92" t="s">
        <v>1406</v>
      </c>
      <c r="AO441" s="84" t="s">
        <v>1517</v>
      </c>
      <c r="AP441" s="84" t="b">
        <v>0</v>
      </c>
      <c r="AQ441" s="92" t="s">
        <v>1406</v>
      </c>
      <c r="AR441" s="84" t="s">
        <v>187</v>
      </c>
      <c r="AS441" s="84">
        <v>0</v>
      </c>
      <c r="AT441" s="84">
        <v>0</v>
      </c>
      <c r="AU441" s="84"/>
      <c r="AV441" s="84"/>
      <c r="AW441" s="84"/>
      <c r="AX441" s="84"/>
      <c r="AY441" s="84"/>
      <c r="AZ441" s="84"/>
      <c r="BA441" s="84"/>
      <c r="BB441" s="84"/>
      <c r="BC441">
        <v>2</v>
      </c>
      <c r="BD441" s="83" t="str">
        <f>REPLACE(INDEX(GroupVertices[Group],MATCH(Edges[[#This Row],[Vertex 1]],GroupVertices[Vertex],0)),1,1,"")</f>
        <v>1</v>
      </c>
      <c r="BE441" s="83" t="str">
        <f>REPLACE(INDEX(GroupVertices[Group],MATCH(Edges[[#This Row],[Vertex 2]],GroupVertices[Vertex],0)),1,1,"")</f>
        <v>1</v>
      </c>
      <c r="BF441" s="49"/>
      <c r="BG441" s="50"/>
      <c r="BH441" s="49"/>
      <c r="BI441" s="50"/>
      <c r="BJ441" s="49"/>
      <c r="BK441" s="50"/>
      <c r="BL441" s="49"/>
      <c r="BM441" s="50"/>
      <c r="BN441" s="49"/>
    </row>
    <row r="442" spans="1:66" ht="15">
      <c r="A442" s="68" t="s">
        <v>388</v>
      </c>
      <c r="B442" s="68" t="s">
        <v>418</v>
      </c>
      <c r="C442" s="69" t="s">
        <v>5209</v>
      </c>
      <c r="D442" s="70">
        <v>6.678367782143116</v>
      </c>
      <c r="E442" s="71" t="s">
        <v>132</v>
      </c>
      <c r="F442" s="72">
        <v>21</v>
      </c>
      <c r="G442" s="69" t="s">
        <v>51</v>
      </c>
      <c r="H442" s="73"/>
      <c r="I442" s="74"/>
      <c r="J442" s="74"/>
      <c r="K442" s="35" t="s">
        <v>65</v>
      </c>
      <c r="L442" s="82">
        <v>442</v>
      </c>
      <c r="M442" s="82"/>
      <c r="N442" s="76"/>
      <c r="O442" s="84" t="s">
        <v>439</v>
      </c>
      <c r="P442" s="86">
        <v>44087.17743055556</v>
      </c>
      <c r="Q442" s="84" t="s">
        <v>490</v>
      </c>
      <c r="R442" s="87" t="str">
        <f>HYPERLINK("https://online-learning.harvard.edu/catalog")</f>
        <v>https://online-learning.harvard.edu/catalog</v>
      </c>
      <c r="S442" s="84" t="s">
        <v>551</v>
      </c>
      <c r="T442" s="84" t="s">
        <v>606</v>
      </c>
      <c r="U442" s="84"/>
      <c r="V442" s="87" t="str">
        <f>HYPERLINK("http://pbs.twimg.com/profile_images/1296364137849602048/f9gCNIbT_normal.jpg")</f>
        <v>http://pbs.twimg.com/profile_images/1296364137849602048/f9gCNIbT_normal.jpg</v>
      </c>
      <c r="W442" s="86">
        <v>44087.17743055556</v>
      </c>
      <c r="X442" s="90">
        <v>44087</v>
      </c>
      <c r="Y442" s="92" t="s">
        <v>884</v>
      </c>
      <c r="Z442" s="87" t="str">
        <f>HYPERLINK("https://twitter.com/nlognbot/status/1304997105753350144")</f>
        <v>https://twitter.com/nlognbot/status/1304997105753350144</v>
      </c>
      <c r="AA442" s="84"/>
      <c r="AB442" s="84"/>
      <c r="AC442" s="92" t="s">
        <v>1282</v>
      </c>
      <c r="AD442" s="84"/>
      <c r="AE442" s="84" t="b">
        <v>0</v>
      </c>
      <c r="AF442" s="84">
        <v>0</v>
      </c>
      <c r="AG442" s="92" t="s">
        <v>1453</v>
      </c>
      <c r="AH442" s="84" t="b">
        <v>0</v>
      </c>
      <c r="AI442" s="84" t="s">
        <v>1456</v>
      </c>
      <c r="AJ442" s="84"/>
      <c r="AK442" s="92" t="s">
        <v>1453</v>
      </c>
      <c r="AL442" s="84" t="b">
        <v>0</v>
      </c>
      <c r="AM442" s="84">
        <v>449</v>
      </c>
      <c r="AN442" s="92" t="s">
        <v>1406</v>
      </c>
      <c r="AO442" s="84" t="s">
        <v>1517</v>
      </c>
      <c r="AP442" s="84" t="b">
        <v>0</v>
      </c>
      <c r="AQ442" s="92" t="s">
        <v>1406</v>
      </c>
      <c r="AR442" s="84" t="s">
        <v>187</v>
      </c>
      <c r="AS442" s="84">
        <v>0</v>
      </c>
      <c r="AT442" s="84">
        <v>0</v>
      </c>
      <c r="AU442" s="84"/>
      <c r="AV442" s="84"/>
      <c r="AW442" s="84"/>
      <c r="AX442" s="84"/>
      <c r="AY442" s="84"/>
      <c r="AZ442" s="84"/>
      <c r="BA442" s="84"/>
      <c r="BB442" s="84"/>
      <c r="BC442">
        <v>2</v>
      </c>
      <c r="BD442" s="83" t="str">
        <f>REPLACE(INDEX(GroupVertices[Group],MATCH(Edges[[#This Row],[Vertex 1]],GroupVertices[Vertex],0)),1,1,"")</f>
        <v>1</v>
      </c>
      <c r="BE442" s="83" t="str">
        <f>REPLACE(INDEX(GroupVertices[Group],MATCH(Edges[[#This Row],[Vertex 2]],GroupVertices[Vertex],0)),1,1,"")</f>
        <v>1</v>
      </c>
      <c r="BF442" s="49">
        <v>0</v>
      </c>
      <c r="BG442" s="50">
        <v>0</v>
      </c>
      <c r="BH442" s="49">
        <v>0</v>
      </c>
      <c r="BI442" s="50">
        <v>0</v>
      </c>
      <c r="BJ442" s="49">
        <v>0</v>
      </c>
      <c r="BK442" s="50">
        <v>0</v>
      </c>
      <c r="BL442" s="49">
        <v>25</v>
      </c>
      <c r="BM442" s="50">
        <v>100</v>
      </c>
      <c r="BN442" s="49">
        <v>25</v>
      </c>
    </row>
    <row r="443" spans="1:66" ht="15">
      <c r="A443" s="68" t="s">
        <v>388</v>
      </c>
      <c r="B443" s="68" t="s">
        <v>414</v>
      </c>
      <c r="C443" s="69" t="s">
        <v>5208</v>
      </c>
      <c r="D443" s="70">
        <v>1</v>
      </c>
      <c r="E443" s="71" t="s">
        <v>132</v>
      </c>
      <c r="F443" s="72">
        <v>32</v>
      </c>
      <c r="G443" s="69" t="s">
        <v>51</v>
      </c>
      <c r="H443" s="73"/>
      <c r="I443" s="74"/>
      <c r="J443" s="74"/>
      <c r="K443" s="35" t="s">
        <v>65</v>
      </c>
      <c r="L443" s="82">
        <v>443</v>
      </c>
      <c r="M443" s="82"/>
      <c r="N443" s="76"/>
      <c r="O443" s="84" t="s">
        <v>439</v>
      </c>
      <c r="P443" s="86">
        <v>44087.34427083333</v>
      </c>
      <c r="Q443" s="84" t="s">
        <v>491</v>
      </c>
      <c r="R443" s="84" t="s">
        <v>527</v>
      </c>
      <c r="S443" s="84" t="s">
        <v>552</v>
      </c>
      <c r="T443" s="84" t="s">
        <v>607</v>
      </c>
      <c r="U443" s="87" t="str">
        <f>HYPERLINK("https://pbs.twimg.com/media/EhxkE21U0AEO4mg.jpg")</f>
        <v>https://pbs.twimg.com/media/EhxkE21U0AEO4mg.jpg</v>
      </c>
      <c r="V443" s="87" t="str">
        <f>HYPERLINK("https://pbs.twimg.com/media/EhxkE21U0AEO4mg.jpg")</f>
        <v>https://pbs.twimg.com/media/EhxkE21U0AEO4mg.jpg</v>
      </c>
      <c r="W443" s="86">
        <v>44087.34427083333</v>
      </c>
      <c r="X443" s="90">
        <v>44087</v>
      </c>
      <c r="Y443" s="92" t="s">
        <v>885</v>
      </c>
      <c r="Z443" s="87" t="str">
        <f>HYPERLINK("https://twitter.com/nlognbot/status/1305057566872006656")</f>
        <v>https://twitter.com/nlognbot/status/1305057566872006656</v>
      </c>
      <c r="AA443" s="84"/>
      <c r="AB443" s="84"/>
      <c r="AC443" s="92" t="s">
        <v>1283</v>
      </c>
      <c r="AD443" s="84"/>
      <c r="AE443" s="84" t="b">
        <v>0</v>
      </c>
      <c r="AF443" s="84">
        <v>0</v>
      </c>
      <c r="AG443" s="92" t="s">
        <v>1453</v>
      </c>
      <c r="AH443" s="84" t="b">
        <v>0</v>
      </c>
      <c r="AI443" s="84" t="s">
        <v>1456</v>
      </c>
      <c r="AJ443" s="84"/>
      <c r="AK443" s="92" t="s">
        <v>1453</v>
      </c>
      <c r="AL443" s="84" t="b">
        <v>0</v>
      </c>
      <c r="AM443" s="84">
        <v>12</v>
      </c>
      <c r="AN443" s="92" t="s">
        <v>1381</v>
      </c>
      <c r="AO443" s="84" t="s">
        <v>1517</v>
      </c>
      <c r="AP443" s="84" t="b">
        <v>0</v>
      </c>
      <c r="AQ443" s="92" t="s">
        <v>1381</v>
      </c>
      <c r="AR443" s="84" t="s">
        <v>187</v>
      </c>
      <c r="AS443" s="84">
        <v>0</v>
      </c>
      <c r="AT443" s="84">
        <v>0</v>
      </c>
      <c r="AU443" s="84"/>
      <c r="AV443" s="84"/>
      <c r="AW443" s="84"/>
      <c r="AX443" s="84"/>
      <c r="AY443" s="84"/>
      <c r="AZ443" s="84"/>
      <c r="BA443" s="84"/>
      <c r="BB443" s="84"/>
      <c r="BC443">
        <v>1</v>
      </c>
      <c r="BD443" s="83" t="str">
        <f>REPLACE(INDEX(GroupVertices[Group],MATCH(Edges[[#This Row],[Vertex 1]],GroupVertices[Vertex],0)),1,1,"")</f>
        <v>1</v>
      </c>
      <c r="BE443" s="83" t="str">
        <f>REPLACE(INDEX(GroupVertices[Group],MATCH(Edges[[#This Row],[Vertex 2]],GroupVertices[Vertex],0)),1,1,"")</f>
        <v>1</v>
      </c>
      <c r="BF443" s="49">
        <v>0</v>
      </c>
      <c r="BG443" s="50">
        <v>0</v>
      </c>
      <c r="BH443" s="49">
        <v>0</v>
      </c>
      <c r="BI443" s="50">
        <v>0</v>
      </c>
      <c r="BJ443" s="49">
        <v>0</v>
      </c>
      <c r="BK443" s="50">
        <v>0</v>
      </c>
      <c r="BL443" s="49">
        <v>40</v>
      </c>
      <c r="BM443" s="50">
        <v>100</v>
      </c>
      <c r="BN443" s="49">
        <v>40</v>
      </c>
    </row>
    <row r="444" spans="1:66" ht="15">
      <c r="A444" s="68" t="s">
        <v>388</v>
      </c>
      <c r="B444" s="68" t="s">
        <v>409</v>
      </c>
      <c r="C444" s="69" t="s">
        <v>5208</v>
      </c>
      <c r="D444" s="70">
        <v>1</v>
      </c>
      <c r="E444" s="71" t="s">
        <v>132</v>
      </c>
      <c r="F444" s="72">
        <v>32</v>
      </c>
      <c r="G444" s="69" t="s">
        <v>51</v>
      </c>
      <c r="H444" s="73"/>
      <c r="I444" s="74"/>
      <c r="J444" s="74"/>
      <c r="K444" s="35" t="s">
        <v>65</v>
      </c>
      <c r="L444" s="82">
        <v>444</v>
      </c>
      <c r="M444" s="82"/>
      <c r="N444" s="76"/>
      <c r="O444" s="84" t="s">
        <v>440</v>
      </c>
      <c r="P444" s="86">
        <v>44088.15497685185</v>
      </c>
      <c r="Q444" s="84" t="s">
        <v>496</v>
      </c>
      <c r="R444" s="84"/>
      <c r="S444" s="84"/>
      <c r="T444" s="84" t="s">
        <v>612</v>
      </c>
      <c r="U444" s="87" t="str">
        <f>HYPERLINK("https://pbs.twimg.com/media/Eh2I9QHWAAA-8vh.png")</f>
        <v>https://pbs.twimg.com/media/Eh2I9QHWAAA-8vh.png</v>
      </c>
      <c r="V444" s="87" t="str">
        <f>HYPERLINK("https://pbs.twimg.com/media/Eh2I9QHWAAA-8vh.png")</f>
        <v>https://pbs.twimg.com/media/Eh2I9QHWAAA-8vh.png</v>
      </c>
      <c r="W444" s="86">
        <v>44088.15497685185</v>
      </c>
      <c r="X444" s="90">
        <v>44088</v>
      </c>
      <c r="Y444" s="92" t="s">
        <v>886</v>
      </c>
      <c r="Z444" s="87" t="str">
        <f>HYPERLINK("https://twitter.com/nlognbot/status/1305351356941770752")</f>
        <v>https://twitter.com/nlognbot/status/1305351356941770752</v>
      </c>
      <c r="AA444" s="84"/>
      <c r="AB444" s="84"/>
      <c r="AC444" s="92" t="s">
        <v>1284</v>
      </c>
      <c r="AD444" s="84"/>
      <c r="AE444" s="84" t="b">
        <v>0</v>
      </c>
      <c r="AF444" s="84">
        <v>0</v>
      </c>
      <c r="AG444" s="92" t="s">
        <v>1453</v>
      </c>
      <c r="AH444" s="84" t="b">
        <v>0</v>
      </c>
      <c r="AI444" s="84" t="s">
        <v>1456</v>
      </c>
      <c r="AJ444" s="84"/>
      <c r="AK444" s="92" t="s">
        <v>1453</v>
      </c>
      <c r="AL444" s="84" t="b">
        <v>0</v>
      </c>
      <c r="AM444" s="84">
        <v>15</v>
      </c>
      <c r="AN444" s="92" t="s">
        <v>1360</v>
      </c>
      <c r="AO444" s="84" t="s">
        <v>1517</v>
      </c>
      <c r="AP444" s="84" t="b">
        <v>0</v>
      </c>
      <c r="AQ444" s="92" t="s">
        <v>1360</v>
      </c>
      <c r="AR444" s="84" t="s">
        <v>187</v>
      </c>
      <c r="AS444" s="84">
        <v>0</v>
      </c>
      <c r="AT444" s="84">
        <v>0</v>
      </c>
      <c r="AU444" s="84"/>
      <c r="AV444" s="84"/>
      <c r="AW444" s="84"/>
      <c r="AX444" s="84"/>
      <c r="AY444" s="84"/>
      <c r="AZ444" s="84"/>
      <c r="BA444" s="84"/>
      <c r="BB444" s="84"/>
      <c r="BC444">
        <v>1</v>
      </c>
      <c r="BD444" s="83" t="str">
        <f>REPLACE(INDEX(GroupVertices[Group],MATCH(Edges[[#This Row],[Vertex 1]],GroupVertices[Vertex],0)),1,1,"")</f>
        <v>1</v>
      </c>
      <c r="BE444" s="83" t="str">
        <f>REPLACE(INDEX(GroupVertices[Group],MATCH(Edges[[#This Row],[Vertex 2]],GroupVertices[Vertex],0)),1,1,"")</f>
        <v>1</v>
      </c>
      <c r="BF444" s="49"/>
      <c r="BG444" s="50"/>
      <c r="BH444" s="49"/>
      <c r="BI444" s="50"/>
      <c r="BJ444" s="49"/>
      <c r="BK444" s="50"/>
      <c r="BL444" s="49"/>
      <c r="BM444" s="50"/>
      <c r="BN444" s="49"/>
    </row>
    <row r="445" spans="1:66" ht="15">
      <c r="A445" s="68" t="s">
        <v>388</v>
      </c>
      <c r="B445" s="68" t="s">
        <v>408</v>
      </c>
      <c r="C445" s="69" t="s">
        <v>5208</v>
      </c>
      <c r="D445" s="70">
        <v>1</v>
      </c>
      <c r="E445" s="71" t="s">
        <v>132</v>
      </c>
      <c r="F445" s="72">
        <v>32</v>
      </c>
      <c r="G445" s="69" t="s">
        <v>51</v>
      </c>
      <c r="H445" s="73"/>
      <c r="I445" s="74"/>
      <c r="J445" s="74"/>
      <c r="K445" s="35" t="s">
        <v>65</v>
      </c>
      <c r="L445" s="82">
        <v>445</v>
      </c>
      <c r="M445" s="82"/>
      <c r="N445" s="76"/>
      <c r="O445" s="84" t="s">
        <v>439</v>
      </c>
      <c r="P445" s="86">
        <v>44088.15497685185</v>
      </c>
      <c r="Q445" s="84" t="s">
        <v>496</v>
      </c>
      <c r="R445" s="84"/>
      <c r="S445" s="84"/>
      <c r="T445" s="84" t="s">
        <v>612</v>
      </c>
      <c r="U445" s="87" t="str">
        <f>HYPERLINK("https://pbs.twimg.com/media/Eh2I9QHWAAA-8vh.png")</f>
        <v>https://pbs.twimg.com/media/Eh2I9QHWAAA-8vh.png</v>
      </c>
      <c r="V445" s="87" t="str">
        <f>HYPERLINK("https://pbs.twimg.com/media/Eh2I9QHWAAA-8vh.png")</f>
        <v>https://pbs.twimg.com/media/Eh2I9QHWAAA-8vh.png</v>
      </c>
      <c r="W445" s="86">
        <v>44088.15497685185</v>
      </c>
      <c r="X445" s="90">
        <v>44088</v>
      </c>
      <c r="Y445" s="92" t="s">
        <v>886</v>
      </c>
      <c r="Z445" s="87" t="str">
        <f>HYPERLINK("https://twitter.com/nlognbot/status/1305351356941770752")</f>
        <v>https://twitter.com/nlognbot/status/1305351356941770752</v>
      </c>
      <c r="AA445" s="84"/>
      <c r="AB445" s="84"/>
      <c r="AC445" s="92" t="s">
        <v>1284</v>
      </c>
      <c r="AD445" s="84"/>
      <c r="AE445" s="84" t="b">
        <v>0</v>
      </c>
      <c r="AF445" s="84">
        <v>0</v>
      </c>
      <c r="AG445" s="92" t="s">
        <v>1453</v>
      </c>
      <c r="AH445" s="84" t="b">
        <v>0</v>
      </c>
      <c r="AI445" s="84" t="s">
        <v>1456</v>
      </c>
      <c r="AJ445" s="84"/>
      <c r="AK445" s="92" t="s">
        <v>1453</v>
      </c>
      <c r="AL445" s="84" t="b">
        <v>0</v>
      </c>
      <c r="AM445" s="84">
        <v>15</v>
      </c>
      <c r="AN445" s="92" t="s">
        <v>1360</v>
      </c>
      <c r="AO445" s="84" t="s">
        <v>1517</v>
      </c>
      <c r="AP445" s="84" t="b">
        <v>0</v>
      </c>
      <c r="AQ445" s="92" t="s">
        <v>1360</v>
      </c>
      <c r="AR445" s="84" t="s">
        <v>187</v>
      </c>
      <c r="AS445" s="84">
        <v>0</v>
      </c>
      <c r="AT445" s="84">
        <v>0</v>
      </c>
      <c r="AU445" s="84"/>
      <c r="AV445" s="84"/>
      <c r="AW445" s="84"/>
      <c r="AX445" s="84"/>
      <c r="AY445" s="84"/>
      <c r="AZ445" s="84"/>
      <c r="BA445" s="84"/>
      <c r="BB445" s="84"/>
      <c r="BC445">
        <v>1</v>
      </c>
      <c r="BD445" s="83" t="str">
        <f>REPLACE(INDEX(GroupVertices[Group],MATCH(Edges[[#This Row],[Vertex 1]],GroupVertices[Vertex],0)),1,1,"")</f>
        <v>1</v>
      </c>
      <c r="BE445" s="83" t="str">
        <f>REPLACE(INDEX(GroupVertices[Group],MATCH(Edges[[#This Row],[Vertex 2]],GroupVertices[Vertex],0)),1,1,"")</f>
        <v>1</v>
      </c>
      <c r="BF445" s="49">
        <v>0</v>
      </c>
      <c r="BG445" s="50">
        <v>0</v>
      </c>
      <c r="BH445" s="49">
        <v>0</v>
      </c>
      <c r="BI445" s="50">
        <v>0</v>
      </c>
      <c r="BJ445" s="49">
        <v>0</v>
      </c>
      <c r="BK445" s="50">
        <v>0</v>
      </c>
      <c r="BL445" s="49">
        <v>32</v>
      </c>
      <c r="BM445" s="50">
        <v>100</v>
      </c>
      <c r="BN445" s="49">
        <v>32</v>
      </c>
    </row>
    <row r="446" spans="1:66" ht="15">
      <c r="A446" s="68" t="s">
        <v>388</v>
      </c>
      <c r="B446" s="68" t="s">
        <v>436</v>
      </c>
      <c r="C446" s="69" t="s">
        <v>5209</v>
      </c>
      <c r="D446" s="70">
        <v>6.678367782143116</v>
      </c>
      <c r="E446" s="71" t="s">
        <v>132</v>
      </c>
      <c r="F446" s="72">
        <v>21</v>
      </c>
      <c r="G446" s="69" t="s">
        <v>51</v>
      </c>
      <c r="H446" s="73"/>
      <c r="I446" s="74"/>
      <c r="J446" s="74"/>
      <c r="K446" s="35" t="s">
        <v>65</v>
      </c>
      <c r="L446" s="82">
        <v>446</v>
      </c>
      <c r="M446" s="82"/>
      <c r="N446" s="76"/>
      <c r="O446" s="84" t="s">
        <v>440</v>
      </c>
      <c r="P446" s="86">
        <v>44088.72184027778</v>
      </c>
      <c r="Q446" s="84" t="s">
        <v>490</v>
      </c>
      <c r="R446" s="87" t="str">
        <f>HYPERLINK("https://online-learning.harvard.edu/catalog")</f>
        <v>https://online-learning.harvard.edu/catalog</v>
      </c>
      <c r="S446" s="84" t="s">
        <v>551</v>
      </c>
      <c r="T446" s="84" t="s">
        <v>606</v>
      </c>
      <c r="U446" s="84"/>
      <c r="V446" s="87" t="str">
        <f>HYPERLINK("http://pbs.twimg.com/profile_images/1296364137849602048/f9gCNIbT_normal.jpg")</f>
        <v>http://pbs.twimg.com/profile_images/1296364137849602048/f9gCNIbT_normal.jpg</v>
      </c>
      <c r="W446" s="86">
        <v>44088.72184027778</v>
      </c>
      <c r="X446" s="90">
        <v>44088</v>
      </c>
      <c r="Y446" s="92" t="s">
        <v>887</v>
      </c>
      <c r="Z446" s="87" t="str">
        <f>HYPERLINK("https://twitter.com/nlognbot/status/1305556783260409858")</f>
        <v>https://twitter.com/nlognbot/status/1305556783260409858</v>
      </c>
      <c r="AA446" s="84"/>
      <c r="AB446" s="84"/>
      <c r="AC446" s="92" t="s">
        <v>1285</v>
      </c>
      <c r="AD446" s="84"/>
      <c r="AE446" s="84" t="b">
        <v>0</v>
      </c>
      <c r="AF446" s="84">
        <v>0</v>
      </c>
      <c r="AG446" s="92" t="s">
        <v>1453</v>
      </c>
      <c r="AH446" s="84" t="b">
        <v>0</v>
      </c>
      <c r="AI446" s="84" t="s">
        <v>1456</v>
      </c>
      <c r="AJ446" s="84"/>
      <c r="AK446" s="92" t="s">
        <v>1453</v>
      </c>
      <c r="AL446" s="84" t="b">
        <v>0</v>
      </c>
      <c r="AM446" s="84">
        <v>449</v>
      </c>
      <c r="AN446" s="92" t="s">
        <v>1406</v>
      </c>
      <c r="AO446" s="84" t="s">
        <v>1517</v>
      </c>
      <c r="AP446" s="84" t="b">
        <v>0</v>
      </c>
      <c r="AQ446" s="92" t="s">
        <v>1406</v>
      </c>
      <c r="AR446" s="84" t="s">
        <v>187</v>
      </c>
      <c r="AS446" s="84">
        <v>0</v>
      </c>
      <c r="AT446" s="84">
        <v>0</v>
      </c>
      <c r="AU446" s="84"/>
      <c r="AV446" s="84"/>
      <c r="AW446" s="84"/>
      <c r="AX446" s="84"/>
      <c r="AY446" s="84"/>
      <c r="AZ446" s="84"/>
      <c r="BA446" s="84"/>
      <c r="BB446" s="84"/>
      <c r="BC446">
        <v>2</v>
      </c>
      <c r="BD446" s="83" t="str">
        <f>REPLACE(INDEX(GroupVertices[Group],MATCH(Edges[[#This Row],[Vertex 1]],GroupVertices[Vertex],0)),1,1,"")</f>
        <v>1</v>
      </c>
      <c r="BE446" s="83" t="str">
        <f>REPLACE(INDEX(GroupVertices[Group],MATCH(Edges[[#This Row],[Vertex 2]],GroupVertices[Vertex],0)),1,1,"")</f>
        <v>1</v>
      </c>
      <c r="BF446" s="49"/>
      <c r="BG446" s="50"/>
      <c r="BH446" s="49"/>
      <c r="BI446" s="50"/>
      <c r="BJ446" s="49"/>
      <c r="BK446" s="50"/>
      <c r="BL446" s="49"/>
      <c r="BM446" s="50"/>
      <c r="BN446" s="49"/>
    </row>
    <row r="447" spans="1:66" ht="15">
      <c r="A447" s="68" t="s">
        <v>388</v>
      </c>
      <c r="B447" s="68" t="s">
        <v>418</v>
      </c>
      <c r="C447" s="69" t="s">
        <v>5209</v>
      </c>
      <c r="D447" s="70">
        <v>6.678367782143116</v>
      </c>
      <c r="E447" s="71" t="s">
        <v>132</v>
      </c>
      <c r="F447" s="72">
        <v>21</v>
      </c>
      <c r="G447" s="69" t="s">
        <v>51</v>
      </c>
      <c r="H447" s="73"/>
      <c r="I447" s="74"/>
      <c r="J447" s="74"/>
      <c r="K447" s="35" t="s">
        <v>65</v>
      </c>
      <c r="L447" s="82">
        <v>447</v>
      </c>
      <c r="M447" s="82"/>
      <c r="N447" s="76"/>
      <c r="O447" s="84" t="s">
        <v>439</v>
      </c>
      <c r="P447" s="86">
        <v>44088.72184027778</v>
      </c>
      <c r="Q447" s="84" t="s">
        <v>490</v>
      </c>
      <c r="R447" s="87" t="str">
        <f>HYPERLINK("https://online-learning.harvard.edu/catalog")</f>
        <v>https://online-learning.harvard.edu/catalog</v>
      </c>
      <c r="S447" s="84" t="s">
        <v>551</v>
      </c>
      <c r="T447" s="84" t="s">
        <v>606</v>
      </c>
      <c r="U447" s="84"/>
      <c r="V447" s="87" t="str">
        <f>HYPERLINK("http://pbs.twimg.com/profile_images/1296364137849602048/f9gCNIbT_normal.jpg")</f>
        <v>http://pbs.twimg.com/profile_images/1296364137849602048/f9gCNIbT_normal.jpg</v>
      </c>
      <c r="W447" s="86">
        <v>44088.72184027778</v>
      </c>
      <c r="X447" s="90">
        <v>44088</v>
      </c>
      <c r="Y447" s="92" t="s">
        <v>887</v>
      </c>
      <c r="Z447" s="87" t="str">
        <f>HYPERLINK("https://twitter.com/nlognbot/status/1305556783260409858")</f>
        <v>https://twitter.com/nlognbot/status/1305556783260409858</v>
      </c>
      <c r="AA447" s="84"/>
      <c r="AB447" s="84"/>
      <c r="AC447" s="92" t="s">
        <v>1285</v>
      </c>
      <c r="AD447" s="84"/>
      <c r="AE447" s="84" t="b">
        <v>0</v>
      </c>
      <c r="AF447" s="84">
        <v>0</v>
      </c>
      <c r="AG447" s="92" t="s">
        <v>1453</v>
      </c>
      <c r="AH447" s="84" t="b">
        <v>0</v>
      </c>
      <c r="AI447" s="84" t="s">
        <v>1456</v>
      </c>
      <c r="AJ447" s="84"/>
      <c r="AK447" s="92" t="s">
        <v>1453</v>
      </c>
      <c r="AL447" s="84" t="b">
        <v>0</v>
      </c>
      <c r="AM447" s="84">
        <v>449</v>
      </c>
      <c r="AN447" s="92" t="s">
        <v>1406</v>
      </c>
      <c r="AO447" s="84" t="s">
        <v>1517</v>
      </c>
      <c r="AP447" s="84" t="b">
        <v>0</v>
      </c>
      <c r="AQ447" s="92" t="s">
        <v>1406</v>
      </c>
      <c r="AR447" s="84" t="s">
        <v>187</v>
      </c>
      <c r="AS447" s="84">
        <v>0</v>
      </c>
      <c r="AT447" s="84">
        <v>0</v>
      </c>
      <c r="AU447" s="84"/>
      <c r="AV447" s="84"/>
      <c r="AW447" s="84"/>
      <c r="AX447" s="84"/>
      <c r="AY447" s="84"/>
      <c r="AZ447" s="84"/>
      <c r="BA447" s="84"/>
      <c r="BB447" s="84"/>
      <c r="BC447">
        <v>2</v>
      </c>
      <c r="BD447" s="83" t="str">
        <f>REPLACE(INDEX(GroupVertices[Group],MATCH(Edges[[#This Row],[Vertex 1]],GroupVertices[Vertex],0)),1,1,"")</f>
        <v>1</v>
      </c>
      <c r="BE447" s="83" t="str">
        <f>REPLACE(INDEX(GroupVertices[Group],MATCH(Edges[[#This Row],[Vertex 2]],GroupVertices[Vertex],0)),1,1,"")</f>
        <v>1</v>
      </c>
      <c r="BF447" s="49">
        <v>0</v>
      </c>
      <c r="BG447" s="50">
        <v>0</v>
      </c>
      <c r="BH447" s="49">
        <v>0</v>
      </c>
      <c r="BI447" s="50">
        <v>0</v>
      </c>
      <c r="BJ447" s="49">
        <v>0</v>
      </c>
      <c r="BK447" s="50">
        <v>0</v>
      </c>
      <c r="BL447" s="49">
        <v>25</v>
      </c>
      <c r="BM447" s="50">
        <v>100</v>
      </c>
      <c r="BN447" s="49">
        <v>25</v>
      </c>
    </row>
    <row r="448" spans="1:66" ht="15">
      <c r="A448" s="68" t="s">
        <v>389</v>
      </c>
      <c r="B448" s="68" t="s">
        <v>389</v>
      </c>
      <c r="C448" s="69" t="s">
        <v>5210</v>
      </c>
      <c r="D448" s="70">
        <v>10</v>
      </c>
      <c r="E448" s="71" t="s">
        <v>132</v>
      </c>
      <c r="F448" s="72">
        <v>10</v>
      </c>
      <c r="G448" s="69" t="s">
        <v>51</v>
      </c>
      <c r="H448" s="73"/>
      <c r="I448" s="74"/>
      <c r="J448" s="74"/>
      <c r="K448" s="35" t="s">
        <v>65</v>
      </c>
      <c r="L448" s="82">
        <v>448</v>
      </c>
      <c r="M448" s="82"/>
      <c r="N448" s="76"/>
      <c r="O448" s="84" t="s">
        <v>187</v>
      </c>
      <c r="P448" s="86">
        <v>44069.72954861111</v>
      </c>
      <c r="Q448" s="84" t="s">
        <v>462</v>
      </c>
      <c r="R448" s="87" t="str">
        <f>HYPERLINK("http://www.globalbigdataconference.com/news/145693/bias-in-machine-learning-examples-policing-banking-covid-19.html")</f>
        <v>http://www.globalbigdataconference.com/news/145693/bias-in-machine-learning-examples-policing-banking-covid-19.html</v>
      </c>
      <c r="S448" s="84" t="s">
        <v>541</v>
      </c>
      <c r="T448" s="84" t="s">
        <v>621</v>
      </c>
      <c r="U448" s="84"/>
      <c r="V448" s="87" t="str">
        <f>HYPERLINK("http://pbs.twimg.com/profile_images/1301218599516868608/6D-rHy4X_normal.jpg")</f>
        <v>http://pbs.twimg.com/profile_images/1301218599516868608/6D-rHy4X_normal.jpg</v>
      </c>
      <c r="W448" s="86">
        <v>44069.72954861111</v>
      </c>
      <c r="X448" s="90">
        <v>44069</v>
      </c>
      <c r="Y448" s="92" t="s">
        <v>888</v>
      </c>
      <c r="Z448" s="87" t="str">
        <f>HYPERLINK("https://twitter.com/bigdataconf/status/1298674207786782720")</f>
        <v>https://twitter.com/bigdataconf/status/1298674207786782720</v>
      </c>
      <c r="AA448" s="84"/>
      <c r="AB448" s="84"/>
      <c r="AC448" s="92" t="s">
        <v>1286</v>
      </c>
      <c r="AD448" s="84"/>
      <c r="AE448" s="84" t="b">
        <v>0</v>
      </c>
      <c r="AF448" s="84">
        <v>20</v>
      </c>
      <c r="AG448" s="92" t="s">
        <v>1453</v>
      </c>
      <c r="AH448" s="84" t="b">
        <v>0</v>
      </c>
      <c r="AI448" s="84" t="s">
        <v>1456</v>
      </c>
      <c r="AJ448" s="84"/>
      <c r="AK448" s="92" t="s">
        <v>1453</v>
      </c>
      <c r="AL448" s="84" t="b">
        <v>0</v>
      </c>
      <c r="AM448" s="84">
        <v>28</v>
      </c>
      <c r="AN448" s="92" t="s">
        <v>1453</v>
      </c>
      <c r="AO448" s="84" t="s">
        <v>1484</v>
      </c>
      <c r="AP448" s="84" t="b">
        <v>0</v>
      </c>
      <c r="AQ448" s="92" t="s">
        <v>1286</v>
      </c>
      <c r="AR448" s="84" t="s">
        <v>439</v>
      </c>
      <c r="AS448" s="84">
        <v>0</v>
      </c>
      <c r="AT448" s="84">
        <v>0</v>
      </c>
      <c r="AU448" s="84"/>
      <c r="AV448" s="84"/>
      <c r="AW448" s="84"/>
      <c r="AX448" s="84"/>
      <c r="AY448" s="84"/>
      <c r="AZ448" s="84"/>
      <c r="BA448" s="84"/>
      <c r="BB448" s="84"/>
      <c r="BC448">
        <v>4</v>
      </c>
      <c r="BD448" s="83" t="str">
        <f>REPLACE(INDEX(GroupVertices[Group],MATCH(Edges[[#This Row],[Vertex 1]],GroupVertices[Vertex],0)),1,1,"")</f>
        <v>3</v>
      </c>
      <c r="BE448" s="83" t="str">
        <f>REPLACE(INDEX(GroupVertices[Group],MATCH(Edges[[#This Row],[Vertex 2]],GroupVertices[Vertex],0)),1,1,"")</f>
        <v>3</v>
      </c>
      <c r="BF448" s="49">
        <v>0</v>
      </c>
      <c r="BG448" s="50">
        <v>0</v>
      </c>
      <c r="BH448" s="49">
        <v>0</v>
      </c>
      <c r="BI448" s="50">
        <v>0</v>
      </c>
      <c r="BJ448" s="49">
        <v>0</v>
      </c>
      <c r="BK448" s="50">
        <v>0</v>
      </c>
      <c r="BL448" s="49">
        <v>27</v>
      </c>
      <c r="BM448" s="50">
        <v>100</v>
      </c>
      <c r="BN448" s="49">
        <v>27</v>
      </c>
    </row>
    <row r="449" spans="1:66" ht="15">
      <c r="A449" s="68" t="s">
        <v>389</v>
      </c>
      <c r="B449" s="68" t="s">
        <v>389</v>
      </c>
      <c r="C449" s="69" t="s">
        <v>5210</v>
      </c>
      <c r="D449" s="70">
        <v>10</v>
      </c>
      <c r="E449" s="71" t="s">
        <v>132</v>
      </c>
      <c r="F449" s="72">
        <v>10</v>
      </c>
      <c r="G449" s="69" t="s">
        <v>51</v>
      </c>
      <c r="H449" s="73"/>
      <c r="I449" s="74"/>
      <c r="J449" s="74"/>
      <c r="K449" s="35" t="s">
        <v>65</v>
      </c>
      <c r="L449" s="82">
        <v>449</v>
      </c>
      <c r="M449" s="82"/>
      <c r="N449" s="76"/>
      <c r="O449" s="84" t="s">
        <v>187</v>
      </c>
      <c r="P449" s="86">
        <v>44083.76042824074</v>
      </c>
      <c r="Q449" s="84" t="s">
        <v>478</v>
      </c>
      <c r="R449" s="87" t="str">
        <f>HYPERLINK("http://www.globalbigdataconference.com/145756/combatting-covid-19-misinformation-with-machine-learning/industrynews-details.html")</f>
        <v>http://www.globalbigdataconference.com/145756/combatting-covid-19-misinformation-with-machine-learning/industrynews-details.html</v>
      </c>
      <c r="S449" s="84" t="s">
        <v>541</v>
      </c>
      <c r="T449" s="84" t="s">
        <v>622</v>
      </c>
      <c r="U449" s="84"/>
      <c r="V449" s="87" t="str">
        <f>HYPERLINK("http://pbs.twimg.com/profile_images/1301218599516868608/6D-rHy4X_normal.jpg")</f>
        <v>http://pbs.twimg.com/profile_images/1301218599516868608/6D-rHy4X_normal.jpg</v>
      </c>
      <c r="W449" s="86">
        <v>44083.76042824074</v>
      </c>
      <c r="X449" s="90">
        <v>44083</v>
      </c>
      <c r="Y449" s="92" t="s">
        <v>889</v>
      </c>
      <c r="Z449" s="87" t="str">
        <f>HYPERLINK("https://twitter.com/bigdataconf/status/1303758824591904770")</f>
        <v>https://twitter.com/bigdataconf/status/1303758824591904770</v>
      </c>
      <c r="AA449" s="84"/>
      <c r="AB449" s="84"/>
      <c r="AC449" s="92" t="s">
        <v>1287</v>
      </c>
      <c r="AD449" s="84"/>
      <c r="AE449" s="84" t="b">
        <v>0</v>
      </c>
      <c r="AF449" s="84">
        <v>12</v>
      </c>
      <c r="AG449" s="92" t="s">
        <v>1453</v>
      </c>
      <c r="AH449" s="84" t="b">
        <v>0</v>
      </c>
      <c r="AI449" s="84" t="s">
        <v>1456</v>
      </c>
      <c r="AJ449" s="84"/>
      <c r="AK449" s="92" t="s">
        <v>1453</v>
      </c>
      <c r="AL449" s="84" t="b">
        <v>0</v>
      </c>
      <c r="AM449" s="84">
        <v>25</v>
      </c>
      <c r="AN449" s="92" t="s">
        <v>1453</v>
      </c>
      <c r="AO449" s="84" t="s">
        <v>1484</v>
      </c>
      <c r="AP449" s="84" t="b">
        <v>0</v>
      </c>
      <c r="AQ449" s="92" t="s">
        <v>1287</v>
      </c>
      <c r="AR449" s="84" t="s">
        <v>187</v>
      </c>
      <c r="AS449" s="84">
        <v>0</v>
      </c>
      <c r="AT449" s="84">
        <v>0</v>
      </c>
      <c r="AU449" s="84"/>
      <c r="AV449" s="84"/>
      <c r="AW449" s="84"/>
      <c r="AX449" s="84"/>
      <c r="AY449" s="84"/>
      <c r="AZ449" s="84"/>
      <c r="BA449" s="84"/>
      <c r="BB449" s="84"/>
      <c r="BC449">
        <v>4</v>
      </c>
      <c r="BD449" s="83" t="str">
        <f>REPLACE(INDEX(GroupVertices[Group],MATCH(Edges[[#This Row],[Vertex 1]],GroupVertices[Vertex],0)),1,1,"")</f>
        <v>3</v>
      </c>
      <c r="BE449" s="83" t="str">
        <f>REPLACE(INDEX(GroupVertices[Group],MATCH(Edges[[#This Row],[Vertex 2]],GroupVertices[Vertex],0)),1,1,"")</f>
        <v>3</v>
      </c>
      <c r="BF449" s="49">
        <v>0</v>
      </c>
      <c r="BG449" s="50">
        <v>0</v>
      </c>
      <c r="BH449" s="49">
        <v>0</v>
      </c>
      <c r="BI449" s="50">
        <v>0</v>
      </c>
      <c r="BJ449" s="49">
        <v>0</v>
      </c>
      <c r="BK449" s="50">
        <v>0</v>
      </c>
      <c r="BL449" s="49">
        <v>25</v>
      </c>
      <c r="BM449" s="50">
        <v>100</v>
      </c>
      <c r="BN449" s="49">
        <v>25</v>
      </c>
    </row>
    <row r="450" spans="1:66" ht="15">
      <c r="A450" s="68" t="s">
        <v>389</v>
      </c>
      <c r="B450" s="68" t="s">
        <v>389</v>
      </c>
      <c r="C450" s="69" t="s">
        <v>5210</v>
      </c>
      <c r="D450" s="70">
        <v>10</v>
      </c>
      <c r="E450" s="71" t="s">
        <v>132</v>
      </c>
      <c r="F450" s="72">
        <v>10</v>
      </c>
      <c r="G450" s="69" t="s">
        <v>51</v>
      </c>
      <c r="H450" s="73"/>
      <c r="I450" s="74"/>
      <c r="J450" s="74"/>
      <c r="K450" s="35" t="s">
        <v>65</v>
      </c>
      <c r="L450" s="82">
        <v>450</v>
      </c>
      <c r="M450" s="82"/>
      <c r="N450" s="76"/>
      <c r="O450" s="84" t="s">
        <v>187</v>
      </c>
      <c r="P450" s="86">
        <v>44085.65974537037</v>
      </c>
      <c r="Q450" s="84" t="s">
        <v>482</v>
      </c>
      <c r="R450" s="87" t="str">
        <f>HYPERLINK("http://www.globalbigdataconference.com/145761/big-datas-role-in-the-post-covid-era/industrynews-details.html")</f>
        <v>http://www.globalbigdataconference.com/145761/big-datas-role-in-the-post-covid-era/industrynews-details.html</v>
      </c>
      <c r="S450" s="84" t="s">
        <v>541</v>
      </c>
      <c r="T450" s="84" t="s">
        <v>601</v>
      </c>
      <c r="U450" s="84"/>
      <c r="V450" s="87" t="str">
        <f>HYPERLINK("http://pbs.twimg.com/profile_images/1301218599516868608/6D-rHy4X_normal.jpg")</f>
        <v>http://pbs.twimg.com/profile_images/1301218599516868608/6D-rHy4X_normal.jpg</v>
      </c>
      <c r="W450" s="86">
        <v>44085.65974537037</v>
      </c>
      <c r="X450" s="90">
        <v>44085</v>
      </c>
      <c r="Y450" s="92" t="s">
        <v>890</v>
      </c>
      <c r="Z450" s="87" t="str">
        <f>HYPERLINK("https://twitter.com/bigdataconf/status/1304447115301728256")</f>
        <v>https://twitter.com/bigdataconf/status/1304447115301728256</v>
      </c>
      <c r="AA450" s="84"/>
      <c r="AB450" s="84"/>
      <c r="AC450" s="92" t="s">
        <v>1288</v>
      </c>
      <c r="AD450" s="84"/>
      <c r="AE450" s="84" t="b">
        <v>0</v>
      </c>
      <c r="AF450" s="84">
        <v>15</v>
      </c>
      <c r="AG450" s="92" t="s">
        <v>1453</v>
      </c>
      <c r="AH450" s="84" t="b">
        <v>0</v>
      </c>
      <c r="AI450" s="84" t="s">
        <v>1456</v>
      </c>
      <c r="AJ450" s="84"/>
      <c r="AK450" s="92" t="s">
        <v>1453</v>
      </c>
      <c r="AL450" s="84" t="b">
        <v>0</v>
      </c>
      <c r="AM450" s="84">
        <v>22</v>
      </c>
      <c r="AN450" s="92" t="s">
        <v>1453</v>
      </c>
      <c r="AO450" s="84" t="s">
        <v>1484</v>
      </c>
      <c r="AP450" s="84" t="b">
        <v>0</v>
      </c>
      <c r="AQ450" s="92" t="s">
        <v>1288</v>
      </c>
      <c r="AR450" s="84" t="s">
        <v>187</v>
      </c>
      <c r="AS450" s="84">
        <v>0</v>
      </c>
      <c r="AT450" s="84">
        <v>0</v>
      </c>
      <c r="AU450" s="84"/>
      <c r="AV450" s="84"/>
      <c r="AW450" s="84"/>
      <c r="AX450" s="84"/>
      <c r="AY450" s="84"/>
      <c r="AZ450" s="84"/>
      <c r="BA450" s="84"/>
      <c r="BB450" s="84"/>
      <c r="BC450">
        <v>4</v>
      </c>
      <c r="BD450" s="83" t="str">
        <f>REPLACE(INDEX(GroupVertices[Group],MATCH(Edges[[#This Row],[Vertex 1]],GroupVertices[Vertex],0)),1,1,"")</f>
        <v>3</v>
      </c>
      <c r="BE450" s="83" t="str">
        <f>REPLACE(INDEX(GroupVertices[Group],MATCH(Edges[[#This Row],[Vertex 2]],GroupVertices[Vertex],0)),1,1,"")</f>
        <v>3</v>
      </c>
      <c r="BF450" s="49">
        <v>0</v>
      </c>
      <c r="BG450" s="50">
        <v>0</v>
      </c>
      <c r="BH450" s="49">
        <v>0</v>
      </c>
      <c r="BI450" s="50">
        <v>0</v>
      </c>
      <c r="BJ450" s="49">
        <v>0</v>
      </c>
      <c r="BK450" s="50">
        <v>0</v>
      </c>
      <c r="BL450" s="49">
        <v>28</v>
      </c>
      <c r="BM450" s="50">
        <v>100</v>
      </c>
      <c r="BN450" s="49">
        <v>28</v>
      </c>
    </row>
    <row r="451" spans="1:66" ht="15">
      <c r="A451" s="68" t="s">
        <v>389</v>
      </c>
      <c r="B451" s="68" t="s">
        <v>389</v>
      </c>
      <c r="C451" s="69" t="s">
        <v>5210</v>
      </c>
      <c r="D451" s="70">
        <v>10</v>
      </c>
      <c r="E451" s="71" t="s">
        <v>132</v>
      </c>
      <c r="F451" s="72">
        <v>10</v>
      </c>
      <c r="G451" s="69" t="s">
        <v>51</v>
      </c>
      <c r="H451" s="73"/>
      <c r="I451" s="74"/>
      <c r="J451" s="74"/>
      <c r="K451" s="35" t="s">
        <v>65</v>
      </c>
      <c r="L451" s="82">
        <v>451</v>
      </c>
      <c r="M451" s="82"/>
      <c r="N451" s="76"/>
      <c r="O451" s="84" t="s">
        <v>187</v>
      </c>
      <c r="P451" s="86">
        <v>44086.68770833333</v>
      </c>
      <c r="Q451" s="84" t="s">
        <v>487</v>
      </c>
      <c r="R451" s="87" t="str">
        <f>HYPERLINK("http://www.globalbigdataconference.com/news/145767/covid-19-made-your-data-set-worthless-now-what.html")</f>
        <v>http://www.globalbigdataconference.com/news/145767/covid-19-made-your-data-set-worthless-now-what.html</v>
      </c>
      <c r="S451" s="84" t="s">
        <v>541</v>
      </c>
      <c r="T451" s="84" t="s">
        <v>623</v>
      </c>
      <c r="U451" s="84"/>
      <c r="V451" s="87" t="str">
        <f>HYPERLINK("http://pbs.twimg.com/profile_images/1301218599516868608/6D-rHy4X_normal.jpg")</f>
        <v>http://pbs.twimg.com/profile_images/1301218599516868608/6D-rHy4X_normal.jpg</v>
      </c>
      <c r="W451" s="86">
        <v>44086.68770833333</v>
      </c>
      <c r="X451" s="90">
        <v>44086</v>
      </c>
      <c r="Y451" s="92" t="s">
        <v>891</v>
      </c>
      <c r="Z451" s="87" t="str">
        <f>HYPERLINK("https://twitter.com/bigdataconf/status/1304819635167125513")</f>
        <v>https://twitter.com/bigdataconf/status/1304819635167125513</v>
      </c>
      <c r="AA451" s="84"/>
      <c r="AB451" s="84"/>
      <c r="AC451" s="92" t="s">
        <v>1289</v>
      </c>
      <c r="AD451" s="84"/>
      <c r="AE451" s="84" t="b">
        <v>0</v>
      </c>
      <c r="AF451" s="84">
        <v>0</v>
      </c>
      <c r="AG451" s="92" t="s">
        <v>1453</v>
      </c>
      <c r="AH451" s="84" t="b">
        <v>0</v>
      </c>
      <c r="AI451" s="84" t="s">
        <v>1456</v>
      </c>
      <c r="AJ451" s="84"/>
      <c r="AK451" s="92" t="s">
        <v>1453</v>
      </c>
      <c r="AL451" s="84" t="b">
        <v>0</v>
      </c>
      <c r="AM451" s="84">
        <v>3</v>
      </c>
      <c r="AN451" s="92" t="s">
        <v>1453</v>
      </c>
      <c r="AO451" s="84" t="s">
        <v>1484</v>
      </c>
      <c r="AP451" s="84" t="b">
        <v>0</v>
      </c>
      <c r="AQ451" s="92" t="s">
        <v>1289</v>
      </c>
      <c r="AR451" s="84" t="s">
        <v>187</v>
      </c>
      <c r="AS451" s="84">
        <v>0</v>
      </c>
      <c r="AT451" s="84">
        <v>0</v>
      </c>
      <c r="AU451" s="84"/>
      <c r="AV451" s="84"/>
      <c r="AW451" s="84"/>
      <c r="AX451" s="84"/>
      <c r="AY451" s="84"/>
      <c r="AZ451" s="84"/>
      <c r="BA451" s="84"/>
      <c r="BB451" s="84"/>
      <c r="BC451">
        <v>4</v>
      </c>
      <c r="BD451" s="83" t="str">
        <f>REPLACE(INDEX(GroupVertices[Group],MATCH(Edges[[#This Row],[Vertex 1]],GroupVertices[Vertex],0)),1,1,"")</f>
        <v>3</v>
      </c>
      <c r="BE451" s="83" t="str">
        <f>REPLACE(INDEX(GroupVertices[Group],MATCH(Edges[[#This Row],[Vertex 2]],GroupVertices[Vertex],0)),1,1,"")</f>
        <v>3</v>
      </c>
      <c r="BF451" s="49">
        <v>0</v>
      </c>
      <c r="BG451" s="50">
        <v>0</v>
      </c>
      <c r="BH451" s="49">
        <v>0</v>
      </c>
      <c r="BI451" s="50">
        <v>0</v>
      </c>
      <c r="BJ451" s="49">
        <v>0</v>
      </c>
      <c r="BK451" s="50">
        <v>0</v>
      </c>
      <c r="BL451" s="49">
        <v>29</v>
      </c>
      <c r="BM451" s="50">
        <v>100</v>
      </c>
      <c r="BN451" s="49">
        <v>29</v>
      </c>
    </row>
    <row r="452" spans="1:66" ht="15">
      <c r="A452" s="68" t="s">
        <v>390</v>
      </c>
      <c r="B452" s="68" t="s">
        <v>389</v>
      </c>
      <c r="C452" s="69" t="s">
        <v>5208</v>
      </c>
      <c r="D452" s="70">
        <v>1</v>
      </c>
      <c r="E452" s="71" t="s">
        <v>132</v>
      </c>
      <c r="F452" s="72">
        <v>32</v>
      </c>
      <c r="G452" s="69" t="s">
        <v>51</v>
      </c>
      <c r="H452" s="73"/>
      <c r="I452" s="74"/>
      <c r="J452" s="74"/>
      <c r="K452" s="35" t="s">
        <v>65</v>
      </c>
      <c r="L452" s="82">
        <v>452</v>
      </c>
      <c r="M452" s="82"/>
      <c r="N452" s="76"/>
      <c r="O452" s="84" t="s">
        <v>439</v>
      </c>
      <c r="P452" s="86">
        <v>44085.694027777776</v>
      </c>
      <c r="Q452" s="84" t="s">
        <v>482</v>
      </c>
      <c r="R452" s="87" t="str">
        <f>HYPERLINK("http://www.globalbigdataconference.com/145761/big-datas-role-in-the-post-covid-era/industrynews-details.html")</f>
        <v>http://www.globalbigdataconference.com/145761/big-datas-role-in-the-post-covid-era/industrynews-details.html</v>
      </c>
      <c r="S452" s="84" t="s">
        <v>541</v>
      </c>
      <c r="T452" s="84" t="s">
        <v>598</v>
      </c>
      <c r="U452" s="84"/>
      <c r="V452" s="87" t="str">
        <f>HYPERLINK("http://pbs.twimg.com/profile_images/760774125522518016/jhzjWv0i_normal.jpg")</f>
        <v>http://pbs.twimg.com/profile_images/760774125522518016/jhzjWv0i_normal.jpg</v>
      </c>
      <c r="W452" s="86">
        <v>44085.694027777776</v>
      </c>
      <c r="X452" s="90">
        <v>44085</v>
      </c>
      <c r="Y452" s="92" t="s">
        <v>892</v>
      </c>
      <c r="Z452" s="87" t="str">
        <f>HYPERLINK("https://twitter.com/chidambara09/status/1304459538477662208")</f>
        <v>https://twitter.com/chidambara09/status/1304459538477662208</v>
      </c>
      <c r="AA452" s="84"/>
      <c r="AB452" s="84"/>
      <c r="AC452" s="92" t="s">
        <v>1290</v>
      </c>
      <c r="AD452" s="84"/>
      <c r="AE452" s="84" t="b">
        <v>0</v>
      </c>
      <c r="AF452" s="84">
        <v>0</v>
      </c>
      <c r="AG452" s="92" t="s">
        <v>1453</v>
      </c>
      <c r="AH452" s="84" t="b">
        <v>0</v>
      </c>
      <c r="AI452" s="84" t="s">
        <v>1456</v>
      </c>
      <c r="AJ452" s="84"/>
      <c r="AK452" s="92" t="s">
        <v>1453</v>
      </c>
      <c r="AL452" s="84" t="b">
        <v>0</v>
      </c>
      <c r="AM452" s="84">
        <v>22</v>
      </c>
      <c r="AN452" s="92" t="s">
        <v>1288</v>
      </c>
      <c r="AO452" s="84" t="s">
        <v>1465</v>
      </c>
      <c r="AP452" s="84" t="b">
        <v>0</v>
      </c>
      <c r="AQ452" s="92" t="s">
        <v>1288</v>
      </c>
      <c r="AR452" s="84" t="s">
        <v>187</v>
      </c>
      <c r="AS452" s="84">
        <v>0</v>
      </c>
      <c r="AT452" s="84">
        <v>0</v>
      </c>
      <c r="AU452" s="84"/>
      <c r="AV452" s="84"/>
      <c r="AW452" s="84"/>
      <c r="AX452" s="84"/>
      <c r="AY452" s="84"/>
      <c r="AZ452" s="84"/>
      <c r="BA452" s="84"/>
      <c r="BB452" s="84"/>
      <c r="BC452">
        <v>1</v>
      </c>
      <c r="BD452" s="83" t="str">
        <f>REPLACE(INDEX(GroupVertices[Group],MATCH(Edges[[#This Row],[Vertex 1]],GroupVertices[Vertex],0)),1,1,"")</f>
        <v>1</v>
      </c>
      <c r="BE452" s="83" t="str">
        <f>REPLACE(INDEX(GroupVertices[Group],MATCH(Edges[[#This Row],[Vertex 2]],GroupVertices[Vertex],0)),1,1,"")</f>
        <v>3</v>
      </c>
      <c r="BF452" s="49">
        <v>0</v>
      </c>
      <c r="BG452" s="50">
        <v>0</v>
      </c>
      <c r="BH452" s="49">
        <v>0</v>
      </c>
      <c r="BI452" s="50">
        <v>0</v>
      </c>
      <c r="BJ452" s="49">
        <v>0</v>
      </c>
      <c r="BK452" s="50">
        <v>0</v>
      </c>
      <c r="BL452" s="49">
        <v>28</v>
      </c>
      <c r="BM452" s="50">
        <v>100</v>
      </c>
      <c r="BN452" s="49">
        <v>28</v>
      </c>
    </row>
    <row r="453" spans="1:66" ht="15">
      <c r="A453" s="68" t="s">
        <v>391</v>
      </c>
      <c r="B453" s="68" t="s">
        <v>389</v>
      </c>
      <c r="C453" s="69" t="s">
        <v>5208</v>
      </c>
      <c r="D453" s="70">
        <v>1</v>
      </c>
      <c r="E453" s="71" t="s">
        <v>132</v>
      </c>
      <c r="F453" s="72">
        <v>32</v>
      </c>
      <c r="G453" s="69" t="s">
        <v>51</v>
      </c>
      <c r="H453" s="73"/>
      <c r="I453" s="74"/>
      <c r="J453" s="74"/>
      <c r="K453" s="35" t="s">
        <v>65</v>
      </c>
      <c r="L453" s="82">
        <v>453</v>
      </c>
      <c r="M453" s="82"/>
      <c r="N453" s="76"/>
      <c r="O453" s="84" t="s">
        <v>439</v>
      </c>
      <c r="P453" s="86">
        <v>44085.65997685185</v>
      </c>
      <c r="Q453" s="84" t="s">
        <v>482</v>
      </c>
      <c r="R453" s="87" t="str">
        <f>HYPERLINK("http://www.globalbigdataconference.com/145761/big-datas-role-in-the-post-covid-era/industrynews-details.html")</f>
        <v>http://www.globalbigdataconference.com/145761/big-datas-role-in-the-post-covid-era/industrynews-details.html</v>
      </c>
      <c r="S453" s="84" t="s">
        <v>541</v>
      </c>
      <c r="T453" s="84" t="s">
        <v>598</v>
      </c>
      <c r="U453" s="84"/>
      <c r="V453" s="87" t="str">
        <f>HYPERLINK("http://pbs.twimg.com/profile_images/1138114915619749888/1e0u-1mE_normal.png")</f>
        <v>http://pbs.twimg.com/profile_images/1138114915619749888/1e0u-1mE_normal.png</v>
      </c>
      <c r="W453" s="86">
        <v>44085.65997685185</v>
      </c>
      <c r="X453" s="90">
        <v>44085</v>
      </c>
      <c r="Y453" s="92" t="s">
        <v>893</v>
      </c>
      <c r="Z453" s="87" t="str">
        <f>HYPERLINK("https://twitter.com/andrewmorrisuk/status/1304447198655115268")</f>
        <v>https://twitter.com/andrewmorrisuk/status/1304447198655115268</v>
      </c>
      <c r="AA453" s="84"/>
      <c r="AB453" s="84"/>
      <c r="AC453" s="92" t="s">
        <v>1291</v>
      </c>
      <c r="AD453" s="84"/>
      <c r="AE453" s="84" t="b">
        <v>0</v>
      </c>
      <c r="AF453" s="84">
        <v>0</v>
      </c>
      <c r="AG453" s="92" t="s">
        <v>1453</v>
      </c>
      <c r="AH453" s="84" t="b">
        <v>0</v>
      </c>
      <c r="AI453" s="84" t="s">
        <v>1456</v>
      </c>
      <c r="AJ453" s="84"/>
      <c r="AK453" s="92" t="s">
        <v>1453</v>
      </c>
      <c r="AL453" s="84" t="b">
        <v>0</v>
      </c>
      <c r="AM453" s="84">
        <v>22</v>
      </c>
      <c r="AN453" s="92" t="s">
        <v>1288</v>
      </c>
      <c r="AO453" s="84" t="s">
        <v>1518</v>
      </c>
      <c r="AP453" s="84" t="b">
        <v>0</v>
      </c>
      <c r="AQ453" s="92" t="s">
        <v>1288</v>
      </c>
      <c r="AR453" s="84" t="s">
        <v>187</v>
      </c>
      <c r="AS453" s="84">
        <v>0</v>
      </c>
      <c r="AT453" s="84">
        <v>0</v>
      </c>
      <c r="AU453" s="84"/>
      <c r="AV453" s="84"/>
      <c r="AW453" s="84"/>
      <c r="AX453" s="84"/>
      <c r="AY453" s="84"/>
      <c r="AZ453" s="84"/>
      <c r="BA453" s="84"/>
      <c r="BB453" s="84"/>
      <c r="BC453">
        <v>1</v>
      </c>
      <c r="BD453" s="83" t="str">
        <f>REPLACE(INDEX(GroupVertices[Group],MATCH(Edges[[#This Row],[Vertex 1]],GroupVertices[Vertex],0)),1,1,"")</f>
        <v>1</v>
      </c>
      <c r="BE453" s="83" t="str">
        <f>REPLACE(INDEX(GroupVertices[Group],MATCH(Edges[[#This Row],[Vertex 2]],GroupVertices[Vertex],0)),1,1,"")</f>
        <v>3</v>
      </c>
      <c r="BF453" s="49">
        <v>0</v>
      </c>
      <c r="BG453" s="50">
        <v>0</v>
      </c>
      <c r="BH453" s="49">
        <v>0</v>
      </c>
      <c r="BI453" s="50">
        <v>0</v>
      </c>
      <c r="BJ453" s="49">
        <v>0</v>
      </c>
      <c r="BK453" s="50">
        <v>0</v>
      </c>
      <c r="BL453" s="49">
        <v>28</v>
      </c>
      <c r="BM453" s="50">
        <v>100</v>
      </c>
      <c r="BN453" s="49">
        <v>28</v>
      </c>
    </row>
    <row r="454" spans="1:66" ht="15">
      <c r="A454" s="68" t="s">
        <v>391</v>
      </c>
      <c r="B454" s="68" t="s">
        <v>436</v>
      </c>
      <c r="C454" s="69" t="s">
        <v>5208</v>
      </c>
      <c r="D454" s="70">
        <v>1</v>
      </c>
      <c r="E454" s="71" t="s">
        <v>132</v>
      </c>
      <c r="F454" s="72">
        <v>32</v>
      </c>
      <c r="G454" s="69" t="s">
        <v>51</v>
      </c>
      <c r="H454" s="73"/>
      <c r="I454" s="74"/>
      <c r="J454" s="74"/>
      <c r="K454" s="35" t="s">
        <v>65</v>
      </c>
      <c r="L454" s="82">
        <v>454</v>
      </c>
      <c r="M454" s="82"/>
      <c r="N454" s="76"/>
      <c r="O454" s="84" t="s">
        <v>440</v>
      </c>
      <c r="P454" s="86">
        <v>44088.72222222222</v>
      </c>
      <c r="Q454" s="84" t="s">
        <v>490</v>
      </c>
      <c r="R454" s="87" t="str">
        <f>HYPERLINK("https://online-learning.harvard.edu/catalog")</f>
        <v>https://online-learning.harvard.edu/catalog</v>
      </c>
      <c r="S454" s="84" t="s">
        <v>551</v>
      </c>
      <c r="T454" s="84" t="s">
        <v>606</v>
      </c>
      <c r="U454" s="84"/>
      <c r="V454" s="87" t="str">
        <f>HYPERLINK("http://pbs.twimg.com/profile_images/1138114915619749888/1e0u-1mE_normal.png")</f>
        <v>http://pbs.twimg.com/profile_images/1138114915619749888/1e0u-1mE_normal.png</v>
      </c>
      <c r="W454" s="86">
        <v>44088.72222222222</v>
      </c>
      <c r="X454" s="90">
        <v>44088</v>
      </c>
      <c r="Y454" s="92" t="s">
        <v>894</v>
      </c>
      <c r="Z454" s="87" t="str">
        <f>HYPERLINK("https://twitter.com/andrewmorrisuk/status/1305556920229658631")</f>
        <v>https://twitter.com/andrewmorrisuk/status/1305556920229658631</v>
      </c>
      <c r="AA454" s="84"/>
      <c r="AB454" s="84"/>
      <c r="AC454" s="92" t="s">
        <v>1292</v>
      </c>
      <c r="AD454" s="84"/>
      <c r="AE454" s="84" t="b">
        <v>0</v>
      </c>
      <c r="AF454" s="84">
        <v>0</v>
      </c>
      <c r="AG454" s="92" t="s">
        <v>1453</v>
      </c>
      <c r="AH454" s="84" t="b">
        <v>0</v>
      </c>
      <c r="AI454" s="84" t="s">
        <v>1456</v>
      </c>
      <c r="AJ454" s="84"/>
      <c r="AK454" s="92" t="s">
        <v>1453</v>
      </c>
      <c r="AL454" s="84" t="b">
        <v>0</v>
      </c>
      <c r="AM454" s="84">
        <v>449</v>
      </c>
      <c r="AN454" s="92" t="s">
        <v>1406</v>
      </c>
      <c r="AO454" s="84" t="s">
        <v>1518</v>
      </c>
      <c r="AP454" s="84" t="b">
        <v>0</v>
      </c>
      <c r="AQ454" s="92" t="s">
        <v>1406</v>
      </c>
      <c r="AR454" s="84" t="s">
        <v>187</v>
      </c>
      <c r="AS454" s="84">
        <v>0</v>
      </c>
      <c r="AT454" s="84">
        <v>0</v>
      </c>
      <c r="AU454" s="84"/>
      <c r="AV454" s="84"/>
      <c r="AW454" s="84"/>
      <c r="AX454" s="84"/>
      <c r="AY454" s="84"/>
      <c r="AZ454" s="84"/>
      <c r="BA454" s="84"/>
      <c r="BB454" s="84"/>
      <c r="BC454">
        <v>1</v>
      </c>
      <c r="BD454" s="83" t="str">
        <f>REPLACE(INDEX(GroupVertices[Group],MATCH(Edges[[#This Row],[Vertex 1]],GroupVertices[Vertex],0)),1,1,"")</f>
        <v>1</v>
      </c>
      <c r="BE454" s="83" t="str">
        <f>REPLACE(INDEX(GroupVertices[Group],MATCH(Edges[[#This Row],[Vertex 2]],GroupVertices[Vertex],0)),1,1,"")</f>
        <v>1</v>
      </c>
      <c r="BF454" s="49"/>
      <c r="BG454" s="50"/>
      <c r="BH454" s="49"/>
      <c r="BI454" s="50"/>
      <c r="BJ454" s="49"/>
      <c r="BK454" s="50"/>
      <c r="BL454" s="49"/>
      <c r="BM454" s="50"/>
      <c r="BN454" s="49"/>
    </row>
    <row r="455" spans="1:66" ht="15">
      <c r="A455" s="68" t="s">
        <v>391</v>
      </c>
      <c r="B455" s="68" t="s">
        <v>418</v>
      </c>
      <c r="C455" s="69" t="s">
        <v>5208</v>
      </c>
      <c r="D455" s="70">
        <v>1</v>
      </c>
      <c r="E455" s="71" t="s">
        <v>132</v>
      </c>
      <c r="F455" s="72">
        <v>32</v>
      </c>
      <c r="G455" s="69" t="s">
        <v>51</v>
      </c>
      <c r="H455" s="73"/>
      <c r="I455" s="74"/>
      <c r="J455" s="74"/>
      <c r="K455" s="35" t="s">
        <v>65</v>
      </c>
      <c r="L455" s="82">
        <v>455</v>
      </c>
      <c r="M455" s="82"/>
      <c r="N455" s="76"/>
      <c r="O455" s="84" t="s">
        <v>439</v>
      </c>
      <c r="P455" s="86">
        <v>44088.72222222222</v>
      </c>
      <c r="Q455" s="84" t="s">
        <v>490</v>
      </c>
      <c r="R455" s="87" t="str">
        <f>HYPERLINK("https://online-learning.harvard.edu/catalog")</f>
        <v>https://online-learning.harvard.edu/catalog</v>
      </c>
      <c r="S455" s="84" t="s">
        <v>551</v>
      </c>
      <c r="T455" s="84" t="s">
        <v>606</v>
      </c>
      <c r="U455" s="84"/>
      <c r="V455" s="87" t="str">
        <f>HYPERLINK("http://pbs.twimg.com/profile_images/1138114915619749888/1e0u-1mE_normal.png")</f>
        <v>http://pbs.twimg.com/profile_images/1138114915619749888/1e0u-1mE_normal.png</v>
      </c>
      <c r="W455" s="86">
        <v>44088.72222222222</v>
      </c>
      <c r="X455" s="90">
        <v>44088</v>
      </c>
      <c r="Y455" s="92" t="s">
        <v>894</v>
      </c>
      <c r="Z455" s="87" t="str">
        <f>HYPERLINK("https://twitter.com/andrewmorrisuk/status/1305556920229658631")</f>
        <v>https://twitter.com/andrewmorrisuk/status/1305556920229658631</v>
      </c>
      <c r="AA455" s="84"/>
      <c r="AB455" s="84"/>
      <c r="AC455" s="92" t="s">
        <v>1292</v>
      </c>
      <c r="AD455" s="84"/>
      <c r="AE455" s="84" t="b">
        <v>0</v>
      </c>
      <c r="AF455" s="84">
        <v>0</v>
      </c>
      <c r="AG455" s="92" t="s">
        <v>1453</v>
      </c>
      <c r="AH455" s="84" t="b">
        <v>0</v>
      </c>
      <c r="AI455" s="84" t="s">
        <v>1456</v>
      </c>
      <c r="AJ455" s="84"/>
      <c r="AK455" s="92" t="s">
        <v>1453</v>
      </c>
      <c r="AL455" s="84" t="b">
        <v>0</v>
      </c>
      <c r="AM455" s="84">
        <v>449</v>
      </c>
      <c r="AN455" s="92" t="s">
        <v>1406</v>
      </c>
      <c r="AO455" s="84" t="s">
        <v>1518</v>
      </c>
      <c r="AP455" s="84" t="b">
        <v>0</v>
      </c>
      <c r="AQ455" s="92" t="s">
        <v>1406</v>
      </c>
      <c r="AR455" s="84" t="s">
        <v>187</v>
      </c>
      <c r="AS455" s="84">
        <v>0</v>
      </c>
      <c r="AT455" s="84">
        <v>0</v>
      </c>
      <c r="AU455" s="84"/>
      <c r="AV455" s="84"/>
      <c r="AW455" s="84"/>
      <c r="AX455" s="84"/>
      <c r="AY455" s="84"/>
      <c r="AZ455" s="84"/>
      <c r="BA455" s="84"/>
      <c r="BB455" s="84"/>
      <c r="BC455">
        <v>1</v>
      </c>
      <c r="BD455" s="83" t="str">
        <f>REPLACE(INDEX(GroupVertices[Group],MATCH(Edges[[#This Row],[Vertex 1]],GroupVertices[Vertex],0)),1,1,"")</f>
        <v>1</v>
      </c>
      <c r="BE455" s="83" t="str">
        <f>REPLACE(INDEX(GroupVertices[Group],MATCH(Edges[[#This Row],[Vertex 2]],GroupVertices[Vertex],0)),1,1,"")</f>
        <v>1</v>
      </c>
      <c r="BF455" s="49">
        <v>0</v>
      </c>
      <c r="BG455" s="50">
        <v>0</v>
      </c>
      <c r="BH455" s="49">
        <v>0</v>
      </c>
      <c r="BI455" s="50">
        <v>0</v>
      </c>
      <c r="BJ455" s="49">
        <v>0</v>
      </c>
      <c r="BK455" s="50">
        <v>0</v>
      </c>
      <c r="BL455" s="49">
        <v>25</v>
      </c>
      <c r="BM455" s="50">
        <v>100</v>
      </c>
      <c r="BN455" s="49">
        <v>25</v>
      </c>
    </row>
    <row r="456" spans="1:66" ht="15">
      <c r="A456" s="68" t="s">
        <v>392</v>
      </c>
      <c r="B456" s="68" t="s">
        <v>392</v>
      </c>
      <c r="C456" s="69" t="s">
        <v>5208</v>
      </c>
      <c r="D456" s="70">
        <v>1</v>
      </c>
      <c r="E456" s="71" t="s">
        <v>132</v>
      </c>
      <c r="F456" s="72">
        <v>32</v>
      </c>
      <c r="G456" s="69" t="s">
        <v>51</v>
      </c>
      <c r="H456" s="73"/>
      <c r="I456" s="74"/>
      <c r="J456" s="74"/>
      <c r="K456" s="35" t="s">
        <v>65</v>
      </c>
      <c r="L456" s="82">
        <v>456</v>
      </c>
      <c r="M456" s="82"/>
      <c r="N456" s="76"/>
      <c r="O456" s="84" t="s">
        <v>187</v>
      </c>
      <c r="P456" s="86">
        <v>44082.51142361111</v>
      </c>
      <c r="Q456" s="84" t="s">
        <v>456</v>
      </c>
      <c r="R456" s="87" t="str">
        <f>HYPERLINK("https://www.ituneed.com/post/working-from-home-top-5-cybersecurity-threats-businesses-should-be-aware-of-during-covid-19")</f>
        <v>https://www.ituneed.com/post/working-from-home-top-5-cybersecurity-threats-businesses-should-be-aware-of-during-covid-19</v>
      </c>
      <c r="S456" s="84" t="s">
        <v>538</v>
      </c>
      <c r="T456" s="84" t="s">
        <v>624</v>
      </c>
      <c r="U456" s="87" t="str">
        <f>HYPERLINK("https://pbs.twimg.com/media/EhZGFTvXYAAT_YE.jpg")</f>
        <v>https://pbs.twimg.com/media/EhZGFTvXYAAT_YE.jpg</v>
      </c>
      <c r="V456" s="87" t="str">
        <f>HYPERLINK("https://pbs.twimg.com/media/EhZGFTvXYAAT_YE.jpg")</f>
        <v>https://pbs.twimg.com/media/EhZGFTvXYAAT_YE.jpg</v>
      </c>
      <c r="W456" s="86">
        <v>44082.51142361111</v>
      </c>
      <c r="X456" s="90">
        <v>44082</v>
      </c>
      <c r="Y456" s="92" t="s">
        <v>895</v>
      </c>
      <c r="Z456" s="87" t="str">
        <f>HYPERLINK("https://twitter.com/ituneed/status/1303306201929834496")</f>
        <v>https://twitter.com/ituneed/status/1303306201929834496</v>
      </c>
      <c r="AA456" s="84"/>
      <c r="AB456" s="84"/>
      <c r="AC456" s="92" t="s">
        <v>1293</v>
      </c>
      <c r="AD456" s="84"/>
      <c r="AE456" s="84" t="b">
        <v>0</v>
      </c>
      <c r="AF456" s="84">
        <v>1</v>
      </c>
      <c r="AG456" s="92" t="s">
        <v>1453</v>
      </c>
      <c r="AH456" s="84" t="b">
        <v>0</v>
      </c>
      <c r="AI456" s="84" t="s">
        <v>1456</v>
      </c>
      <c r="AJ456" s="84"/>
      <c r="AK456" s="92" t="s">
        <v>1453</v>
      </c>
      <c r="AL456" s="84" t="b">
        <v>0</v>
      </c>
      <c r="AM456" s="84">
        <v>10</v>
      </c>
      <c r="AN456" s="92" t="s">
        <v>1453</v>
      </c>
      <c r="AO456" s="84" t="s">
        <v>1467</v>
      </c>
      <c r="AP456" s="84" t="b">
        <v>0</v>
      </c>
      <c r="AQ456" s="92" t="s">
        <v>1293</v>
      </c>
      <c r="AR456" s="84" t="s">
        <v>187</v>
      </c>
      <c r="AS456" s="84">
        <v>0</v>
      </c>
      <c r="AT456" s="84">
        <v>0</v>
      </c>
      <c r="AU456" s="84"/>
      <c r="AV456" s="84"/>
      <c r="AW456" s="84"/>
      <c r="AX456" s="84"/>
      <c r="AY456" s="84"/>
      <c r="AZ456" s="84"/>
      <c r="BA456" s="84"/>
      <c r="BB456" s="84"/>
      <c r="BC456">
        <v>1</v>
      </c>
      <c r="BD456" s="83" t="str">
        <f>REPLACE(INDEX(GroupVertices[Group],MATCH(Edges[[#This Row],[Vertex 1]],GroupVertices[Vertex],0)),1,1,"")</f>
        <v>2</v>
      </c>
      <c r="BE456" s="83" t="str">
        <f>REPLACE(INDEX(GroupVertices[Group],MATCH(Edges[[#This Row],[Vertex 2]],GroupVertices[Vertex],0)),1,1,"")</f>
        <v>2</v>
      </c>
      <c r="BF456" s="49">
        <v>0</v>
      </c>
      <c r="BG456" s="50">
        <v>0</v>
      </c>
      <c r="BH456" s="49">
        <v>0</v>
      </c>
      <c r="BI456" s="50">
        <v>0</v>
      </c>
      <c r="BJ456" s="49">
        <v>0</v>
      </c>
      <c r="BK456" s="50">
        <v>0</v>
      </c>
      <c r="BL456" s="49">
        <v>30</v>
      </c>
      <c r="BM456" s="50">
        <v>100</v>
      </c>
      <c r="BN456" s="49">
        <v>30</v>
      </c>
    </row>
    <row r="457" spans="1:66" ht="15">
      <c r="A457" s="68" t="s">
        <v>393</v>
      </c>
      <c r="B457" s="68" t="s">
        <v>392</v>
      </c>
      <c r="C457" s="69" t="s">
        <v>5208</v>
      </c>
      <c r="D457" s="70">
        <v>1</v>
      </c>
      <c r="E457" s="71" t="s">
        <v>132</v>
      </c>
      <c r="F457" s="72">
        <v>32</v>
      </c>
      <c r="G457" s="69" t="s">
        <v>51</v>
      </c>
      <c r="H457" s="73"/>
      <c r="I457" s="74"/>
      <c r="J457" s="74"/>
      <c r="K457" s="35" t="s">
        <v>65</v>
      </c>
      <c r="L457" s="82">
        <v>457</v>
      </c>
      <c r="M457" s="82"/>
      <c r="N457" s="76"/>
      <c r="O457" s="84" t="s">
        <v>439</v>
      </c>
      <c r="P457" s="86">
        <v>44082.51200231481</v>
      </c>
      <c r="Q457" s="84" t="s">
        <v>456</v>
      </c>
      <c r="R457" s="87" t="str">
        <f>HYPERLINK("https://www.ituneed.com/post/working-from-home-top-5-cybersecurity-threats-businesses-should-be-aware-of-during-covid-19")</f>
        <v>https://www.ituneed.com/post/working-from-home-top-5-cybersecurity-threats-businesses-should-be-aware-of-during-covid-19</v>
      </c>
      <c r="S457" s="84" t="s">
        <v>538</v>
      </c>
      <c r="T457" s="84" t="s">
        <v>575</v>
      </c>
      <c r="U457" s="87" t="str">
        <f>HYPERLINK("https://pbs.twimg.com/media/EhZGFTvXYAAT_YE.jpg")</f>
        <v>https://pbs.twimg.com/media/EhZGFTvXYAAT_YE.jpg</v>
      </c>
      <c r="V457" s="87" t="str">
        <f>HYPERLINK("https://pbs.twimg.com/media/EhZGFTvXYAAT_YE.jpg")</f>
        <v>https://pbs.twimg.com/media/EhZGFTvXYAAT_YE.jpg</v>
      </c>
      <c r="W457" s="86">
        <v>44082.51200231481</v>
      </c>
      <c r="X457" s="90">
        <v>44082</v>
      </c>
      <c r="Y457" s="92" t="s">
        <v>896</v>
      </c>
      <c r="Z457" s="87" t="str">
        <f>HYPERLINK("https://twitter.com/llnuxbot/status/1303306410885750784")</f>
        <v>https://twitter.com/llnuxbot/status/1303306410885750784</v>
      </c>
      <c r="AA457" s="84"/>
      <c r="AB457" s="84"/>
      <c r="AC457" s="92" t="s">
        <v>1294</v>
      </c>
      <c r="AD457" s="84"/>
      <c r="AE457" s="84" t="b">
        <v>0</v>
      </c>
      <c r="AF457" s="84">
        <v>0</v>
      </c>
      <c r="AG457" s="92" t="s">
        <v>1453</v>
      </c>
      <c r="AH457" s="84" t="b">
        <v>0</v>
      </c>
      <c r="AI457" s="84" t="s">
        <v>1456</v>
      </c>
      <c r="AJ457" s="84"/>
      <c r="AK457" s="92" t="s">
        <v>1453</v>
      </c>
      <c r="AL457" s="84" t="b">
        <v>0</v>
      </c>
      <c r="AM457" s="84">
        <v>10</v>
      </c>
      <c r="AN457" s="92" t="s">
        <v>1293</v>
      </c>
      <c r="AO457" s="84" t="s">
        <v>1519</v>
      </c>
      <c r="AP457" s="84" t="b">
        <v>0</v>
      </c>
      <c r="AQ457" s="92" t="s">
        <v>1293</v>
      </c>
      <c r="AR457" s="84" t="s">
        <v>187</v>
      </c>
      <c r="AS457" s="84">
        <v>0</v>
      </c>
      <c r="AT457" s="84">
        <v>0</v>
      </c>
      <c r="AU457" s="84"/>
      <c r="AV457" s="84"/>
      <c r="AW457" s="84"/>
      <c r="AX457" s="84"/>
      <c r="AY457" s="84"/>
      <c r="AZ457" s="84"/>
      <c r="BA457" s="84"/>
      <c r="BB457" s="84"/>
      <c r="BC457">
        <v>1</v>
      </c>
      <c r="BD457" s="83" t="str">
        <f>REPLACE(INDEX(GroupVertices[Group],MATCH(Edges[[#This Row],[Vertex 1]],GroupVertices[Vertex],0)),1,1,"")</f>
        <v>1</v>
      </c>
      <c r="BE457" s="83" t="str">
        <f>REPLACE(INDEX(GroupVertices[Group],MATCH(Edges[[#This Row],[Vertex 2]],GroupVertices[Vertex],0)),1,1,"")</f>
        <v>2</v>
      </c>
      <c r="BF457" s="49">
        <v>0</v>
      </c>
      <c r="BG457" s="50">
        <v>0</v>
      </c>
      <c r="BH457" s="49">
        <v>0</v>
      </c>
      <c r="BI457" s="50">
        <v>0</v>
      </c>
      <c r="BJ457" s="49">
        <v>0</v>
      </c>
      <c r="BK457" s="50">
        <v>0</v>
      </c>
      <c r="BL457" s="49">
        <v>30</v>
      </c>
      <c r="BM457" s="50">
        <v>100</v>
      </c>
      <c r="BN457" s="49">
        <v>30</v>
      </c>
    </row>
    <row r="458" spans="1:66" ht="15">
      <c r="A458" s="68" t="s">
        <v>393</v>
      </c>
      <c r="B458" s="68" t="s">
        <v>415</v>
      </c>
      <c r="C458" s="69" t="s">
        <v>5208</v>
      </c>
      <c r="D458" s="70">
        <v>1</v>
      </c>
      <c r="E458" s="71" t="s">
        <v>132</v>
      </c>
      <c r="F458" s="72">
        <v>32</v>
      </c>
      <c r="G458" s="69" t="s">
        <v>51</v>
      </c>
      <c r="H458" s="73"/>
      <c r="I458" s="74"/>
      <c r="J458" s="74"/>
      <c r="K458" s="35" t="s">
        <v>65</v>
      </c>
      <c r="L458" s="82">
        <v>458</v>
      </c>
      <c r="M458" s="82"/>
      <c r="N458" s="76"/>
      <c r="O458" s="84" t="s">
        <v>439</v>
      </c>
      <c r="P458" s="86">
        <v>44081.17851851852</v>
      </c>
      <c r="Q458" s="84" t="s">
        <v>444</v>
      </c>
      <c r="R458" s="87" t="str">
        <f>HYPERLINK("https://arxiv.org/abs/2009.01657")</f>
        <v>https://arxiv.org/abs/2009.01657</v>
      </c>
      <c r="S458" s="84" t="s">
        <v>529</v>
      </c>
      <c r="T458" s="84" t="s">
        <v>564</v>
      </c>
      <c r="U458" s="87" t="str">
        <f>HYPERLINK("https://pbs.twimg.com/media/EhJrGbiU0AA-1dk.jpg")</f>
        <v>https://pbs.twimg.com/media/EhJrGbiU0AA-1dk.jpg</v>
      </c>
      <c r="V458" s="87" t="str">
        <f>HYPERLINK("https://pbs.twimg.com/media/EhJrGbiU0AA-1dk.jpg")</f>
        <v>https://pbs.twimg.com/media/EhJrGbiU0AA-1dk.jpg</v>
      </c>
      <c r="W458" s="86">
        <v>44081.17851851852</v>
      </c>
      <c r="X458" s="90">
        <v>44081</v>
      </c>
      <c r="Y458" s="92" t="s">
        <v>897</v>
      </c>
      <c r="Z458" s="87" t="str">
        <f>HYPERLINK("https://twitter.com/llnuxbot/status/1302823173633667073")</f>
        <v>https://twitter.com/llnuxbot/status/1302823173633667073</v>
      </c>
      <c r="AA458" s="84"/>
      <c r="AB458" s="84"/>
      <c r="AC458" s="92" t="s">
        <v>1295</v>
      </c>
      <c r="AD458" s="84"/>
      <c r="AE458" s="84" t="b">
        <v>0</v>
      </c>
      <c r="AF458" s="84">
        <v>0</v>
      </c>
      <c r="AG458" s="92" t="s">
        <v>1453</v>
      </c>
      <c r="AH458" s="84" t="b">
        <v>0</v>
      </c>
      <c r="AI458" s="84" t="s">
        <v>1456</v>
      </c>
      <c r="AJ458" s="84"/>
      <c r="AK458" s="92" t="s">
        <v>1453</v>
      </c>
      <c r="AL458" s="84" t="b">
        <v>0</v>
      </c>
      <c r="AM458" s="84">
        <v>66</v>
      </c>
      <c r="AN458" s="92" t="s">
        <v>1393</v>
      </c>
      <c r="AO458" s="84" t="s">
        <v>1519</v>
      </c>
      <c r="AP458" s="84" t="b">
        <v>0</v>
      </c>
      <c r="AQ458" s="92" t="s">
        <v>1393</v>
      </c>
      <c r="AR458" s="84" t="s">
        <v>187</v>
      </c>
      <c r="AS458" s="84">
        <v>0</v>
      </c>
      <c r="AT458" s="84">
        <v>0</v>
      </c>
      <c r="AU458" s="84"/>
      <c r="AV458" s="84"/>
      <c r="AW458" s="84"/>
      <c r="AX458" s="84"/>
      <c r="AY458" s="84"/>
      <c r="AZ458" s="84"/>
      <c r="BA458" s="84"/>
      <c r="BB458" s="84"/>
      <c r="BC458">
        <v>1</v>
      </c>
      <c r="BD458" s="83" t="str">
        <f>REPLACE(INDEX(GroupVertices[Group],MATCH(Edges[[#This Row],[Vertex 1]],GroupVertices[Vertex],0)),1,1,"")</f>
        <v>1</v>
      </c>
      <c r="BE458" s="83" t="str">
        <f>REPLACE(INDEX(GroupVertices[Group],MATCH(Edges[[#This Row],[Vertex 2]],GroupVertices[Vertex],0)),1,1,"")</f>
        <v>9</v>
      </c>
      <c r="BF458" s="49">
        <v>0</v>
      </c>
      <c r="BG458" s="50">
        <v>0</v>
      </c>
      <c r="BH458" s="49">
        <v>0</v>
      </c>
      <c r="BI458" s="50">
        <v>0</v>
      </c>
      <c r="BJ458" s="49">
        <v>0</v>
      </c>
      <c r="BK458" s="50">
        <v>0</v>
      </c>
      <c r="BL458" s="49">
        <v>30</v>
      </c>
      <c r="BM458" s="50">
        <v>100</v>
      </c>
      <c r="BN458" s="49">
        <v>30</v>
      </c>
    </row>
    <row r="459" spans="1:66" ht="15">
      <c r="A459" s="68" t="s">
        <v>393</v>
      </c>
      <c r="B459" s="68" t="s">
        <v>423</v>
      </c>
      <c r="C459" s="69" t="s">
        <v>5210</v>
      </c>
      <c r="D459" s="70">
        <v>10</v>
      </c>
      <c r="E459" s="71" t="s">
        <v>136</v>
      </c>
      <c r="F459" s="72">
        <v>10</v>
      </c>
      <c r="G459" s="69" t="s">
        <v>51</v>
      </c>
      <c r="H459" s="73"/>
      <c r="I459" s="74"/>
      <c r="J459" s="74"/>
      <c r="K459" s="35" t="s">
        <v>65</v>
      </c>
      <c r="L459" s="82">
        <v>459</v>
      </c>
      <c r="M459" s="82"/>
      <c r="N459" s="76"/>
      <c r="O459" s="84" t="s">
        <v>439</v>
      </c>
      <c r="P459" s="86">
        <v>44081.62541666667</v>
      </c>
      <c r="Q459" s="84" t="s">
        <v>457</v>
      </c>
      <c r="R459" s="84"/>
      <c r="S459" s="84"/>
      <c r="T459" s="84" t="s">
        <v>576</v>
      </c>
      <c r="U459" s="87" t="str">
        <f>HYPERLINK("https://pbs.twimg.com/media/Eg6GGrgXgAIxG2X.jpg")</f>
        <v>https://pbs.twimg.com/media/Eg6GGrgXgAIxG2X.jpg</v>
      </c>
      <c r="V459" s="87" t="str">
        <f>HYPERLINK("https://pbs.twimg.com/media/Eg6GGrgXgAIxG2X.jpg")</f>
        <v>https://pbs.twimg.com/media/Eg6GGrgXgAIxG2X.jpg</v>
      </c>
      <c r="W459" s="86">
        <v>44081.62541666667</v>
      </c>
      <c r="X459" s="90">
        <v>44081</v>
      </c>
      <c r="Y459" s="92" t="s">
        <v>898</v>
      </c>
      <c r="Z459" s="87" t="str">
        <f>HYPERLINK("https://twitter.com/llnuxbot/status/1302985125295132673")</f>
        <v>https://twitter.com/llnuxbot/status/1302985125295132673</v>
      </c>
      <c r="AA459" s="84"/>
      <c r="AB459" s="84"/>
      <c r="AC459" s="92" t="s">
        <v>1296</v>
      </c>
      <c r="AD459" s="84"/>
      <c r="AE459" s="84" t="b">
        <v>0</v>
      </c>
      <c r="AF459" s="84">
        <v>0</v>
      </c>
      <c r="AG459" s="92" t="s">
        <v>1453</v>
      </c>
      <c r="AH459" s="84" t="b">
        <v>0</v>
      </c>
      <c r="AI459" s="84" t="s">
        <v>1456</v>
      </c>
      <c r="AJ459" s="84"/>
      <c r="AK459" s="92" t="s">
        <v>1453</v>
      </c>
      <c r="AL459" s="84" t="b">
        <v>0</v>
      </c>
      <c r="AM459" s="84">
        <v>51</v>
      </c>
      <c r="AN459" s="92" t="s">
        <v>1425</v>
      </c>
      <c r="AO459" s="84" t="s">
        <v>1519</v>
      </c>
      <c r="AP459" s="84" t="b">
        <v>0</v>
      </c>
      <c r="AQ459" s="92" t="s">
        <v>1425</v>
      </c>
      <c r="AR459" s="84" t="s">
        <v>187</v>
      </c>
      <c r="AS459" s="84">
        <v>0</v>
      </c>
      <c r="AT459" s="84">
        <v>0</v>
      </c>
      <c r="AU459" s="84"/>
      <c r="AV459" s="84"/>
      <c r="AW459" s="84"/>
      <c r="AX459" s="84"/>
      <c r="AY459" s="84"/>
      <c r="AZ459" s="84"/>
      <c r="BA459" s="84"/>
      <c r="BB459" s="84"/>
      <c r="BC459">
        <v>8</v>
      </c>
      <c r="BD459" s="83" t="str">
        <f>REPLACE(INDEX(GroupVertices[Group],MATCH(Edges[[#This Row],[Vertex 1]],GroupVertices[Vertex],0)),1,1,"")</f>
        <v>1</v>
      </c>
      <c r="BE459" s="83" t="str">
        <f>REPLACE(INDEX(GroupVertices[Group],MATCH(Edges[[#This Row],[Vertex 2]],GroupVertices[Vertex],0)),1,1,"")</f>
        <v>1</v>
      </c>
      <c r="BF459" s="49">
        <v>0</v>
      </c>
      <c r="BG459" s="50">
        <v>0</v>
      </c>
      <c r="BH459" s="49">
        <v>0</v>
      </c>
      <c r="BI459" s="50">
        <v>0</v>
      </c>
      <c r="BJ459" s="49">
        <v>0</v>
      </c>
      <c r="BK459" s="50">
        <v>0</v>
      </c>
      <c r="BL459" s="49">
        <v>34</v>
      </c>
      <c r="BM459" s="50">
        <v>100</v>
      </c>
      <c r="BN459" s="49">
        <v>34</v>
      </c>
    </row>
    <row r="460" spans="1:66" ht="15">
      <c r="A460" s="68" t="s">
        <v>393</v>
      </c>
      <c r="B460" s="68" t="s">
        <v>404</v>
      </c>
      <c r="C460" s="69" t="s">
        <v>5208</v>
      </c>
      <c r="D460" s="70">
        <v>1</v>
      </c>
      <c r="E460" s="71" t="s">
        <v>132</v>
      </c>
      <c r="F460" s="72">
        <v>32</v>
      </c>
      <c r="G460" s="69" t="s">
        <v>51</v>
      </c>
      <c r="H460" s="73"/>
      <c r="I460" s="74"/>
      <c r="J460" s="74"/>
      <c r="K460" s="35" t="s">
        <v>65</v>
      </c>
      <c r="L460" s="82">
        <v>460</v>
      </c>
      <c r="M460" s="82"/>
      <c r="N460" s="76"/>
      <c r="O460" s="84" t="s">
        <v>439</v>
      </c>
      <c r="P460" s="86">
        <v>44081.699479166666</v>
      </c>
      <c r="Q460" s="84" t="s">
        <v>447</v>
      </c>
      <c r="R460" s="87" t="str">
        <f>HYPERLINK("https://www.latimes.com/world-nation/story/2020-03-16/coronavirus-vaccine-test-opens-as-us-volunteer-gets-1st-shot")</f>
        <v>https://www.latimes.com/world-nation/story/2020-03-16/coronavirus-vaccine-test-opens-as-us-volunteer-gets-1st-shot</v>
      </c>
      <c r="S460" s="84" t="s">
        <v>531</v>
      </c>
      <c r="T460" s="84" t="s">
        <v>567</v>
      </c>
      <c r="U460" s="87" t="str">
        <f>HYPERLINK("https://pbs.twimg.com/media/EhAhLRtWoAEsEe_.jpg")</f>
        <v>https://pbs.twimg.com/media/EhAhLRtWoAEsEe_.jpg</v>
      </c>
      <c r="V460" s="87" t="str">
        <f>HYPERLINK("https://pbs.twimg.com/media/EhAhLRtWoAEsEe_.jpg")</f>
        <v>https://pbs.twimg.com/media/EhAhLRtWoAEsEe_.jpg</v>
      </c>
      <c r="W460" s="86">
        <v>44081.699479166666</v>
      </c>
      <c r="X460" s="90">
        <v>44081</v>
      </c>
      <c r="Y460" s="92" t="s">
        <v>899</v>
      </c>
      <c r="Z460" s="87" t="str">
        <f>HYPERLINK("https://twitter.com/llnuxbot/status/1303011964910620672")</f>
        <v>https://twitter.com/llnuxbot/status/1303011964910620672</v>
      </c>
      <c r="AA460" s="84"/>
      <c r="AB460" s="84"/>
      <c r="AC460" s="92" t="s">
        <v>1297</v>
      </c>
      <c r="AD460" s="84"/>
      <c r="AE460" s="84" t="b">
        <v>0</v>
      </c>
      <c r="AF460" s="84">
        <v>0</v>
      </c>
      <c r="AG460" s="92" t="s">
        <v>1453</v>
      </c>
      <c r="AH460" s="84" t="b">
        <v>0</v>
      </c>
      <c r="AI460" s="84" t="s">
        <v>1456</v>
      </c>
      <c r="AJ460" s="84"/>
      <c r="AK460" s="92" t="s">
        <v>1453</v>
      </c>
      <c r="AL460" s="84" t="b">
        <v>0</v>
      </c>
      <c r="AM460" s="84">
        <v>80</v>
      </c>
      <c r="AN460" s="92" t="s">
        <v>1343</v>
      </c>
      <c r="AO460" s="84" t="s">
        <v>1519</v>
      </c>
      <c r="AP460" s="84" t="b">
        <v>0</v>
      </c>
      <c r="AQ460" s="92" t="s">
        <v>1343</v>
      </c>
      <c r="AR460" s="84" t="s">
        <v>187</v>
      </c>
      <c r="AS460" s="84">
        <v>0</v>
      </c>
      <c r="AT460" s="84">
        <v>0</v>
      </c>
      <c r="AU460" s="84"/>
      <c r="AV460" s="84"/>
      <c r="AW460" s="84"/>
      <c r="AX460" s="84"/>
      <c r="AY460" s="84"/>
      <c r="AZ460" s="84"/>
      <c r="BA460" s="84"/>
      <c r="BB460" s="84"/>
      <c r="BC460">
        <v>1</v>
      </c>
      <c r="BD460" s="83" t="str">
        <f>REPLACE(INDEX(GroupVertices[Group],MATCH(Edges[[#This Row],[Vertex 1]],GroupVertices[Vertex],0)),1,1,"")</f>
        <v>1</v>
      </c>
      <c r="BE460" s="83" t="str">
        <f>REPLACE(INDEX(GroupVertices[Group],MATCH(Edges[[#This Row],[Vertex 2]],GroupVertices[Vertex],0)),1,1,"")</f>
        <v>5</v>
      </c>
      <c r="BF460" s="49">
        <v>0</v>
      </c>
      <c r="BG460" s="50">
        <v>0</v>
      </c>
      <c r="BH460" s="49">
        <v>0</v>
      </c>
      <c r="BI460" s="50">
        <v>0</v>
      </c>
      <c r="BJ460" s="49">
        <v>0</v>
      </c>
      <c r="BK460" s="50">
        <v>0</v>
      </c>
      <c r="BL460" s="49">
        <v>31</v>
      </c>
      <c r="BM460" s="50">
        <v>100</v>
      </c>
      <c r="BN460" s="49">
        <v>31</v>
      </c>
    </row>
    <row r="461" spans="1:66" ht="15">
      <c r="A461" s="68" t="s">
        <v>393</v>
      </c>
      <c r="B461" s="68" t="s">
        <v>423</v>
      </c>
      <c r="C461" s="69" t="s">
        <v>5210</v>
      </c>
      <c r="D461" s="70">
        <v>10</v>
      </c>
      <c r="E461" s="71" t="s">
        <v>136</v>
      </c>
      <c r="F461" s="72">
        <v>10</v>
      </c>
      <c r="G461" s="69" t="s">
        <v>51</v>
      </c>
      <c r="H461" s="73"/>
      <c r="I461" s="74"/>
      <c r="J461" s="74"/>
      <c r="K461" s="35" t="s">
        <v>65</v>
      </c>
      <c r="L461" s="82">
        <v>461</v>
      </c>
      <c r="M461" s="82"/>
      <c r="N461" s="76"/>
      <c r="O461" s="84" t="s">
        <v>439</v>
      </c>
      <c r="P461" s="86">
        <v>44082.51950231481</v>
      </c>
      <c r="Q461" s="84" t="s">
        <v>457</v>
      </c>
      <c r="R461" s="84"/>
      <c r="S461" s="84"/>
      <c r="T461" s="84" t="s">
        <v>576</v>
      </c>
      <c r="U461" s="87" t="str">
        <f>HYPERLINK("https://pbs.twimg.com/media/Eg6GGrgXgAIxG2X.jpg")</f>
        <v>https://pbs.twimg.com/media/Eg6GGrgXgAIxG2X.jpg</v>
      </c>
      <c r="V461" s="87" t="str">
        <f>HYPERLINK("https://pbs.twimg.com/media/Eg6GGrgXgAIxG2X.jpg")</f>
        <v>https://pbs.twimg.com/media/Eg6GGrgXgAIxG2X.jpg</v>
      </c>
      <c r="W461" s="86">
        <v>44082.51950231481</v>
      </c>
      <c r="X461" s="90">
        <v>44082</v>
      </c>
      <c r="Y461" s="92" t="s">
        <v>900</v>
      </c>
      <c r="Z461" s="87" t="str">
        <f>HYPERLINK("https://twitter.com/llnuxbot/status/1303309129016987650")</f>
        <v>https://twitter.com/llnuxbot/status/1303309129016987650</v>
      </c>
      <c r="AA461" s="84"/>
      <c r="AB461" s="84"/>
      <c r="AC461" s="92" t="s">
        <v>1298</v>
      </c>
      <c r="AD461" s="84"/>
      <c r="AE461" s="84" t="b">
        <v>0</v>
      </c>
      <c r="AF461" s="84">
        <v>0</v>
      </c>
      <c r="AG461" s="92" t="s">
        <v>1453</v>
      </c>
      <c r="AH461" s="84" t="b">
        <v>0</v>
      </c>
      <c r="AI461" s="84" t="s">
        <v>1456</v>
      </c>
      <c r="AJ461" s="84"/>
      <c r="AK461" s="92" t="s">
        <v>1453</v>
      </c>
      <c r="AL461" s="84" t="b">
        <v>0</v>
      </c>
      <c r="AM461" s="84">
        <v>51</v>
      </c>
      <c r="AN461" s="92" t="s">
        <v>1425</v>
      </c>
      <c r="AO461" s="84" t="s">
        <v>1519</v>
      </c>
      <c r="AP461" s="84" t="b">
        <v>0</v>
      </c>
      <c r="AQ461" s="92" t="s">
        <v>1425</v>
      </c>
      <c r="AR461" s="84" t="s">
        <v>187</v>
      </c>
      <c r="AS461" s="84">
        <v>0</v>
      </c>
      <c r="AT461" s="84">
        <v>0</v>
      </c>
      <c r="AU461" s="84"/>
      <c r="AV461" s="84"/>
      <c r="AW461" s="84"/>
      <c r="AX461" s="84"/>
      <c r="AY461" s="84"/>
      <c r="AZ461" s="84"/>
      <c r="BA461" s="84"/>
      <c r="BB461" s="84"/>
      <c r="BC461">
        <v>8</v>
      </c>
      <c r="BD461" s="83" t="str">
        <f>REPLACE(INDEX(GroupVertices[Group],MATCH(Edges[[#This Row],[Vertex 1]],GroupVertices[Vertex],0)),1,1,"")</f>
        <v>1</v>
      </c>
      <c r="BE461" s="83" t="str">
        <f>REPLACE(INDEX(GroupVertices[Group],MATCH(Edges[[#This Row],[Vertex 2]],GroupVertices[Vertex],0)),1,1,"")</f>
        <v>1</v>
      </c>
      <c r="BF461" s="49">
        <v>0</v>
      </c>
      <c r="BG461" s="50">
        <v>0</v>
      </c>
      <c r="BH461" s="49">
        <v>0</v>
      </c>
      <c r="BI461" s="50">
        <v>0</v>
      </c>
      <c r="BJ461" s="49">
        <v>0</v>
      </c>
      <c r="BK461" s="50">
        <v>0</v>
      </c>
      <c r="BL461" s="49">
        <v>34</v>
      </c>
      <c r="BM461" s="50">
        <v>100</v>
      </c>
      <c r="BN461" s="49">
        <v>34</v>
      </c>
    </row>
    <row r="462" spans="1:66" ht="15">
      <c r="A462" s="68" t="s">
        <v>393</v>
      </c>
      <c r="B462" s="68" t="s">
        <v>423</v>
      </c>
      <c r="C462" s="69" t="s">
        <v>5210</v>
      </c>
      <c r="D462" s="70">
        <v>10</v>
      </c>
      <c r="E462" s="71" t="s">
        <v>136</v>
      </c>
      <c r="F462" s="72">
        <v>10</v>
      </c>
      <c r="G462" s="69" t="s">
        <v>51</v>
      </c>
      <c r="H462" s="73"/>
      <c r="I462" s="74"/>
      <c r="J462" s="74"/>
      <c r="K462" s="35" t="s">
        <v>65</v>
      </c>
      <c r="L462" s="82">
        <v>462</v>
      </c>
      <c r="M462" s="82"/>
      <c r="N462" s="76"/>
      <c r="O462" s="84" t="s">
        <v>439</v>
      </c>
      <c r="P462" s="86">
        <v>44082.58142361111</v>
      </c>
      <c r="Q462" s="84" t="s">
        <v>459</v>
      </c>
      <c r="R462" s="84"/>
      <c r="S462" s="84"/>
      <c r="T462" s="84" t="s">
        <v>578</v>
      </c>
      <c r="U462" s="87" t="str">
        <f>HYPERLINK("https://pbs.twimg.com/media/EhZc5KGWoAIz_Wo.jpg")</f>
        <v>https://pbs.twimg.com/media/EhZc5KGWoAIz_Wo.jpg</v>
      </c>
      <c r="V462" s="87" t="str">
        <f>HYPERLINK("https://pbs.twimg.com/media/EhZc5KGWoAIz_Wo.jpg")</f>
        <v>https://pbs.twimg.com/media/EhZc5KGWoAIz_Wo.jpg</v>
      </c>
      <c r="W462" s="86">
        <v>44082.58142361111</v>
      </c>
      <c r="X462" s="90">
        <v>44082</v>
      </c>
      <c r="Y462" s="92" t="s">
        <v>901</v>
      </c>
      <c r="Z462" s="87" t="str">
        <f>HYPERLINK("https://twitter.com/llnuxbot/status/1303331570418212868")</f>
        <v>https://twitter.com/llnuxbot/status/1303331570418212868</v>
      </c>
      <c r="AA462" s="84"/>
      <c r="AB462" s="84"/>
      <c r="AC462" s="92" t="s">
        <v>1299</v>
      </c>
      <c r="AD462" s="84"/>
      <c r="AE462" s="84" t="b">
        <v>0</v>
      </c>
      <c r="AF462" s="84">
        <v>0</v>
      </c>
      <c r="AG462" s="92" t="s">
        <v>1453</v>
      </c>
      <c r="AH462" s="84" t="b">
        <v>0</v>
      </c>
      <c r="AI462" s="84" t="s">
        <v>1456</v>
      </c>
      <c r="AJ462" s="84"/>
      <c r="AK462" s="92" t="s">
        <v>1453</v>
      </c>
      <c r="AL462" s="84" t="b">
        <v>0</v>
      </c>
      <c r="AM462" s="84">
        <v>44</v>
      </c>
      <c r="AN462" s="92" t="s">
        <v>1428</v>
      </c>
      <c r="AO462" s="84" t="s">
        <v>1519</v>
      </c>
      <c r="AP462" s="84" t="b">
        <v>0</v>
      </c>
      <c r="AQ462" s="92" t="s">
        <v>1428</v>
      </c>
      <c r="AR462" s="84" t="s">
        <v>187</v>
      </c>
      <c r="AS462" s="84">
        <v>0</v>
      </c>
      <c r="AT462" s="84">
        <v>0</v>
      </c>
      <c r="AU462" s="84"/>
      <c r="AV462" s="84"/>
      <c r="AW462" s="84"/>
      <c r="AX462" s="84"/>
      <c r="AY462" s="84"/>
      <c r="AZ462" s="84"/>
      <c r="BA462" s="84"/>
      <c r="BB462" s="84"/>
      <c r="BC462">
        <v>8</v>
      </c>
      <c r="BD462" s="83" t="str">
        <f>REPLACE(INDEX(GroupVertices[Group],MATCH(Edges[[#This Row],[Vertex 1]],GroupVertices[Vertex],0)),1,1,"")</f>
        <v>1</v>
      </c>
      <c r="BE462" s="83" t="str">
        <f>REPLACE(INDEX(GroupVertices[Group],MATCH(Edges[[#This Row],[Vertex 2]],GroupVertices[Vertex],0)),1,1,"")</f>
        <v>1</v>
      </c>
      <c r="BF462" s="49">
        <v>0</v>
      </c>
      <c r="BG462" s="50">
        <v>0</v>
      </c>
      <c r="BH462" s="49">
        <v>0</v>
      </c>
      <c r="BI462" s="50">
        <v>0</v>
      </c>
      <c r="BJ462" s="49">
        <v>0</v>
      </c>
      <c r="BK462" s="50">
        <v>0</v>
      </c>
      <c r="BL462" s="49">
        <v>30</v>
      </c>
      <c r="BM462" s="50">
        <v>100</v>
      </c>
      <c r="BN462" s="49">
        <v>30</v>
      </c>
    </row>
    <row r="463" spans="1:66" ht="15">
      <c r="A463" s="68" t="s">
        <v>393</v>
      </c>
      <c r="B463" s="68" t="s">
        <v>423</v>
      </c>
      <c r="C463" s="69" t="s">
        <v>5210</v>
      </c>
      <c r="D463" s="70">
        <v>10</v>
      </c>
      <c r="E463" s="71" t="s">
        <v>136</v>
      </c>
      <c r="F463" s="72">
        <v>10</v>
      </c>
      <c r="G463" s="69" t="s">
        <v>51</v>
      </c>
      <c r="H463" s="73"/>
      <c r="I463" s="74"/>
      <c r="J463" s="74"/>
      <c r="K463" s="35" t="s">
        <v>65</v>
      </c>
      <c r="L463" s="82">
        <v>463</v>
      </c>
      <c r="M463" s="82"/>
      <c r="N463" s="76"/>
      <c r="O463" s="84" t="s">
        <v>439</v>
      </c>
      <c r="P463" s="86">
        <v>44083.46740740741</v>
      </c>
      <c r="Q463" s="84" t="s">
        <v>459</v>
      </c>
      <c r="R463" s="84"/>
      <c r="S463" s="84"/>
      <c r="T463" s="84" t="s">
        <v>578</v>
      </c>
      <c r="U463" s="87" t="str">
        <f>HYPERLINK("https://pbs.twimg.com/media/EhZc5KGWoAIz_Wo.jpg")</f>
        <v>https://pbs.twimg.com/media/EhZc5KGWoAIz_Wo.jpg</v>
      </c>
      <c r="V463" s="87" t="str">
        <f>HYPERLINK("https://pbs.twimg.com/media/EhZc5KGWoAIz_Wo.jpg")</f>
        <v>https://pbs.twimg.com/media/EhZc5KGWoAIz_Wo.jpg</v>
      </c>
      <c r="W463" s="86">
        <v>44083.46740740741</v>
      </c>
      <c r="X463" s="90">
        <v>44083</v>
      </c>
      <c r="Y463" s="92" t="s">
        <v>902</v>
      </c>
      <c r="Z463" s="87" t="str">
        <f>HYPERLINK("https://twitter.com/llnuxbot/status/1303652641105260544")</f>
        <v>https://twitter.com/llnuxbot/status/1303652641105260544</v>
      </c>
      <c r="AA463" s="84"/>
      <c r="AB463" s="84"/>
      <c r="AC463" s="92" t="s">
        <v>1300</v>
      </c>
      <c r="AD463" s="84"/>
      <c r="AE463" s="84" t="b">
        <v>0</v>
      </c>
      <c r="AF463" s="84">
        <v>0</v>
      </c>
      <c r="AG463" s="92" t="s">
        <v>1453</v>
      </c>
      <c r="AH463" s="84" t="b">
        <v>0</v>
      </c>
      <c r="AI463" s="84" t="s">
        <v>1456</v>
      </c>
      <c r="AJ463" s="84"/>
      <c r="AK463" s="92" t="s">
        <v>1453</v>
      </c>
      <c r="AL463" s="84" t="b">
        <v>0</v>
      </c>
      <c r="AM463" s="84">
        <v>44</v>
      </c>
      <c r="AN463" s="92" t="s">
        <v>1428</v>
      </c>
      <c r="AO463" s="84" t="s">
        <v>1519</v>
      </c>
      <c r="AP463" s="84" t="b">
        <v>0</v>
      </c>
      <c r="AQ463" s="92" t="s">
        <v>1428</v>
      </c>
      <c r="AR463" s="84" t="s">
        <v>187</v>
      </c>
      <c r="AS463" s="84">
        <v>0</v>
      </c>
      <c r="AT463" s="84">
        <v>0</v>
      </c>
      <c r="AU463" s="84"/>
      <c r="AV463" s="84"/>
      <c r="AW463" s="84"/>
      <c r="AX463" s="84"/>
      <c r="AY463" s="84"/>
      <c r="AZ463" s="84"/>
      <c r="BA463" s="84"/>
      <c r="BB463" s="84"/>
      <c r="BC463">
        <v>8</v>
      </c>
      <c r="BD463" s="83" t="str">
        <f>REPLACE(INDEX(GroupVertices[Group],MATCH(Edges[[#This Row],[Vertex 1]],GroupVertices[Vertex],0)),1,1,"")</f>
        <v>1</v>
      </c>
      <c r="BE463" s="83" t="str">
        <f>REPLACE(INDEX(GroupVertices[Group],MATCH(Edges[[#This Row],[Vertex 2]],GroupVertices[Vertex],0)),1,1,"")</f>
        <v>1</v>
      </c>
      <c r="BF463" s="49">
        <v>0</v>
      </c>
      <c r="BG463" s="50">
        <v>0</v>
      </c>
      <c r="BH463" s="49">
        <v>0</v>
      </c>
      <c r="BI463" s="50">
        <v>0</v>
      </c>
      <c r="BJ463" s="49">
        <v>0</v>
      </c>
      <c r="BK463" s="50">
        <v>0</v>
      </c>
      <c r="BL463" s="49">
        <v>30</v>
      </c>
      <c r="BM463" s="50">
        <v>100</v>
      </c>
      <c r="BN463" s="49">
        <v>30</v>
      </c>
    </row>
    <row r="464" spans="1:66" ht="15">
      <c r="A464" s="68" t="s">
        <v>393</v>
      </c>
      <c r="B464" s="68" t="s">
        <v>437</v>
      </c>
      <c r="C464" s="69" t="s">
        <v>5208</v>
      </c>
      <c r="D464" s="70">
        <v>1</v>
      </c>
      <c r="E464" s="71" t="s">
        <v>132</v>
      </c>
      <c r="F464" s="72">
        <v>32</v>
      </c>
      <c r="G464" s="69" t="s">
        <v>51</v>
      </c>
      <c r="H464" s="73"/>
      <c r="I464" s="74"/>
      <c r="J464" s="74"/>
      <c r="K464" s="35" t="s">
        <v>65</v>
      </c>
      <c r="L464" s="82">
        <v>464</v>
      </c>
      <c r="M464" s="82"/>
      <c r="N464" s="76"/>
      <c r="O464" s="84" t="s">
        <v>440</v>
      </c>
      <c r="P464" s="86">
        <v>44083.61601851852</v>
      </c>
      <c r="Q464" s="84" t="s">
        <v>509</v>
      </c>
      <c r="R464" s="87" t="str">
        <f>HYPERLINK("https://www.dailymail.co.uk/news/article-8714225/US-daily-COVID-19-cases-drop-40k-time-June.html?ito=amp_twitter_share-top")</f>
        <v>https://www.dailymail.co.uk/news/article-8714225/US-daily-COVID-19-cases-drop-40k-time-June.html?ito=amp_twitter_share-top</v>
      </c>
      <c r="S464" s="84" t="s">
        <v>558</v>
      </c>
      <c r="T464" s="84" t="s">
        <v>620</v>
      </c>
      <c r="U464" s="84"/>
      <c r="V464" s="87" t="str">
        <f>HYPERLINK("http://pbs.twimg.com/profile_images/1190727216885358597/OoGENW9l_normal.jpg")</f>
        <v>http://pbs.twimg.com/profile_images/1190727216885358597/OoGENW9l_normal.jpg</v>
      </c>
      <c r="W464" s="86">
        <v>44083.61601851852</v>
      </c>
      <c r="X464" s="90">
        <v>44083</v>
      </c>
      <c r="Y464" s="92" t="s">
        <v>903</v>
      </c>
      <c r="Z464" s="87" t="str">
        <f>HYPERLINK("https://twitter.com/llnuxbot/status/1303706493955403776")</f>
        <v>https://twitter.com/llnuxbot/status/1303706493955403776</v>
      </c>
      <c r="AA464" s="84"/>
      <c r="AB464" s="84"/>
      <c r="AC464" s="92" t="s">
        <v>1301</v>
      </c>
      <c r="AD464" s="84"/>
      <c r="AE464" s="84" t="b">
        <v>0</v>
      </c>
      <c r="AF464" s="84">
        <v>0</v>
      </c>
      <c r="AG464" s="92" t="s">
        <v>1453</v>
      </c>
      <c r="AH464" s="84" t="b">
        <v>0</v>
      </c>
      <c r="AI464" s="84" t="s">
        <v>1456</v>
      </c>
      <c r="AJ464" s="84"/>
      <c r="AK464" s="92" t="s">
        <v>1453</v>
      </c>
      <c r="AL464" s="84" t="b">
        <v>0</v>
      </c>
      <c r="AM464" s="84">
        <v>15</v>
      </c>
      <c r="AN464" s="92" t="s">
        <v>1398</v>
      </c>
      <c r="AO464" s="84" t="s">
        <v>1519</v>
      </c>
      <c r="AP464" s="84" t="b">
        <v>0</v>
      </c>
      <c r="AQ464" s="92" t="s">
        <v>1398</v>
      </c>
      <c r="AR464" s="84" t="s">
        <v>187</v>
      </c>
      <c r="AS464" s="84">
        <v>0</v>
      </c>
      <c r="AT464" s="84">
        <v>0</v>
      </c>
      <c r="AU464" s="84"/>
      <c r="AV464" s="84"/>
      <c r="AW464" s="84"/>
      <c r="AX464" s="84"/>
      <c r="AY464" s="84"/>
      <c r="AZ464" s="84"/>
      <c r="BA464" s="84"/>
      <c r="BB464" s="84"/>
      <c r="BC464">
        <v>1</v>
      </c>
      <c r="BD464" s="83" t="str">
        <f>REPLACE(INDEX(GroupVertices[Group],MATCH(Edges[[#This Row],[Vertex 1]],GroupVertices[Vertex],0)),1,1,"")</f>
        <v>1</v>
      </c>
      <c r="BE464" s="83" t="str">
        <f>REPLACE(INDEX(GroupVertices[Group],MATCH(Edges[[#This Row],[Vertex 2]],GroupVertices[Vertex],0)),1,1,"")</f>
        <v>1</v>
      </c>
      <c r="BF464" s="49"/>
      <c r="BG464" s="50"/>
      <c r="BH464" s="49"/>
      <c r="BI464" s="50"/>
      <c r="BJ464" s="49"/>
      <c r="BK464" s="50"/>
      <c r="BL464" s="49"/>
      <c r="BM464" s="50"/>
      <c r="BN464" s="49"/>
    </row>
    <row r="465" spans="1:66" ht="15">
      <c r="A465" s="68" t="s">
        <v>393</v>
      </c>
      <c r="B465" s="68" t="s">
        <v>390</v>
      </c>
      <c r="C465" s="69" t="s">
        <v>5210</v>
      </c>
      <c r="D465" s="70">
        <v>10</v>
      </c>
      <c r="E465" s="71" t="s">
        <v>132</v>
      </c>
      <c r="F465" s="72">
        <v>10</v>
      </c>
      <c r="G465" s="69" t="s">
        <v>51</v>
      </c>
      <c r="H465" s="73"/>
      <c r="I465" s="74"/>
      <c r="J465" s="74"/>
      <c r="K465" s="35" t="s">
        <v>65</v>
      </c>
      <c r="L465" s="82">
        <v>465</v>
      </c>
      <c r="M465" s="82"/>
      <c r="N465" s="76"/>
      <c r="O465" s="84" t="s">
        <v>439</v>
      </c>
      <c r="P465" s="86">
        <v>44083.61601851852</v>
      </c>
      <c r="Q465" s="84" t="s">
        <v>509</v>
      </c>
      <c r="R465" s="87" t="str">
        <f>HYPERLINK("https://www.dailymail.co.uk/news/article-8714225/US-daily-COVID-19-cases-drop-40k-time-June.html?ito=amp_twitter_share-top")</f>
        <v>https://www.dailymail.co.uk/news/article-8714225/US-daily-COVID-19-cases-drop-40k-time-June.html?ito=amp_twitter_share-top</v>
      </c>
      <c r="S465" s="84" t="s">
        <v>558</v>
      </c>
      <c r="T465" s="84" t="s">
        <v>620</v>
      </c>
      <c r="U465" s="84"/>
      <c r="V465" s="87" t="str">
        <f>HYPERLINK("http://pbs.twimg.com/profile_images/1190727216885358597/OoGENW9l_normal.jpg")</f>
        <v>http://pbs.twimg.com/profile_images/1190727216885358597/OoGENW9l_normal.jpg</v>
      </c>
      <c r="W465" s="86">
        <v>44083.61601851852</v>
      </c>
      <c r="X465" s="90">
        <v>44083</v>
      </c>
      <c r="Y465" s="92" t="s">
        <v>903</v>
      </c>
      <c r="Z465" s="87" t="str">
        <f>HYPERLINK("https://twitter.com/llnuxbot/status/1303706493955403776")</f>
        <v>https://twitter.com/llnuxbot/status/1303706493955403776</v>
      </c>
      <c r="AA465" s="84"/>
      <c r="AB465" s="84"/>
      <c r="AC465" s="92" t="s">
        <v>1301</v>
      </c>
      <c r="AD465" s="84"/>
      <c r="AE465" s="84" t="b">
        <v>0</v>
      </c>
      <c r="AF465" s="84">
        <v>0</v>
      </c>
      <c r="AG465" s="92" t="s">
        <v>1453</v>
      </c>
      <c r="AH465" s="84" t="b">
        <v>0</v>
      </c>
      <c r="AI465" s="84" t="s">
        <v>1456</v>
      </c>
      <c r="AJ465" s="84"/>
      <c r="AK465" s="92" t="s">
        <v>1453</v>
      </c>
      <c r="AL465" s="84" t="b">
        <v>0</v>
      </c>
      <c r="AM465" s="84">
        <v>15</v>
      </c>
      <c r="AN465" s="92" t="s">
        <v>1398</v>
      </c>
      <c r="AO465" s="84" t="s">
        <v>1519</v>
      </c>
      <c r="AP465" s="84" t="b">
        <v>0</v>
      </c>
      <c r="AQ465" s="92" t="s">
        <v>1398</v>
      </c>
      <c r="AR465" s="84" t="s">
        <v>187</v>
      </c>
      <c r="AS465" s="84">
        <v>0</v>
      </c>
      <c r="AT465" s="84">
        <v>0</v>
      </c>
      <c r="AU465" s="84"/>
      <c r="AV465" s="84"/>
      <c r="AW465" s="84"/>
      <c r="AX465" s="84"/>
      <c r="AY465" s="84"/>
      <c r="AZ465" s="84"/>
      <c r="BA465" s="84"/>
      <c r="BB465" s="84"/>
      <c r="BC465">
        <v>3</v>
      </c>
      <c r="BD465" s="83" t="str">
        <f>REPLACE(INDEX(GroupVertices[Group],MATCH(Edges[[#This Row],[Vertex 1]],GroupVertices[Vertex],0)),1,1,"")</f>
        <v>1</v>
      </c>
      <c r="BE465" s="83" t="str">
        <f>REPLACE(INDEX(GroupVertices[Group],MATCH(Edges[[#This Row],[Vertex 2]],GroupVertices[Vertex],0)),1,1,"")</f>
        <v>1</v>
      </c>
      <c r="BF465" s="49">
        <v>0</v>
      </c>
      <c r="BG465" s="50">
        <v>0</v>
      </c>
      <c r="BH465" s="49">
        <v>0</v>
      </c>
      <c r="BI465" s="50">
        <v>0</v>
      </c>
      <c r="BJ465" s="49">
        <v>0</v>
      </c>
      <c r="BK465" s="50">
        <v>0</v>
      </c>
      <c r="BL465" s="49">
        <v>33</v>
      </c>
      <c r="BM465" s="50">
        <v>100</v>
      </c>
      <c r="BN465" s="49">
        <v>33</v>
      </c>
    </row>
    <row r="466" spans="1:66" ht="15">
      <c r="A466" s="68" t="s">
        <v>393</v>
      </c>
      <c r="B466" s="68" t="s">
        <v>423</v>
      </c>
      <c r="C466" s="69" t="s">
        <v>5210</v>
      </c>
      <c r="D466" s="70">
        <v>10</v>
      </c>
      <c r="E466" s="71" t="s">
        <v>136</v>
      </c>
      <c r="F466" s="72">
        <v>10</v>
      </c>
      <c r="G466" s="69" t="s">
        <v>51</v>
      </c>
      <c r="H466" s="73"/>
      <c r="I466" s="74"/>
      <c r="J466" s="74"/>
      <c r="K466" s="35" t="s">
        <v>65</v>
      </c>
      <c r="L466" s="82">
        <v>466</v>
      </c>
      <c r="M466" s="82"/>
      <c r="N466" s="76"/>
      <c r="O466" s="84" t="s">
        <v>439</v>
      </c>
      <c r="P466" s="86">
        <v>44083.64518518518</v>
      </c>
      <c r="Q466" s="84" t="s">
        <v>474</v>
      </c>
      <c r="R466" s="84"/>
      <c r="S466" s="84"/>
      <c r="T466" s="84" t="s">
        <v>591</v>
      </c>
      <c r="U466" s="87" t="str">
        <f>HYPERLINK("https://pbs.twimg.com/media/EhOErS9WAAUfUqQ.jpg")</f>
        <v>https://pbs.twimg.com/media/EhOErS9WAAUfUqQ.jpg</v>
      </c>
      <c r="V466" s="87" t="str">
        <f>HYPERLINK("https://pbs.twimg.com/media/EhOErS9WAAUfUqQ.jpg")</f>
        <v>https://pbs.twimg.com/media/EhOErS9WAAUfUqQ.jpg</v>
      </c>
      <c r="W466" s="86">
        <v>44083.64518518518</v>
      </c>
      <c r="X466" s="90">
        <v>44083</v>
      </c>
      <c r="Y466" s="92" t="s">
        <v>904</v>
      </c>
      <c r="Z466" s="87" t="str">
        <f>HYPERLINK("https://twitter.com/llnuxbot/status/1303717063618306049")</f>
        <v>https://twitter.com/llnuxbot/status/1303717063618306049</v>
      </c>
      <c r="AA466" s="84"/>
      <c r="AB466" s="84"/>
      <c r="AC466" s="92" t="s">
        <v>1302</v>
      </c>
      <c r="AD466" s="84"/>
      <c r="AE466" s="84" t="b">
        <v>0</v>
      </c>
      <c r="AF466" s="84">
        <v>0</v>
      </c>
      <c r="AG466" s="92" t="s">
        <v>1453</v>
      </c>
      <c r="AH466" s="84" t="b">
        <v>0</v>
      </c>
      <c r="AI466" s="84" t="s">
        <v>1456</v>
      </c>
      <c r="AJ466" s="84"/>
      <c r="AK466" s="92" t="s">
        <v>1453</v>
      </c>
      <c r="AL466" s="84" t="b">
        <v>0</v>
      </c>
      <c r="AM466" s="84">
        <v>55</v>
      </c>
      <c r="AN466" s="92" t="s">
        <v>1426</v>
      </c>
      <c r="AO466" s="84" t="s">
        <v>1519</v>
      </c>
      <c r="AP466" s="84" t="b">
        <v>0</v>
      </c>
      <c r="AQ466" s="92" t="s">
        <v>1426</v>
      </c>
      <c r="AR466" s="84" t="s">
        <v>187</v>
      </c>
      <c r="AS466" s="84">
        <v>0</v>
      </c>
      <c r="AT466" s="84">
        <v>0</v>
      </c>
      <c r="AU466" s="84"/>
      <c r="AV466" s="84"/>
      <c r="AW466" s="84"/>
      <c r="AX466" s="84"/>
      <c r="AY466" s="84"/>
      <c r="AZ466" s="84"/>
      <c r="BA466" s="84"/>
      <c r="BB466" s="84"/>
      <c r="BC466">
        <v>8</v>
      </c>
      <c r="BD466" s="83" t="str">
        <f>REPLACE(INDEX(GroupVertices[Group],MATCH(Edges[[#This Row],[Vertex 1]],GroupVertices[Vertex],0)),1,1,"")</f>
        <v>1</v>
      </c>
      <c r="BE466" s="83" t="str">
        <f>REPLACE(INDEX(GroupVertices[Group],MATCH(Edges[[#This Row],[Vertex 2]],GroupVertices[Vertex],0)),1,1,"")</f>
        <v>1</v>
      </c>
      <c r="BF466" s="49">
        <v>0</v>
      </c>
      <c r="BG466" s="50">
        <v>0</v>
      </c>
      <c r="BH466" s="49">
        <v>0</v>
      </c>
      <c r="BI466" s="50">
        <v>0</v>
      </c>
      <c r="BJ466" s="49">
        <v>0</v>
      </c>
      <c r="BK466" s="50">
        <v>0</v>
      </c>
      <c r="BL466" s="49">
        <v>31</v>
      </c>
      <c r="BM466" s="50">
        <v>100</v>
      </c>
      <c r="BN466" s="49">
        <v>31</v>
      </c>
    </row>
    <row r="467" spans="1:66" ht="15">
      <c r="A467" s="68" t="s">
        <v>393</v>
      </c>
      <c r="B467" s="68" t="s">
        <v>423</v>
      </c>
      <c r="C467" s="69" t="s">
        <v>5210</v>
      </c>
      <c r="D467" s="70">
        <v>10</v>
      </c>
      <c r="E467" s="71" t="s">
        <v>136</v>
      </c>
      <c r="F467" s="72">
        <v>10</v>
      </c>
      <c r="G467" s="69" t="s">
        <v>51</v>
      </c>
      <c r="H467" s="73"/>
      <c r="I467" s="74"/>
      <c r="J467" s="74"/>
      <c r="K467" s="35" t="s">
        <v>65</v>
      </c>
      <c r="L467" s="82">
        <v>467</v>
      </c>
      <c r="M467" s="82"/>
      <c r="N467" s="76"/>
      <c r="O467" s="84" t="s">
        <v>439</v>
      </c>
      <c r="P467" s="86">
        <v>44084.14059027778</v>
      </c>
      <c r="Q467" s="84" t="s">
        <v>459</v>
      </c>
      <c r="R467" s="84"/>
      <c r="S467" s="84"/>
      <c r="T467" s="84" t="s">
        <v>578</v>
      </c>
      <c r="U467" s="87" t="str">
        <f>HYPERLINK("https://pbs.twimg.com/media/EhZc5KGWoAIz_Wo.jpg")</f>
        <v>https://pbs.twimg.com/media/EhZc5KGWoAIz_Wo.jpg</v>
      </c>
      <c r="V467" s="87" t="str">
        <f>HYPERLINK("https://pbs.twimg.com/media/EhZc5KGWoAIz_Wo.jpg")</f>
        <v>https://pbs.twimg.com/media/EhZc5KGWoAIz_Wo.jpg</v>
      </c>
      <c r="W467" s="86">
        <v>44084.14059027778</v>
      </c>
      <c r="X467" s="90">
        <v>44084</v>
      </c>
      <c r="Y467" s="92" t="s">
        <v>905</v>
      </c>
      <c r="Z467" s="87" t="str">
        <f>HYPERLINK("https://twitter.com/llnuxbot/status/1303896590684360707")</f>
        <v>https://twitter.com/llnuxbot/status/1303896590684360707</v>
      </c>
      <c r="AA467" s="84"/>
      <c r="AB467" s="84"/>
      <c r="AC467" s="92" t="s">
        <v>1303</v>
      </c>
      <c r="AD467" s="84"/>
      <c r="AE467" s="84" t="b">
        <v>0</v>
      </c>
      <c r="AF467" s="84">
        <v>0</v>
      </c>
      <c r="AG467" s="92" t="s">
        <v>1453</v>
      </c>
      <c r="AH467" s="84" t="b">
        <v>0</v>
      </c>
      <c r="AI467" s="84" t="s">
        <v>1456</v>
      </c>
      <c r="AJ467" s="84"/>
      <c r="AK467" s="92" t="s">
        <v>1453</v>
      </c>
      <c r="AL467" s="84" t="b">
        <v>0</v>
      </c>
      <c r="AM467" s="84">
        <v>44</v>
      </c>
      <c r="AN467" s="92" t="s">
        <v>1428</v>
      </c>
      <c r="AO467" s="84" t="s">
        <v>1519</v>
      </c>
      <c r="AP467" s="84" t="b">
        <v>0</v>
      </c>
      <c r="AQ467" s="92" t="s">
        <v>1428</v>
      </c>
      <c r="AR467" s="84" t="s">
        <v>187</v>
      </c>
      <c r="AS467" s="84">
        <v>0</v>
      </c>
      <c r="AT467" s="84">
        <v>0</v>
      </c>
      <c r="AU467" s="84"/>
      <c r="AV467" s="84"/>
      <c r="AW467" s="84"/>
      <c r="AX467" s="84"/>
      <c r="AY467" s="84"/>
      <c r="AZ467" s="84"/>
      <c r="BA467" s="84"/>
      <c r="BB467" s="84"/>
      <c r="BC467">
        <v>8</v>
      </c>
      <c r="BD467" s="83" t="str">
        <f>REPLACE(INDEX(GroupVertices[Group],MATCH(Edges[[#This Row],[Vertex 1]],GroupVertices[Vertex],0)),1,1,"")</f>
        <v>1</v>
      </c>
      <c r="BE467" s="83" t="str">
        <f>REPLACE(INDEX(GroupVertices[Group],MATCH(Edges[[#This Row],[Vertex 2]],GroupVertices[Vertex],0)),1,1,"")</f>
        <v>1</v>
      </c>
      <c r="BF467" s="49">
        <v>0</v>
      </c>
      <c r="BG467" s="50">
        <v>0</v>
      </c>
      <c r="BH467" s="49">
        <v>0</v>
      </c>
      <c r="BI467" s="50">
        <v>0</v>
      </c>
      <c r="BJ467" s="49">
        <v>0</v>
      </c>
      <c r="BK467" s="50">
        <v>0</v>
      </c>
      <c r="BL467" s="49">
        <v>30</v>
      </c>
      <c r="BM467" s="50">
        <v>100</v>
      </c>
      <c r="BN467" s="49">
        <v>30</v>
      </c>
    </row>
    <row r="468" spans="1:66" ht="15">
      <c r="A468" s="68" t="s">
        <v>393</v>
      </c>
      <c r="B468" s="68" t="s">
        <v>423</v>
      </c>
      <c r="C468" s="69" t="s">
        <v>5210</v>
      </c>
      <c r="D468" s="70">
        <v>10</v>
      </c>
      <c r="E468" s="71" t="s">
        <v>136</v>
      </c>
      <c r="F468" s="72">
        <v>10</v>
      </c>
      <c r="G468" s="69" t="s">
        <v>51</v>
      </c>
      <c r="H468" s="73"/>
      <c r="I468" s="74"/>
      <c r="J468" s="74"/>
      <c r="K468" s="35" t="s">
        <v>65</v>
      </c>
      <c r="L468" s="82">
        <v>468</v>
      </c>
      <c r="M468" s="82"/>
      <c r="N468" s="76"/>
      <c r="O468" s="84" t="s">
        <v>439</v>
      </c>
      <c r="P468" s="86">
        <v>44084.74878472222</v>
      </c>
      <c r="Q468" s="84" t="s">
        <v>474</v>
      </c>
      <c r="R468" s="84"/>
      <c r="S468" s="84"/>
      <c r="T468" s="84" t="s">
        <v>591</v>
      </c>
      <c r="U468" s="87" t="str">
        <f>HYPERLINK("https://pbs.twimg.com/media/EhOErS9WAAUfUqQ.jpg")</f>
        <v>https://pbs.twimg.com/media/EhOErS9WAAUfUqQ.jpg</v>
      </c>
      <c r="V468" s="87" t="str">
        <f>HYPERLINK("https://pbs.twimg.com/media/EhOErS9WAAUfUqQ.jpg")</f>
        <v>https://pbs.twimg.com/media/EhOErS9WAAUfUqQ.jpg</v>
      </c>
      <c r="W468" s="86">
        <v>44084.74878472222</v>
      </c>
      <c r="X468" s="90">
        <v>44084</v>
      </c>
      <c r="Y468" s="92" t="s">
        <v>906</v>
      </c>
      <c r="Z468" s="87" t="str">
        <f>HYPERLINK("https://twitter.com/llnuxbot/status/1304116994300456961")</f>
        <v>https://twitter.com/llnuxbot/status/1304116994300456961</v>
      </c>
      <c r="AA468" s="84"/>
      <c r="AB468" s="84"/>
      <c r="AC468" s="92" t="s">
        <v>1304</v>
      </c>
      <c r="AD468" s="84"/>
      <c r="AE468" s="84" t="b">
        <v>0</v>
      </c>
      <c r="AF468" s="84">
        <v>0</v>
      </c>
      <c r="AG468" s="92" t="s">
        <v>1453</v>
      </c>
      <c r="AH468" s="84" t="b">
        <v>0</v>
      </c>
      <c r="AI468" s="84" t="s">
        <v>1456</v>
      </c>
      <c r="AJ468" s="84"/>
      <c r="AK468" s="92" t="s">
        <v>1453</v>
      </c>
      <c r="AL468" s="84" t="b">
        <v>0</v>
      </c>
      <c r="AM468" s="84">
        <v>55</v>
      </c>
      <c r="AN468" s="92" t="s">
        <v>1426</v>
      </c>
      <c r="AO468" s="84" t="s">
        <v>1519</v>
      </c>
      <c r="AP468" s="84" t="b">
        <v>0</v>
      </c>
      <c r="AQ468" s="92" t="s">
        <v>1426</v>
      </c>
      <c r="AR468" s="84" t="s">
        <v>187</v>
      </c>
      <c r="AS468" s="84">
        <v>0</v>
      </c>
      <c r="AT468" s="84">
        <v>0</v>
      </c>
      <c r="AU468" s="84"/>
      <c r="AV468" s="84"/>
      <c r="AW468" s="84"/>
      <c r="AX468" s="84"/>
      <c r="AY468" s="84"/>
      <c r="AZ468" s="84"/>
      <c r="BA468" s="84"/>
      <c r="BB468" s="84"/>
      <c r="BC468">
        <v>8</v>
      </c>
      <c r="BD468" s="83" t="str">
        <f>REPLACE(INDEX(GroupVertices[Group],MATCH(Edges[[#This Row],[Vertex 1]],GroupVertices[Vertex],0)),1,1,"")</f>
        <v>1</v>
      </c>
      <c r="BE468" s="83" t="str">
        <f>REPLACE(INDEX(GroupVertices[Group],MATCH(Edges[[#This Row],[Vertex 2]],GroupVertices[Vertex],0)),1,1,"")</f>
        <v>1</v>
      </c>
      <c r="BF468" s="49">
        <v>0</v>
      </c>
      <c r="BG468" s="50">
        <v>0</v>
      </c>
      <c r="BH468" s="49">
        <v>0</v>
      </c>
      <c r="BI468" s="50">
        <v>0</v>
      </c>
      <c r="BJ468" s="49">
        <v>0</v>
      </c>
      <c r="BK468" s="50">
        <v>0</v>
      </c>
      <c r="BL468" s="49">
        <v>31</v>
      </c>
      <c r="BM468" s="50">
        <v>100</v>
      </c>
      <c r="BN468" s="49">
        <v>31</v>
      </c>
    </row>
    <row r="469" spans="1:66" ht="15">
      <c r="A469" s="68" t="s">
        <v>393</v>
      </c>
      <c r="B469" s="68" t="s">
        <v>390</v>
      </c>
      <c r="C469" s="69" t="s">
        <v>5210</v>
      </c>
      <c r="D469" s="70">
        <v>10</v>
      </c>
      <c r="E469" s="71" t="s">
        <v>132</v>
      </c>
      <c r="F469" s="72">
        <v>10</v>
      </c>
      <c r="G469" s="69" t="s">
        <v>51</v>
      </c>
      <c r="H469" s="73"/>
      <c r="I469" s="74"/>
      <c r="J469" s="74"/>
      <c r="K469" s="35" t="s">
        <v>65</v>
      </c>
      <c r="L469" s="82">
        <v>469</v>
      </c>
      <c r="M469" s="82"/>
      <c r="N469" s="76"/>
      <c r="O469" s="84" t="s">
        <v>439</v>
      </c>
      <c r="P469" s="86">
        <v>44084.77391203704</v>
      </c>
      <c r="Q469" s="84" t="s">
        <v>481</v>
      </c>
      <c r="R469" s="87" t="str">
        <f>HYPERLINK("https://www.aitrends.com/ai-research/covid-19-ai-update-nih-developing-imaging-tools/")</f>
        <v>https://www.aitrends.com/ai-research/covid-19-ai-update-nih-developing-imaging-tools/</v>
      </c>
      <c r="S469" s="84" t="s">
        <v>548</v>
      </c>
      <c r="T469" s="84" t="s">
        <v>597</v>
      </c>
      <c r="U469" s="84"/>
      <c r="V469" s="87" t="str">
        <f>HYPERLINK("http://pbs.twimg.com/profile_images/1190727216885358597/OoGENW9l_normal.jpg")</f>
        <v>http://pbs.twimg.com/profile_images/1190727216885358597/OoGENW9l_normal.jpg</v>
      </c>
      <c r="W469" s="86">
        <v>44084.77391203704</v>
      </c>
      <c r="X469" s="90">
        <v>44084</v>
      </c>
      <c r="Y469" s="92" t="s">
        <v>907</v>
      </c>
      <c r="Z469" s="87" t="str">
        <f>HYPERLINK("https://twitter.com/llnuxbot/status/1304126102118432768")</f>
        <v>https://twitter.com/llnuxbot/status/1304126102118432768</v>
      </c>
      <c r="AA469" s="84"/>
      <c r="AB469" s="84"/>
      <c r="AC469" s="92" t="s">
        <v>1305</v>
      </c>
      <c r="AD469" s="84"/>
      <c r="AE469" s="84" t="b">
        <v>0</v>
      </c>
      <c r="AF469" s="84">
        <v>0</v>
      </c>
      <c r="AG469" s="92" t="s">
        <v>1453</v>
      </c>
      <c r="AH469" s="84" t="b">
        <v>0</v>
      </c>
      <c r="AI469" s="84" t="s">
        <v>1456</v>
      </c>
      <c r="AJ469" s="84"/>
      <c r="AK469" s="92" t="s">
        <v>1453</v>
      </c>
      <c r="AL469" s="84" t="b">
        <v>0</v>
      </c>
      <c r="AM469" s="84">
        <v>17</v>
      </c>
      <c r="AN469" s="92" t="s">
        <v>1405</v>
      </c>
      <c r="AO469" s="84" t="s">
        <v>1519</v>
      </c>
      <c r="AP469" s="84" t="b">
        <v>0</v>
      </c>
      <c r="AQ469" s="92" t="s">
        <v>1405</v>
      </c>
      <c r="AR469" s="84" t="s">
        <v>187</v>
      </c>
      <c r="AS469" s="84">
        <v>0</v>
      </c>
      <c r="AT469" s="84">
        <v>0</v>
      </c>
      <c r="AU469" s="84"/>
      <c r="AV469" s="84"/>
      <c r="AW469" s="84"/>
      <c r="AX469" s="84"/>
      <c r="AY469" s="84"/>
      <c r="AZ469" s="84"/>
      <c r="BA469" s="84"/>
      <c r="BB469" s="84"/>
      <c r="BC469">
        <v>3</v>
      </c>
      <c r="BD469" s="83" t="str">
        <f>REPLACE(INDEX(GroupVertices[Group],MATCH(Edges[[#This Row],[Vertex 1]],GroupVertices[Vertex],0)),1,1,"")</f>
        <v>1</v>
      </c>
      <c r="BE469" s="83" t="str">
        <f>REPLACE(INDEX(GroupVertices[Group],MATCH(Edges[[#This Row],[Vertex 2]],GroupVertices[Vertex],0)),1,1,"")</f>
        <v>1</v>
      </c>
      <c r="BF469" s="49">
        <v>0</v>
      </c>
      <c r="BG469" s="50">
        <v>0</v>
      </c>
      <c r="BH469" s="49">
        <v>0</v>
      </c>
      <c r="BI469" s="50">
        <v>0</v>
      </c>
      <c r="BJ469" s="49">
        <v>0</v>
      </c>
      <c r="BK469" s="50">
        <v>0</v>
      </c>
      <c r="BL469" s="49">
        <v>28</v>
      </c>
      <c r="BM469" s="50">
        <v>100</v>
      </c>
      <c r="BN469" s="49">
        <v>28</v>
      </c>
    </row>
    <row r="470" spans="1:66" ht="15">
      <c r="A470" s="68" t="s">
        <v>393</v>
      </c>
      <c r="B470" s="68" t="s">
        <v>435</v>
      </c>
      <c r="C470" s="69" t="s">
        <v>5208</v>
      </c>
      <c r="D470" s="70">
        <v>1</v>
      </c>
      <c r="E470" s="71" t="s">
        <v>132</v>
      </c>
      <c r="F470" s="72">
        <v>32</v>
      </c>
      <c r="G470" s="69" t="s">
        <v>51</v>
      </c>
      <c r="H470" s="73"/>
      <c r="I470" s="74"/>
      <c r="J470" s="74"/>
      <c r="K470" s="35" t="s">
        <v>65</v>
      </c>
      <c r="L470" s="82">
        <v>470</v>
      </c>
      <c r="M470" s="82"/>
      <c r="N470" s="76"/>
      <c r="O470" s="84" t="s">
        <v>440</v>
      </c>
      <c r="P470" s="86">
        <v>44086.36671296296</v>
      </c>
      <c r="Q470" s="84" t="s">
        <v>484</v>
      </c>
      <c r="R470" s="87" t="str">
        <f>HYPERLINK("https://www.weforum.org/agenda/2020/09/prevent-post-covid-carmageddon")</f>
        <v>https://www.weforum.org/agenda/2020/09/prevent-post-covid-carmageddon</v>
      </c>
      <c r="S470" s="84" t="s">
        <v>549</v>
      </c>
      <c r="T470" s="84" t="s">
        <v>600</v>
      </c>
      <c r="U470" s="84"/>
      <c r="V470" s="87" t="str">
        <f>HYPERLINK("http://pbs.twimg.com/profile_images/1190727216885358597/OoGENW9l_normal.jpg")</f>
        <v>http://pbs.twimg.com/profile_images/1190727216885358597/OoGENW9l_normal.jpg</v>
      </c>
      <c r="W470" s="86">
        <v>44086.36671296296</v>
      </c>
      <c r="X470" s="90">
        <v>44086</v>
      </c>
      <c r="Y470" s="92" t="s">
        <v>772</v>
      </c>
      <c r="Z470" s="87" t="str">
        <f>HYPERLINK("https://twitter.com/llnuxbot/status/1304703313145864192")</f>
        <v>https://twitter.com/llnuxbot/status/1304703313145864192</v>
      </c>
      <c r="AA470" s="84"/>
      <c r="AB470" s="84"/>
      <c r="AC470" s="92" t="s">
        <v>1306</v>
      </c>
      <c r="AD470" s="84"/>
      <c r="AE470" s="84" t="b">
        <v>0</v>
      </c>
      <c r="AF470" s="84">
        <v>0</v>
      </c>
      <c r="AG470" s="92" t="s">
        <v>1453</v>
      </c>
      <c r="AH470" s="84" t="b">
        <v>0</v>
      </c>
      <c r="AI470" s="84" t="s">
        <v>1456</v>
      </c>
      <c r="AJ470" s="84"/>
      <c r="AK470" s="92" t="s">
        <v>1453</v>
      </c>
      <c r="AL470" s="84" t="b">
        <v>0</v>
      </c>
      <c r="AM470" s="84">
        <v>36</v>
      </c>
      <c r="AN470" s="92" t="s">
        <v>1401</v>
      </c>
      <c r="AO470" s="84" t="s">
        <v>1519</v>
      </c>
      <c r="AP470" s="84" t="b">
        <v>0</v>
      </c>
      <c r="AQ470" s="92" t="s">
        <v>1401</v>
      </c>
      <c r="AR470" s="84" t="s">
        <v>187</v>
      </c>
      <c r="AS470" s="84">
        <v>0</v>
      </c>
      <c r="AT470" s="84">
        <v>0</v>
      </c>
      <c r="AU470" s="84"/>
      <c r="AV470" s="84"/>
      <c r="AW470" s="84"/>
      <c r="AX470" s="84"/>
      <c r="AY470" s="84"/>
      <c r="AZ470" s="84"/>
      <c r="BA470" s="84"/>
      <c r="BB470" s="84"/>
      <c r="BC470">
        <v>1</v>
      </c>
      <c r="BD470" s="83" t="str">
        <f>REPLACE(INDEX(GroupVertices[Group],MATCH(Edges[[#This Row],[Vertex 1]],GroupVertices[Vertex],0)),1,1,"")</f>
        <v>1</v>
      </c>
      <c r="BE470" s="83" t="str">
        <f>REPLACE(INDEX(GroupVertices[Group],MATCH(Edges[[#This Row],[Vertex 2]],GroupVertices[Vertex],0)),1,1,"")</f>
        <v>1</v>
      </c>
      <c r="BF470" s="49"/>
      <c r="BG470" s="50"/>
      <c r="BH470" s="49"/>
      <c r="BI470" s="50"/>
      <c r="BJ470" s="49"/>
      <c r="BK470" s="50"/>
      <c r="BL470" s="49"/>
      <c r="BM470" s="50"/>
      <c r="BN470" s="49"/>
    </row>
    <row r="471" spans="1:66" ht="15">
      <c r="A471" s="68" t="s">
        <v>393</v>
      </c>
      <c r="B471" s="68" t="s">
        <v>390</v>
      </c>
      <c r="C471" s="69" t="s">
        <v>5210</v>
      </c>
      <c r="D471" s="70">
        <v>10</v>
      </c>
      <c r="E471" s="71" t="s">
        <v>132</v>
      </c>
      <c r="F471" s="72">
        <v>10</v>
      </c>
      <c r="G471" s="69" t="s">
        <v>51</v>
      </c>
      <c r="H471" s="73"/>
      <c r="I471" s="74"/>
      <c r="J471" s="74"/>
      <c r="K471" s="35" t="s">
        <v>65</v>
      </c>
      <c r="L471" s="82">
        <v>471</v>
      </c>
      <c r="M471" s="82"/>
      <c r="N471" s="76"/>
      <c r="O471" s="84" t="s">
        <v>439</v>
      </c>
      <c r="P471" s="86">
        <v>44086.36671296296</v>
      </c>
      <c r="Q471" s="84" t="s">
        <v>484</v>
      </c>
      <c r="R471" s="87" t="str">
        <f>HYPERLINK("https://www.weforum.org/agenda/2020/09/prevent-post-covid-carmageddon")</f>
        <v>https://www.weforum.org/agenda/2020/09/prevent-post-covid-carmageddon</v>
      </c>
      <c r="S471" s="84" t="s">
        <v>549</v>
      </c>
      <c r="T471" s="84" t="s">
        <v>600</v>
      </c>
      <c r="U471" s="84"/>
      <c r="V471" s="87" t="str">
        <f>HYPERLINK("http://pbs.twimg.com/profile_images/1190727216885358597/OoGENW9l_normal.jpg")</f>
        <v>http://pbs.twimg.com/profile_images/1190727216885358597/OoGENW9l_normal.jpg</v>
      </c>
      <c r="W471" s="86">
        <v>44086.36671296296</v>
      </c>
      <c r="X471" s="90">
        <v>44086</v>
      </c>
      <c r="Y471" s="92" t="s">
        <v>772</v>
      </c>
      <c r="Z471" s="87" t="str">
        <f>HYPERLINK("https://twitter.com/llnuxbot/status/1304703313145864192")</f>
        <v>https://twitter.com/llnuxbot/status/1304703313145864192</v>
      </c>
      <c r="AA471" s="84"/>
      <c r="AB471" s="84"/>
      <c r="AC471" s="92" t="s">
        <v>1306</v>
      </c>
      <c r="AD471" s="84"/>
      <c r="AE471" s="84" t="b">
        <v>0</v>
      </c>
      <c r="AF471" s="84">
        <v>0</v>
      </c>
      <c r="AG471" s="92" t="s">
        <v>1453</v>
      </c>
      <c r="AH471" s="84" t="b">
        <v>0</v>
      </c>
      <c r="AI471" s="84" t="s">
        <v>1456</v>
      </c>
      <c r="AJ471" s="84"/>
      <c r="AK471" s="92" t="s">
        <v>1453</v>
      </c>
      <c r="AL471" s="84" t="b">
        <v>0</v>
      </c>
      <c r="AM471" s="84">
        <v>36</v>
      </c>
      <c r="AN471" s="92" t="s">
        <v>1401</v>
      </c>
      <c r="AO471" s="84" t="s">
        <v>1519</v>
      </c>
      <c r="AP471" s="84" t="b">
        <v>0</v>
      </c>
      <c r="AQ471" s="92" t="s">
        <v>1401</v>
      </c>
      <c r="AR471" s="84" t="s">
        <v>187</v>
      </c>
      <c r="AS471" s="84">
        <v>0</v>
      </c>
      <c r="AT471" s="84">
        <v>0</v>
      </c>
      <c r="AU471" s="84"/>
      <c r="AV471" s="84"/>
      <c r="AW471" s="84"/>
      <c r="AX471" s="84"/>
      <c r="AY471" s="84"/>
      <c r="AZ471" s="84"/>
      <c r="BA471" s="84"/>
      <c r="BB471" s="84"/>
      <c r="BC471">
        <v>3</v>
      </c>
      <c r="BD471" s="83" t="str">
        <f>REPLACE(INDEX(GroupVertices[Group],MATCH(Edges[[#This Row],[Vertex 1]],GroupVertices[Vertex],0)),1,1,"")</f>
        <v>1</v>
      </c>
      <c r="BE471" s="83" t="str">
        <f>REPLACE(INDEX(GroupVertices[Group],MATCH(Edges[[#This Row],[Vertex 2]],GroupVertices[Vertex],0)),1,1,"")</f>
        <v>1</v>
      </c>
      <c r="BF471" s="49">
        <v>0</v>
      </c>
      <c r="BG471" s="50">
        <v>0</v>
      </c>
      <c r="BH471" s="49">
        <v>0</v>
      </c>
      <c r="BI471" s="50">
        <v>0</v>
      </c>
      <c r="BJ471" s="49">
        <v>0</v>
      </c>
      <c r="BK471" s="50">
        <v>0</v>
      </c>
      <c r="BL471" s="49">
        <v>31</v>
      </c>
      <c r="BM471" s="50">
        <v>100</v>
      </c>
      <c r="BN471" s="49">
        <v>31</v>
      </c>
    </row>
    <row r="472" spans="1:66" ht="15">
      <c r="A472" s="68" t="s">
        <v>393</v>
      </c>
      <c r="B472" s="68" t="s">
        <v>436</v>
      </c>
      <c r="C472" s="69" t="s">
        <v>5209</v>
      </c>
      <c r="D472" s="70">
        <v>6.678367782143116</v>
      </c>
      <c r="E472" s="71" t="s">
        <v>132</v>
      </c>
      <c r="F472" s="72">
        <v>21</v>
      </c>
      <c r="G472" s="69" t="s">
        <v>51</v>
      </c>
      <c r="H472" s="73"/>
      <c r="I472" s="74"/>
      <c r="J472" s="74"/>
      <c r="K472" s="35" t="s">
        <v>65</v>
      </c>
      <c r="L472" s="82">
        <v>472</v>
      </c>
      <c r="M472" s="82"/>
      <c r="N472" s="76"/>
      <c r="O472" s="84" t="s">
        <v>440</v>
      </c>
      <c r="P472" s="86">
        <v>44087.115</v>
      </c>
      <c r="Q472" s="84" t="s">
        <v>490</v>
      </c>
      <c r="R472" s="87" t="str">
        <f>HYPERLINK("https://online-learning.harvard.edu/catalog")</f>
        <v>https://online-learning.harvard.edu/catalog</v>
      </c>
      <c r="S472" s="84" t="s">
        <v>551</v>
      </c>
      <c r="T472" s="84" t="s">
        <v>606</v>
      </c>
      <c r="U472" s="84"/>
      <c r="V472" s="87" t="str">
        <f>HYPERLINK("http://pbs.twimg.com/profile_images/1190727216885358597/OoGENW9l_normal.jpg")</f>
        <v>http://pbs.twimg.com/profile_images/1190727216885358597/OoGENW9l_normal.jpg</v>
      </c>
      <c r="W472" s="86">
        <v>44087.115</v>
      </c>
      <c r="X472" s="90">
        <v>44087</v>
      </c>
      <c r="Y472" s="92" t="s">
        <v>908</v>
      </c>
      <c r="Z472" s="87" t="str">
        <f>HYPERLINK("https://twitter.com/llnuxbot/status/1304974484185559040")</f>
        <v>https://twitter.com/llnuxbot/status/1304974484185559040</v>
      </c>
      <c r="AA472" s="84"/>
      <c r="AB472" s="84"/>
      <c r="AC472" s="92" t="s">
        <v>1307</v>
      </c>
      <c r="AD472" s="84"/>
      <c r="AE472" s="84" t="b">
        <v>0</v>
      </c>
      <c r="AF472" s="84">
        <v>0</v>
      </c>
      <c r="AG472" s="92" t="s">
        <v>1453</v>
      </c>
      <c r="AH472" s="84" t="b">
        <v>0</v>
      </c>
      <c r="AI472" s="84" t="s">
        <v>1456</v>
      </c>
      <c r="AJ472" s="84"/>
      <c r="AK472" s="92" t="s">
        <v>1453</v>
      </c>
      <c r="AL472" s="84" t="b">
        <v>0</v>
      </c>
      <c r="AM472" s="84">
        <v>449</v>
      </c>
      <c r="AN472" s="92" t="s">
        <v>1406</v>
      </c>
      <c r="AO472" s="84" t="s">
        <v>1519</v>
      </c>
      <c r="AP472" s="84" t="b">
        <v>0</v>
      </c>
      <c r="AQ472" s="92" t="s">
        <v>1406</v>
      </c>
      <c r="AR472" s="84" t="s">
        <v>187</v>
      </c>
      <c r="AS472" s="84">
        <v>0</v>
      </c>
      <c r="AT472" s="84">
        <v>0</v>
      </c>
      <c r="AU472" s="84"/>
      <c r="AV472" s="84"/>
      <c r="AW472" s="84"/>
      <c r="AX472" s="84"/>
      <c r="AY472" s="84"/>
      <c r="AZ472" s="84"/>
      <c r="BA472" s="84"/>
      <c r="BB472" s="84"/>
      <c r="BC472">
        <v>2</v>
      </c>
      <c r="BD472" s="83" t="str">
        <f>REPLACE(INDEX(GroupVertices[Group],MATCH(Edges[[#This Row],[Vertex 1]],GroupVertices[Vertex],0)),1,1,"")</f>
        <v>1</v>
      </c>
      <c r="BE472" s="83" t="str">
        <f>REPLACE(INDEX(GroupVertices[Group],MATCH(Edges[[#This Row],[Vertex 2]],GroupVertices[Vertex],0)),1,1,"")</f>
        <v>1</v>
      </c>
      <c r="BF472" s="49"/>
      <c r="BG472" s="50"/>
      <c r="BH472" s="49"/>
      <c r="BI472" s="50"/>
      <c r="BJ472" s="49"/>
      <c r="BK472" s="50"/>
      <c r="BL472" s="49"/>
      <c r="BM472" s="50"/>
      <c r="BN472" s="49"/>
    </row>
    <row r="473" spans="1:66" ht="15">
      <c r="A473" s="68" t="s">
        <v>393</v>
      </c>
      <c r="B473" s="68" t="s">
        <v>418</v>
      </c>
      <c r="C473" s="69" t="s">
        <v>5209</v>
      </c>
      <c r="D473" s="70">
        <v>6.678367782143116</v>
      </c>
      <c r="E473" s="71" t="s">
        <v>132</v>
      </c>
      <c r="F473" s="72">
        <v>21</v>
      </c>
      <c r="G473" s="69" t="s">
        <v>51</v>
      </c>
      <c r="H473" s="73"/>
      <c r="I473" s="74"/>
      <c r="J473" s="74"/>
      <c r="K473" s="35" t="s">
        <v>65</v>
      </c>
      <c r="L473" s="82">
        <v>473</v>
      </c>
      <c r="M473" s="82"/>
      <c r="N473" s="76"/>
      <c r="O473" s="84" t="s">
        <v>439</v>
      </c>
      <c r="P473" s="86">
        <v>44087.115</v>
      </c>
      <c r="Q473" s="84" t="s">
        <v>490</v>
      </c>
      <c r="R473" s="87" t="str">
        <f>HYPERLINK("https://online-learning.harvard.edu/catalog")</f>
        <v>https://online-learning.harvard.edu/catalog</v>
      </c>
      <c r="S473" s="84" t="s">
        <v>551</v>
      </c>
      <c r="T473" s="84" t="s">
        <v>606</v>
      </c>
      <c r="U473" s="84"/>
      <c r="V473" s="87" t="str">
        <f>HYPERLINK("http://pbs.twimg.com/profile_images/1190727216885358597/OoGENW9l_normal.jpg")</f>
        <v>http://pbs.twimg.com/profile_images/1190727216885358597/OoGENW9l_normal.jpg</v>
      </c>
      <c r="W473" s="86">
        <v>44087.115</v>
      </c>
      <c r="X473" s="90">
        <v>44087</v>
      </c>
      <c r="Y473" s="92" t="s">
        <v>908</v>
      </c>
      <c r="Z473" s="87" t="str">
        <f>HYPERLINK("https://twitter.com/llnuxbot/status/1304974484185559040")</f>
        <v>https://twitter.com/llnuxbot/status/1304974484185559040</v>
      </c>
      <c r="AA473" s="84"/>
      <c r="AB473" s="84"/>
      <c r="AC473" s="92" t="s">
        <v>1307</v>
      </c>
      <c r="AD473" s="84"/>
      <c r="AE473" s="84" t="b">
        <v>0</v>
      </c>
      <c r="AF473" s="84">
        <v>0</v>
      </c>
      <c r="AG473" s="92" t="s">
        <v>1453</v>
      </c>
      <c r="AH473" s="84" t="b">
        <v>0</v>
      </c>
      <c r="AI473" s="84" t="s">
        <v>1456</v>
      </c>
      <c r="AJ473" s="84"/>
      <c r="AK473" s="92" t="s">
        <v>1453</v>
      </c>
      <c r="AL473" s="84" t="b">
        <v>0</v>
      </c>
      <c r="AM473" s="84">
        <v>449</v>
      </c>
      <c r="AN473" s="92" t="s">
        <v>1406</v>
      </c>
      <c r="AO473" s="84" t="s">
        <v>1519</v>
      </c>
      <c r="AP473" s="84" t="b">
        <v>0</v>
      </c>
      <c r="AQ473" s="92" t="s">
        <v>1406</v>
      </c>
      <c r="AR473" s="84" t="s">
        <v>187</v>
      </c>
      <c r="AS473" s="84">
        <v>0</v>
      </c>
      <c r="AT473" s="84">
        <v>0</v>
      </c>
      <c r="AU473" s="84"/>
      <c r="AV473" s="84"/>
      <c r="AW473" s="84"/>
      <c r="AX473" s="84"/>
      <c r="AY473" s="84"/>
      <c r="AZ473" s="84"/>
      <c r="BA473" s="84"/>
      <c r="BB473" s="84"/>
      <c r="BC473">
        <v>2</v>
      </c>
      <c r="BD473" s="83" t="str">
        <f>REPLACE(INDEX(GroupVertices[Group],MATCH(Edges[[#This Row],[Vertex 1]],GroupVertices[Vertex],0)),1,1,"")</f>
        <v>1</v>
      </c>
      <c r="BE473" s="83" t="str">
        <f>REPLACE(INDEX(GroupVertices[Group],MATCH(Edges[[#This Row],[Vertex 2]],GroupVertices[Vertex],0)),1,1,"")</f>
        <v>1</v>
      </c>
      <c r="BF473" s="49">
        <v>0</v>
      </c>
      <c r="BG473" s="50">
        <v>0</v>
      </c>
      <c r="BH473" s="49">
        <v>0</v>
      </c>
      <c r="BI473" s="50">
        <v>0</v>
      </c>
      <c r="BJ473" s="49">
        <v>0</v>
      </c>
      <c r="BK473" s="50">
        <v>0</v>
      </c>
      <c r="BL473" s="49">
        <v>25</v>
      </c>
      <c r="BM473" s="50">
        <v>100</v>
      </c>
      <c r="BN473" s="49">
        <v>25</v>
      </c>
    </row>
    <row r="474" spans="1:66" ht="15">
      <c r="A474" s="68" t="s">
        <v>393</v>
      </c>
      <c r="B474" s="68" t="s">
        <v>423</v>
      </c>
      <c r="C474" s="69" t="s">
        <v>5210</v>
      </c>
      <c r="D474" s="70">
        <v>10</v>
      </c>
      <c r="E474" s="71" t="s">
        <v>136</v>
      </c>
      <c r="F474" s="72">
        <v>10</v>
      </c>
      <c r="G474" s="69" t="s">
        <v>51</v>
      </c>
      <c r="H474" s="73"/>
      <c r="I474" s="74"/>
      <c r="J474" s="74"/>
      <c r="K474" s="35" t="s">
        <v>65</v>
      </c>
      <c r="L474" s="82">
        <v>474</v>
      </c>
      <c r="M474" s="82"/>
      <c r="N474" s="76"/>
      <c r="O474" s="84" t="s">
        <v>439</v>
      </c>
      <c r="P474" s="86">
        <v>44087.731990740744</v>
      </c>
      <c r="Q474" s="84" t="s">
        <v>494</v>
      </c>
      <c r="R474" s="87" t="str">
        <f>HYPERLINK("https://twitter.com/RadioSilentplay/status/1294087895364636672")</f>
        <v>https://twitter.com/RadioSilentplay/status/1294087895364636672</v>
      </c>
      <c r="S474" s="84" t="s">
        <v>553</v>
      </c>
      <c r="T474" s="84" t="s">
        <v>576</v>
      </c>
      <c r="U474" s="87" t="str">
        <f>HYPERLINK("https://pbs.twimg.com/media/EfYggXsXYAEbRme.jpg")</f>
        <v>https://pbs.twimg.com/media/EfYggXsXYAEbRme.jpg</v>
      </c>
      <c r="V474" s="87" t="str">
        <f>HYPERLINK("https://pbs.twimg.com/media/EfYggXsXYAEbRme.jpg")</f>
        <v>https://pbs.twimg.com/media/EfYggXsXYAEbRme.jpg</v>
      </c>
      <c r="W474" s="86">
        <v>44087.731990740744</v>
      </c>
      <c r="X474" s="90">
        <v>44087</v>
      </c>
      <c r="Y474" s="92" t="s">
        <v>909</v>
      </c>
      <c r="Z474" s="87" t="str">
        <f>HYPERLINK("https://twitter.com/llnuxbot/status/1305198073899937792")</f>
        <v>https://twitter.com/llnuxbot/status/1305198073899937792</v>
      </c>
      <c r="AA474" s="84"/>
      <c r="AB474" s="84"/>
      <c r="AC474" s="92" t="s">
        <v>1308</v>
      </c>
      <c r="AD474" s="84"/>
      <c r="AE474" s="84" t="b">
        <v>0</v>
      </c>
      <c r="AF474" s="84">
        <v>0</v>
      </c>
      <c r="AG474" s="92" t="s">
        <v>1453</v>
      </c>
      <c r="AH474" s="84" t="b">
        <v>1</v>
      </c>
      <c r="AI474" s="84" t="s">
        <v>1456</v>
      </c>
      <c r="AJ474" s="84"/>
      <c r="AK474" s="92" t="s">
        <v>1463</v>
      </c>
      <c r="AL474" s="84" t="b">
        <v>0</v>
      </c>
      <c r="AM474" s="84">
        <v>50</v>
      </c>
      <c r="AN474" s="92" t="s">
        <v>1427</v>
      </c>
      <c r="AO474" s="84" t="s">
        <v>1519</v>
      </c>
      <c r="AP474" s="84" t="b">
        <v>0</v>
      </c>
      <c r="AQ474" s="92" t="s">
        <v>1427</v>
      </c>
      <c r="AR474" s="84" t="s">
        <v>187</v>
      </c>
      <c r="AS474" s="84">
        <v>0</v>
      </c>
      <c r="AT474" s="84">
        <v>0</v>
      </c>
      <c r="AU474" s="84"/>
      <c r="AV474" s="84"/>
      <c r="AW474" s="84"/>
      <c r="AX474" s="84"/>
      <c r="AY474" s="84"/>
      <c r="AZ474" s="84"/>
      <c r="BA474" s="84"/>
      <c r="BB474" s="84"/>
      <c r="BC474">
        <v>8</v>
      </c>
      <c r="BD474" s="83" t="str">
        <f>REPLACE(INDEX(GroupVertices[Group],MATCH(Edges[[#This Row],[Vertex 1]],GroupVertices[Vertex],0)),1,1,"")</f>
        <v>1</v>
      </c>
      <c r="BE474" s="83" t="str">
        <f>REPLACE(INDEX(GroupVertices[Group],MATCH(Edges[[#This Row],[Vertex 2]],GroupVertices[Vertex],0)),1,1,"")</f>
        <v>1</v>
      </c>
      <c r="BF474" s="49">
        <v>0</v>
      </c>
      <c r="BG474" s="50">
        <v>0</v>
      </c>
      <c r="BH474" s="49">
        <v>0</v>
      </c>
      <c r="BI474" s="50">
        <v>0</v>
      </c>
      <c r="BJ474" s="49">
        <v>0</v>
      </c>
      <c r="BK474" s="50">
        <v>0</v>
      </c>
      <c r="BL474" s="49">
        <v>34</v>
      </c>
      <c r="BM474" s="50">
        <v>100</v>
      </c>
      <c r="BN474" s="49">
        <v>34</v>
      </c>
    </row>
    <row r="475" spans="1:66" ht="15">
      <c r="A475" s="68" t="s">
        <v>393</v>
      </c>
      <c r="B475" s="68" t="s">
        <v>436</v>
      </c>
      <c r="C475" s="69" t="s">
        <v>5209</v>
      </c>
      <c r="D475" s="70">
        <v>6.678367782143116</v>
      </c>
      <c r="E475" s="71" t="s">
        <v>132</v>
      </c>
      <c r="F475" s="72">
        <v>21</v>
      </c>
      <c r="G475" s="69" t="s">
        <v>51</v>
      </c>
      <c r="H475" s="73"/>
      <c r="I475" s="74"/>
      <c r="J475" s="74"/>
      <c r="K475" s="35" t="s">
        <v>65</v>
      </c>
      <c r="L475" s="82">
        <v>475</v>
      </c>
      <c r="M475" s="82"/>
      <c r="N475" s="76"/>
      <c r="O475" s="84" t="s">
        <v>440</v>
      </c>
      <c r="P475" s="86">
        <v>44088.72238425926</v>
      </c>
      <c r="Q475" s="84" t="s">
        <v>490</v>
      </c>
      <c r="R475" s="87" t="str">
        <f>HYPERLINK("https://online-learning.harvard.edu/catalog")</f>
        <v>https://online-learning.harvard.edu/catalog</v>
      </c>
      <c r="S475" s="84" t="s">
        <v>551</v>
      </c>
      <c r="T475" s="84" t="s">
        <v>606</v>
      </c>
      <c r="U475" s="84"/>
      <c r="V475" s="87" t="str">
        <f>HYPERLINK("http://pbs.twimg.com/profile_images/1190727216885358597/OoGENW9l_normal.jpg")</f>
        <v>http://pbs.twimg.com/profile_images/1190727216885358597/OoGENW9l_normal.jpg</v>
      </c>
      <c r="W475" s="86">
        <v>44088.72238425926</v>
      </c>
      <c r="X475" s="90">
        <v>44088</v>
      </c>
      <c r="Y475" s="92" t="s">
        <v>910</v>
      </c>
      <c r="Z475" s="87" t="str">
        <f>HYPERLINK("https://twitter.com/llnuxbot/status/1305556979742470145")</f>
        <v>https://twitter.com/llnuxbot/status/1305556979742470145</v>
      </c>
      <c r="AA475" s="84"/>
      <c r="AB475" s="84"/>
      <c r="AC475" s="92" t="s">
        <v>1309</v>
      </c>
      <c r="AD475" s="84"/>
      <c r="AE475" s="84" t="b">
        <v>0</v>
      </c>
      <c r="AF475" s="84">
        <v>0</v>
      </c>
      <c r="AG475" s="92" t="s">
        <v>1453</v>
      </c>
      <c r="AH475" s="84" t="b">
        <v>0</v>
      </c>
      <c r="AI475" s="84" t="s">
        <v>1456</v>
      </c>
      <c r="AJ475" s="84"/>
      <c r="AK475" s="92" t="s">
        <v>1453</v>
      </c>
      <c r="AL475" s="84" t="b">
        <v>0</v>
      </c>
      <c r="AM475" s="84">
        <v>449</v>
      </c>
      <c r="AN475" s="92" t="s">
        <v>1406</v>
      </c>
      <c r="AO475" s="84" t="s">
        <v>1519</v>
      </c>
      <c r="AP475" s="84" t="b">
        <v>0</v>
      </c>
      <c r="AQ475" s="92" t="s">
        <v>1406</v>
      </c>
      <c r="AR475" s="84" t="s">
        <v>187</v>
      </c>
      <c r="AS475" s="84">
        <v>0</v>
      </c>
      <c r="AT475" s="84">
        <v>0</v>
      </c>
      <c r="AU475" s="84"/>
      <c r="AV475" s="84"/>
      <c r="AW475" s="84"/>
      <c r="AX475" s="84"/>
      <c r="AY475" s="84"/>
      <c r="AZ475" s="84"/>
      <c r="BA475" s="84"/>
      <c r="BB475" s="84"/>
      <c r="BC475">
        <v>2</v>
      </c>
      <c r="BD475" s="83" t="str">
        <f>REPLACE(INDEX(GroupVertices[Group],MATCH(Edges[[#This Row],[Vertex 1]],GroupVertices[Vertex],0)),1,1,"")</f>
        <v>1</v>
      </c>
      <c r="BE475" s="83" t="str">
        <f>REPLACE(INDEX(GroupVertices[Group],MATCH(Edges[[#This Row],[Vertex 2]],GroupVertices[Vertex],0)),1,1,"")</f>
        <v>1</v>
      </c>
      <c r="BF475" s="49"/>
      <c r="BG475" s="50"/>
      <c r="BH475" s="49"/>
      <c r="BI475" s="50"/>
      <c r="BJ475" s="49"/>
      <c r="BK475" s="50"/>
      <c r="BL475" s="49"/>
      <c r="BM475" s="50"/>
      <c r="BN475" s="49"/>
    </row>
    <row r="476" spans="1:66" ht="15">
      <c r="A476" s="68" t="s">
        <v>393</v>
      </c>
      <c r="B476" s="68" t="s">
        <v>418</v>
      </c>
      <c r="C476" s="69" t="s">
        <v>5209</v>
      </c>
      <c r="D476" s="70">
        <v>6.678367782143116</v>
      </c>
      <c r="E476" s="71" t="s">
        <v>132</v>
      </c>
      <c r="F476" s="72">
        <v>21</v>
      </c>
      <c r="G476" s="69" t="s">
        <v>51</v>
      </c>
      <c r="H476" s="73"/>
      <c r="I476" s="74"/>
      <c r="J476" s="74"/>
      <c r="K476" s="35" t="s">
        <v>65</v>
      </c>
      <c r="L476" s="82">
        <v>476</v>
      </c>
      <c r="M476" s="82"/>
      <c r="N476" s="76"/>
      <c r="O476" s="84" t="s">
        <v>439</v>
      </c>
      <c r="P476" s="86">
        <v>44088.72238425926</v>
      </c>
      <c r="Q476" s="84" t="s">
        <v>490</v>
      </c>
      <c r="R476" s="87" t="str">
        <f>HYPERLINK("https://online-learning.harvard.edu/catalog")</f>
        <v>https://online-learning.harvard.edu/catalog</v>
      </c>
      <c r="S476" s="84" t="s">
        <v>551</v>
      </c>
      <c r="T476" s="84" t="s">
        <v>606</v>
      </c>
      <c r="U476" s="84"/>
      <c r="V476" s="87" t="str">
        <f>HYPERLINK("http://pbs.twimg.com/profile_images/1190727216885358597/OoGENW9l_normal.jpg")</f>
        <v>http://pbs.twimg.com/profile_images/1190727216885358597/OoGENW9l_normal.jpg</v>
      </c>
      <c r="W476" s="86">
        <v>44088.72238425926</v>
      </c>
      <c r="X476" s="90">
        <v>44088</v>
      </c>
      <c r="Y476" s="92" t="s">
        <v>910</v>
      </c>
      <c r="Z476" s="87" t="str">
        <f>HYPERLINK("https://twitter.com/llnuxbot/status/1305556979742470145")</f>
        <v>https://twitter.com/llnuxbot/status/1305556979742470145</v>
      </c>
      <c r="AA476" s="84"/>
      <c r="AB476" s="84"/>
      <c r="AC476" s="92" t="s">
        <v>1309</v>
      </c>
      <c r="AD476" s="84"/>
      <c r="AE476" s="84" t="b">
        <v>0</v>
      </c>
      <c r="AF476" s="84">
        <v>0</v>
      </c>
      <c r="AG476" s="92" t="s">
        <v>1453</v>
      </c>
      <c r="AH476" s="84" t="b">
        <v>0</v>
      </c>
      <c r="AI476" s="84" t="s">
        <v>1456</v>
      </c>
      <c r="AJ476" s="84"/>
      <c r="AK476" s="92" t="s">
        <v>1453</v>
      </c>
      <c r="AL476" s="84" t="b">
        <v>0</v>
      </c>
      <c r="AM476" s="84">
        <v>449</v>
      </c>
      <c r="AN476" s="92" t="s">
        <v>1406</v>
      </c>
      <c r="AO476" s="84" t="s">
        <v>1519</v>
      </c>
      <c r="AP476" s="84" t="b">
        <v>0</v>
      </c>
      <c r="AQ476" s="92" t="s">
        <v>1406</v>
      </c>
      <c r="AR476" s="84" t="s">
        <v>187</v>
      </c>
      <c r="AS476" s="84">
        <v>0</v>
      </c>
      <c r="AT476" s="84">
        <v>0</v>
      </c>
      <c r="AU476" s="84"/>
      <c r="AV476" s="84"/>
      <c r="AW476" s="84"/>
      <c r="AX476" s="84"/>
      <c r="AY476" s="84"/>
      <c r="AZ476" s="84"/>
      <c r="BA476" s="84"/>
      <c r="BB476" s="84"/>
      <c r="BC476">
        <v>2</v>
      </c>
      <c r="BD476" s="83" t="str">
        <f>REPLACE(INDEX(GroupVertices[Group],MATCH(Edges[[#This Row],[Vertex 1]],GroupVertices[Vertex],0)),1,1,"")</f>
        <v>1</v>
      </c>
      <c r="BE476" s="83" t="str">
        <f>REPLACE(INDEX(GroupVertices[Group],MATCH(Edges[[#This Row],[Vertex 2]],GroupVertices[Vertex],0)),1,1,"")</f>
        <v>1</v>
      </c>
      <c r="BF476" s="49">
        <v>0</v>
      </c>
      <c r="BG476" s="50">
        <v>0</v>
      </c>
      <c r="BH476" s="49">
        <v>0</v>
      </c>
      <c r="BI476" s="50">
        <v>0</v>
      </c>
      <c r="BJ476" s="49">
        <v>0</v>
      </c>
      <c r="BK476" s="50">
        <v>0</v>
      </c>
      <c r="BL476" s="49">
        <v>25</v>
      </c>
      <c r="BM476" s="50">
        <v>100</v>
      </c>
      <c r="BN476" s="49">
        <v>25</v>
      </c>
    </row>
    <row r="477" spans="1:66" ht="15">
      <c r="A477" s="68" t="s">
        <v>394</v>
      </c>
      <c r="B477" s="68" t="s">
        <v>415</v>
      </c>
      <c r="C477" s="69" t="s">
        <v>5208</v>
      </c>
      <c r="D477" s="70">
        <v>1</v>
      </c>
      <c r="E477" s="71" t="s">
        <v>132</v>
      </c>
      <c r="F477" s="72">
        <v>32</v>
      </c>
      <c r="G477" s="69" t="s">
        <v>51</v>
      </c>
      <c r="H477" s="73"/>
      <c r="I477" s="74"/>
      <c r="J477" s="74"/>
      <c r="K477" s="35" t="s">
        <v>65</v>
      </c>
      <c r="L477" s="82">
        <v>477</v>
      </c>
      <c r="M477" s="82"/>
      <c r="N477" s="76"/>
      <c r="O477" s="84" t="s">
        <v>439</v>
      </c>
      <c r="P477" s="86">
        <v>44086.307962962965</v>
      </c>
      <c r="Q477" s="84" t="s">
        <v>510</v>
      </c>
      <c r="R477" s="87" t="str">
        <f>HYPERLINK("https://databaseline.tech/a-tour-of-end-to-end-ml-platforms/")</f>
        <v>https://databaseline.tech/a-tour-of-end-to-end-ml-platforms/</v>
      </c>
      <c r="S477" s="84" t="s">
        <v>559</v>
      </c>
      <c r="T477" s="84" t="s">
        <v>625</v>
      </c>
      <c r="U477" s="87" t="str">
        <f>HYPERLINK("https://pbs.twimg.com/media/EhrUf4qX0AAV6wn.png")</f>
        <v>https://pbs.twimg.com/media/EhrUf4qX0AAV6wn.png</v>
      </c>
      <c r="V477" s="87" t="str">
        <f>HYPERLINK("https://pbs.twimg.com/media/EhrUf4qX0AAV6wn.png")</f>
        <v>https://pbs.twimg.com/media/EhrUf4qX0AAV6wn.png</v>
      </c>
      <c r="W477" s="86">
        <v>44086.307962962965</v>
      </c>
      <c r="X477" s="90">
        <v>44086</v>
      </c>
      <c r="Y477" s="92" t="s">
        <v>911</v>
      </c>
      <c r="Z477" s="87" t="str">
        <f>HYPERLINK("https://twitter.com/corona_dragon/status/1304682020178722817")</f>
        <v>https://twitter.com/corona_dragon/status/1304682020178722817</v>
      </c>
      <c r="AA477" s="84"/>
      <c r="AB477" s="84"/>
      <c r="AC477" s="92" t="s">
        <v>1310</v>
      </c>
      <c r="AD477" s="84"/>
      <c r="AE477" s="84" t="b">
        <v>0</v>
      </c>
      <c r="AF477" s="84">
        <v>0</v>
      </c>
      <c r="AG477" s="92" t="s">
        <v>1453</v>
      </c>
      <c r="AH477" s="84" t="b">
        <v>0</v>
      </c>
      <c r="AI477" s="84" t="s">
        <v>1456</v>
      </c>
      <c r="AJ477" s="84"/>
      <c r="AK477" s="92" t="s">
        <v>1453</v>
      </c>
      <c r="AL477" s="84" t="b">
        <v>0</v>
      </c>
      <c r="AM477" s="84">
        <v>75</v>
      </c>
      <c r="AN477" s="92" t="s">
        <v>1394</v>
      </c>
      <c r="AO477" s="84" t="s">
        <v>1464</v>
      </c>
      <c r="AP477" s="84" t="b">
        <v>0</v>
      </c>
      <c r="AQ477" s="92" t="s">
        <v>1394</v>
      </c>
      <c r="AR477" s="84" t="s">
        <v>187</v>
      </c>
      <c r="AS477" s="84">
        <v>0</v>
      </c>
      <c r="AT477" s="84">
        <v>0</v>
      </c>
      <c r="AU477" s="84"/>
      <c r="AV477" s="84"/>
      <c r="AW477" s="84"/>
      <c r="AX477" s="84"/>
      <c r="AY477" s="84"/>
      <c r="AZ477" s="84"/>
      <c r="BA477" s="84"/>
      <c r="BB477" s="84"/>
      <c r="BC477">
        <v>1</v>
      </c>
      <c r="BD477" s="83" t="str">
        <f>REPLACE(INDEX(GroupVertices[Group],MATCH(Edges[[#This Row],[Vertex 1]],GroupVertices[Vertex],0)),1,1,"")</f>
        <v>9</v>
      </c>
      <c r="BE477" s="83" t="str">
        <f>REPLACE(INDEX(GroupVertices[Group],MATCH(Edges[[#This Row],[Vertex 2]],GroupVertices[Vertex],0)),1,1,"")</f>
        <v>9</v>
      </c>
      <c r="BF477" s="49">
        <v>0</v>
      </c>
      <c r="BG477" s="50">
        <v>0</v>
      </c>
      <c r="BH477" s="49">
        <v>0</v>
      </c>
      <c r="BI477" s="50">
        <v>0</v>
      </c>
      <c r="BJ477" s="49">
        <v>0</v>
      </c>
      <c r="BK477" s="50">
        <v>0</v>
      </c>
      <c r="BL477" s="49">
        <v>27</v>
      </c>
      <c r="BM477" s="50">
        <v>100</v>
      </c>
      <c r="BN477" s="49">
        <v>27</v>
      </c>
    </row>
    <row r="478" spans="1:66" ht="15">
      <c r="A478" s="68" t="s">
        <v>358</v>
      </c>
      <c r="B478" s="68" t="s">
        <v>394</v>
      </c>
      <c r="C478" s="69" t="s">
        <v>5208</v>
      </c>
      <c r="D478" s="70">
        <v>1</v>
      </c>
      <c r="E478" s="71" t="s">
        <v>132</v>
      </c>
      <c r="F478" s="72">
        <v>32</v>
      </c>
      <c r="G478" s="69" t="s">
        <v>51</v>
      </c>
      <c r="H478" s="73"/>
      <c r="I478" s="74"/>
      <c r="J478" s="74"/>
      <c r="K478" s="35" t="s">
        <v>65</v>
      </c>
      <c r="L478" s="82">
        <v>478</v>
      </c>
      <c r="M478" s="82"/>
      <c r="N478" s="76"/>
      <c r="O478" s="84" t="s">
        <v>441</v>
      </c>
      <c r="P478" s="86">
        <v>44086.30936342593</v>
      </c>
      <c r="Q478" s="84" t="s">
        <v>486</v>
      </c>
      <c r="R478" s="84"/>
      <c r="S478" s="84"/>
      <c r="T478" s="84" t="s">
        <v>602</v>
      </c>
      <c r="U478" s="87" t="str">
        <f>HYPERLINK("https://pbs.twimg.com/media/EhrUf4qX0AAV6wn.png")</f>
        <v>https://pbs.twimg.com/media/EhrUf4qX0AAV6wn.png</v>
      </c>
      <c r="V478" s="87" t="str">
        <f>HYPERLINK("https://pbs.twimg.com/media/EhrUf4qX0AAV6wn.png")</f>
        <v>https://pbs.twimg.com/media/EhrUf4qX0AAV6wn.png</v>
      </c>
      <c r="W478" s="86">
        <v>44086.30936342593</v>
      </c>
      <c r="X478" s="90">
        <v>44086</v>
      </c>
      <c r="Y478" s="92" t="s">
        <v>912</v>
      </c>
      <c r="Z478" s="87" t="str">
        <f>HYPERLINK("https://twitter.com/machine_ml/status/1304682528046043137")</f>
        <v>https://twitter.com/machine_ml/status/1304682528046043137</v>
      </c>
      <c r="AA478" s="84"/>
      <c r="AB478" s="84"/>
      <c r="AC478" s="92" t="s">
        <v>1311</v>
      </c>
      <c r="AD478" s="84"/>
      <c r="AE478" s="84" t="b">
        <v>0</v>
      </c>
      <c r="AF478" s="84">
        <v>0</v>
      </c>
      <c r="AG478" s="92" t="s">
        <v>1453</v>
      </c>
      <c r="AH478" s="84" t="b">
        <v>0</v>
      </c>
      <c r="AI478" s="84" t="s">
        <v>1456</v>
      </c>
      <c r="AJ478" s="84"/>
      <c r="AK478" s="92" t="s">
        <v>1453</v>
      </c>
      <c r="AL478" s="84" t="b">
        <v>0</v>
      </c>
      <c r="AM478" s="84">
        <v>3</v>
      </c>
      <c r="AN478" s="92" t="s">
        <v>1453</v>
      </c>
      <c r="AO478" s="84" t="s">
        <v>1488</v>
      </c>
      <c r="AP478" s="84" t="b">
        <v>0</v>
      </c>
      <c r="AQ478" s="92" t="s">
        <v>1311</v>
      </c>
      <c r="AR478" s="84" t="s">
        <v>187</v>
      </c>
      <c r="AS478" s="84">
        <v>0</v>
      </c>
      <c r="AT478" s="84">
        <v>0</v>
      </c>
      <c r="AU478" s="84"/>
      <c r="AV478" s="84"/>
      <c r="AW478" s="84"/>
      <c r="AX478" s="84"/>
      <c r="AY478" s="84"/>
      <c r="AZ478" s="84"/>
      <c r="BA478" s="84"/>
      <c r="BB478" s="84"/>
      <c r="BC478">
        <v>1</v>
      </c>
      <c r="BD478" s="83" t="str">
        <f>REPLACE(INDEX(GroupVertices[Group],MATCH(Edges[[#This Row],[Vertex 1]],GroupVertices[Vertex],0)),1,1,"")</f>
        <v>9</v>
      </c>
      <c r="BE478" s="83" t="str">
        <f>REPLACE(INDEX(GroupVertices[Group],MATCH(Edges[[#This Row],[Vertex 2]],GroupVertices[Vertex],0)),1,1,"")</f>
        <v>9</v>
      </c>
      <c r="BF478" s="49"/>
      <c r="BG478" s="50"/>
      <c r="BH478" s="49"/>
      <c r="BI478" s="50"/>
      <c r="BJ478" s="49"/>
      <c r="BK478" s="50"/>
      <c r="BL478" s="49"/>
      <c r="BM478" s="50"/>
      <c r="BN478" s="49"/>
    </row>
    <row r="479" spans="1:66" ht="15">
      <c r="A479" s="68" t="s">
        <v>395</v>
      </c>
      <c r="B479" s="68" t="s">
        <v>394</v>
      </c>
      <c r="C479" s="69" t="s">
        <v>5208</v>
      </c>
      <c r="D479" s="70">
        <v>1</v>
      </c>
      <c r="E479" s="71" t="s">
        <v>132</v>
      </c>
      <c r="F479" s="72">
        <v>32</v>
      </c>
      <c r="G479" s="69" t="s">
        <v>51</v>
      </c>
      <c r="H479" s="73"/>
      <c r="I479" s="74"/>
      <c r="J479" s="74"/>
      <c r="K479" s="35" t="s">
        <v>65</v>
      </c>
      <c r="L479" s="82">
        <v>479</v>
      </c>
      <c r="M479" s="82"/>
      <c r="N479" s="76"/>
      <c r="O479" s="84" t="s">
        <v>440</v>
      </c>
      <c r="P479" s="86">
        <v>44086.3094212963</v>
      </c>
      <c r="Q479" s="84" t="s">
        <v>486</v>
      </c>
      <c r="R479" s="84"/>
      <c r="S479" s="84"/>
      <c r="T479" s="84" t="s">
        <v>602</v>
      </c>
      <c r="U479" s="87" t="str">
        <f>HYPERLINK("https://pbs.twimg.com/media/EhrUf4qX0AAV6wn.png")</f>
        <v>https://pbs.twimg.com/media/EhrUf4qX0AAV6wn.png</v>
      </c>
      <c r="V479" s="87" t="str">
        <f>HYPERLINK("https://pbs.twimg.com/media/EhrUf4qX0AAV6wn.png")</f>
        <v>https://pbs.twimg.com/media/EhrUf4qX0AAV6wn.png</v>
      </c>
      <c r="W479" s="86">
        <v>44086.3094212963</v>
      </c>
      <c r="X479" s="90">
        <v>44086</v>
      </c>
      <c r="Y479" s="92" t="s">
        <v>787</v>
      </c>
      <c r="Z479" s="87" t="str">
        <f>HYPERLINK("https://twitter.com/thedeveloperbot/status/1304682549873184768")</f>
        <v>https://twitter.com/thedeveloperbot/status/1304682549873184768</v>
      </c>
      <c r="AA479" s="84"/>
      <c r="AB479" s="84"/>
      <c r="AC479" s="92" t="s">
        <v>1312</v>
      </c>
      <c r="AD479" s="84"/>
      <c r="AE479" s="84" t="b">
        <v>0</v>
      </c>
      <c r="AF479" s="84">
        <v>0</v>
      </c>
      <c r="AG479" s="92" t="s">
        <v>1453</v>
      </c>
      <c r="AH479" s="84" t="b">
        <v>0</v>
      </c>
      <c r="AI479" s="84" t="s">
        <v>1456</v>
      </c>
      <c r="AJ479" s="84"/>
      <c r="AK479" s="92" t="s">
        <v>1453</v>
      </c>
      <c r="AL479" s="84" t="b">
        <v>0</v>
      </c>
      <c r="AM479" s="84">
        <v>3</v>
      </c>
      <c r="AN479" s="92" t="s">
        <v>1311</v>
      </c>
      <c r="AO479" s="84" t="s">
        <v>1520</v>
      </c>
      <c r="AP479" s="84" t="b">
        <v>0</v>
      </c>
      <c r="AQ479" s="92" t="s">
        <v>1311</v>
      </c>
      <c r="AR479" s="84" t="s">
        <v>187</v>
      </c>
      <c r="AS479" s="84">
        <v>0</v>
      </c>
      <c r="AT479" s="84">
        <v>0</v>
      </c>
      <c r="AU479" s="84"/>
      <c r="AV479" s="84"/>
      <c r="AW479" s="84"/>
      <c r="AX479" s="84"/>
      <c r="AY479" s="84"/>
      <c r="AZ479" s="84"/>
      <c r="BA479" s="84"/>
      <c r="BB479" s="84"/>
      <c r="BC479">
        <v>1</v>
      </c>
      <c r="BD479" s="83" t="str">
        <f>REPLACE(INDEX(GroupVertices[Group],MATCH(Edges[[#This Row],[Vertex 1]],GroupVertices[Vertex],0)),1,1,"")</f>
        <v>1</v>
      </c>
      <c r="BE479" s="83" t="str">
        <f>REPLACE(INDEX(GroupVertices[Group],MATCH(Edges[[#This Row],[Vertex 2]],GroupVertices[Vertex],0)),1,1,"")</f>
        <v>9</v>
      </c>
      <c r="BF479" s="49"/>
      <c r="BG479" s="50"/>
      <c r="BH479" s="49"/>
      <c r="BI479" s="50"/>
      <c r="BJ479" s="49"/>
      <c r="BK479" s="50"/>
      <c r="BL479" s="49"/>
      <c r="BM479" s="50"/>
      <c r="BN479" s="49"/>
    </row>
    <row r="480" spans="1:66" ht="15">
      <c r="A480" s="68" t="s">
        <v>358</v>
      </c>
      <c r="B480" s="68" t="s">
        <v>403</v>
      </c>
      <c r="C480" s="69" t="s">
        <v>5208</v>
      </c>
      <c r="D480" s="70">
        <v>1</v>
      </c>
      <c r="E480" s="71" t="s">
        <v>132</v>
      </c>
      <c r="F480" s="72">
        <v>32</v>
      </c>
      <c r="G480" s="69" t="s">
        <v>51</v>
      </c>
      <c r="H480" s="73"/>
      <c r="I480" s="74"/>
      <c r="J480" s="74"/>
      <c r="K480" s="35" t="s">
        <v>65</v>
      </c>
      <c r="L480" s="82">
        <v>480</v>
      </c>
      <c r="M480" s="82"/>
      <c r="N480" s="76"/>
      <c r="O480" s="84" t="s">
        <v>439</v>
      </c>
      <c r="P480" s="86">
        <v>44083.47020833333</v>
      </c>
      <c r="Q480" s="84" t="s">
        <v>470</v>
      </c>
      <c r="R480" s="84"/>
      <c r="S480" s="84"/>
      <c r="T480" s="84" t="s">
        <v>587</v>
      </c>
      <c r="U480" s="87" t="str">
        <f>HYPERLINK("https://pbs.twimg.com/media/EheAw4eWsAAx-Hd.jpg")</f>
        <v>https://pbs.twimg.com/media/EheAw4eWsAAx-Hd.jpg</v>
      </c>
      <c r="V480" s="87" t="str">
        <f>HYPERLINK("https://pbs.twimg.com/media/EheAw4eWsAAx-Hd.jpg")</f>
        <v>https://pbs.twimg.com/media/EheAw4eWsAAx-Hd.jpg</v>
      </c>
      <c r="W480" s="86">
        <v>44083.47020833333</v>
      </c>
      <c r="X480" s="90">
        <v>44083</v>
      </c>
      <c r="Y480" s="92" t="s">
        <v>913</v>
      </c>
      <c r="Z480" s="87" t="str">
        <f>HYPERLINK("https://twitter.com/machine_ml/status/1303653653916639232")</f>
        <v>https://twitter.com/machine_ml/status/1303653653916639232</v>
      </c>
      <c r="AA480" s="84"/>
      <c r="AB480" s="84"/>
      <c r="AC480" s="92" t="s">
        <v>1313</v>
      </c>
      <c r="AD480" s="84"/>
      <c r="AE480" s="84" t="b">
        <v>0</v>
      </c>
      <c r="AF480" s="84">
        <v>0</v>
      </c>
      <c r="AG480" s="92" t="s">
        <v>1453</v>
      </c>
      <c r="AH480" s="84" t="b">
        <v>0</v>
      </c>
      <c r="AI480" s="84" t="s">
        <v>1456</v>
      </c>
      <c r="AJ480" s="84"/>
      <c r="AK480" s="92" t="s">
        <v>1453</v>
      </c>
      <c r="AL480" s="84" t="b">
        <v>0</v>
      </c>
      <c r="AM480" s="84">
        <v>13</v>
      </c>
      <c r="AN480" s="92" t="s">
        <v>1337</v>
      </c>
      <c r="AO480" s="84" t="s">
        <v>1510</v>
      </c>
      <c r="AP480" s="84" t="b">
        <v>0</v>
      </c>
      <c r="AQ480" s="92" t="s">
        <v>1337</v>
      </c>
      <c r="AR480" s="84" t="s">
        <v>187</v>
      </c>
      <c r="AS480" s="84">
        <v>0</v>
      </c>
      <c r="AT480" s="84">
        <v>0</v>
      </c>
      <c r="AU480" s="84"/>
      <c r="AV480" s="84"/>
      <c r="AW480" s="84"/>
      <c r="AX480" s="84"/>
      <c r="AY480" s="84"/>
      <c r="AZ480" s="84"/>
      <c r="BA480" s="84"/>
      <c r="BB480" s="84"/>
      <c r="BC480">
        <v>1</v>
      </c>
      <c r="BD480" s="83" t="str">
        <f>REPLACE(INDEX(GroupVertices[Group],MATCH(Edges[[#This Row],[Vertex 1]],GroupVertices[Vertex],0)),1,1,"")</f>
        <v>9</v>
      </c>
      <c r="BE480" s="83" t="str">
        <f>REPLACE(INDEX(GroupVertices[Group],MATCH(Edges[[#This Row],[Vertex 2]],GroupVertices[Vertex],0)),1,1,"")</f>
        <v>1</v>
      </c>
      <c r="BF480" s="49">
        <v>0</v>
      </c>
      <c r="BG480" s="50">
        <v>0</v>
      </c>
      <c r="BH480" s="49">
        <v>0</v>
      </c>
      <c r="BI480" s="50">
        <v>0</v>
      </c>
      <c r="BJ480" s="49">
        <v>0</v>
      </c>
      <c r="BK480" s="50">
        <v>0</v>
      </c>
      <c r="BL480" s="49">
        <v>37</v>
      </c>
      <c r="BM480" s="50">
        <v>100</v>
      </c>
      <c r="BN480" s="49">
        <v>37</v>
      </c>
    </row>
    <row r="481" spans="1:66" ht="15">
      <c r="A481" s="68" t="s">
        <v>358</v>
      </c>
      <c r="B481" s="68" t="s">
        <v>415</v>
      </c>
      <c r="C481" s="69" t="s">
        <v>5208</v>
      </c>
      <c r="D481" s="70">
        <v>1</v>
      </c>
      <c r="E481" s="71" t="s">
        <v>132</v>
      </c>
      <c r="F481" s="72">
        <v>32</v>
      </c>
      <c r="G481" s="69" t="s">
        <v>51</v>
      </c>
      <c r="H481" s="73"/>
      <c r="I481" s="74"/>
      <c r="J481" s="74"/>
      <c r="K481" s="35" t="s">
        <v>65</v>
      </c>
      <c r="L481" s="82">
        <v>481</v>
      </c>
      <c r="M481" s="82"/>
      <c r="N481" s="76"/>
      <c r="O481" s="84" t="s">
        <v>441</v>
      </c>
      <c r="P481" s="86">
        <v>44086.30936342593</v>
      </c>
      <c r="Q481" s="84" t="s">
        <v>486</v>
      </c>
      <c r="R481" s="84"/>
      <c r="S481" s="84"/>
      <c r="T481" s="84" t="s">
        <v>602</v>
      </c>
      <c r="U481" s="87" t="str">
        <f>HYPERLINK("https://pbs.twimg.com/media/EhrUf4qX0AAV6wn.png")</f>
        <v>https://pbs.twimg.com/media/EhrUf4qX0AAV6wn.png</v>
      </c>
      <c r="V481" s="87" t="str">
        <f>HYPERLINK("https://pbs.twimg.com/media/EhrUf4qX0AAV6wn.png")</f>
        <v>https://pbs.twimg.com/media/EhrUf4qX0AAV6wn.png</v>
      </c>
      <c r="W481" s="86">
        <v>44086.30936342593</v>
      </c>
      <c r="X481" s="90">
        <v>44086</v>
      </c>
      <c r="Y481" s="92" t="s">
        <v>912</v>
      </c>
      <c r="Z481" s="87" t="str">
        <f>HYPERLINK("https://twitter.com/machine_ml/status/1304682528046043137")</f>
        <v>https://twitter.com/machine_ml/status/1304682528046043137</v>
      </c>
      <c r="AA481" s="84"/>
      <c r="AB481" s="84"/>
      <c r="AC481" s="92" t="s">
        <v>1311</v>
      </c>
      <c r="AD481" s="84"/>
      <c r="AE481" s="84" t="b">
        <v>0</v>
      </c>
      <c r="AF481" s="84">
        <v>0</v>
      </c>
      <c r="AG481" s="92" t="s">
        <v>1453</v>
      </c>
      <c r="AH481" s="84" t="b">
        <v>0</v>
      </c>
      <c r="AI481" s="84" t="s">
        <v>1456</v>
      </c>
      <c r="AJ481" s="84"/>
      <c r="AK481" s="92" t="s">
        <v>1453</v>
      </c>
      <c r="AL481" s="84" t="b">
        <v>0</v>
      </c>
      <c r="AM481" s="84">
        <v>3</v>
      </c>
      <c r="AN481" s="92" t="s">
        <v>1453</v>
      </c>
      <c r="AO481" s="84" t="s">
        <v>1488</v>
      </c>
      <c r="AP481" s="84" t="b">
        <v>0</v>
      </c>
      <c r="AQ481" s="92" t="s">
        <v>1311</v>
      </c>
      <c r="AR481" s="84" t="s">
        <v>187</v>
      </c>
      <c r="AS481" s="84">
        <v>0</v>
      </c>
      <c r="AT481" s="84">
        <v>0</v>
      </c>
      <c r="AU481" s="84"/>
      <c r="AV481" s="84"/>
      <c r="AW481" s="84"/>
      <c r="AX481" s="84"/>
      <c r="AY481" s="84"/>
      <c r="AZ481" s="84"/>
      <c r="BA481" s="84"/>
      <c r="BB481" s="84"/>
      <c r="BC481">
        <v>1</v>
      </c>
      <c r="BD481" s="83" t="str">
        <f>REPLACE(INDEX(GroupVertices[Group],MATCH(Edges[[#This Row],[Vertex 1]],GroupVertices[Vertex],0)),1,1,"")</f>
        <v>9</v>
      </c>
      <c r="BE481" s="83" t="str">
        <f>REPLACE(INDEX(GroupVertices[Group],MATCH(Edges[[#This Row],[Vertex 2]],GroupVertices[Vertex],0)),1,1,"")</f>
        <v>9</v>
      </c>
      <c r="BF481" s="49">
        <v>0</v>
      </c>
      <c r="BG481" s="50">
        <v>0</v>
      </c>
      <c r="BH481" s="49">
        <v>0</v>
      </c>
      <c r="BI481" s="50">
        <v>0</v>
      </c>
      <c r="BJ481" s="49">
        <v>0</v>
      </c>
      <c r="BK481" s="50">
        <v>0</v>
      </c>
      <c r="BL481" s="49">
        <v>30</v>
      </c>
      <c r="BM481" s="50">
        <v>100</v>
      </c>
      <c r="BN481" s="49">
        <v>30</v>
      </c>
    </row>
    <row r="482" spans="1:66" ht="15">
      <c r="A482" s="68" t="s">
        <v>395</v>
      </c>
      <c r="B482" s="68" t="s">
        <v>358</v>
      </c>
      <c r="C482" s="69" t="s">
        <v>5208</v>
      </c>
      <c r="D482" s="70">
        <v>1</v>
      </c>
      <c r="E482" s="71" t="s">
        <v>132</v>
      </c>
      <c r="F482" s="72">
        <v>32</v>
      </c>
      <c r="G482" s="69" t="s">
        <v>51</v>
      </c>
      <c r="H482" s="73"/>
      <c r="I482" s="74"/>
      <c r="J482" s="74"/>
      <c r="K482" s="35" t="s">
        <v>65</v>
      </c>
      <c r="L482" s="82">
        <v>482</v>
      </c>
      <c r="M482" s="82"/>
      <c r="N482" s="76"/>
      <c r="O482" s="84" t="s">
        <v>439</v>
      </c>
      <c r="P482" s="86">
        <v>44086.3094212963</v>
      </c>
      <c r="Q482" s="84" t="s">
        <v>486</v>
      </c>
      <c r="R482" s="84"/>
      <c r="S482" s="84"/>
      <c r="T482" s="84" t="s">
        <v>602</v>
      </c>
      <c r="U482" s="87" t="str">
        <f>HYPERLINK("https://pbs.twimg.com/media/EhrUf4qX0AAV6wn.png")</f>
        <v>https://pbs.twimg.com/media/EhrUf4qX0AAV6wn.png</v>
      </c>
      <c r="V482" s="87" t="str">
        <f>HYPERLINK("https://pbs.twimg.com/media/EhrUf4qX0AAV6wn.png")</f>
        <v>https://pbs.twimg.com/media/EhrUf4qX0AAV6wn.png</v>
      </c>
      <c r="W482" s="86">
        <v>44086.3094212963</v>
      </c>
      <c r="X482" s="90">
        <v>44086</v>
      </c>
      <c r="Y482" s="92" t="s">
        <v>787</v>
      </c>
      <c r="Z482" s="87" t="str">
        <f>HYPERLINK("https://twitter.com/thedeveloperbot/status/1304682549873184768")</f>
        <v>https://twitter.com/thedeveloperbot/status/1304682549873184768</v>
      </c>
      <c r="AA482" s="84"/>
      <c r="AB482" s="84"/>
      <c r="AC482" s="92" t="s">
        <v>1312</v>
      </c>
      <c r="AD482" s="84"/>
      <c r="AE482" s="84" t="b">
        <v>0</v>
      </c>
      <c r="AF482" s="84">
        <v>0</v>
      </c>
      <c r="AG482" s="92" t="s">
        <v>1453</v>
      </c>
      <c r="AH482" s="84" t="b">
        <v>0</v>
      </c>
      <c r="AI482" s="84" t="s">
        <v>1456</v>
      </c>
      <c r="AJ482" s="84"/>
      <c r="AK482" s="92" t="s">
        <v>1453</v>
      </c>
      <c r="AL482" s="84" t="b">
        <v>0</v>
      </c>
      <c r="AM482" s="84">
        <v>3</v>
      </c>
      <c r="AN482" s="92" t="s">
        <v>1311</v>
      </c>
      <c r="AO482" s="84" t="s">
        <v>1520</v>
      </c>
      <c r="AP482" s="84" t="b">
        <v>0</v>
      </c>
      <c r="AQ482" s="92" t="s">
        <v>1311</v>
      </c>
      <c r="AR482" s="84" t="s">
        <v>187</v>
      </c>
      <c r="AS482" s="84">
        <v>0</v>
      </c>
      <c r="AT482" s="84">
        <v>0</v>
      </c>
      <c r="AU482" s="84"/>
      <c r="AV482" s="84"/>
      <c r="AW482" s="84"/>
      <c r="AX482" s="84"/>
      <c r="AY482" s="84"/>
      <c r="AZ482" s="84"/>
      <c r="BA482" s="84"/>
      <c r="BB482" s="84"/>
      <c r="BC482">
        <v>1</v>
      </c>
      <c r="BD482" s="83" t="str">
        <f>REPLACE(INDEX(GroupVertices[Group],MATCH(Edges[[#This Row],[Vertex 1]],GroupVertices[Vertex],0)),1,1,"")</f>
        <v>1</v>
      </c>
      <c r="BE482" s="83" t="str">
        <f>REPLACE(INDEX(GroupVertices[Group],MATCH(Edges[[#This Row],[Vertex 2]],GroupVertices[Vertex],0)),1,1,"")</f>
        <v>9</v>
      </c>
      <c r="BF482" s="49"/>
      <c r="BG482" s="50"/>
      <c r="BH482" s="49"/>
      <c r="BI482" s="50"/>
      <c r="BJ482" s="49"/>
      <c r="BK482" s="50"/>
      <c r="BL482" s="49"/>
      <c r="BM482" s="50"/>
      <c r="BN482" s="49"/>
    </row>
    <row r="483" spans="1:66" ht="15">
      <c r="A483" s="68" t="s">
        <v>395</v>
      </c>
      <c r="B483" s="68" t="s">
        <v>417</v>
      </c>
      <c r="C483" s="69" t="s">
        <v>5208</v>
      </c>
      <c r="D483" s="70">
        <v>1</v>
      </c>
      <c r="E483" s="71" t="s">
        <v>132</v>
      </c>
      <c r="F483" s="72">
        <v>32</v>
      </c>
      <c r="G483" s="69" t="s">
        <v>51</v>
      </c>
      <c r="H483" s="73"/>
      <c r="I483" s="74"/>
      <c r="J483" s="74"/>
      <c r="K483" s="35" t="s">
        <v>65</v>
      </c>
      <c r="L483" s="82">
        <v>483</v>
      </c>
      <c r="M483" s="82"/>
      <c r="N483" s="76"/>
      <c r="O483" s="84" t="s">
        <v>439</v>
      </c>
      <c r="P483" s="86">
        <v>44081.937581018516</v>
      </c>
      <c r="Q483" s="84" t="s">
        <v>450</v>
      </c>
      <c r="R483"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483" s="84" t="s">
        <v>533</v>
      </c>
      <c r="T483" s="84"/>
      <c r="U483" s="84"/>
      <c r="V483" s="87" t="str">
        <f>HYPERLINK("http://pbs.twimg.com/profile_images/1250454907871580162/Al-vkUN1_normal.jpg")</f>
        <v>http://pbs.twimg.com/profile_images/1250454907871580162/Al-vkUN1_normal.jpg</v>
      </c>
      <c r="W483" s="86">
        <v>44081.937581018516</v>
      </c>
      <c r="X483" s="90">
        <v>44081</v>
      </c>
      <c r="Y483" s="92" t="s">
        <v>914</v>
      </c>
      <c r="Z483" s="87" t="str">
        <f>HYPERLINK("https://twitter.com/thedeveloperbot/status/1303098249008549888")</f>
        <v>https://twitter.com/thedeveloperbot/status/1303098249008549888</v>
      </c>
      <c r="AA483" s="84"/>
      <c r="AB483" s="84"/>
      <c r="AC483" s="92" t="s">
        <v>1314</v>
      </c>
      <c r="AD483" s="84"/>
      <c r="AE483" s="84" t="b">
        <v>0</v>
      </c>
      <c r="AF483" s="84">
        <v>0</v>
      </c>
      <c r="AG483" s="92" t="s">
        <v>1453</v>
      </c>
      <c r="AH483" s="84" t="b">
        <v>0</v>
      </c>
      <c r="AI483" s="84" t="s">
        <v>1456</v>
      </c>
      <c r="AJ483" s="84"/>
      <c r="AK483" s="92" t="s">
        <v>1453</v>
      </c>
      <c r="AL483" s="84" t="b">
        <v>0</v>
      </c>
      <c r="AM483" s="84">
        <v>31</v>
      </c>
      <c r="AN483" s="92" t="s">
        <v>1396</v>
      </c>
      <c r="AO483" s="84" t="s">
        <v>1520</v>
      </c>
      <c r="AP483" s="84" t="b">
        <v>0</v>
      </c>
      <c r="AQ483" s="92" t="s">
        <v>1396</v>
      </c>
      <c r="AR483" s="84" t="s">
        <v>187</v>
      </c>
      <c r="AS483" s="84">
        <v>0</v>
      </c>
      <c r="AT483" s="84">
        <v>0</v>
      </c>
      <c r="AU483" s="84"/>
      <c r="AV483" s="84"/>
      <c r="AW483" s="84"/>
      <c r="AX483" s="84"/>
      <c r="AY483" s="84"/>
      <c r="AZ483" s="84"/>
      <c r="BA483" s="84"/>
      <c r="BB483" s="84"/>
      <c r="BC483">
        <v>1</v>
      </c>
      <c r="BD483" s="83" t="str">
        <f>REPLACE(INDEX(GroupVertices[Group],MATCH(Edges[[#This Row],[Vertex 1]],GroupVertices[Vertex],0)),1,1,"")</f>
        <v>1</v>
      </c>
      <c r="BE483" s="83" t="str">
        <f>REPLACE(INDEX(GroupVertices[Group],MATCH(Edges[[#This Row],[Vertex 2]],GroupVertices[Vertex],0)),1,1,"")</f>
        <v>2</v>
      </c>
      <c r="BF483" s="49">
        <v>0</v>
      </c>
      <c r="BG483" s="50">
        <v>0</v>
      </c>
      <c r="BH483" s="49">
        <v>0</v>
      </c>
      <c r="BI483" s="50">
        <v>0</v>
      </c>
      <c r="BJ483" s="49">
        <v>0</v>
      </c>
      <c r="BK483" s="50">
        <v>0</v>
      </c>
      <c r="BL483" s="49">
        <v>26</v>
      </c>
      <c r="BM483" s="50">
        <v>100</v>
      </c>
      <c r="BN483" s="49">
        <v>26</v>
      </c>
    </row>
    <row r="484" spans="1:66" ht="15">
      <c r="A484" s="68" t="s">
        <v>395</v>
      </c>
      <c r="B484" s="68" t="s">
        <v>390</v>
      </c>
      <c r="C484" s="69" t="s">
        <v>5208</v>
      </c>
      <c r="D484" s="70">
        <v>1</v>
      </c>
      <c r="E484" s="71" t="s">
        <v>132</v>
      </c>
      <c r="F484" s="72">
        <v>32</v>
      </c>
      <c r="G484" s="69" t="s">
        <v>51</v>
      </c>
      <c r="H484" s="73"/>
      <c r="I484" s="74"/>
      <c r="J484" s="74"/>
      <c r="K484" s="35" t="s">
        <v>65</v>
      </c>
      <c r="L484" s="82">
        <v>484</v>
      </c>
      <c r="M484" s="82"/>
      <c r="N484" s="76"/>
      <c r="O484" s="84" t="s">
        <v>439</v>
      </c>
      <c r="P484" s="86">
        <v>44084.77315972222</v>
      </c>
      <c r="Q484" s="84" t="s">
        <v>481</v>
      </c>
      <c r="R484" s="87" t="str">
        <f>HYPERLINK("https://www.aitrends.com/ai-research/covid-19-ai-update-nih-developing-imaging-tools/")</f>
        <v>https://www.aitrends.com/ai-research/covid-19-ai-update-nih-developing-imaging-tools/</v>
      </c>
      <c r="S484" s="84" t="s">
        <v>548</v>
      </c>
      <c r="T484" s="84" t="s">
        <v>597</v>
      </c>
      <c r="U484" s="84"/>
      <c r="V484" s="87" t="str">
        <f>HYPERLINK("http://pbs.twimg.com/profile_images/1250454907871580162/Al-vkUN1_normal.jpg")</f>
        <v>http://pbs.twimg.com/profile_images/1250454907871580162/Al-vkUN1_normal.jpg</v>
      </c>
      <c r="W484" s="86">
        <v>44084.77315972222</v>
      </c>
      <c r="X484" s="90">
        <v>44084</v>
      </c>
      <c r="Y484" s="92" t="s">
        <v>808</v>
      </c>
      <c r="Z484" s="87" t="str">
        <f>HYPERLINK("https://twitter.com/thedeveloperbot/status/1304125829031616512")</f>
        <v>https://twitter.com/thedeveloperbot/status/1304125829031616512</v>
      </c>
      <c r="AA484" s="84"/>
      <c r="AB484" s="84"/>
      <c r="AC484" s="92" t="s">
        <v>1315</v>
      </c>
      <c r="AD484" s="84"/>
      <c r="AE484" s="84" t="b">
        <v>0</v>
      </c>
      <c r="AF484" s="84">
        <v>0</v>
      </c>
      <c r="AG484" s="92" t="s">
        <v>1453</v>
      </c>
      <c r="AH484" s="84" t="b">
        <v>0</v>
      </c>
      <c r="AI484" s="84" t="s">
        <v>1456</v>
      </c>
      <c r="AJ484" s="84"/>
      <c r="AK484" s="92" t="s">
        <v>1453</v>
      </c>
      <c r="AL484" s="84" t="b">
        <v>0</v>
      </c>
      <c r="AM484" s="84">
        <v>17</v>
      </c>
      <c r="AN484" s="92" t="s">
        <v>1405</v>
      </c>
      <c r="AO484" s="84" t="s">
        <v>1520</v>
      </c>
      <c r="AP484" s="84" t="b">
        <v>0</v>
      </c>
      <c r="AQ484" s="92" t="s">
        <v>1405</v>
      </c>
      <c r="AR484" s="84" t="s">
        <v>187</v>
      </c>
      <c r="AS484" s="84">
        <v>0</v>
      </c>
      <c r="AT484" s="84">
        <v>0</v>
      </c>
      <c r="AU484" s="84"/>
      <c r="AV484" s="84"/>
      <c r="AW484" s="84"/>
      <c r="AX484" s="84"/>
      <c r="AY484" s="84"/>
      <c r="AZ484" s="84"/>
      <c r="BA484" s="84"/>
      <c r="BB484" s="84"/>
      <c r="BC484">
        <v>1</v>
      </c>
      <c r="BD484" s="83" t="str">
        <f>REPLACE(INDEX(GroupVertices[Group],MATCH(Edges[[#This Row],[Vertex 1]],GroupVertices[Vertex],0)),1,1,"")</f>
        <v>1</v>
      </c>
      <c r="BE484" s="83" t="str">
        <f>REPLACE(INDEX(GroupVertices[Group],MATCH(Edges[[#This Row],[Vertex 2]],GroupVertices[Vertex],0)),1,1,"")</f>
        <v>1</v>
      </c>
      <c r="BF484" s="49">
        <v>0</v>
      </c>
      <c r="BG484" s="50">
        <v>0</v>
      </c>
      <c r="BH484" s="49">
        <v>0</v>
      </c>
      <c r="BI484" s="50">
        <v>0</v>
      </c>
      <c r="BJ484" s="49">
        <v>0</v>
      </c>
      <c r="BK484" s="50">
        <v>0</v>
      </c>
      <c r="BL484" s="49">
        <v>28</v>
      </c>
      <c r="BM484" s="50">
        <v>100</v>
      </c>
      <c r="BN484" s="49">
        <v>28</v>
      </c>
    </row>
    <row r="485" spans="1:66" ht="15">
      <c r="A485" s="68" t="s">
        <v>395</v>
      </c>
      <c r="B485" s="68" t="s">
        <v>415</v>
      </c>
      <c r="C485" s="69" t="s">
        <v>5208</v>
      </c>
      <c r="D485" s="70">
        <v>1</v>
      </c>
      <c r="E485" s="71" t="s">
        <v>132</v>
      </c>
      <c r="F485" s="72">
        <v>32</v>
      </c>
      <c r="G485" s="69" t="s">
        <v>51</v>
      </c>
      <c r="H485" s="73"/>
      <c r="I485" s="74"/>
      <c r="J485" s="74"/>
      <c r="K485" s="35" t="s">
        <v>65</v>
      </c>
      <c r="L485" s="82">
        <v>485</v>
      </c>
      <c r="M485" s="82"/>
      <c r="N485" s="76"/>
      <c r="O485" s="84" t="s">
        <v>440</v>
      </c>
      <c r="P485" s="86">
        <v>44086.3094212963</v>
      </c>
      <c r="Q485" s="84" t="s">
        <v>486</v>
      </c>
      <c r="R485" s="84"/>
      <c r="S485" s="84"/>
      <c r="T485" s="84" t="s">
        <v>602</v>
      </c>
      <c r="U485" s="87" t="str">
        <f>HYPERLINK("https://pbs.twimg.com/media/EhrUf4qX0AAV6wn.png")</f>
        <v>https://pbs.twimg.com/media/EhrUf4qX0AAV6wn.png</v>
      </c>
      <c r="V485" s="87" t="str">
        <f>HYPERLINK("https://pbs.twimg.com/media/EhrUf4qX0AAV6wn.png")</f>
        <v>https://pbs.twimg.com/media/EhrUf4qX0AAV6wn.png</v>
      </c>
      <c r="W485" s="86">
        <v>44086.3094212963</v>
      </c>
      <c r="X485" s="90">
        <v>44086</v>
      </c>
      <c r="Y485" s="92" t="s">
        <v>787</v>
      </c>
      <c r="Z485" s="87" t="str">
        <f>HYPERLINK("https://twitter.com/thedeveloperbot/status/1304682549873184768")</f>
        <v>https://twitter.com/thedeveloperbot/status/1304682549873184768</v>
      </c>
      <c r="AA485" s="84"/>
      <c r="AB485" s="84"/>
      <c r="AC485" s="92" t="s">
        <v>1312</v>
      </c>
      <c r="AD485" s="84"/>
      <c r="AE485" s="84" t="b">
        <v>0</v>
      </c>
      <c r="AF485" s="84">
        <v>0</v>
      </c>
      <c r="AG485" s="92" t="s">
        <v>1453</v>
      </c>
      <c r="AH485" s="84" t="b">
        <v>0</v>
      </c>
      <c r="AI485" s="84" t="s">
        <v>1456</v>
      </c>
      <c r="AJ485" s="84"/>
      <c r="AK485" s="92" t="s">
        <v>1453</v>
      </c>
      <c r="AL485" s="84" t="b">
        <v>0</v>
      </c>
      <c r="AM485" s="84">
        <v>3</v>
      </c>
      <c r="AN485" s="92" t="s">
        <v>1311</v>
      </c>
      <c r="AO485" s="84" t="s">
        <v>1520</v>
      </c>
      <c r="AP485" s="84" t="b">
        <v>0</v>
      </c>
      <c r="AQ485" s="92" t="s">
        <v>1311</v>
      </c>
      <c r="AR485" s="84" t="s">
        <v>187</v>
      </c>
      <c r="AS485" s="84">
        <v>0</v>
      </c>
      <c r="AT485" s="84">
        <v>0</v>
      </c>
      <c r="AU485" s="84"/>
      <c r="AV485" s="84"/>
      <c r="AW485" s="84"/>
      <c r="AX485" s="84"/>
      <c r="AY485" s="84"/>
      <c r="AZ485" s="84"/>
      <c r="BA485" s="84"/>
      <c r="BB485" s="84"/>
      <c r="BC485">
        <v>1</v>
      </c>
      <c r="BD485" s="83" t="str">
        <f>REPLACE(INDEX(GroupVertices[Group],MATCH(Edges[[#This Row],[Vertex 1]],GroupVertices[Vertex],0)),1,1,"")</f>
        <v>1</v>
      </c>
      <c r="BE485" s="83" t="str">
        <f>REPLACE(INDEX(GroupVertices[Group],MATCH(Edges[[#This Row],[Vertex 2]],GroupVertices[Vertex],0)),1,1,"")</f>
        <v>9</v>
      </c>
      <c r="BF485" s="49">
        <v>0</v>
      </c>
      <c r="BG485" s="50">
        <v>0</v>
      </c>
      <c r="BH485" s="49">
        <v>0</v>
      </c>
      <c r="BI485" s="50">
        <v>0</v>
      </c>
      <c r="BJ485" s="49">
        <v>0</v>
      </c>
      <c r="BK485" s="50">
        <v>0</v>
      </c>
      <c r="BL485" s="49">
        <v>30</v>
      </c>
      <c r="BM485" s="50">
        <v>100</v>
      </c>
      <c r="BN485" s="49">
        <v>30</v>
      </c>
    </row>
    <row r="486" spans="1:66" ht="15">
      <c r="A486" s="68" t="s">
        <v>395</v>
      </c>
      <c r="B486" s="68" t="s">
        <v>406</v>
      </c>
      <c r="C486" s="69" t="s">
        <v>5208</v>
      </c>
      <c r="D486" s="70">
        <v>1</v>
      </c>
      <c r="E486" s="71" t="s">
        <v>132</v>
      </c>
      <c r="F486" s="72">
        <v>32</v>
      </c>
      <c r="G486" s="69" t="s">
        <v>51</v>
      </c>
      <c r="H486" s="73"/>
      <c r="I486" s="74"/>
      <c r="J486" s="74"/>
      <c r="K486" s="35" t="s">
        <v>65</v>
      </c>
      <c r="L486" s="82">
        <v>486</v>
      </c>
      <c r="M486" s="82"/>
      <c r="N486" s="76"/>
      <c r="O486" s="84" t="s">
        <v>439</v>
      </c>
      <c r="P486" s="86">
        <v>44087.3256712963</v>
      </c>
      <c r="Q486" s="84" t="s">
        <v>493</v>
      </c>
      <c r="R486" s="84"/>
      <c r="S486" s="84"/>
      <c r="T486" s="84" t="s">
        <v>609</v>
      </c>
      <c r="U486" s="84"/>
      <c r="V486" s="87" t="str">
        <f>HYPERLINK("http://pbs.twimg.com/profile_images/1250454907871580162/Al-vkUN1_normal.jpg")</f>
        <v>http://pbs.twimg.com/profile_images/1250454907871580162/Al-vkUN1_normal.jpg</v>
      </c>
      <c r="W486" s="86">
        <v>44087.3256712963</v>
      </c>
      <c r="X486" s="90">
        <v>44087</v>
      </c>
      <c r="Y486" s="92" t="s">
        <v>915</v>
      </c>
      <c r="Z486" s="87" t="str">
        <f>HYPERLINK("https://twitter.com/thedeveloperbot/status/1305050825346224130")</f>
        <v>https://twitter.com/thedeveloperbot/status/1305050825346224130</v>
      </c>
      <c r="AA486" s="84"/>
      <c r="AB486" s="84"/>
      <c r="AC486" s="92" t="s">
        <v>1316</v>
      </c>
      <c r="AD486" s="84"/>
      <c r="AE486" s="84" t="b">
        <v>0</v>
      </c>
      <c r="AF486" s="84">
        <v>0</v>
      </c>
      <c r="AG486" s="92" t="s">
        <v>1453</v>
      </c>
      <c r="AH486" s="84" t="b">
        <v>0</v>
      </c>
      <c r="AI486" s="84" t="s">
        <v>1456</v>
      </c>
      <c r="AJ486" s="84"/>
      <c r="AK486" s="92" t="s">
        <v>1453</v>
      </c>
      <c r="AL486" s="84" t="b">
        <v>0</v>
      </c>
      <c r="AM486" s="84">
        <v>7</v>
      </c>
      <c r="AN486" s="92" t="s">
        <v>1358</v>
      </c>
      <c r="AO486" s="84" t="s">
        <v>1520</v>
      </c>
      <c r="AP486" s="84" t="b">
        <v>0</v>
      </c>
      <c r="AQ486" s="92" t="s">
        <v>1358</v>
      </c>
      <c r="AR486" s="84" t="s">
        <v>187</v>
      </c>
      <c r="AS486" s="84">
        <v>0</v>
      </c>
      <c r="AT486" s="84">
        <v>0</v>
      </c>
      <c r="AU486" s="84"/>
      <c r="AV486" s="84"/>
      <c r="AW486" s="84"/>
      <c r="AX486" s="84"/>
      <c r="AY486" s="84"/>
      <c r="AZ486" s="84"/>
      <c r="BA486" s="84"/>
      <c r="BB486" s="84"/>
      <c r="BC486">
        <v>1</v>
      </c>
      <c r="BD486" s="83" t="str">
        <f>REPLACE(INDEX(GroupVertices[Group],MATCH(Edges[[#This Row],[Vertex 1]],GroupVertices[Vertex],0)),1,1,"")</f>
        <v>1</v>
      </c>
      <c r="BE486" s="83" t="str">
        <f>REPLACE(INDEX(GroupVertices[Group],MATCH(Edges[[#This Row],[Vertex 2]],GroupVertices[Vertex],0)),1,1,"")</f>
        <v>1</v>
      </c>
      <c r="BF486" s="49">
        <v>0</v>
      </c>
      <c r="BG486" s="50">
        <v>0</v>
      </c>
      <c r="BH486" s="49">
        <v>0</v>
      </c>
      <c r="BI486" s="50">
        <v>0</v>
      </c>
      <c r="BJ486" s="49">
        <v>0</v>
      </c>
      <c r="BK486" s="50">
        <v>0</v>
      </c>
      <c r="BL486" s="49">
        <v>22</v>
      </c>
      <c r="BM486" s="50">
        <v>100</v>
      </c>
      <c r="BN486" s="49">
        <v>22</v>
      </c>
    </row>
    <row r="487" spans="1:66" ht="15">
      <c r="A487" s="68" t="s">
        <v>395</v>
      </c>
      <c r="B487" s="68" t="s">
        <v>420</v>
      </c>
      <c r="C487" s="69" t="s">
        <v>5208</v>
      </c>
      <c r="D487" s="70">
        <v>1</v>
      </c>
      <c r="E487" s="71" t="s">
        <v>132</v>
      </c>
      <c r="F487" s="72">
        <v>32</v>
      </c>
      <c r="G487" s="69" t="s">
        <v>51</v>
      </c>
      <c r="H487" s="73"/>
      <c r="I487" s="74"/>
      <c r="J487" s="74"/>
      <c r="K487" s="35" t="s">
        <v>65</v>
      </c>
      <c r="L487" s="82">
        <v>487</v>
      </c>
      <c r="M487" s="82"/>
      <c r="N487" s="76"/>
      <c r="O487" s="84" t="s">
        <v>440</v>
      </c>
      <c r="P487" s="86">
        <v>44089.55158564815</v>
      </c>
      <c r="Q487" s="84" t="s">
        <v>511</v>
      </c>
      <c r="R487" s="87" t="str">
        <f>HYPERLINK("https://www.coodingdessign.com/python/datascience/visualization-of-covid-19-new-cases-over-time-in-python/")</f>
        <v>https://www.coodingdessign.com/python/datascience/visualization-of-covid-19-new-cases-over-time-in-python/</v>
      </c>
      <c r="S487" s="84" t="s">
        <v>560</v>
      </c>
      <c r="T487" s="84" t="s">
        <v>626</v>
      </c>
      <c r="U487" s="87" t="str">
        <f>HYPERLINK("https://pbs.twimg.com/media/Eh9WZq2XcActpko.png")</f>
        <v>https://pbs.twimg.com/media/Eh9WZq2XcActpko.png</v>
      </c>
      <c r="V487" s="87" t="str">
        <f>HYPERLINK("https://pbs.twimg.com/media/Eh9WZq2XcActpko.png")</f>
        <v>https://pbs.twimg.com/media/Eh9WZq2XcActpko.png</v>
      </c>
      <c r="W487" s="86">
        <v>44089.55158564815</v>
      </c>
      <c r="X487" s="90">
        <v>44089</v>
      </c>
      <c r="Y487" s="92" t="s">
        <v>916</v>
      </c>
      <c r="Z487" s="87" t="str">
        <f>HYPERLINK("https://twitter.com/thedeveloperbot/status/1305857473212014597")</f>
        <v>https://twitter.com/thedeveloperbot/status/1305857473212014597</v>
      </c>
      <c r="AA487" s="84"/>
      <c r="AB487" s="84"/>
      <c r="AC487" s="92" t="s">
        <v>1317</v>
      </c>
      <c r="AD487" s="84"/>
      <c r="AE487" s="84" t="b">
        <v>0</v>
      </c>
      <c r="AF487" s="84">
        <v>0</v>
      </c>
      <c r="AG487" s="92" t="s">
        <v>1453</v>
      </c>
      <c r="AH487" s="84" t="b">
        <v>0</v>
      </c>
      <c r="AI487" s="84" t="s">
        <v>1456</v>
      </c>
      <c r="AJ487" s="84"/>
      <c r="AK487" s="92" t="s">
        <v>1453</v>
      </c>
      <c r="AL487" s="84" t="b">
        <v>0</v>
      </c>
      <c r="AM487" s="84">
        <v>19</v>
      </c>
      <c r="AN487" s="92" t="s">
        <v>1410</v>
      </c>
      <c r="AO487" s="84" t="s">
        <v>1520</v>
      </c>
      <c r="AP487" s="84" t="b">
        <v>0</v>
      </c>
      <c r="AQ487" s="92" t="s">
        <v>1410</v>
      </c>
      <c r="AR487" s="84" t="s">
        <v>187</v>
      </c>
      <c r="AS487" s="84">
        <v>0</v>
      </c>
      <c r="AT487" s="84">
        <v>0</v>
      </c>
      <c r="AU487" s="84"/>
      <c r="AV487" s="84"/>
      <c r="AW487" s="84"/>
      <c r="AX487" s="84"/>
      <c r="AY487" s="84"/>
      <c r="AZ487" s="84"/>
      <c r="BA487" s="84"/>
      <c r="BB487" s="84"/>
      <c r="BC487">
        <v>1</v>
      </c>
      <c r="BD487" s="83" t="str">
        <f>REPLACE(INDEX(GroupVertices[Group],MATCH(Edges[[#This Row],[Vertex 1]],GroupVertices[Vertex],0)),1,1,"")</f>
        <v>1</v>
      </c>
      <c r="BE487" s="83" t="str">
        <f>REPLACE(INDEX(GroupVertices[Group],MATCH(Edges[[#This Row],[Vertex 2]],GroupVertices[Vertex],0)),1,1,"")</f>
        <v>1</v>
      </c>
      <c r="BF487" s="49"/>
      <c r="BG487" s="50"/>
      <c r="BH487" s="49"/>
      <c r="BI487" s="50"/>
      <c r="BJ487" s="49"/>
      <c r="BK487" s="50"/>
      <c r="BL487" s="49"/>
      <c r="BM487" s="50"/>
      <c r="BN487" s="49"/>
    </row>
    <row r="488" spans="1:66" ht="15">
      <c r="A488" s="68" t="s">
        <v>395</v>
      </c>
      <c r="B488" s="68" t="s">
        <v>438</v>
      </c>
      <c r="C488" s="69" t="s">
        <v>5208</v>
      </c>
      <c r="D488" s="70">
        <v>1</v>
      </c>
      <c r="E488" s="71" t="s">
        <v>132</v>
      </c>
      <c r="F488" s="72">
        <v>32</v>
      </c>
      <c r="G488" s="69" t="s">
        <v>51</v>
      </c>
      <c r="H488" s="73"/>
      <c r="I488" s="74"/>
      <c r="J488" s="74"/>
      <c r="K488" s="35" t="s">
        <v>65</v>
      </c>
      <c r="L488" s="82">
        <v>488</v>
      </c>
      <c r="M488" s="82"/>
      <c r="N488" s="76"/>
      <c r="O488" s="84" t="s">
        <v>440</v>
      </c>
      <c r="P488" s="86">
        <v>44089.55158564815</v>
      </c>
      <c r="Q488" s="84" t="s">
        <v>511</v>
      </c>
      <c r="R488" s="87" t="str">
        <f>HYPERLINK("https://www.coodingdessign.com/python/datascience/visualization-of-covid-19-new-cases-over-time-in-python/")</f>
        <v>https://www.coodingdessign.com/python/datascience/visualization-of-covid-19-new-cases-over-time-in-python/</v>
      </c>
      <c r="S488" s="84" t="s">
        <v>560</v>
      </c>
      <c r="T488" s="84" t="s">
        <v>626</v>
      </c>
      <c r="U488" s="87" t="str">
        <f>HYPERLINK("https://pbs.twimg.com/media/Eh9WZq2XcActpko.png")</f>
        <v>https://pbs.twimg.com/media/Eh9WZq2XcActpko.png</v>
      </c>
      <c r="V488" s="87" t="str">
        <f>HYPERLINK("https://pbs.twimg.com/media/Eh9WZq2XcActpko.png")</f>
        <v>https://pbs.twimg.com/media/Eh9WZq2XcActpko.png</v>
      </c>
      <c r="W488" s="86">
        <v>44089.55158564815</v>
      </c>
      <c r="X488" s="90">
        <v>44089</v>
      </c>
      <c r="Y488" s="92" t="s">
        <v>916</v>
      </c>
      <c r="Z488" s="87" t="str">
        <f>HYPERLINK("https://twitter.com/thedeveloperbot/status/1305857473212014597")</f>
        <v>https://twitter.com/thedeveloperbot/status/1305857473212014597</v>
      </c>
      <c r="AA488" s="84"/>
      <c r="AB488" s="84"/>
      <c r="AC488" s="92" t="s">
        <v>1317</v>
      </c>
      <c r="AD488" s="84"/>
      <c r="AE488" s="84" t="b">
        <v>0</v>
      </c>
      <c r="AF488" s="84">
        <v>0</v>
      </c>
      <c r="AG488" s="92" t="s">
        <v>1453</v>
      </c>
      <c r="AH488" s="84" t="b">
        <v>0</v>
      </c>
      <c r="AI488" s="84" t="s">
        <v>1456</v>
      </c>
      <c r="AJ488" s="84"/>
      <c r="AK488" s="92" t="s">
        <v>1453</v>
      </c>
      <c r="AL488" s="84" t="b">
        <v>0</v>
      </c>
      <c r="AM488" s="84">
        <v>19</v>
      </c>
      <c r="AN488" s="92" t="s">
        <v>1410</v>
      </c>
      <c r="AO488" s="84" t="s">
        <v>1520</v>
      </c>
      <c r="AP488" s="84" t="b">
        <v>0</v>
      </c>
      <c r="AQ488" s="92" t="s">
        <v>1410</v>
      </c>
      <c r="AR488" s="84" t="s">
        <v>187</v>
      </c>
      <c r="AS488" s="84">
        <v>0</v>
      </c>
      <c r="AT488" s="84">
        <v>0</v>
      </c>
      <c r="AU488" s="84"/>
      <c r="AV488" s="84"/>
      <c r="AW488" s="84"/>
      <c r="AX488" s="84"/>
      <c r="AY488" s="84"/>
      <c r="AZ488" s="84"/>
      <c r="BA488" s="84"/>
      <c r="BB488" s="84"/>
      <c r="BC488">
        <v>1</v>
      </c>
      <c r="BD488" s="83" t="str">
        <f>REPLACE(INDEX(GroupVertices[Group],MATCH(Edges[[#This Row],[Vertex 1]],GroupVertices[Vertex],0)),1,1,"")</f>
        <v>1</v>
      </c>
      <c r="BE488" s="83" t="str">
        <f>REPLACE(INDEX(GroupVertices[Group],MATCH(Edges[[#This Row],[Vertex 2]],GroupVertices[Vertex],0)),1,1,"")</f>
        <v>1</v>
      </c>
      <c r="BF488" s="49"/>
      <c r="BG488" s="50"/>
      <c r="BH488" s="49"/>
      <c r="BI488" s="50"/>
      <c r="BJ488" s="49"/>
      <c r="BK488" s="50"/>
      <c r="BL488" s="49"/>
      <c r="BM488" s="50"/>
      <c r="BN488" s="49"/>
    </row>
    <row r="489" spans="1:66" ht="15">
      <c r="A489" s="68" t="s">
        <v>395</v>
      </c>
      <c r="B489" s="68" t="s">
        <v>419</v>
      </c>
      <c r="C489" s="69" t="s">
        <v>5208</v>
      </c>
      <c r="D489" s="70">
        <v>1</v>
      </c>
      <c r="E489" s="71" t="s">
        <v>132</v>
      </c>
      <c r="F489" s="72">
        <v>32</v>
      </c>
      <c r="G489" s="69" t="s">
        <v>51</v>
      </c>
      <c r="H489" s="73"/>
      <c r="I489" s="74"/>
      <c r="J489" s="74"/>
      <c r="K489" s="35" t="s">
        <v>65</v>
      </c>
      <c r="L489" s="82">
        <v>489</v>
      </c>
      <c r="M489" s="82"/>
      <c r="N489" s="76"/>
      <c r="O489" s="84" t="s">
        <v>439</v>
      </c>
      <c r="P489" s="86">
        <v>44089.55158564815</v>
      </c>
      <c r="Q489" s="84" t="s">
        <v>511</v>
      </c>
      <c r="R489" s="87" t="str">
        <f>HYPERLINK("https://www.coodingdessign.com/python/datascience/visualization-of-covid-19-new-cases-over-time-in-python/")</f>
        <v>https://www.coodingdessign.com/python/datascience/visualization-of-covid-19-new-cases-over-time-in-python/</v>
      </c>
      <c r="S489" s="84" t="s">
        <v>560</v>
      </c>
      <c r="T489" s="84" t="s">
        <v>626</v>
      </c>
      <c r="U489" s="87" t="str">
        <f>HYPERLINK("https://pbs.twimg.com/media/Eh9WZq2XcActpko.png")</f>
        <v>https://pbs.twimg.com/media/Eh9WZq2XcActpko.png</v>
      </c>
      <c r="V489" s="87" t="str">
        <f>HYPERLINK("https://pbs.twimg.com/media/Eh9WZq2XcActpko.png")</f>
        <v>https://pbs.twimg.com/media/Eh9WZq2XcActpko.png</v>
      </c>
      <c r="W489" s="86">
        <v>44089.55158564815</v>
      </c>
      <c r="X489" s="90">
        <v>44089</v>
      </c>
      <c r="Y489" s="92" t="s">
        <v>916</v>
      </c>
      <c r="Z489" s="87" t="str">
        <f>HYPERLINK("https://twitter.com/thedeveloperbot/status/1305857473212014597")</f>
        <v>https://twitter.com/thedeveloperbot/status/1305857473212014597</v>
      </c>
      <c r="AA489" s="84"/>
      <c r="AB489" s="84"/>
      <c r="AC489" s="92" t="s">
        <v>1317</v>
      </c>
      <c r="AD489" s="84"/>
      <c r="AE489" s="84" t="b">
        <v>0</v>
      </c>
      <c r="AF489" s="84">
        <v>0</v>
      </c>
      <c r="AG489" s="92" t="s">
        <v>1453</v>
      </c>
      <c r="AH489" s="84" t="b">
        <v>0</v>
      </c>
      <c r="AI489" s="84" t="s">
        <v>1456</v>
      </c>
      <c r="AJ489" s="84"/>
      <c r="AK489" s="92" t="s">
        <v>1453</v>
      </c>
      <c r="AL489" s="84" t="b">
        <v>0</v>
      </c>
      <c r="AM489" s="84">
        <v>19</v>
      </c>
      <c r="AN489" s="92" t="s">
        <v>1410</v>
      </c>
      <c r="AO489" s="84" t="s">
        <v>1520</v>
      </c>
      <c r="AP489" s="84" t="b">
        <v>0</v>
      </c>
      <c r="AQ489" s="92" t="s">
        <v>1410</v>
      </c>
      <c r="AR489" s="84" t="s">
        <v>187</v>
      </c>
      <c r="AS489" s="84">
        <v>0</v>
      </c>
      <c r="AT489" s="84">
        <v>0</v>
      </c>
      <c r="AU489" s="84"/>
      <c r="AV489" s="84"/>
      <c r="AW489" s="84"/>
      <c r="AX489" s="84"/>
      <c r="AY489" s="84"/>
      <c r="AZ489" s="84"/>
      <c r="BA489" s="84"/>
      <c r="BB489" s="84"/>
      <c r="BC489">
        <v>1</v>
      </c>
      <c r="BD489" s="83" t="str">
        <f>REPLACE(INDEX(GroupVertices[Group],MATCH(Edges[[#This Row],[Vertex 1]],GroupVertices[Vertex],0)),1,1,"")</f>
        <v>1</v>
      </c>
      <c r="BE489" s="83" t="str">
        <f>REPLACE(INDEX(GroupVertices[Group],MATCH(Edges[[#This Row],[Vertex 2]],GroupVertices[Vertex],0)),1,1,"")</f>
        <v>1</v>
      </c>
      <c r="BF489" s="49">
        <v>0</v>
      </c>
      <c r="BG489" s="50">
        <v>0</v>
      </c>
      <c r="BH489" s="49">
        <v>0</v>
      </c>
      <c r="BI489" s="50">
        <v>0</v>
      </c>
      <c r="BJ489" s="49">
        <v>0</v>
      </c>
      <c r="BK489" s="50">
        <v>0</v>
      </c>
      <c r="BL489" s="49">
        <v>20</v>
      </c>
      <c r="BM489" s="50">
        <v>100</v>
      </c>
      <c r="BN489" s="49">
        <v>20</v>
      </c>
    </row>
    <row r="490" spans="1:66" ht="15">
      <c r="A490" s="68" t="s">
        <v>396</v>
      </c>
      <c r="B490" s="68" t="s">
        <v>398</v>
      </c>
      <c r="C490" s="69" t="s">
        <v>5209</v>
      </c>
      <c r="D490" s="70">
        <v>6.678367782143116</v>
      </c>
      <c r="E490" s="71" t="s">
        <v>132</v>
      </c>
      <c r="F490" s="72">
        <v>21</v>
      </c>
      <c r="G490" s="69" t="s">
        <v>51</v>
      </c>
      <c r="H490" s="73"/>
      <c r="I490" s="74"/>
      <c r="J490" s="74"/>
      <c r="K490" s="35" t="s">
        <v>65</v>
      </c>
      <c r="L490" s="82">
        <v>490</v>
      </c>
      <c r="M490" s="82"/>
      <c r="N490" s="76"/>
      <c r="O490" s="84" t="s">
        <v>439</v>
      </c>
      <c r="P490" s="86">
        <v>44082.45543981482</v>
      </c>
      <c r="Q490" s="84" t="s">
        <v>454</v>
      </c>
      <c r="R490" s="87" t="str">
        <f>HYPERLINK("https://nobrowser.com/")</f>
        <v>https://nobrowser.com/</v>
      </c>
      <c r="S490" s="84" t="s">
        <v>536</v>
      </c>
      <c r="T490" s="84" t="s">
        <v>573</v>
      </c>
      <c r="U490" s="87" t="str">
        <f>HYPERLINK("https://pbs.twimg.com/media/EhYzm1cVoAAotrW.jpg")</f>
        <v>https://pbs.twimg.com/media/EhYzm1cVoAAotrW.jpg</v>
      </c>
      <c r="V490" s="87" t="str">
        <f>HYPERLINK("https://pbs.twimg.com/media/EhYzm1cVoAAotrW.jpg")</f>
        <v>https://pbs.twimg.com/media/EhYzm1cVoAAotrW.jpg</v>
      </c>
      <c r="W490" s="86">
        <v>44082.45543981482</v>
      </c>
      <c r="X490" s="90">
        <v>44082</v>
      </c>
      <c r="Y490" s="92" t="s">
        <v>917</v>
      </c>
      <c r="Z490" s="87" t="str">
        <f>HYPERLINK("https://twitter.com/femtech_/status/1303285912776867841")</f>
        <v>https://twitter.com/femtech_/status/1303285912776867841</v>
      </c>
      <c r="AA490" s="84"/>
      <c r="AB490" s="84"/>
      <c r="AC490" s="92" t="s">
        <v>1318</v>
      </c>
      <c r="AD490" s="84"/>
      <c r="AE490" s="84" t="b">
        <v>0</v>
      </c>
      <c r="AF490" s="84">
        <v>0</v>
      </c>
      <c r="AG490" s="92" t="s">
        <v>1453</v>
      </c>
      <c r="AH490" s="84" t="b">
        <v>0</v>
      </c>
      <c r="AI490" s="84" t="s">
        <v>1456</v>
      </c>
      <c r="AJ490" s="84"/>
      <c r="AK490" s="92" t="s">
        <v>1453</v>
      </c>
      <c r="AL490" s="84" t="b">
        <v>0</v>
      </c>
      <c r="AM490" s="84">
        <v>8</v>
      </c>
      <c r="AN490" s="92" t="s">
        <v>1325</v>
      </c>
      <c r="AO490" s="84" t="s">
        <v>1521</v>
      </c>
      <c r="AP490" s="84" t="b">
        <v>0</v>
      </c>
      <c r="AQ490" s="92" t="s">
        <v>1325</v>
      </c>
      <c r="AR490" s="84" t="s">
        <v>187</v>
      </c>
      <c r="AS490" s="84">
        <v>0</v>
      </c>
      <c r="AT490" s="84">
        <v>0</v>
      </c>
      <c r="AU490" s="84"/>
      <c r="AV490" s="84"/>
      <c r="AW490" s="84"/>
      <c r="AX490" s="84"/>
      <c r="AY490" s="84"/>
      <c r="AZ490" s="84"/>
      <c r="BA490" s="84"/>
      <c r="BB490" s="84"/>
      <c r="BC490">
        <v>2</v>
      </c>
      <c r="BD490" s="83" t="str">
        <f>REPLACE(INDEX(GroupVertices[Group],MATCH(Edges[[#This Row],[Vertex 1]],GroupVertices[Vertex],0)),1,1,"")</f>
        <v>1</v>
      </c>
      <c r="BE490" s="83" t="str">
        <f>REPLACE(INDEX(GroupVertices[Group],MATCH(Edges[[#This Row],[Vertex 2]],GroupVertices[Vertex],0)),1,1,"")</f>
        <v>10</v>
      </c>
      <c r="BF490" s="49">
        <v>0</v>
      </c>
      <c r="BG490" s="50">
        <v>0</v>
      </c>
      <c r="BH490" s="49">
        <v>0</v>
      </c>
      <c r="BI490" s="50">
        <v>0</v>
      </c>
      <c r="BJ490" s="49">
        <v>0</v>
      </c>
      <c r="BK490" s="50">
        <v>0</v>
      </c>
      <c r="BL490" s="49">
        <v>34</v>
      </c>
      <c r="BM490" s="50">
        <v>100</v>
      </c>
      <c r="BN490" s="49">
        <v>34</v>
      </c>
    </row>
    <row r="491" spans="1:66" ht="15">
      <c r="A491" s="68" t="s">
        <v>396</v>
      </c>
      <c r="B491" s="68" t="s">
        <v>398</v>
      </c>
      <c r="C491" s="69" t="s">
        <v>5209</v>
      </c>
      <c r="D491" s="70">
        <v>6.678367782143116</v>
      </c>
      <c r="E491" s="71" t="s">
        <v>132</v>
      </c>
      <c r="F491" s="72">
        <v>21</v>
      </c>
      <c r="G491" s="69" t="s">
        <v>51</v>
      </c>
      <c r="H491" s="73"/>
      <c r="I491" s="74"/>
      <c r="J491" s="74"/>
      <c r="K491" s="35" t="s">
        <v>65</v>
      </c>
      <c r="L491" s="82">
        <v>491</v>
      </c>
      <c r="M491" s="82"/>
      <c r="N491" s="76"/>
      <c r="O491" s="84" t="s">
        <v>439</v>
      </c>
      <c r="P491" s="86">
        <v>44083.06564814815</v>
      </c>
      <c r="Q491" s="84" t="s">
        <v>454</v>
      </c>
      <c r="R491" s="87" t="str">
        <f>HYPERLINK("https://nobrowser.com/")</f>
        <v>https://nobrowser.com/</v>
      </c>
      <c r="S491" s="84" t="s">
        <v>536</v>
      </c>
      <c r="T491" s="84" t="s">
        <v>573</v>
      </c>
      <c r="U491" s="87" t="str">
        <f>HYPERLINK("https://pbs.twimg.com/media/EhYzm1cVoAAotrW.jpg")</f>
        <v>https://pbs.twimg.com/media/EhYzm1cVoAAotrW.jpg</v>
      </c>
      <c r="V491" s="87" t="str">
        <f>HYPERLINK("https://pbs.twimg.com/media/EhYzm1cVoAAotrW.jpg")</f>
        <v>https://pbs.twimg.com/media/EhYzm1cVoAAotrW.jpg</v>
      </c>
      <c r="W491" s="86">
        <v>44083.06564814815</v>
      </c>
      <c r="X491" s="90">
        <v>44083</v>
      </c>
      <c r="Y491" s="92" t="s">
        <v>918</v>
      </c>
      <c r="Z491" s="87" t="str">
        <f>HYPERLINK("https://twitter.com/femtech_/status/1303507044671070208")</f>
        <v>https://twitter.com/femtech_/status/1303507044671070208</v>
      </c>
      <c r="AA491" s="84"/>
      <c r="AB491" s="84"/>
      <c r="AC491" s="92" t="s">
        <v>1319</v>
      </c>
      <c r="AD491" s="84"/>
      <c r="AE491" s="84" t="b">
        <v>0</v>
      </c>
      <c r="AF491" s="84">
        <v>0</v>
      </c>
      <c r="AG491" s="92" t="s">
        <v>1453</v>
      </c>
      <c r="AH491" s="84" t="b">
        <v>0</v>
      </c>
      <c r="AI491" s="84" t="s">
        <v>1456</v>
      </c>
      <c r="AJ491" s="84"/>
      <c r="AK491" s="92" t="s">
        <v>1453</v>
      </c>
      <c r="AL491" s="84" t="b">
        <v>0</v>
      </c>
      <c r="AM491" s="84">
        <v>8</v>
      </c>
      <c r="AN491" s="92" t="s">
        <v>1325</v>
      </c>
      <c r="AO491" s="84" t="s">
        <v>1521</v>
      </c>
      <c r="AP491" s="84" t="b">
        <v>0</v>
      </c>
      <c r="AQ491" s="92" t="s">
        <v>1325</v>
      </c>
      <c r="AR491" s="84" t="s">
        <v>187</v>
      </c>
      <c r="AS491" s="84">
        <v>0</v>
      </c>
      <c r="AT491" s="84">
        <v>0</v>
      </c>
      <c r="AU491" s="84"/>
      <c r="AV491" s="84"/>
      <c r="AW491" s="84"/>
      <c r="AX491" s="84"/>
      <c r="AY491" s="84"/>
      <c r="AZ491" s="84"/>
      <c r="BA491" s="84"/>
      <c r="BB491" s="84"/>
      <c r="BC491">
        <v>2</v>
      </c>
      <c r="BD491" s="83" t="str">
        <f>REPLACE(INDEX(GroupVertices[Group],MATCH(Edges[[#This Row],[Vertex 1]],GroupVertices[Vertex],0)),1,1,"")</f>
        <v>1</v>
      </c>
      <c r="BE491" s="83" t="str">
        <f>REPLACE(INDEX(GroupVertices[Group],MATCH(Edges[[#This Row],[Vertex 2]],GroupVertices[Vertex],0)),1,1,"")</f>
        <v>10</v>
      </c>
      <c r="BF491" s="49">
        <v>0</v>
      </c>
      <c r="BG491" s="50">
        <v>0</v>
      </c>
      <c r="BH491" s="49">
        <v>0</v>
      </c>
      <c r="BI491" s="50">
        <v>0</v>
      </c>
      <c r="BJ491" s="49">
        <v>0</v>
      </c>
      <c r="BK491" s="50">
        <v>0</v>
      </c>
      <c r="BL491" s="49">
        <v>34</v>
      </c>
      <c r="BM491" s="50">
        <v>100</v>
      </c>
      <c r="BN491" s="49">
        <v>34</v>
      </c>
    </row>
    <row r="492" spans="1:66" ht="15">
      <c r="A492" s="68" t="s">
        <v>396</v>
      </c>
      <c r="B492" s="68" t="s">
        <v>403</v>
      </c>
      <c r="C492" s="69" t="s">
        <v>5208</v>
      </c>
      <c r="D492" s="70">
        <v>1</v>
      </c>
      <c r="E492" s="71" t="s">
        <v>132</v>
      </c>
      <c r="F492" s="72">
        <v>32</v>
      </c>
      <c r="G492" s="69" t="s">
        <v>51</v>
      </c>
      <c r="H492" s="73"/>
      <c r="I492" s="74"/>
      <c r="J492" s="74"/>
      <c r="K492" s="35" t="s">
        <v>65</v>
      </c>
      <c r="L492" s="82">
        <v>492</v>
      </c>
      <c r="M492" s="82"/>
      <c r="N492" s="76"/>
      <c r="O492" s="84" t="s">
        <v>439</v>
      </c>
      <c r="P492" s="86">
        <v>44083.46938657408</v>
      </c>
      <c r="Q492" s="84" t="s">
        <v>470</v>
      </c>
      <c r="R492" s="84"/>
      <c r="S492" s="84"/>
      <c r="T492" s="84" t="s">
        <v>587</v>
      </c>
      <c r="U492" s="87" t="str">
        <f>HYPERLINK("https://pbs.twimg.com/media/EheAw4eWsAAx-Hd.jpg")</f>
        <v>https://pbs.twimg.com/media/EheAw4eWsAAx-Hd.jpg</v>
      </c>
      <c r="V492" s="87" t="str">
        <f>HYPERLINK("https://pbs.twimg.com/media/EheAw4eWsAAx-Hd.jpg")</f>
        <v>https://pbs.twimg.com/media/EheAw4eWsAAx-Hd.jpg</v>
      </c>
      <c r="W492" s="86">
        <v>44083.46938657408</v>
      </c>
      <c r="X492" s="90">
        <v>44083</v>
      </c>
      <c r="Y492" s="92" t="s">
        <v>919</v>
      </c>
      <c r="Z492" s="87" t="str">
        <f>HYPERLINK("https://twitter.com/femtech_/status/1303653355923951617")</f>
        <v>https://twitter.com/femtech_/status/1303653355923951617</v>
      </c>
      <c r="AA492" s="84"/>
      <c r="AB492" s="84"/>
      <c r="AC492" s="92" t="s">
        <v>1320</v>
      </c>
      <c r="AD492" s="84"/>
      <c r="AE492" s="84" t="b">
        <v>0</v>
      </c>
      <c r="AF492" s="84">
        <v>0</v>
      </c>
      <c r="AG492" s="92" t="s">
        <v>1453</v>
      </c>
      <c r="AH492" s="84" t="b">
        <v>0</v>
      </c>
      <c r="AI492" s="84" t="s">
        <v>1456</v>
      </c>
      <c r="AJ492" s="84"/>
      <c r="AK492" s="92" t="s">
        <v>1453</v>
      </c>
      <c r="AL492" s="84" t="b">
        <v>0</v>
      </c>
      <c r="AM492" s="84">
        <v>13</v>
      </c>
      <c r="AN492" s="92" t="s">
        <v>1337</v>
      </c>
      <c r="AO492" s="84" t="s">
        <v>1521</v>
      </c>
      <c r="AP492" s="84" t="b">
        <v>0</v>
      </c>
      <c r="AQ492" s="92" t="s">
        <v>1337</v>
      </c>
      <c r="AR492" s="84" t="s">
        <v>187</v>
      </c>
      <c r="AS492" s="84">
        <v>0</v>
      </c>
      <c r="AT492" s="84">
        <v>0</v>
      </c>
      <c r="AU492" s="84"/>
      <c r="AV492" s="84"/>
      <c r="AW492" s="84"/>
      <c r="AX492" s="84"/>
      <c r="AY492" s="84"/>
      <c r="AZ492" s="84"/>
      <c r="BA492" s="84"/>
      <c r="BB492" s="84"/>
      <c r="BC492">
        <v>1</v>
      </c>
      <c r="BD492" s="83" t="str">
        <f>REPLACE(INDEX(GroupVertices[Group],MATCH(Edges[[#This Row],[Vertex 1]],GroupVertices[Vertex],0)),1,1,"")</f>
        <v>1</v>
      </c>
      <c r="BE492" s="83" t="str">
        <f>REPLACE(INDEX(GroupVertices[Group],MATCH(Edges[[#This Row],[Vertex 2]],GroupVertices[Vertex],0)),1,1,"")</f>
        <v>1</v>
      </c>
      <c r="BF492" s="49">
        <v>0</v>
      </c>
      <c r="BG492" s="50">
        <v>0</v>
      </c>
      <c r="BH492" s="49">
        <v>0</v>
      </c>
      <c r="BI492" s="50">
        <v>0</v>
      </c>
      <c r="BJ492" s="49">
        <v>0</v>
      </c>
      <c r="BK492" s="50">
        <v>0</v>
      </c>
      <c r="BL492" s="49">
        <v>37</v>
      </c>
      <c r="BM492" s="50">
        <v>100</v>
      </c>
      <c r="BN492" s="49">
        <v>37</v>
      </c>
    </row>
    <row r="493" spans="1:66" ht="15">
      <c r="A493" s="68" t="s">
        <v>396</v>
      </c>
      <c r="B493" s="68" t="s">
        <v>420</v>
      </c>
      <c r="C493" s="69" t="s">
        <v>5208</v>
      </c>
      <c r="D493" s="70">
        <v>1</v>
      </c>
      <c r="E493" s="71" t="s">
        <v>132</v>
      </c>
      <c r="F493" s="72">
        <v>32</v>
      </c>
      <c r="G493" s="69" t="s">
        <v>51</v>
      </c>
      <c r="H493" s="73"/>
      <c r="I493" s="74"/>
      <c r="J493" s="74"/>
      <c r="K493" s="35" t="s">
        <v>65</v>
      </c>
      <c r="L493" s="82">
        <v>493</v>
      </c>
      <c r="M493" s="82"/>
      <c r="N493" s="76"/>
      <c r="O493" s="84" t="s">
        <v>440</v>
      </c>
      <c r="P493" s="86">
        <v>44089.55158564815</v>
      </c>
      <c r="Q493" s="84" t="s">
        <v>511</v>
      </c>
      <c r="R493" s="87" t="str">
        <f>HYPERLINK("https://www.coodingdessign.com/python/datascience/visualization-of-covid-19-new-cases-over-time-in-python/")</f>
        <v>https://www.coodingdessign.com/python/datascience/visualization-of-covid-19-new-cases-over-time-in-python/</v>
      </c>
      <c r="S493" s="84" t="s">
        <v>560</v>
      </c>
      <c r="T493" s="84" t="s">
        <v>626</v>
      </c>
      <c r="U493" s="87" t="str">
        <f>HYPERLINK("https://pbs.twimg.com/media/Eh9WZq2XcActpko.png")</f>
        <v>https://pbs.twimg.com/media/Eh9WZq2XcActpko.png</v>
      </c>
      <c r="V493" s="87" t="str">
        <f>HYPERLINK("https://pbs.twimg.com/media/Eh9WZq2XcActpko.png")</f>
        <v>https://pbs.twimg.com/media/Eh9WZq2XcActpko.png</v>
      </c>
      <c r="W493" s="86">
        <v>44089.55158564815</v>
      </c>
      <c r="X493" s="90">
        <v>44089</v>
      </c>
      <c r="Y493" s="92" t="s">
        <v>916</v>
      </c>
      <c r="Z493" s="87" t="str">
        <f>HYPERLINK("https://twitter.com/femtech_/status/1305857473350455296")</f>
        <v>https://twitter.com/femtech_/status/1305857473350455296</v>
      </c>
      <c r="AA493" s="84"/>
      <c r="AB493" s="84"/>
      <c r="AC493" s="92" t="s">
        <v>1321</v>
      </c>
      <c r="AD493" s="84"/>
      <c r="AE493" s="84" t="b">
        <v>0</v>
      </c>
      <c r="AF493" s="84">
        <v>0</v>
      </c>
      <c r="AG493" s="92" t="s">
        <v>1453</v>
      </c>
      <c r="AH493" s="84" t="b">
        <v>0</v>
      </c>
      <c r="AI493" s="84" t="s">
        <v>1456</v>
      </c>
      <c r="AJ493" s="84"/>
      <c r="AK493" s="92" t="s">
        <v>1453</v>
      </c>
      <c r="AL493" s="84" t="b">
        <v>0</v>
      </c>
      <c r="AM493" s="84">
        <v>19</v>
      </c>
      <c r="AN493" s="92" t="s">
        <v>1410</v>
      </c>
      <c r="AO493" s="84" t="s">
        <v>1521</v>
      </c>
      <c r="AP493" s="84" t="b">
        <v>0</v>
      </c>
      <c r="AQ493" s="92" t="s">
        <v>1410</v>
      </c>
      <c r="AR493" s="84" t="s">
        <v>187</v>
      </c>
      <c r="AS493" s="84">
        <v>0</v>
      </c>
      <c r="AT493" s="84">
        <v>0</v>
      </c>
      <c r="AU493" s="84"/>
      <c r="AV493" s="84"/>
      <c r="AW493" s="84"/>
      <c r="AX493" s="84"/>
      <c r="AY493" s="84"/>
      <c r="AZ493" s="84"/>
      <c r="BA493" s="84"/>
      <c r="BB493" s="84"/>
      <c r="BC493">
        <v>1</v>
      </c>
      <c r="BD493" s="83" t="str">
        <f>REPLACE(INDEX(GroupVertices[Group],MATCH(Edges[[#This Row],[Vertex 1]],GroupVertices[Vertex],0)),1,1,"")</f>
        <v>1</v>
      </c>
      <c r="BE493" s="83" t="str">
        <f>REPLACE(INDEX(GroupVertices[Group],MATCH(Edges[[#This Row],[Vertex 2]],GroupVertices[Vertex],0)),1,1,"")</f>
        <v>1</v>
      </c>
      <c r="BF493" s="49"/>
      <c r="BG493" s="50"/>
      <c r="BH493" s="49"/>
      <c r="BI493" s="50"/>
      <c r="BJ493" s="49"/>
      <c r="BK493" s="50"/>
      <c r="BL493" s="49"/>
      <c r="BM493" s="50"/>
      <c r="BN493" s="49"/>
    </row>
    <row r="494" spans="1:66" ht="15">
      <c r="A494" s="68" t="s">
        <v>396</v>
      </c>
      <c r="B494" s="68" t="s">
        <v>438</v>
      </c>
      <c r="C494" s="69" t="s">
        <v>5208</v>
      </c>
      <c r="D494" s="70">
        <v>1</v>
      </c>
      <c r="E494" s="71" t="s">
        <v>132</v>
      </c>
      <c r="F494" s="72">
        <v>32</v>
      </c>
      <c r="G494" s="69" t="s">
        <v>51</v>
      </c>
      <c r="H494" s="73"/>
      <c r="I494" s="74"/>
      <c r="J494" s="74"/>
      <c r="K494" s="35" t="s">
        <v>65</v>
      </c>
      <c r="L494" s="82">
        <v>494</v>
      </c>
      <c r="M494" s="82"/>
      <c r="N494" s="76"/>
      <c r="O494" s="84" t="s">
        <v>440</v>
      </c>
      <c r="P494" s="86">
        <v>44089.55158564815</v>
      </c>
      <c r="Q494" s="84" t="s">
        <v>511</v>
      </c>
      <c r="R494" s="87" t="str">
        <f>HYPERLINK("https://www.coodingdessign.com/python/datascience/visualization-of-covid-19-new-cases-over-time-in-python/")</f>
        <v>https://www.coodingdessign.com/python/datascience/visualization-of-covid-19-new-cases-over-time-in-python/</v>
      </c>
      <c r="S494" s="84" t="s">
        <v>560</v>
      </c>
      <c r="T494" s="84" t="s">
        <v>626</v>
      </c>
      <c r="U494" s="87" t="str">
        <f>HYPERLINK("https://pbs.twimg.com/media/Eh9WZq2XcActpko.png")</f>
        <v>https://pbs.twimg.com/media/Eh9WZq2XcActpko.png</v>
      </c>
      <c r="V494" s="87" t="str">
        <f>HYPERLINK("https://pbs.twimg.com/media/Eh9WZq2XcActpko.png")</f>
        <v>https://pbs.twimg.com/media/Eh9WZq2XcActpko.png</v>
      </c>
      <c r="W494" s="86">
        <v>44089.55158564815</v>
      </c>
      <c r="X494" s="90">
        <v>44089</v>
      </c>
      <c r="Y494" s="92" t="s">
        <v>916</v>
      </c>
      <c r="Z494" s="87" t="str">
        <f>HYPERLINK("https://twitter.com/femtech_/status/1305857473350455296")</f>
        <v>https://twitter.com/femtech_/status/1305857473350455296</v>
      </c>
      <c r="AA494" s="84"/>
      <c r="AB494" s="84"/>
      <c r="AC494" s="92" t="s">
        <v>1321</v>
      </c>
      <c r="AD494" s="84"/>
      <c r="AE494" s="84" t="b">
        <v>0</v>
      </c>
      <c r="AF494" s="84">
        <v>0</v>
      </c>
      <c r="AG494" s="92" t="s">
        <v>1453</v>
      </c>
      <c r="AH494" s="84" t="b">
        <v>0</v>
      </c>
      <c r="AI494" s="84" t="s">
        <v>1456</v>
      </c>
      <c r="AJ494" s="84"/>
      <c r="AK494" s="92" t="s">
        <v>1453</v>
      </c>
      <c r="AL494" s="84" t="b">
        <v>0</v>
      </c>
      <c r="AM494" s="84">
        <v>19</v>
      </c>
      <c r="AN494" s="92" t="s">
        <v>1410</v>
      </c>
      <c r="AO494" s="84" t="s">
        <v>1521</v>
      </c>
      <c r="AP494" s="84" t="b">
        <v>0</v>
      </c>
      <c r="AQ494" s="92" t="s">
        <v>1410</v>
      </c>
      <c r="AR494" s="84" t="s">
        <v>187</v>
      </c>
      <c r="AS494" s="84">
        <v>0</v>
      </c>
      <c r="AT494" s="84">
        <v>0</v>
      </c>
      <c r="AU494" s="84"/>
      <c r="AV494" s="84"/>
      <c r="AW494" s="84"/>
      <c r="AX494" s="84"/>
      <c r="AY494" s="84"/>
      <c r="AZ494" s="84"/>
      <c r="BA494" s="84"/>
      <c r="BB494" s="84"/>
      <c r="BC494">
        <v>1</v>
      </c>
      <c r="BD494" s="83" t="str">
        <f>REPLACE(INDEX(GroupVertices[Group],MATCH(Edges[[#This Row],[Vertex 1]],GroupVertices[Vertex],0)),1,1,"")</f>
        <v>1</v>
      </c>
      <c r="BE494" s="83" t="str">
        <f>REPLACE(INDEX(GroupVertices[Group],MATCH(Edges[[#This Row],[Vertex 2]],GroupVertices[Vertex],0)),1,1,"")</f>
        <v>1</v>
      </c>
      <c r="BF494" s="49"/>
      <c r="BG494" s="50"/>
      <c r="BH494" s="49"/>
      <c r="BI494" s="50"/>
      <c r="BJ494" s="49"/>
      <c r="BK494" s="50"/>
      <c r="BL494" s="49"/>
      <c r="BM494" s="50"/>
      <c r="BN494" s="49"/>
    </row>
    <row r="495" spans="1:66" ht="15">
      <c r="A495" s="68" t="s">
        <v>396</v>
      </c>
      <c r="B495" s="68" t="s">
        <v>419</v>
      </c>
      <c r="C495" s="69" t="s">
        <v>5208</v>
      </c>
      <c r="D495" s="70">
        <v>1</v>
      </c>
      <c r="E495" s="71" t="s">
        <v>132</v>
      </c>
      <c r="F495" s="72">
        <v>32</v>
      </c>
      <c r="G495" s="69" t="s">
        <v>51</v>
      </c>
      <c r="H495" s="73"/>
      <c r="I495" s="74"/>
      <c r="J495" s="74"/>
      <c r="K495" s="35" t="s">
        <v>65</v>
      </c>
      <c r="L495" s="82">
        <v>495</v>
      </c>
      <c r="M495" s="82"/>
      <c r="N495" s="76"/>
      <c r="O495" s="84" t="s">
        <v>439</v>
      </c>
      <c r="P495" s="86">
        <v>44089.55158564815</v>
      </c>
      <c r="Q495" s="84" t="s">
        <v>511</v>
      </c>
      <c r="R495" s="87" t="str">
        <f>HYPERLINK("https://www.coodingdessign.com/python/datascience/visualization-of-covid-19-new-cases-over-time-in-python/")</f>
        <v>https://www.coodingdessign.com/python/datascience/visualization-of-covid-19-new-cases-over-time-in-python/</v>
      </c>
      <c r="S495" s="84" t="s">
        <v>560</v>
      </c>
      <c r="T495" s="84" t="s">
        <v>626</v>
      </c>
      <c r="U495" s="87" t="str">
        <f>HYPERLINK("https://pbs.twimg.com/media/Eh9WZq2XcActpko.png")</f>
        <v>https://pbs.twimg.com/media/Eh9WZq2XcActpko.png</v>
      </c>
      <c r="V495" s="87" t="str">
        <f>HYPERLINK("https://pbs.twimg.com/media/Eh9WZq2XcActpko.png")</f>
        <v>https://pbs.twimg.com/media/Eh9WZq2XcActpko.png</v>
      </c>
      <c r="W495" s="86">
        <v>44089.55158564815</v>
      </c>
      <c r="X495" s="90">
        <v>44089</v>
      </c>
      <c r="Y495" s="92" t="s">
        <v>916</v>
      </c>
      <c r="Z495" s="87" t="str">
        <f>HYPERLINK("https://twitter.com/femtech_/status/1305857473350455296")</f>
        <v>https://twitter.com/femtech_/status/1305857473350455296</v>
      </c>
      <c r="AA495" s="84"/>
      <c r="AB495" s="84"/>
      <c r="AC495" s="92" t="s">
        <v>1321</v>
      </c>
      <c r="AD495" s="84"/>
      <c r="AE495" s="84" t="b">
        <v>0</v>
      </c>
      <c r="AF495" s="84">
        <v>0</v>
      </c>
      <c r="AG495" s="92" t="s">
        <v>1453</v>
      </c>
      <c r="AH495" s="84" t="b">
        <v>0</v>
      </c>
      <c r="AI495" s="84" t="s">
        <v>1456</v>
      </c>
      <c r="AJ495" s="84"/>
      <c r="AK495" s="92" t="s">
        <v>1453</v>
      </c>
      <c r="AL495" s="84" t="b">
        <v>0</v>
      </c>
      <c r="AM495" s="84">
        <v>19</v>
      </c>
      <c r="AN495" s="92" t="s">
        <v>1410</v>
      </c>
      <c r="AO495" s="84" t="s">
        <v>1521</v>
      </c>
      <c r="AP495" s="84" t="b">
        <v>0</v>
      </c>
      <c r="AQ495" s="92" t="s">
        <v>1410</v>
      </c>
      <c r="AR495" s="84" t="s">
        <v>187</v>
      </c>
      <c r="AS495" s="84">
        <v>0</v>
      </c>
      <c r="AT495" s="84">
        <v>0</v>
      </c>
      <c r="AU495" s="84"/>
      <c r="AV495" s="84"/>
      <c r="AW495" s="84"/>
      <c r="AX495" s="84"/>
      <c r="AY495" s="84"/>
      <c r="AZ495" s="84"/>
      <c r="BA495" s="84"/>
      <c r="BB495" s="84"/>
      <c r="BC495">
        <v>1</v>
      </c>
      <c r="BD495" s="83" t="str">
        <f>REPLACE(INDEX(GroupVertices[Group],MATCH(Edges[[#This Row],[Vertex 1]],GroupVertices[Vertex],0)),1,1,"")</f>
        <v>1</v>
      </c>
      <c r="BE495" s="83" t="str">
        <f>REPLACE(INDEX(GroupVertices[Group],MATCH(Edges[[#This Row],[Vertex 2]],GroupVertices[Vertex],0)),1,1,"")</f>
        <v>1</v>
      </c>
      <c r="BF495" s="49">
        <v>0</v>
      </c>
      <c r="BG495" s="50">
        <v>0</v>
      </c>
      <c r="BH495" s="49">
        <v>0</v>
      </c>
      <c r="BI495" s="50">
        <v>0</v>
      </c>
      <c r="BJ495" s="49">
        <v>0</v>
      </c>
      <c r="BK495" s="50">
        <v>0</v>
      </c>
      <c r="BL495" s="49">
        <v>20</v>
      </c>
      <c r="BM495" s="50">
        <v>100</v>
      </c>
      <c r="BN495" s="49">
        <v>20</v>
      </c>
    </row>
    <row r="496" spans="1:66" ht="15">
      <c r="A496" s="68" t="s">
        <v>397</v>
      </c>
      <c r="B496" s="68" t="s">
        <v>423</v>
      </c>
      <c r="C496" s="69" t="s">
        <v>5208</v>
      </c>
      <c r="D496" s="70">
        <v>1</v>
      </c>
      <c r="E496" s="71" t="s">
        <v>132</v>
      </c>
      <c r="F496" s="72">
        <v>32</v>
      </c>
      <c r="G496" s="69" t="s">
        <v>51</v>
      </c>
      <c r="H496" s="73"/>
      <c r="I496" s="74"/>
      <c r="J496" s="74"/>
      <c r="K496" s="35" t="s">
        <v>65</v>
      </c>
      <c r="L496" s="82">
        <v>496</v>
      </c>
      <c r="M496" s="82"/>
      <c r="N496" s="76"/>
      <c r="O496" s="84" t="s">
        <v>439</v>
      </c>
      <c r="P496" s="86">
        <v>44082.58085648148</v>
      </c>
      <c r="Q496" s="84" t="s">
        <v>459</v>
      </c>
      <c r="R496" s="84"/>
      <c r="S496" s="84"/>
      <c r="T496" s="84" t="s">
        <v>578</v>
      </c>
      <c r="U496" s="87" t="str">
        <f>HYPERLINK("https://pbs.twimg.com/media/EhZc5KGWoAIz_Wo.jpg")</f>
        <v>https://pbs.twimg.com/media/EhZc5KGWoAIz_Wo.jpg</v>
      </c>
      <c r="V496" s="87" t="str">
        <f>HYPERLINK("https://pbs.twimg.com/media/EhZc5KGWoAIz_Wo.jpg")</f>
        <v>https://pbs.twimg.com/media/EhZc5KGWoAIz_Wo.jpg</v>
      </c>
      <c r="W496" s="86">
        <v>44082.58085648148</v>
      </c>
      <c r="X496" s="90">
        <v>44082</v>
      </c>
      <c r="Y496" s="92" t="s">
        <v>920</v>
      </c>
      <c r="Z496" s="87" t="str">
        <f>HYPERLINK("https://twitter.com/jsnewsbot/status/1303331363626647553")</f>
        <v>https://twitter.com/jsnewsbot/status/1303331363626647553</v>
      </c>
      <c r="AA496" s="84"/>
      <c r="AB496" s="84"/>
      <c r="AC496" s="92" t="s">
        <v>1322</v>
      </c>
      <c r="AD496" s="84"/>
      <c r="AE496" s="84" t="b">
        <v>0</v>
      </c>
      <c r="AF496" s="84">
        <v>0</v>
      </c>
      <c r="AG496" s="92" t="s">
        <v>1453</v>
      </c>
      <c r="AH496" s="84" t="b">
        <v>0</v>
      </c>
      <c r="AI496" s="84" t="s">
        <v>1456</v>
      </c>
      <c r="AJ496" s="84"/>
      <c r="AK496" s="92" t="s">
        <v>1453</v>
      </c>
      <c r="AL496" s="84" t="b">
        <v>0</v>
      </c>
      <c r="AM496" s="84">
        <v>44</v>
      </c>
      <c r="AN496" s="92" t="s">
        <v>1428</v>
      </c>
      <c r="AO496" s="84" t="s">
        <v>1522</v>
      </c>
      <c r="AP496" s="84" t="b">
        <v>0</v>
      </c>
      <c r="AQ496" s="92" t="s">
        <v>1428</v>
      </c>
      <c r="AR496" s="84" t="s">
        <v>187</v>
      </c>
      <c r="AS496" s="84">
        <v>0</v>
      </c>
      <c r="AT496" s="84">
        <v>0</v>
      </c>
      <c r="AU496" s="84"/>
      <c r="AV496" s="84"/>
      <c r="AW496" s="84"/>
      <c r="AX496" s="84"/>
      <c r="AY496" s="84"/>
      <c r="AZ496" s="84"/>
      <c r="BA496" s="84"/>
      <c r="BB496" s="84"/>
      <c r="BC496">
        <v>1</v>
      </c>
      <c r="BD496" s="83" t="str">
        <f>REPLACE(INDEX(GroupVertices[Group],MATCH(Edges[[#This Row],[Vertex 1]],GroupVertices[Vertex],0)),1,1,"")</f>
        <v>1</v>
      </c>
      <c r="BE496" s="83" t="str">
        <f>REPLACE(INDEX(GroupVertices[Group],MATCH(Edges[[#This Row],[Vertex 2]],GroupVertices[Vertex],0)),1,1,"")</f>
        <v>1</v>
      </c>
      <c r="BF496" s="49">
        <v>0</v>
      </c>
      <c r="BG496" s="50">
        <v>0</v>
      </c>
      <c r="BH496" s="49">
        <v>0</v>
      </c>
      <c r="BI496" s="50">
        <v>0</v>
      </c>
      <c r="BJ496" s="49">
        <v>0</v>
      </c>
      <c r="BK496" s="50">
        <v>0</v>
      </c>
      <c r="BL496" s="49">
        <v>30</v>
      </c>
      <c r="BM496" s="50">
        <v>100</v>
      </c>
      <c r="BN496" s="49">
        <v>30</v>
      </c>
    </row>
    <row r="497" spans="1:66" ht="15">
      <c r="A497" s="68" t="s">
        <v>397</v>
      </c>
      <c r="B497" s="68" t="s">
        <v>437</v>
      </c>
      <c r="C497" s="69" t="s">
        <v>5208</v>
      </c>
      <c r="D497" s="70">
        <v>1</v>
      </c>
      <c r="E497" s="71" t="s">
        <v>132</v>
      </c>
      <c r="F497" s="72">
        <v>32</v>
      </c>
      <c r="G497" s="69" t="s">
        <v>51</v>
      </c>
      <c r="H497" s="73"/>
      <c r="I497" s="74"/>
      <c r="J497" s="74"/>
      <c r="K497" s="35" t="s">
        <v>65</v>
      </c>
      <c r="L497" s="82">
        <v>497</v>
      </c>
      <c r="M497" s="82"/>
      <c r="N497" s="76"/>
      <c r="O497" s="84" t="s">
        <v>440</v>
      </c>
      <c r="P497" s="86">
        <v>44083.61539351852</v>
      </c>
      <c r="Q497" s="84" t="s">
        <v>509</v>
      </c>
      <c r="R497" s="87" t="str">
        <f>HYPERLINK("https://www.dailymail.co.uk/news/article-8714225/US-daily-COVID-19-cases-drop-40k-time-June.html?ito=amp_twitter_share-top")</f>
        <v>https://www.dailymail.co.uk/news/article-8714225/US-daily-COVID-19-cases-drop-40k-time-June.html?ito=amp_twitter_share-top</v>
      </c>
      <c r="S497" s="84" t="s">
        <v>558</v>
      </c>
      <c r="T497" s="84" t="s">
        <v>620</v>
      </c>
      <c r="U497" s="84"/>
      <c r="V497" s="87" t="str">
        <f>HYPERLINK("http://pbs.twimg.com/profile_images/1018460720659292160/g0fqpRth_normal.jpg")</f>
        <v>http://pbs.twimg.com/profile_images/1018460720659292160/g0fqpRth_normal.jpg</v>
      </c>
      <c r="W497" s="86">
        <v>44083.61539351852</v>
      </c>
      <c r="X497" s="90">
        <v>44083</v>
      </c>
      <c r="Y497" s="92" t="s">
        <v>921</v>
      </c>
      <c r="Z497" s="87" t="str">
        <f>HYPERLINK("https://twitter.com/jsnewsbot/status/1303706267282792450")</f>
        <v>https://twitter.com/jsnewsbot/status/1303706267282792450</v>
      </c>
      <c r="AA497" s="84"/>
      <c r="AB497" s="84"/>
      <c r="AC497" s="92" t="s">
        <v>1323</v>
      </c>
      <c r="AD497" s="84"/>
      <c r="AE497" s="84" t="b">
        <v>0</v>
      </c>
      <c r="AF497" s="84">
        <v>0</v>
      </c>
      <c r="AG497" s="92" t="s">
        <v>1453</v>
      </c>
      <c r="AH497" s="84" t="b">
        <v>0</v>
      </c>
      <c r="AI497" s="84" t="s">
        <v>1456</v>
      </c>
      <c r="AJ497" s="84"/>
      <c r="AK497" s="92" t="s">
        <v>1453</v>
      </c>
      <c r="AL497" s="84" t="b">
        <v>0</v>
      </c>
      <c r="AM497" s="84">
        <v>15</v>
      </c>
      <c r="AN497" s="92" t="s">
        <v>1398</v>
      </c>
      <c r="AO497" s="84" t="s">
        <v>1522</v>
      </c>
      <c r="AP497" s="84" t="b">
        <v>0</v>
      </c>
      <c r="AQ497" s="92" t="s">
        <v>1398</v>
      </c>
      <c r="AR497" s="84" t="s">
        <v>187</v>
      </c>
      <c r="AS497" s="84">
        <v>0</v>
      </c>
      <c r="AT497" s="84">
        <v>0</v>
      </c>
      <c r="AU497" s="84"/>
      <c r="AV497" s="84"/>
      <c r="AW497" s="84"/>
      <c r="AX497" s="84"/>
      <c r="AY497" s="84"/>
      <c r="AZ497" s="84"/>
      <c r="BA497" s="84"/>
      <c r="BB497" s="84"/>
      <c r="BC497">
        <v>1</v>
      </c>
      <c r="BD497" s="83" t="str">
        <f>REPLACE(INDEX(GroupVertices[Group],MATCH(Edges[[#This Row],[Vertex 1]],GroupVertices[Vertex],0)),1,1,"")</f>
        <v>1</v>
      </c>
      <c r="BE497" s="83" t="str">
        <f>REPLACE(INDEX(GroupVertices[Group],MATCH(Edges[[#This Row],[Vertex 2]],GroupVertices[Vertex],0)),1,1,"")</f>
        <v>1</v>
      </c>
      <c r="BF497" s="49"/>
      <c r="BG497" s="50"/>
      <c r="BH497" s="49"/>
      <c r="BI497" s="50"/>
      <c r="BJ497" s="49"/>
      <c r="BK497" s="50"/>
      <c r="BL497" s="49"/>
      <c r="BM497" s="50"/>
      <c r="BN497" s="49"/>
    </row>
    <row r="498" spans="1:66" ht="15">
      <c r="A498" s="68" t="s">
        <v>397</v>
      </c>
      <c r="B498" s="68" t="s">
        <v>390</v>
      </c>
      <c r="C498" s="69" t="s">
        <v>5208</v>
      </c>
      <c r="D498" s="70">
        <v>1</v>
      </c>
      <c r="E498" s="71" t="s">
        <v>132</v>
      </c>
      <c r="F498" s="72">
        <v>32</v>
      </c>
      <c r="G498" s="69" t="s">
        <v>51</v>
      </c>
      <c r="H498" s="73"/>
      <c r="I498" s="74"/>
      <c r="J498" s="74"/>
      <c r="K498" s="35" t="s">
        <v>65</v>
      </c>
      <c r="L498" s="82">
        <v>498</v>
      </c>
      <c r="M498" s="82"/>
      <c r="N498" s="76"/>
      <c r="O498" s="84" t="s">
        <v>439</v>
      </c>
      <c r="P498" s="86">
        <v>44083.61539351852</v>
      </c>
      <c r="Q498" s="84" t="s">
        <v>509</v>
      </c>
      <c r="R498" s="87" t="str">
        <f>HYPERLINK("https://www.dailymail.co.uk/news/article-8714225/US-daily-COVID-19-cases-drop-40k-time-June.html?ito=amp_twitter_share-top")</f>
        <v>https://www.dailymail.co.uk/news/article-8714225/US-daily-COVID-19-cases-drop-40k-time-June.html?ito=amp_twitter_share-top</v>
      </c>
      <c r="S498" s="84" t="s">
        <v>558</v>
      </c>
      <c r="T498" s="84" t="s">
        <v>620</v>
      </c>
      <c r="U498" s="84"/>
      <c r="V498" s="87" t="str">
        <f>HYPERLINK("http://pbs.twimg.com/profile_images/1018460720659292160/g0fqpRth_normal.jpg")</f>
        <v>http://pbs.twimg.com/profile_images/1018460720659292160/g0fqpRth_normal.jpg</v>
      </c>
      <c r="W498" s="86">
        <v>44083.61539351852</v>
      </c>
      <c r="X498" s="90">
        <v>44083</v>
      </c>
      <c r="Y498" s="92" t="s">
        <v>921</v>
      </c>
      <c r="Z498" s="87" t="str">
        <f>HYPERLINK("https://twitter.com/jsnewsbot/status/1303706267282792450")</f>
        <v>https://twitter.com/jsnewsbot/status/1303706267282792450</v>
      </c>
      <c r="AA498" s="84"/>
      <c r="AB498" s="84"/>
      <c r="AC498" s="92" t="s">
        <v>1323</v>
      </c>
      <c r="AD498" s="84"/>
      <c r="AE498" s="84" t="b">
        <v>0</v>
      </c>
      <c r="AF498" s="84">
        <v>0</v>
      </c>
      <c r="AG498" s="92" t="s">
        <v>1453</v>
      </c>
      <c r="AH498" s="84" t="b">
        <v>0</v>
      </c>
      <c r="AI498" s="84" t="s">
        <v>1456</v>
      </c>
      <c r="AJ498" s="84"/>
      <c r="AK498" s="92" t="s">
        <v>1453</v>
      </c>
      <c r="AL498" s="84" t="b">
        <v>0</v>
      </c>
      <c r="AM498" s="84">
        <v>15</v>
      </c>
      <c r="AN498" s="92" t="s">
        <v>1398</v>
      </c>
      <c r="AO498" s="84" t="s">
        <v>1522</v>
      </c>
      <c r="AP498" s="84" t="b">
        <v>0</v>
      </c>
      <c r="AQ498" s="92" t="s">
        <v>1398</v>
      </c>
      <c r="AR498" s="84" t="s">
        <v>187</v>
      </c>
      <c r="AS498" s="84">
        <v>0</v>
      </c>
      <c r="AT498" s="84">
        <v>0</v>
      </c>
      <c r="AU498" s="84"/>
      <c r="AV498" s="84"/>
      <c r="AW498" s="84"/>
      <c r="AX498" s="84"/>
      <c r="AY498" s="84"/>
      <c r="AZ498" s="84"/>
      <c r="BA498" s="84"/>
      <c r="BB498" s="84"/>
      <c r="BC498">
        <v>1</v>
      </c>
      <c r="BD498" s="83" t="str">
        <f>REPLACE(INDEX(GroupVertices[Group],MATCH(Edges[[#This Row],[Vertex 1]],GroupVertices[Vertex],0)),1,1,"")</f>
        <v>1</v>
      </c>
      <c r="BE498" s="83" t="str">
        <f>REPLACE(INDEX(GroupVertices[Group],MATCH(Edges[[#This Row],[Vertex 2]],GroupVertices[Vertex],0)),1,1,"")</f>
        <v>1</v>
      </c>
      <c r="BF498" s="49">
        <v>0</v>
      </c>
      <c r="BG498" s="50">
        <v>0</v>
      </c>
      <c r="BH498" s="49">
        <v>0</v>
      </c>
      <c r="BI498" s="50">
        <v>0</v>
      </c>
      <c r="BJ498" s="49">
        <v>0</v>
      </c>
      <c r="BK498" s="50">
        <v>0</v>
      </c>
      <c r="BL498" s="49">
        <v>33</v>
      </c>
      <c r="BM498" s="50">
        <v>100</v>
      </c>
      <c r="BN498" s="49">
        <v>33</v>
      </c>
    </row>
    <row r="499" spans="1:66" ht="15">
      <c r="A499" s="68" t="s">
        <v>397</v>
      </c>
      <c r="B499" s="68" t="s">
        <v>420</v>
      </c>
      <c r="C499" s="69" t="s">
        <v>5208</v>
      </c>
      <c r="D499" s="70">
        <v>1</v>
      </c>
      <c r="E499" s="71" t="s">
        <v>132</v>
      </c>
      <c r="F499" s="72">
        <v>32</v>
      </c>
      <c r="G499" s="69" t="s">
        <v>51</v>
      </c>
      <c r="H499" s="73"/>
      <c r="I499" s="74"/>
      <c r="J499" s="74"/>
      <c r="K499" s="35" t="s">
        <v>65</v>
      </c>
      <c r="L499" s="82">
        <v>499</v>
      </c>
      <c r="M499" s="82"/>
      <c r="N499" s="76"/>
      <c r="O499" s="84" t="s">
        <v>440</v>
      </c>
      <c r="P499" s="86">
        <v>44089.55159722222</v>
      </c>
      <c r="Q499" s="84" t="s">
        <v>511</v>
      </c>
      <c r="R499" s="87" t="str">
        <f>HYPERLINK("https://www.coodingdessign.com/python/datascience/visualization-of-covid-19-new-cases-over-time-in-python/")</f>
        <v>https://www.coodingdessign.com/python/datascience/visualization-of-covid-19-new-cases-over-time-in-python/</v>
      </c>
      <c r="S499" s="84" t="s">
        <v>560</v>
      </c>
      <c r="T499" s="84" t="s">
        <v>626</v>
      </c>
      <c r="U499" s="87" t="str">
        <f>HYPERLINK("https://pbs.twimg.com/media/Eh9WZq2XcActpko.png")</f>
        <v>https://pbs.twimg.com/media/Eh9WZq2XcActpko.png</v>
      </c>
      <c r="V499" s="87" t="str">
        <f>HYPERLINK("https://pbs.twimg.com/media/Eh9WZq2XcActpko.png")</f>
        <v>https://pbs.twimg.com/media/Eh9WZq2XcActpko.png</v>
      </c>
      <c r="W499" s="86">
        <v>44089.55159722222</v>
      </c>
      <c r="X499" s="90">
        <v>44089</v>
      </c>
      <c r="Y499" s="92" t="s">
        <v>922</v>
      </c>
      <c r="Z499" s="87" t="str">
        <f>HYPERLINK("https://twitter.com/jsnewsbot/status/1305857473635643393")</f>
        <v>https://twitter.com/jsnewsbot/status/1305857473635643393</v>
      </c>
      <c r="AA499" s="84"/>
      <c r="AB499" s="84"/>
      <c r="AC499" s="92" t="s">
        <v>1324</v>
      </c>
      <c r="AD499" s="84"/>
      <c r="AE499" s="84" t="b">
        <v>0</v>
      </c>
      <c r="AF499" s="84">
        <v>0</v>
      </c>
      <c r="AG499" s="92" t="s">
        <v>1453</v>
      </c>
      <c r="AH499" s="84" t="b">
        <v>0</v>
      </c>
      <c r="AI499" s="84" t="s">
        <v>1456</v>
      </c>
      <c r="AJ499" s="84"/>
      <c r="AK499" s="92" t="s">
        <v>1453</v>
      </c>
      <c r="AL499" s="84" t="b">
        <v>0</v>
      </c>
      <c r="AM499" s="84">
        <v>19</v>
      </c>
      <c r="AN499" s="92" t="s">
        <v>1410</v>
      </c>
      <c r="AO499" s="84" t="s">
        <v>1522</v>
      </c>
      <c r="AP499" s="84" t="b">
        <v>0</v>
      </c>
      <c r="AQ499" s="92" t="s">
        <v>1410</v>
      </c>
      <c r="AR499" s="84" t="s">
        <v>187</v>
      </c>
      <c r="AS499" s="84">
        <v>0</v>
      </c>
      <c r="AT499" s="84">
        <v>0</v>
      </c>
      <c r="AU499" s="84"/>
      <c r="AV499" s="84"/>
      <c r="AW499" s="84"/>
      <c r="AX499" s="84"/>
      <c r="AY499" s="84"/>
      <c r="AZ499" s="84"/>
      <c r="BA499" s="84"/>
      <c r="BB499" s="84"/>
      <c r="BC499">
        <v>1</v>
      </c>
      <c r="BD499" s="83" t="str">
        <f>REPLACE(INDEX(GroupVertices[Group],MATCH(Edges[[#This Row],[Vertex 1]],GroupVertices[Vertex],0)),1,1,"")</f>
        <v>1</v>
      </c>
      <c r="BE499" s="83" t="str">
        <f>REPLACE(INDEX(GroupVertices[Group],MATCH(Edges[[#This Row],[Vertex 2]],GroupVertices[Vertex],0)),1,1,"")</f>
        <v>1</v>
      </c>
      <c r="BF499" s="49"/>
      <c r="BG499" s="50"/>
      <c r="BH499" s="49"/>
      <c r="BI499" s="50"/>
      <c r="BJ499" s="49"/>
      <c r="BK499" s="50"/>
      <c r="BL499" s="49"/>
      <c r="BM499" s="50"/>
      <c r="BN499" s="49"/>
    </row>
    <row r="500" spans="1:66" ht="15">
      <c r="A500" s="68" t="s">
        <v>397</v>
      </c>
      <c r="B500" s="68" t="s">
        <v>438</v>
      </c>
      <c r="C500" s="69" t="s">
        <v>5208</v>
      </c>
      <c r="D500" s="70">
        <v>1</v>
      </c>
      <c r="E500" s="71" t="s">
        <v>132</v>
      </c>
      <c r="F500" s="72">
        <v>32</v>
      </c>
      <c r="G500" s="69" t="s">
        <v>51</v>
      </c>
      <c r="H500" s="73"/>
      <c r="I500" s="74"/>
      <c r="J500" s="74"/>
      <c r="K500" s="35" t="s">
        <v>65</v>
      </c>
      <c r="L500" s="82">
        <v>500</v>
      </c>
      <c r="M500" s="82"/>
      <c r="N500" s="76"/>
      <c r="O500" s="84" t="s">
        <v>440</v>
      </c>
      <c r="P500" s="86">
        <v>44089.55159722222</v>
      </c>
      <c r="Q500" s="84" t="s">
        <v>511</v>
      </c>
      <c r="R500" s="87" t="str">
        <f>HYPERLINK("https://www.coodingdessign.com/python/datascience/visualization-of-covid-19-new-cases-over-time-in-python/")</f>
        <v>https://www.coodingdessign.com/python/datascience/visualization-of-covid-19-new-cases-over-time-in-python/</v>
      </c>
      <c r="S500" s="84" t="s">
        <v>560</v>
      </c>
      <c r="T500" s="84" t="s">
        <v>626</v>
      </c>
      <c r="U500" s="87" t="str">
        <f>HYPERLINK("https://pbs.twimg.com/media/Eh9WZq2XcActpko.png")</f>
        <v>https://pbs.twimg.com/media/Eh9WZq2XcActpko.png</v>
      </c>
      <c r="V500" s="87" t="str">
        <f>HYPERLINK("https://pbs.twimg.com/media/Eh9WZq2XcActpko.png")</f>
        <v>https://pbs.twimg.com/media/Eh9WZq2XcActpko.png</v>
      </c>
      <c r="W500" s="86">
        <v>44089.55159722222</v>
      </c>
      <c r="X500" s="90">
        <v>44089</v>
      </c>
      <c r="Y500" s="92" t="s">
        <v>922</v>
      </c>
      <c r="Z500" s="87" t="str">
        <f>HYPERLINK("https://twitter.com/jsnewsbot/status/1305857473635643393")</f>
        <v>https://twitter.com/jsnewsbot/status/1305857473635643393</v>
      </c>
      <c r="AA500" s="84"/>
      <c r="AB500" s="84"/>
      <c r="AC500" s="92" t="s">
        <v>1324</v>
      </c>
      <c r="AD500" s="84"/>
      <c r="AE500" s="84" t="b">
        <v>0</v>
      </c>
      <c r="AF500" s="84">
        <v>0</v>
      </c>
      <c r="AG500" s="92" t="s">
        <v>1453</v>
      </c>
      <c r="AH500" s="84" t="b">
        <v>0</v>
      </c>
      <c r="AI500" s="84" t="s">
        <v>1456</v>
      </c>
      <c r="AJ500" s="84"/>
      <c r="AK500" s="92" t="s">
        <v>1453</v>
      </c>
      <c r="AL500" s="84" t="b">
        <v>0</v>
      </c>
      <c r="AM500" s="84">
        <v>19</v>
      </c>
      <c r="AN500" s="92" t="s">
        <v>1410</v>
      </c>
      <c r="AO500" s="84" t="s">
        <v>1522</v>
      </c>
      <c r="AP500" s="84" t="b">
        <v>0</v>
      </c>
      <c r="AQ500" s="92" t="s">
        <v>1410</v>
      </c>
      <c r="AR500" s="84" t="s">
        <v>187</v>
      </c>
      <c r="AS500" s="84">
        <v>0</v>
      </c>
      <c r="AT500" s="84">
        <v>0</v>
      </c>
      <c r="AU500" s="84"/>
      <c r="AV500" s="84"/>
      <c r="AW500" s="84"/>
      <c r="AX500" s="84"/>
      <c r="AY500" s="84"/>
      <c r="AZ500" s="84"/>
      <c r="BA500" s="84"/>
      <c r="BB500" s="84"/>
      <c r="BC500">
        <v>1</v>
      </c>
      <c r="BD500" s="83" t="str">
        <f>REPLACE(INDEX(GroupVertices[Group],MATCH(Edges[[#This Row],[Vertex 1]],GroupVertices[Vertex],0)),1,1,"")</f>
        <v>1</v>
      </c>
      <c r="BE500" s="83" t="str">
        <f>REPLACE(INDEX(GroupVertices[Group],MATCH(Edges[[#This Row],[Vertex 2]],GroupVertices[Vertex],0)),1,1,"")</f>
        <v>1</v>
      </c>
      <c r="BF500" s="49"/>
      <c r="BG500" s="50"/>
      <c r="BH500" s="49"/>
      <c r="BI500" s="50"/>
      <c r="BJ500" s="49"/>
      <c r="BK500" s="50"/>
      <c r="BL500" s="49"/>
      <c r="BM500" s="50"/>
      <c r="BN500" s="49"/>
    </row>
    <row r="501" spans="1:66" ht="15">
      <c r="A501" s="68" t="s">
        <v>397</v>
      </c>
      <c r="B501" s="68" t="s">
        <v>419</v>
      </c>
      <c r="C501" s="69" t="s">
        <v>5208</v>
      </c>
      <c r="D501" s="70">
        <v>1</v>
      </c>
      <c r="E501" s="71" t="s">
        <v>132</v>
      </c>
      <c r="F501" s="72">
        <v>32</v>
      </c>
      <c r="G501" s="69" t="s">
        <v>51</v>
      </c>
      <c r="H501" s="73"/>
      <c r="I501" s="74"/>
      <c r="J501" s="74"/>
      <c r="K501" s="35" t="s">
        <v>65</v>
      </c>
      <c r="L501" s="82">
        <v>501</v>
      </c>
      <c r="M501" s="82"/>
      <c r="N501" s="76"/>
      <c r="O501" s="84" t="s">
        <v>439</v>
      </c>
      <c r="P501" s="86">
        <v>44089.55159722222</v>
      </c>
      <c r="Q501" s="84" t="s">
        <v>511</v>
      </c>
      <c r="R501" s="87" t="str">
        <f>HYPERLINK("https://www.coodingdessign.com/python/datascience/visualization-of-covid-19-new-cases-over-time-in-python/")</f>
        <v>https://www.coodingdessign.com/python/datascience/visualization-of-covid-19-new-cases-over-time-in-python/</v>
      </c>
      <c r="S501" s="84" t="s">
        <v>560</v>
      </c>
      <c r="T501" s="84" t="s">
        <v>626</v>
      </c>
      <c r="U501" s="87" t="str">
        <f>HYPERLINK("https://pbs.twimg.com/media/Eh9WZq2XcActpko.png")</f>
        <v>https://pbs.twimg.com/media/Eh9WZq2XcActpko.png</v>
      </c>
      <c r="V501" s="87" t="str">
        <f>HYPERLINK("https://pbs.twimg.com/media/Eh9WZq2XcActpko.png")</f>
        <v>https://pbs.twimg.com/media/Eh9WZq2XcActpko.png</v>
      </c>
      <c r="W501" s="86">
        <v>44089.55159722222</v>
      </c>
      <c r="X501" s="90">
        <v>44089</v>
      </c>
      <c r="Y501" s="92" t="s">
        <v>922</v>
      </c>
      <c r="Z501" s="87" t="str">
        <f>HYPERLINK("https://twitter.com/jsnewsbot/status/1305857473635643393")</f>
        <v>https://twitter.com/jsnewsbot/status/1305857473635643393</v>
      </c>
      <c r="AA501" s="84"/>
      <c r="AB501" s="84"/>
      <c r="AC501" s="92" t="s">
        <v>1324</v>
      </c>
      <c r="AD501" s="84"/>
      <c r="AE501" s="84" t="b">
        <v>0</v>
      </c>
      <c r="AF501" s="84">
        <v>0</v>
      </c>
      <c r="AG501" s="92" t="s">
        <v>1453</v>
      </c>
      <c r="AH501" s="84" t="b">
        <v>0</v>
      </c>
      <c r="AI501" s="84" t="s">
        <v>1456</v>
      </c>
      <c r="AJ501" s="84"/>
      <c r="AK501" s="92" t="s">
        <v>1453</v>
      </c>
      <c r="AL501" s="84" t="b">
        <v>0</v>
      </c>
      <c r="AM501" s="84">
        <v>19</v>
      </c>
      <c r="AN501" s="92" t="s">
        <v>1410</v>
      </c>
      <c r="AO501" s="84" t="s">
        <v>1522</v>
      </c>
      <c r="AP501" s="84" t="b">
        <v>0</v>
      </c>
      <c r="AQ501" s="92" t="s">
        <v>1410</v>
      </c>
      <c r="AR501" s="84" t="s">
        <v>187</v>
      </c>
      <c r="AS501" s="84">
        <v>0</v>
      </c>
      <c r="AT501" s="84">
        <v>0</v>
      </c>
      <c r="AU501" s="84"/>
      <c r="AV501" s="84"/>
      <c r="AW501" s="84"/>
      <c r="AX501" s="84"/>
      <c r="AY501" s="84"/>
      <c r="AZ501" s="84"/>
      <c r="BA501" s="84"/>
      <c r="BB501" s="84"/>
      <c r="BC501">
        <v>1</v>
      </c>
      <c r="BD501" s="83" t="str">
        <f>REPLACE(INDEX(GroupVertices[Group],MATCH(Edges[[#This Row],[Vertex 1]],GroupVertices[Vertex],0)),1,1,"")</f>
        <v>1</v>
      </c>
      <c r="BE501" s="83" t="str">
        <f>REPLACE(INDEX(GroupVertices[Group],MATCH(Edges[[#This Row],[Vertex 2]],GroupVertices[Vertex],0)),1,1,"")</f>
        <v>1</v>
      </c>
      <c r="BF501" s="49">
        <v>0</v>
      </c>
      <c r="BG501" s="50">
        <v>0</v>
      </c>
      <c r="BH501" s="49">
        <v>0</v>
      </c>
      <c r="BI501" s="50">
        <v>0</v>
      </c>
      <c r="BJ501" s="49">
        <v>0</v>
      </c>
      <c r="BK501" s="50">
        <v>0</v>
      </c>
      <c r="BL501" s="49">
        <v>20</v>
      </c>
      <c r="BM501" s="50">
        <v>100</v>
      </c>
      <c r="BN501" s="49">
        <v>20</v>
      </c>
    </row>
    <row r="502" spans="1:66" ht="15">
      <c r="A502" s="68" t="s">
        <v>398</v>
      </c>
      <c r="B502" s="68" t="s">
        <v>398</v>
      </c>
      <c r="C502" s="69" t="s">
        <v>5208</v>
      </c>
      <c r="D502" s="70">
        <v>1</v>
      </c>
      <c r="E502" s="71" t="s">
        <v>132</v>
      </c>
      <c r="F502" s="72">
        <v>32</v>
      </c>
      <c r="G502" s="69" t="s">
        <v>51</v>
      </c>
      <c r="H502" s="73"/>
      <c r="I502" s="74"/>
      <c r="J502" s="74"/>
      <c r="K502" s="35" t="s">
        <v>65</v>
      </c>
      <c r="L502" s="82">
        <v>502</v>
      </c>
      <c r="M502" s="82"/>
      <c r="N502" s="76"/>
      <c r="O502" s="84" t="s">
        <v>187</v>
      </c>
      <c r="P502" s="86">
        <v>44082.45537037037</v>
      </c>
      <c r="Q502" s="84" t="s">
        <v>454</v>
      </c>
      <c r="R502" s="87" t="str">
        <f>HYPERLINK("https://nobrowser.com/")</f>
        <v>https://nobrowser.com/</v>
      </c>
      <c r="S502" s="84" t="s">
        <v>536</v>
      </c>
      <c r="T502" s="84" t="s">
        <v>573</v>
      </c>
      <c r="U502" s="87" t="str">
        <f>HYPERLINK("https://pbs.twimg.com/media/EhYzm1cVoAAotrW.jpg")</f>
        <v>https://pbs.twimg.com/media/EhYzm1cVoAAotrW.jpg</v>
      </c>
      <c r="V502" s="87" t="str">
        <f>HYPERLINK("https://pbs.twimg.com/media/EhYzm1cVoAAotrW.jpg")</f>
        <v>https://pbs.twimg.com/media/EhYzm1cVoAAotrW.jpg</v>
      </c>
      <c r="W502" s="86">
        <v>44082.45537037037</v>
      </c>
      <c r="X502" s="90">
        <v>44082</v>
      </c>
      <c r="Y502" s="92" t="s">
        <v>923</v>
      </c>
      <c r="Z502" s="87" t="str">
        <f>HYPERLINK("https://twitter.com/nobrowser/status/1303285889959776256")</f>
        <v>https://twitter.com/nobrowser/status/1303285889959776256</v>
      </c>
      <c r="AA502" s="84"/>
      <c r="AB502" s="84"/>
      <c r="AC502" s="92" t="s">
        <v>1325</v>
      </c>
      <c r="AD502" s="84"/>
      <c r="AE502" s="84" t="b">
        <v>0</v>
      </c>
      <c r="AF502" s="84">
        <v>7</v>
      </c>
      <c r="AG502" s="92" t="s">
        <v>1453</v>
      </c>
      <c r="AH502" s="84" t="b">
        <v>0</v>
      </c>
      <c r="AI502" s="84" t="s">
        <v>1456</v>
      </c>
      <c r="AJ502" s="84"/>
      <c r="AK502" s="92" t="s">
        <v>1453</v>
      </c>
      <c r="AL502" s="84" t="b">
        <v>0</v>
      </c>
      <c r="AM502" s="84">
        <v>8</v>
      </c>
      <c r="AN502" s="92" t="s">
        <v>1453</v>
      </c>
      <c r="AO502" s="84" t="s">
        <v>1467</v>
      </c>
      <c r="AP502" s="84" t="b">
        <v>0</v>
      </c>
      <c r="AQ502" s="92" t="s">
        <v>1325</v>
      </c>
      <c r="AR502" s="84" t="s">
        <v>187</v>
      </c>
      <c r="AS502" s="84">
        <v>0</v>
      </c>
      <c r="AT502" s="84">
        <v>0</v>
      </c>
      <c r="AU502" s="84"/>
      <c r="AV502" s="84"/>
      <c r="AW502" s="84"/>
      <c r="AX502" s="84"/>
      <c r="AY502" s="84"/>
      <c r="AZ502" s="84"/>
      <c r="BA502" s="84"/>
      <c r="BB502" s="84"/>
      <c r="BC502">
        <v>1</v>
      </c>
      <c r="BD502" s="83" t="str">
        <f>REPLACE(INDEX(GroupVertices[Group],MATCH(Edges[[#This Row],[Vertex 1]],GroupVertices[Vertex],0)),1,1,"")</f>
        <v>10</v>
      </c>
      <c r="BE502" s="83" t="str">
        <f>REPLACE(INDEX(GroupVertices[Group],MATCH(Edges[[#This Row],[Vertex 2]],GroupVertices[Vertex],0)),1,1,"")</f>
        <v>10</v>
      </c>
      <c r="BF502" s="49">
        <v>0</v>
      </c>
      <c r="BG502" s="50">
        <v>0</v>
      </c>
      <c r="BH502" s="49">
        <v>0</v>
      </c>
      <c r="BI502" s="50">
        <v>0</v>
      </c>
      <c r="BJ502" s="49">
        <v>0</v>
      </c>
      <c r="BK502" s="50">
        <v>0</v>
      </c>
      <c r="BL502" s="49">
        <v>34</v>
      </c>
      <c r="BM502" s="50">
        <v>100</v>
      </c>
      <c r="BN502" s="49">
        <v>34</v>
      </c>
    </row>
    <row r="503" spans="1:66" ht="15">
      <c r="A503" s="68" t="s">
        <v>399</v>
      </c>
      <c r="B503" s="68" t="s">
        <v>398</v>
      </c>
      <c r="C503" s="69" t="s">
        <v>5208</v>
      </c>
      <c r="D503" s="70">
        <v>1</v>
      </c>
      <c r="E503" s="71" t="s">
        <v>132</v>
      </c>
      <c r="F503" s="72">
        <v>32</v>
      </c>
      <c r="G503" s="69" t="s">
        <v>51</v>
      </c>
      <c r="H503" s="73"/>
      <c r="I503" s="74"/>
      <c r="J503" s="74"/>
      <c r="K503" s="35" t="s">
        <v>65</v>
      </c>
      <c r="L503" s="82">
        <v>503</v>
      </c>
      <c r="M503" s="82"/>
      <c r="N503" s="76"/>
      <c r="O503" s="84" t="s">
        <v>439</v>
      </c>
      <c r="P503" s="86">
        <v>44082.45543981482</v>
      </c>
      <c r="Q503" s="84" t="s">
        <v>454</v>
      </c>
      <c r="R503" s="87" t="str">
        <f>HYPERLINK("https://nobrowser.com/")</f>
        <v>https://nobrowser.com/</v>
      </c>
      <c r="S503" s="84" t="s">
        <v>536</v>
      </c>
      <c r="T503" s="84" t="s">
        <v>573</v>
      </c>
      <c r="U503" s="87" t="str">
        <f>HYPERLINK("https://pbs.twimg.com/media/EhYzm1cVoAAotrW.jpg")</f>
        <v>https://pbs.twimg.com/media/EhYzm1cVoAAotrW.jpg</v>
      </c>
      <c r="V503" s="87" t="str">
        <f>HYPERLINK("https://pbs.twimg.com/media/EhYzm1cVoAAotrW.jpg")</f>
        <v>https://pbs.twimg.com/media/EhYzm1cVoAAotrW.jpg</v>
      </c>
      <c r="W503" s="86">
        <v>44082.45543981482</v>
      </c>
      <c r="X503" s="90">
        <v>44082</v>
      </c>
      <c r="Y503" s="92" t="s">
        <v>917</v>
      </c>
      <c r="Z503" s="87" t="str">
        <f>HYPERLINK("https://twitter.com/womencodersbot/status/1303285912651157504")</f>
        <v>https://twitter.com/womencodersbot/status/1303285912651157504</v>
      </c>
      <c r="AA503" s="84"/>
      <c r="AB503" s="84"/>
      <c r="AC503" s="92" t="s">
        <v>1326</v>
      </c>
      <c r="AD503" s="84"/>
      <c r="AE503" s="84" t="b">
        <v>0</v>
      </c>
      <c r="AF503" s="84">
        <v>0</v>
      </c>
      <c r="AG503" s="92" t="s">
        <v>1453</v>
      </c>
      <c r="AH503" s="84" t="b">
        <v>0</v>
      </c>
      <c r="AI503" s="84" t="s">
        <v>1456</v>
      </c>
      <c r="AJ503" s="84"/>
      <c r="AK503" s="92" t="s">
        <v>1453</v>
      </c>
      <c r="AL503" s="84" t="b">
        <v>0</v>
      </c>
      <c r="AM503" s="84">
        <v>8</v>
      </c>
      <c r="AN503" s="92" t="s">
        <v>1325</v>
      </c>
      <c r="AO503" s="84" t="s">
        <v>1523</v>
      </c>
      <c r="AP503" s="84" t="b">
        <v>0</v>
      </c>
      <c r="AQ503" s="92" t="s">
        <v>1325</v>
      </c>
      <c r="AR503" s="84" t="s">
        <v>187</v>
      </c>
      <c r="AS503" s="84">
        <v>0</v>
      </c>
      <c r="AT503" s="84">
        <v>0</v>
      </c>
      <c r="AU503" s="84"/>
      <c r="AV503" s="84"/>
      <c r="AW503" s="84"/>
      <c r="AX503" s="84"/>
      <c r="AY503" s="84"/>
      <c r="AZ503" s="84"/>
      <c r="BA503" s="84"/>
      <c r="BB503" s="84"/>
      <c r="BC503">
        <v>1</v>
      </c>
      <c r="BD503" s="83" t="str">
        <f>REPLACE(INDEX(GroupVertices[Group],MATCH(Edges[[#This Row],[Vertex 1]],GroupVertices[Vertex],0)),1,1,"")</f>
        <v>1</v>
      </c>
      <c r="BE503" s="83" t="str">
        <f>REPLACE(INDEX(GroupVertices[Group],MATCH(Edges[[#This Row],[Vertex 2]],GroupVertices[Vertex],0)),1,1,"")</f>
        <v>10</v>
      </c>
      <c r="BF503" s="49">
        <v>0</v>
      </c>
      <c r="BG503" s="50">
        <v>0</v>
      </c>
      <c r="BH503" s="49">
        <v>0</v>
      </c>
      <c r="BI503" s="50">
        <v>0</v>
      </c>
      <c r="BJ503" s="49">
        <v>0</v>
      </c>
      <c r="BK503" s="50">
        <v>0</v>
      </c>
      <c r="BL503" s="49">
        <v>34</v>
      </c>
      <c r="BM503" s="50">
        <v>100</v>
      </c>
      <c r="BN503" s="49">
        <v>34</v>
      </c>
    </row>
    <row r="504" spans="1:66" ht="15">
      <c r="A504" s="68" t="s">
        <v>399</v>
      </c>
      <c r="B504" s="68" t="s">
        <v>403</v>
      </c>
      <c r="C504" s="69" t="s">
        <v>5208</v>
      </c>
      <c r="D504" s="70">
        <v>1</v>
      </c>
      <c r="E504" s="71" t="s">
        <v>132</v>
      </c>
      <c r="F504" s="72">
        <v>32</v>
      </c>
      <c r="G504" s="69" t="s">
        <v>51</v>
      </c>
      <c r="H504" s="73"/>
      <c r="I504" s="74"/>
      <c r="J504" s="74"/>
      <c r="K504" s="35" t="s">
        <v>65</v>
      </c>
      <c r="L504" s="82">
        <v>504</v>
      </c>
      <c r="M504" s="82"/>
      <c r="N504" s="76"/>
      <c r="O504" s="84" t="s">
        <v>439</v>
      </c>
      <c r="P504" s="86">
        <v>44083.46938657408</v>
      </c>
      <c r="Q504" s="84" t="s">
        <v>470</v>
      </c>
      <c r="R504" s="84"/>
      <c r="S504" s="84"/>
      <c r="T504" s="84" t="s">
        <v>587</v>
      </c>
      <c r="U504" s="87" t="str">
        <f>HYPERLINK("https://pbs.twimg.com/media/EheAw4eWsAAx-Hd.jpg")</f>
        <v>https://pbs.twimg.com/media/EheAw4eWsAAx-Hd.jpg</v>
      </c>
      <c r="V504" s="87" t="str">
        <f>HYPERLINK("https://pbs.twimg.com/media/EheAw4eWsAAx-Hd.jpg")</f>
        <v>https://pbs.twimg.com/media/EheAw4eWsAAx-Hd.jpg</v>
      </c>
      <c r="W504" s="86">
        <v>44083.46938657408</v>
      </c>
      <c r="X504" s="90">
        <v>44083</v>
      </c>
      <c r="Y504" s="92" t="s">
        <v>919</v>
      </c>
      <c r="Z504" s="87" t="str">
        <f>HYPERLINK("https://twitter.com/womencodersbot/status/1303653355907092481")</f>
        <v>https://twitter.com/womencodersbot/status/1303653355907092481</v>
      </c>
      <c r="AA504" s="84"/>
      <c r="AB504" s="84"/>
      <c r="AC504" s="92" t="s">
        <v>1327</v>
      </c>
      <c r="AD504" s="84"/>
      <c r="AE504" s="84" t="b">
        <v>0</v>
      </c>
      <c r="AF504" s="84">
        <v>0</v>
      </c>
      <c r="AG504" s="92" t="s">
        <v>1453</v>
      </c>
      <c r="AH504" s="84" t="b">
        <v>0</v>
      </c>
      <c r="AI504" s="84" t="s">
        <v>1456</v>
      </c>
      <c r="AJ504" s="84"/>
      <c r="AK504" s="92" t="s">
        <v>1453</v>
      </c>
      <c r="AL504" s="84" t="b">
        <v>0</v>
      </c>
      <c r="AM504" s="84">
        <v>13</v>
      </c>
      <c r="AN504" s="92" t="s">
        <v>1337</v>
      </c>
      <c r="AO504" s="84" t="s">
        <v>1523</v>
      </c>
      <c r="AP504" s="84" t="b">
        <v>0</v>
      </c>
      <c r="AQ504" s="92" t="s">
        <v>1337</v>
      </c>
      <c r="AR504" s="84" t="s">
        <v>187</v>
      </c>
      <c r="AS504" s="84">
        <v>0</v>
      </c>
      <c r="AT504" s="84">
        <v>0</v>
      </c>
      <c r="AU504" s="84"/>
      <c r="AV504" s="84"/>
      <c r="AW504" s="84"/>
      <c r="AX504" s="84"/>
      <c r="AY504" s="84"/>
      <c r="AZ504" s="84"/>
      <c r="BA504" s="84"/>
      <c r="BB504" s="84"/>
      <c r="BC504">
        <v>1</v>
      </c>
      <c r="BD504" s="83" t="str">
        <f>REPLACE(INDEX(GroupVertices[Group],MATCH(Edges[[#This Row],[Vertex 1]],GroupVertices[Vertex],0)),1,1,"")</f>
        <v>1</v>
      </c>
      <c r="BE504" s="83" t="str">
        <f>REPLACE(INDEX(GroupVertices[Group],MATCH(Edges[[#This Row],[Vertex 2]],GroupVertices[Vertex],0)),1,1,"")</f>
        <v>1</v>
      </c>
      <c r="BF504" s="49">
        <v>0</v>
      </c>
      <c r="BG504" s="50">
        <v>0</v>
      </c>
      <c r="BH504" s="49">
        <v>0</v>
      </c>
      <c r="BI504" s="50">
        <v>0</v>
      </c>
      <c r="BJ504" s="49">
        <v>0</v>
      </c>
      <c r="BK504" s="50">
        <v>0</v>
      </c>
      <c r="BL504" s="49">
        <v>37</v>
      </c>
      <c r="BM504" s="50">
        <v>100</v>
      </c>
      <c r="BN504" s="49">
        <v>37</v>
      </c>
    </row>
    <row r="505" spans="1:66" ht="15">
      <c r="A505" s="68" t="s">
        <v>399</v>
      </c>
      <c r="B505" s="68" t="s">
        <v>420</v>
      </c>
      <c r="C505" s="69" t="s">
        <v>5208</v>
      </c>
      <c r="D505" s="70">
        <v>1</v>
      </c>
      <c r="E505" s="71" t="s">
        <v>132</v>
      </c>
      <c r="F505" s="72">
        <v>32</v>
      </c>
      <c r="G505" s="69" t="s">
        <v>51</v>
      </c>
      <c r="H505" s="73"/>
      <c r="I505" s="74"/>
      <c r="J505" s="74"/>
      <c r="K505" s="35" t="s">
        <v>65</v>
      </c>
      <c r="L505" s="82">
        <v>505</v>
      </c>
      <c r="M505" s="82"/>
      <c r="N505" s="76"/>
      <c r="O505" s="84" t="s">
        <v>440</v>
      </c>
      <c r="P505" s="86">
        <v>44089.55159722222</v>
      </c>
      <c r="Q505" s="84" t="s">
        <v>511</v>
      </c>
      <c r="R505" s="87" t="str">
        <f>HYPERLINK("https://www.coodingdessign.com/python/datascience/visualization-of-covid-19-new-cases-over-time-in-python/")</f>
        <v>https://www.coodingdessign.com/python/datascience/visualization-of-covid-19-new-cases-over-time-in-python/</v>
      </c>
      <c r="S505" s="84" t="s">
        <v>560</v>
      </c>
      <c r="T505" s="84" t="s">
        <v>626</v>
      </c>
      <c r="U505" s="87" t="str">
        <f>HYPERLINK("https://pbs.twimg.com/media/Eh9WZq2XcActpko.png")</f>
        <v>https://pbs.twimg.com/media/Eh9WZq2XcActpko.png</v>
      </c>
      <c r="V505" s="87" t="str">
        <f>HYPERLINK("https://pbs.twimg.com/media/Eh9WZq2XcActpko.png")</f>
        <v>https://pbs.twimg.com/media/Eh9WZq2XcActpko.png</v>
      </c>
      <c r="W505" s="86">
        <v>44089.55159722222</v>
      </c>
      <c r="X505" s="90">
        <v>44089</v>
      </c>
      <c r="Y505" s="92" t="s">
        <v>922</v>
      </c>
      <c r="Z505" s="87" t="str">
        <f>HYPERLINK("https://twitter.com/womencodersbot/status/1305857473635659779")</f>
        <v>https://twitter.com/womencodersbot/status/1305857473635659779</v>
      </c>
      <c r="AA505" s="84"/>
      <c r="AB505" s="84"/>
      <c r="AC505" s="92" t="s">
        <v>1328</v>
      </c>
      <c r="AD505" s="84"/>
      <c r="AE505" s="84" t="b">
        <v>0</v>
      </c>
      <c r="AF505" s="84">
        <v>0</v>
      </c>
      <c r="AG505" s="92" t="s">
        <v>1453</v>
      </c>
      <c r="AH505" s="84" t="b">
        <v>0</v>
      </c>
      <c r="AI505" s="84" t="s">
        <v>1456</v>
      </c>
      <c r="AJ505" s="84"/>
      <c r="AK505" s="92" t="s">
        <v>1453</v>
      </c>
      <c r="AL505" s="84" t="b">
        <v>0</v>
      </c>
      <c r="AM505" s="84">
        <v>19</v>
      </c>
      <c r="AN505" s="92" t="s">
        <v>1410</v>
      </c>
      <c r="AO505" s="84" t="s">
        <v>1523</v>
      </c>
      <c r="AP505" s="84" t="b">
        <v>0</v>
      </c>
      <c r="AQ505" s="92" t="s">
        <v>1410</v>
      </c>
      <c r="AR505" s="84" t="s">
        <v>187</v>
      </c>
      <c r="AS505" s="84">
        <v>0</v>
      </c>
      <c r="AT505" s="84">
        <v>0</v>
      </c>
      <c r="AU505" s="84"/>
      <c r="AV505" s="84"/>
      <c r="AW505" s="84"/>
      <c r="AX505" s="84"/>
      <c r="AY505" s="84"/>
      <c r="AZ505" s="84"/>
      <c r="BA505" s="84"/>
      <c r="BB505" s="84"/>
      <c r="BC505">
        <v>1</v>
      </c>
      <c r="BD505" s="83" t="str">
        <f>REPLACE(INDEX(GroupVertices[Group],MATCH(Edges[[#This Row],[Vertex 1]],GroupVertices[Vertex],0)),1,1,"")</f>
        <v>1</v>
      </c>
      <c r="BE505" s="83" t="str">
        <f>REPLACE(INDEX(GroupVertices[Group],MATCH(Edges[[#This Row],[Vertex 2]],GroupVertices[Vertex],0)),1,1,"")</f>
        <v>1</v>
      </c>
      <c r="BF505" s="49"/>
      <c r="BG505" s="50"/>
      <c r="BH505" s="49"/>
      <c r="BI505" s="50"/>
      <c r="BJ505" s="49"/>
      <c r="BK505" s="50"/>
      <c r="BL505" s="49"/>
      <c r="BM505" s="50"/>
      <c r="BN505" s="49"/>
    </row>
    <row r="506" spans="1:66" ht="15">
      <c r="A506" s="68" t="s">
        <v>399</v>
      </c>
      <c r="B506" s="68" t="s">
        <v>438</v>
      </c>
      <c r="C506" s="69" t="s">
        <v>5208</v>
      </c>
      <c r="D506" s="70">
        <v>1</v>
      </c>
      <c r="E506" s="71" t="s">
        <v>132</v>
      </c>
      <c r="F506" s="72">
        <v>32</v>
      </c>
      <c r="G506" s="69" t="s">
        <v>51</v>
      </c>
      <c r="H506" s="73"/>
      <c r="I506" s="74"/>
      <c r="J506" s="74"/>
      <c r="K506" s="35" t="s">
        <v>65</v>
      </c>
      <c r="L506" s="82">
        <v>506</v>
      </c>
      <c r="M506" s="82"/>
      <c r="N506" s="76"/>
      <c r="O506" s="84" t="s">
        <v>440</v>
      </c>
      <c r="P506" s="86">
        <v>44089.55159722222</v>
      </c>
      <c r="Q506" s="84" t="s">
        <v>511</v>
      </c>
      <c r="R506" s="87" t="str">
        <f>HYPERLINK("https://www.coodingdessign.com/python/datascience/visualization-of-covid-19-new-cases-over-time-in-python/")</f>
        <v>https://www.coodingdessign.com/python/datascience/visualization-of-covid-19-new-cases-over-time-in-python/</v>
      </c>
      <c r="S506" s="84" t="s">
        <v>560</v>
      </c>
      <c r="T506" s="84" t="s">
        <v>626</v>
      </c>
      <c r="U506" s="87" t="str">
        <f>HYPERLINK("https://pbs.twimg.com/media/Eh9WZq2XcActpko.png")</f>
        <v>https://pbs.twimg.com/media/Eh9WZq2XcActpko.png</v>
      </c>
      <c r="V506" s="87" t="str">
        <f>HYPERLINK("https://pbs.twimg.com/media/Eh9WZq2XcActpko.png")</f>
        <v>https://pbs.twimg.com/media/Eh9WZq2XcActpko.png</v>
      </c>
      <c r="W506" s="86">
        <v>44089.55159722222</v>
      </c>
      <c r="X506" s="90">
        <v>44089</v>
      </c>
      <c r="Y506" s="92" t="s">
        <v>922</v>
      </c>
      <c r="Z506" s="87" t="str">
        <f>HYPERLINK("https://twitter.com/womencodersbot/status/1305857473635659779")</f>
        <v>https://twitter.com/womencodersbot/status/1305857473635659779</v>
      </c>
      <c r="AA506" s="84"/>
      <c r="AB506" s="84"/>
      <c r="AC506" s="92" t="s">
        <v>1328</v>
      </c>
      <c r="AD506" s="84"/>
      <c r="AE506" s="84" t="b">
        <v>0</v>
      </c>
      <c r="AF506" s="84">
        <v>0</v>
      </c>
      <c r="AG506" s="92" t="s">
        <v>1453</v>
      </c>
      <c r="AH506" s="84" t="b">
        <v>0</v>
      </c>
      <c r="AI506" s="84" t="s">
        <v>1456</v>
      </c>
      <c r="AJ506" s="84"/>
      <c r="AK506" s="92" t="s">
        <v>1453</v>
      </c>
      <c r="AL506" s="84" t="b">
        <v>0</v>
      </c>
      <c r="AM506" s="84">
        <v>19</v>
      </c>
      <c r="AN506" s="92" t="s">
        <v>1410</v>
      </c>
      <c r="AO506" s="84" t="s">
        <v>1523</v>
      </c>
      <c r="AP506" s="84" t="b">
        <v>0</v>
      </c>
      <c r="AQ506" s="92" t="s">
        <v>1410</v>
      </c>
      <c r="AR506" s="84" t="s">
        <v>187</v>
      </c>
      <c r="AS506" s="84">
        <v>0</v>
      </c>
      <c r="AT506" s="84">
        <v>0</v>
      </c>
      <c r="AU506" s="84"/>
      <c r="AV506" s="84"/>
      <c r="AW506" s="84"/>
      <c r="AX506" s="84"/>
      <c r="AY506" s="84"/>
      <c r="AZ506" s="84"/>
      <c r="BA506" s="84"/>
      <c r="BB506" s="84"/>
      <c r="BC506">
        <v>1</v>
      </c>
      <c r="BD506" s="83" t="str">
        <f>REPLACE(INDEX(GroupVertices[Group],MATCH(Edges[[#This Row],[Vertex 1]],GroupVertices[Vertex],0)),1,1,"")</f>
        <v>1</v>
      </c>
      <c r="BE506" s="83" t="str">
        <f>REPLACE(INDEX(GroupVertices[Group],MATCH(Edges[[#This Row],[Vertex 2]],GroupVertices[Vertex],0)),1,1,"")</f>
        <v>1</v>
      </c>
      <c r="BF506" s="49"/>
      <c r="BG506" s="50"/>
      <c r="BH506" s="49"/>
      <c r="BI506" s="50"/>
      <c r="BJ506" s="49"/>
      <c r="BK506" s="50"/>
      <c r="BL506" s="49"/>
      <c r="BM506" s="50"/>
      <c r="BN506" s="49"/>
    </row>
    <row r="507" spans="1:66" ht="15">
      <c r="A507" s="68" t="s">
        <v>399</v>
      </c>
      <c r="B507" s="68" t="s">
        <v>419</v>
      </c>
      <c r="C507" s="69" t="s">
        <v>5208</v>
      </c>
      <c r="D507" s="70">
        <v>1</v>
      </c>
      <c r="E507" s="71" t="s">
        <v>132</v>
      </c>
      <c r="F507" s="72">
        <v>32</v>
      </c>
      <c r="G507" s="69" t="s">
        <v>51</v>
      </c>
      <c r="H507" s="73"/>
      <c r="I507" s="74"/>
      <c r="J507" s="74"/>
      <c r="K507" s="35" t="s">
        <v>65</v>
      </c>
      <c r="L507" s="82">
        <v>507</v>
      </c>
      <c r="M507" s="82"/>
      <c r="N507" s="76"/>
      <c r="O507" s="84" t="s">
        <v>439</v>
      </c>
      <c r="P507" s="86">
        <v>44089.55159722222</v>
      </c>
      <c r="Q507" s="84" t="s">
        <v>511</v>
      </c>
      <c r="R507" s="87" t="str">
        <f>HYPERLINK("https://www.coodingdessign.com/python/datascience/visualization-of-covid-19-new-cases-over-time-in-python/")</f>
        <v>https://www.coodingdessign.com/python/datascience/visualization-of-covid-19-new-cases-over-time-in-python/</v>
      </c>
      <c r="S507" s="84" t="s">
        <v>560</v>
      </c>
      <c r="T507" s="84" t="s">
        <v>626</v>
      </c>
      <c r="U507" s="87" t="str">
        <f>HYPERLINK("https://pbs.twimg.com/media/Eh9WZq2XcActpko.png")</f>
        <v>https://pbs.twimg.com/media/Eh9WZq2XcActpko.png</v>
      </c>
      <c r="V507" s="87" t="str">
        <f>HYPERLINK("https://pbs.twimg.com/media/Eh9WZq2XcActpko.png")</f>
        <v>https://pbs.twimg.com/media/Eh9WZq2XcActpko.png</v>
      </c>
      <c r="W507" s="86">
        <v>44089.55159722222</v>
      </c>
      <c r="X507" s="90">
        <v>44089</v>
      </c>
      <c r="Y507" s="92" t="s">
        <v>922</v>
      </c>
      <c r="Z507" s="87" t="str">
        <f>HYPERLINK("https://twitter.com/womencodersbot/status/1305857473635659779")</f>
        <v>https://twitter.com/womencodersbot/status/1305857473635659779</v>
      </c>
      <c r="AA507" s="84"/>
      <c r="AB507" s="84"/>
      <c r="AC507" s="92" t="s">
        <v>1328</v>
      </c>
      <c r="AD507" s="84"/>
      <c r="AE507" s="84" t="b">
        <v>0</v>
      </c>
      <c r="AF507" s="84">
        <v>0</v>
      </c>
      <c r="AG507" s="92" t="s">
        <v>1453</v>
      </c>
      <c r="AH507" s="84" t="b">
        <v>0</v>
      </c>
      <c r="AI507" s="84" t="s">
        <v>1456</v>
      </c>
      <c r="AJ507" s="84"/>
      <c r="AK507" s="92" t="s">
        <v>1453</v>
      </c>
      <c r="AL507" s="84" t="b">
        <v>0</v>
      </c>
      <c r="AM507" s="84">
        <v>19</v>
      </c>
      <c r="AN507" s="92" t="s">
        <v>1410</v>
      </c>
      <c r="AO507" s="84" t="s">
        <v>1523</v>
      </c>
      <c r="AP507" s="84" t="b">
        <v>0</v>
      </c>
      <c r="AQ507" s="92" t="s">
        <v>1410</v>
      </c>
      <c r="AR507" s="84" t="s">
        <v>187</v>
      </c>
      <c r="AS507" s="84">
        <v>0</v>
      </c>
      <c r="AT507" s="84">
        <v>0</v>
      </c>
      <c r="AU507" s="84"/>
      <c r="AV507" s="84"/>
      <c r="AW507" s="84"/>
      <c r="AX507" s="84"/>
      <c r="AY507" s="84"/>
      <c r="AZ507" s="84"/>
      <c r="BA507" s="84"/>
      <c r="BB507" s="84"/>
      <c r="BC507">
        <v>1</v>
      </c>
      <c r="BD507" s="83" t="str">
        <f>REPLACE(INDEX(GroupVertices[Group],MATCH(Edges[[#This Row],[Vertex 1]],GroupVertices[Vertex],0)),1,1,"")</f>
        <v>1</v>
      </c>
      <c r="BE507" s="83" t="str">
        <f>REPLACE(INDEX(GroupVertices[Group],MATCH(Edges[[#This Row],[Vertex 2]],GroupVertices[Vertex],0)),1,1,"")</f>
        <v>1</v>
      </c>
      <c r="BF507" s="49">
        <v>0</v>
      </c>
      <c r="BG507" s="50">
        <v>0</v>
      </c>
      <c r="BH507" s="49">
        <v>0</v>
      </c>
      <c r="BI507" s="50">
        <v>0</v>
      </c>
      <c r="BJ507" s="49">
        <v>0</v>
      </c>
      <c r="BK507" s="50">
        <v>0</v>
      </c>
      <c r="BL507" s="49">
        <v>20</v>
      </c>
      <c r="BM507" s="50">
        <v>100</v>
      </c>
      <c r="BN507" s="49">
        <v>20</v>
      </c>
    </row>
    <row r="508" spans="1:66" ht="15">
      <c r="A508" s="68" t="s">
        <v>400</v>
      </c>
      <c r="B508" s="68" t="s">
        <v>423</v>
      </c>
      <c r="C508" s="69" t="s">
        <v>5208</v>
      </c>
      <c r="D508" s="70">
        <v>1</v>
      </c>
      <c r="E508" s="71" t="s">
        <v>132</v>
      </c>
      <c r="F508" s="72">
        <v>32</v>
      </c>
      <c r="G508" s="69" t="s">
        <v>51</v>
      </c>
      <c r="H508" s="73"/>
      <c r="I508" s="74"/>
      <c r="J508" s="74"/>
      <c r="K508" s="35" t="s">
        <v>65</v>
      </c>
      <c r="L508" s="82">
        <v>508</v>
      </c>
      <c r="M508" s="82"/>
      <c r="N508" s="76"/>
      <c r="O508" s="84" t="s">
        <v>439</v>
      </c>
      <c r="P508" s="86">
        <v>44082.58085648148</v>
      </c>
      <c r="Q508" s="84" t="s">
        <v>459</v>
      </c>
      <c r="R508" s="84"/>
      <c r="S508" s="84"/>
      <c r="T508" s="84" t="s">
        <v>578</v>
      </c>
      <c r="U508" s="87" t="str">
        <f>HYPERLINK("https://pbs.twimg.com/media/EhZc5KGWoAIz_Wo.jpg")</f>
        <v>https://pbs.twimg.com/media/EhZc5KGWoAIz_Wo.jpg</v>
      </c>
      <c r="V508" s="87" t="str">
        <f>HYPERLINK("https://pbs.twimg.com/media/EhZc5KGWoAIz_Wo.jpg")</f>
        <v>https://pbs.twimg.com/media/EhZc5KGWoAIz_Wo.jpg</v>
      </c>
      <c r="W508" s="86">
        <v>44082.58085648148</v>
      </c>
      <c r="X508" s="90">
        <v>44082</v>
      </c>
      <c r="Y508" s="92" t="s">
        <v>920</v>
      </c>
      <c r="Z508" s="87" t="str">
        <f>HYPERLINK("https://twitter.com/learn__together/status/1303331365425872896")</f>
        <v>https://twitter.com/learn__together/status/1303331365425872896</v>
      </c>
      <c r="AA508" s="84"/>
      <c r="AB508" s="84"/>
      <c r="AC508" s="92" t="s">
        <v>1329</v>
      </c>
      <c r="AD508" s="84"/>
      <c r="AE508" s="84" t="b">
        <v>0</v>
      </c>
      <c r="AF508" s="84">
        <v>0</v>
      </c>
      <c r="AG508" s="92" t="s">
        <v>1453</v>
      </c>
      <c r="AH508" s="84" t="b">
        <v>0</v>
      </c>
      <c r="AI508" s="84" t="s">
        <v>1456</v>
      </c>
      <c r="AJ508" s="84"/>
      <c r="AK508" s="92" t="s">
        <v>1453</v>
      </c>
      <c r="AL508" s="84" t="b">
        <v>0</v>
      </c>
      <c r="AM508" s="84">
        <v>44</v>
      </c>
      <c r="AN508" s="92" t="s">
        <v>1428</v>
      </c>
      <c r="AO508" s="84" t="s">
        <v>400</v>
      </c>
      <c r="AP508" s="84" t="b">
        <v>0</v>
      </c>
      <c r="AQ508" s="92" t="s">
        <v>1428</v>
      </c>
      <c r="AR508" s="84" t="s">
        <v>187</v>
      </c>
      <c r="AS508" s="84">
        <v>0</v>
      </c>
      <c r="AT508" s="84">
        <v>0</v>
      </c>
      <c r="AU508" s="84"/>
      <c r="AV508" s="84"/>
      <c r="AW508" s="84"/>
      <c r="AX508" s="84"/>
      <c r="AY508" s="84"/>
      <c r="AZ508" s="84"/>
      <c r="BA508" s="84"/>
      <c r="BB508" s="84"/>
      <c r="BC508">
        <v>1</v>
      </c>
      <c r="BD508" s="83" t="str">
        <f>REPLACE(INDEX(GroupVertices[Group],MATCH(Edges[[#This Row],[Vertex 1]],GroupVertices[Vertex],0)),1,1,"")</f>
        <v>1</v>
      </c>
      <c r="BE508" s="83" t="str">
        <f>REPLACE(INDEX(GroupVertices[Group],MATCH(Edges[[#This Row],[Vertex 2]],GroupVertices[Vertex],0)),1,1,"")</f>
        <v>1</v>
      </c>
      <c r="BF508" s="49">
        <v>0</v>
      </c>
      <c r="BG508" s="50">
        <v>0</v>
      </c>
      <c r="BH508" s="49">
        <v>0</v>
      </c>
      <c r="BI508" s="50">
        <v>0</v>
      </c>
      <c r="BJ508" s="49">
        <v>0</v>
      </c>
      <c r="BK508" s="50">
        <v>0</v>
      </c>
      <c r="BL508" s="49">
        <v>30</v>
      </c>
      <c r="BM508" s="50">
        <v>100</v>
      </c>
      <c r="BN508" s="49">
        <v>30</v>
      </c>
    </row>
    <row r="509" spans="1:66" ht="15">
      <c r="A509" s="68" t="s">
        <v>400</v>
      </c>
      <c r="B509" s="68" t="s">
        <v>403</v>
      </c>
      <c r="C509" s="69" t="s">
        <v>5208</v>
      </c>
      <c r="D509" s="70">
        <v>1</v>
      </c>
      <c r="E509" s="71" t="s">
        <v>132</v>
      </c>
      <c r="F509" s="72">
        <v>32</v>
      </c>
      <c r="G509" s="69" t="s">
        <v>51</v>
      </c>
      <c r="H509" s="73"/>
      <c r="I509" s="74"/>
      <c r="J509" s="74"/>
      <c r="K509" s="35" t="s">
        <v>65</v>
      </c>
      <c r="L509" s="82">
        <v>509</v>
      </c>
      <c r="M509" s="82"/>
      <c r="N509" s="76"/>
      <c r="O509" s="84" t="s">
        <v>439</v>
      </c>
      <c r="P509" s="86">
        <v>44083.46938657408</v>
      </c>
      <c r="Q509" s="84" t="s">
        <v>470</v>
      </c>
      <c r="R509" s="84"/>
      <c r="S509" s="84"/>
      <c r="T509" s="84" t="s">
        <v>587</v>
      </c>
      <c r="U509" s="87" t="str">
        <f>HYPERLINK("https://pbs.twimg.com/media/EheAw4eWsAAx-Hd.jpg")</f>
        <v>https://pbs.twimg.com/media/EheAw4eWsAAx-Hd.jpg</v>
      </c>
      <c r="V509" s="87" t="str">
        <f>HYPERLINK("https://pbs.twimg.com/media/EheAw4eWsAAx-Hd.jpg")</f>
        <v>https://pbs.twimg.com/media/EheAw4eWsAAx-Hd.jpg</v>
      </c>
      <c r="W509" s="86">
        <v>44083.46938657408</v>
      </c>
      <c r="X509" s="90">
        <v>44083</v>
      </c>
      <c r="Y509" s="92" t="s">
        <v>919</v>
      </c>
      <c r="Z509" s="87" t="str">
        <f>HYPERLINK("https://twitter.com/learn__together/status/1303653356724916225")</f>
        <v>https://twitter.com/learn__together/status/1303653356724916225</v>
      </c>
      <c r="AA509" s="84"/>
      <c r="AB509" s="84"/>
      <c r="AC509" s="92" t="s">
        <v>1330</v>
      </c>
      <c r="AD509" s="84"/>
      <c r="AE509" s="84" t="b">
        <v>0</v>
      </c>
      <c r="AF509" s="84">
        <v>0</v>
      </c>
      <c r="AG509" s="92" t="s">
        <v>1453</v>
      </c>
      <c r="AH509" s="84" t="b">
        <v>0</v>
      </c>
      <c r="AI509" s="84" t="s">
        <v>1456</v>
      </c>
      <c r="AJ509" s="84"/>
      <c r="AK509" s="92" t="s">
        <v>1453</v>
      </c>
      <c r="AL509" s="84" t="b">
        <v>0</v>
      </c>
      <c r="AM509" s="84">
        <v>13</v>
      </c>
      <c r="AN509" s="92" t="s">
        <v>1337</v>
      </c>
      <c r="AO509" s="84" t="s">
        <v>400</v>
      </c>
      <c r="AP509" s="84" t="b">
        <v>0</v>
      </c>
      <c r="AQ509" s="92" t="s">
        <v>1337</v>
      </c>
      <c r="AR509" s="84" t="s">
        <v>187</v>
      </c>
      <c r="AS509" s="84">
        <v>0</v>
      </c>
      <c r="AT509" s="84">
        <v>0</v>
      </c>
      <c r="AU509" s="84"/>
      <c r="AV509" s="84"/>
      <c r="AW509" s="84"/>
      <c r="AX509" s="84"/>
      <c r="AY509" s="84"/>
      <c r="AZ509" s="84"/>
      <c r="BA509" s="84"/>
      <c r="BB509" s="84"/>
      <c r="BC509">
        <v>1</v>
      </c>
      <c r="BD509" s="83" t="str">
        <f>REPLACE(INDEX(GroupVertices[Group],MATCH(Edges[[#This Row],[Vertex 1]],GroupVertices[Vertex],0)),1,1,"")</f>
        <v>1</v>
      </c>
      <c r="BE509" s="83" t="str">
        <f>REPLACE(INDEX(GroupVertices[Group],MATCH(Edges[[#This Row],[Vertex 2]],GroupVertices[Vertex],0)),1,1,"")</f>
        <v>1</v>
      </c>
      <c r="BF509" s="49">
        <v>0</v>
      </c>
      <c r="BG509" s="50">
        <v>0</v>
      </c>
      <c r="BH509" s="49">
        <v>0</v>
      </c>
      <c r="BI509" s="50">
        <v>0</v>
      </c>
      <c r="BJ509" s="49">
        <v>0</v>
      </c>
      <c r="BK509" s="50">
        <v>0</v>
      </c>
      <c r="BL509" s="49">
        <v>37</v>
      </c>
      <c r="BM509" s="50">
        <v>100</v>
      </c>
      <c r="BN509" s="49">
        <v>37</v>
      </c>
    </row>
    <row r="510" spans="1:66" ht="15">
      <c r="A510" s="68" t="s">
        <v>400</v>
      </c>
      <c r="B510" s="68" t="s">
        <v>437</v>
      </c>
      <c r="C510" s="69" t="s">
        <v>5208</v>
      </c>
      <c r="D510" s="70">
        <v>1</v>
      </c>
      <c r="E510" s="71" t="s">
        <v>132</v>
      </c>
      <c r="F510" s="72">
        <v>32</v>
      </c>
      <c r="G510" s="69" t="s">
        <v>51</v>
      </c>
      <c r="H510" s="73"/>
      <c r="I510" s="74"/>
      <c r="J510" s="74"/>
      <c r="K510" s="35" t="s">
        <v>65</v>
      </c>
      <c r="L510" s="82">
        <v>510</v>
      </c>
      <c r="M510" s="82"/>
      <c r="N510" s="76"/>
      <c r="O510" s="84" t="s">
        <v>440</v>
      </c>
      <c r="P510" s="86">
        <v>44083.61539351852</v>
      </c>
      <c r="Q510" s="84" t="s">
        <v>509</v>
      </c>
      <c r="R510" s="87" t="str">
        <f>HYPERLINK("https://www.dailymail.co.uk/news/article-8714225/US-daily-COVID-19-cases-drop-40k-time-June.html?ito=amp_twitter_share-top")</f>
        <v>https://www.dailymail.co.uk/news/article-8714225/US-daily-COVID-19-cases-drop-40k-time-June.html?ito=amp_twitter_share-top</v>
      </c>
      <c r="S510" s="84" t="s">
        <v>558</v>
      </c>
      <c r="T510" s="84" t="s">
        <v>620</v>
      </c>
      <c r="U510" s="84"/>
      <c r="V510" s="87" t="str">
        <f>HYPERLINK("http://pbs.twimg.com/profile_images/1253528940590686209/pUHCp4SS_normal.jpg")</f>
        <v>http://pbs.twimg.com/profile_images/1253528940590686209/pUHCp4SS_normal.jpg</v>
      </c>
      <c r="W510" s="86">
        <v>44083.61539351852</v>
      </c>
      <c r="X510" s="90">
        <v>44083</v>
      </c>
      <c r="Y510" s="92" t="s">
        <v>921</v>
      </c>
      <c r="Z510" s="87" t="str">
        <f>HYPERLINK("https://twitter.com/learn__together/status/1303706267601399809")</f>
        <v>https://twitter.com/learn__together/status/1303706267601399809</v>
      </c>
      <c r="AA510" s="84"/>
      <c r="AB510" s="84"/>
      <c r="AC510" s="92" t="s">
        <v>1331</v>
      </c>
      <c r="AD510" s="84"/>
      <c r="AE510" s="84" t="b">
        <v>0</v>
      </c>
      <c r="AF510" s="84">
        <v>0</v>
      </c>
      <c r="AG510" s="92" t="s">
        <v>1453</v>
      </c>
      <c r="AH510" s="84" t="b">
        <v>0</v>
      </c>
      <c r="AI510" s="84" t="s">
        <v>1456</v>
      </c>
      <c r="AJ510" s="84"/>
      <c r="AK510" s="92" t="s">
        <v>1453</v>
      </c>
      <c r="AL510" s="84" t="b">
        <v>0</v>
      </c>
      <c r="AM510" s="84">
        <v>15</v>
      </c>
      <c r="AN510" s="92" t="s">
        <v>1398</v>
      </c>
      <c r="AO510" s="84" t="s">
        <v>400</v>
      </c>
      <c r="AP510" s="84" t="b">
        <v>0</v>
      </c>
      <c r="AQ510" s="92" t="s">
        <v>1398</v>
      </c>
      <c r="AR510" s="84" t="s">
        <v>187</v>
      </c>
      <c r="AS510" s="84">
        <v>0</v>
      </c>
      <c r="AT510" s="84">
        <v>0</v>
      </c>
      <c r="AU510" s="84"/>
      <c r="AV510" s="84"/>
      <c r="AW510" s="84"/>
      <c r="AX510" s="84"/>
      <c r="AY510" s="84"/>
      <c r="AZ510" s="84"/>
      <c r="BA510" s="84"/>
      <c r="BB510" s="84"/>
      <c r="BC510">
        <v>1</v>
      </c>
      <c r="BD510" s="83" t="str">
        <f>REPLACE(INDEX(GroupVertices[Group],MATCH(Edges[[#This Row],[Vertex 1]],GroupVertices[Vertex],0)),1,1,"")</f>
        <v>1</v>
      </c>
      <c r="BE510" s="83" t="str">
        <f>REPLACE(INDEX(GroupVertices[Group],MATCH(Edges[[#This Row],[Vertex 2]],GroupVertices[Vertex],0)),1,1,"")</f>
        <v>1</v>
      </c>
      <c r="BF510" s="49"/>
      <c r="BG510" s="50"/>
      <c r="BH510" s="49"/>
      <c r="BI510" s="50"/>
      <c r="BJ510" s="49"/>
      <c r="BK510" s="50"/>
      <c r="BL510" s="49"/>
      <c r="BM510" s="50"/>
      <c r="BN510" s="49"/>
    </row>
    <row r="511" spans="1:66" ht="15">
      <c r="A511" s="68" t="s">
        <v>400</v>
      </c>
      <c r="B511" s="68" t="s">
        <v>390</v>
      </c>
      <c r="C511" s="69" t="s">
        <v>5209</v>
      </c>
      <c r="D511" s="70">
        <v>6.678367782143116</v>
      </c>
      <c r="E511" s="71" t="s">
        <v>132</v>
      </c>
      <c r="F511" s="72">
        <v>21</v>
      </c>
      <c r="G511" s="69" t="s">
        <v>51</v>
      </c>
      <c r="H511" s="73"/>
      <c r="I511" s="74"/>
      <c r="J511" s="74"/>
      <c r="K511" s="35" t="s">
        <v>65</v>
      </c>
      <c r="L511" s="82">
        <v>511</v>
      </c>
      <c r="M511" s="82"/>
      <c r="N511" s="76"/>
      <c r="O511" s="84" t="s">
        <v>439</v>
      </c>
      <c r="P511" s="86">
        <v>44083.61539351852</v>
      </c>
      <c r="Q511" s="84" t="s">
        <v>509</v>
      </c>
      <c r="R511" s="87" t="str">
        <f>HYPERLINK("https://www.dailymail.co.uk/news/article-8714225/US-daily-COVID-19-cases-drop-40k-time-June.html?ito=amp_twitter_share-top")</f>
        <v>https://www.dailymail.co.uk/news/article-8714225/US-daily-COVID-19-cases-drop-40k-time-June.html?ito=amp_twitter_share-top</v>
      </c>
      <c r="S511" s="84" t="s">
        <v>558</v>
      </c>
      <c r="T511" s="84" t="s">
        <v>620</v>
      </c>
      <c r="U511" s="84"/>
      <c r="V511" s="87" t="str">
        <f>HYPERLINK("http://pbs.twimg.com/profile_images/1253528940590686209/pUHCp4SS_normal.jpg")</f>
        <v>http://pbs.twimg.com/profile_images/1253528940590686209/pUHCp4SS_normal.jpg</v>
      </c>
      <c r="W511" s="86">
        <v>44083.61539351852</v>
      </c>
      <c r="X511" s="90">
        <v>44083</v>
      </c>
      <c r="Y511" s="92" t="s">
        <v>921</v>
      </c>
      <c r="Z511" s="87" t="str">
        <f>HYPERLINK("https://twitter.com/learn__together/status/1303706267601399809")</f>
        <v>https://twitter.com/learn__together/status/1303706267601399809</v>
      </c>
      <c r="AA511" s="84"/>
      <c r="AB511" s="84"/>
      <c r="AC511" s="92" t="s">
        <v>1331</v>
      </c>
      <c r="AD511" s="84"/>
      <c r="AE511" s="84" t="b">
        <v>0</v>
      </c>
      <c r="AF511" s="84">
        <v>0</v>
      </c>
      <c r="AG511" s="92" t="s">
        <v>1453</v>
      </c>
      <c r="AH511" s="84" t="b">
        <v>0</v>
      </c>
      <c r="AI511" s="84" t="s">
        <v>1456</v>
      </c>
      <c r="AJ511" s="84"/>
      <c r="AK511" s="92" t="s">
        <v>1453</v>
      </c>
      <c r="AL511" s="84" t="b">
        <v>0</v>
      </c>
      <c r="AM511" s="84">
        <v>15</v>
      </c>
      <c r="AN511" s="92" t="s">
        <v>1398</v>
      </c>
      <c r="AO511" s="84" t="s">
        <v>400</v>
      </c>
      <c r="AP511" s="84" t="b">
        <v>0</v>
      </c>
      <c r="AQ511" s="92" t="s">
        <v>1398</v>
      </c>
      <c r="AR511" s="84" t="s">
        <v>187</v>
      </c>
      <c r="AS511" s="84">
        <v>0</v>
      </c>
      <c r="AT511" s="84">
        <v>0</v>
      </c>
      <c r="AU511" s="84"/>
      <c r="AV511" s="84"/>
      <c r="AW511" s="84"/>
      <c r="AX511" s="84"/>
      <c r="AY511" s="84"/>
      <c r="AZ511" s="84"/>
      <c r="BA511" s="84"/>
      <c r="BB511" s="84"/>
      <c r="BC511">
        <v>2</v>
      </c>
      <c r="BD511" s="83" t="str">
        <f>REPLACE(INDEX(GroupVertices[Group],MATCH(Edges[[#This Row],[Vertex 1]],GroupVertices[Vertex],0)),1,1,"")</f>
        <v>1</v>
      </c>
      <c r="BE511" s="83" t="str">
        <f>REPLACE(INDEX(GroupVertices[Group],MATCH(Edges[[#This Row],[Vertex 2]],GroupVertices[Vertex],0)),1,1,"")</f>
        <v>1</v>
      </c>
      <c r="BF511" s="49">
        <v>0</v>
      </c>
      <c r="BG511" s="50">
        <v>0</v>
      </c>
      <c r="BH511" s="49">
        <v>0</v>
      </c>
      <c r="BI511" s="50">
        <v>0</v>
      </c>
      <c r="BJ511" s="49">
        <v>0</v>
      </c>
      <c r="BK511" s="50">
        <v>0</v>
      </c>
      <c r="BL511" s="49">
        <v>33</v>
      </c>
      <c r="BM511" s="50">
        <v>100</v>
      </c>
      <c r="BN511" s="49">
        <v>33</v>
      </c>
    </row>
    <row r="512" spans="1:66" ht="15">
      <c r="A512" s="68" t="s">
        <v>400</v>
      </c>
      <c r="B512" s="68" t="s">
        <v>435</v>
      </c>
      <c r="C512" s="69" t="s">
        <v>5208</v>
      </c>
      <c r="D512" s="70">
        <v>1</v>
      </c>
      <c r="E512" s="71" t="s">
        <v>132</v>
      </c>
      <c r="F512" s="72">
        <v>32</v>
      </c>
      <c r="G512" s="69" t="s">
        <v>51</v>
      </c>
      <c r="H512" s="73"/>
      <c r="I512" s="74"/>
      <c r="J512" s="74"/>
      <c r="K512" s="35" t="s">
        <v>65</v>
      </c>
      <c r="L512" s="82">
        <v>512</v>
      </c>
      <c r="M512" s="82"/>
      <c r="N512" s="76"/>
      <c r="O512" s="84" t="s">
        <v>440</v>
      </c>
      <c r="P512" s="86">
        <v>44086.366747685184</v>
      </c>
      <c r="Q512" s="84" t="s">
        <v>484</v>
      </c>
      <c r="R512" s="87" t="str">
        <f>HYPERLINK("https://www.weforum.org/agenda/2020/09/prevent-post-covid-carmageddon")</f>
        <v>https://www.weforum.org/agenda/2020/09/prevent-post-covid-carmageddon</v>
      </c>
      <c r="S512" s="84" t="s">
        <v>549</v>
      </c>
      <c r="T512" s="84" t="s">
        <v>600</v>
      </c>
      <c r="U512" s="84"/>
      <c r="V512" s="87" t="str">
        <f>HYPERLINK("http://pbs.twimg.com/profile_images/1253528940590686209/pUHCp4SS_normal.jpg")</f>
        <v>http://pbs.twimg.com/profile_images/1253528940590686209/pUHCp4SS_normal.jpg</v>
      </c>
      <c r="W512" s="86">
        <v>44086.366747685184</v>
      </c>
      <c r="X512" s="90">
        <v>44086</v>
      </c>
      <c r="Y512" s="92" t="s">
        <v>924</v>
      </c>
      <c r="Z512" s="87" t="str">
        <f>HYPERLINK("https://twitter.com/learn__together/status/1304703323900059648")</f>
        <v>https://twitter.com/learn__together/status/1304703323900059648</v>
      </c>
      <c r="AA512" s="84"/>
      <c r="AB512" s="84"/>
      <c r="AC512" s="92" t="s">
        <v>1332</v>
      </c>
      <c r="AD512" s="84"/>
      <c r="AE512" s="84" t="b">
        <v>0</v>
      </c>
      <c r="AF512" s="84">
        <v>0</v>
      </c>
      <c r="AG512" s="92" t="s">
        <v>1453</v>
      </c>
      <c r="AH512" s="84" t="b">
        <v>0</v>
      </c>
      <c r="AI512" s="84" t="s">
        <v>1456</v>
      </c>
      <c r="AJ512" s="84"/>
      <c r="AK512" s="92" t="s">
        <v>1453</v>
      </c>
      <c r="AL512" s="84" t="b">
        <v>0</v>
      </c>
      <c r="AM512" s="84">
        <v>36</v>
      </c>
      <c r="AN512" s="92" t="s">
        <v>1401</v>
      </c>
      <c r="AO512" s="84" t="s">
        <v>400</v>
      </c>
      <c r="AP512" s="84" t="b">
        <v>0</v>
      </c>
      <c r="AQ512" s="92" t="s">
        <v>1401</v>
      </c>
      <c r="AR512" s="84" t="s">
        <v>187</v>
      </c>
      <c r="AS512" s="84">
        <v>0</v>
      </c>
      <c r="AT512" s="84">
        <v>0</v>
      </c>
      <c r="AU512" s="84"/>
      <c r="AV512" s="84"/>
      <c r="AW512" s="84"/>
      <c r="AX512" s="84"/>
      <c r="AY512" s="84"/>
      <c r="AZ512" s="84"/>
      <c r="BA512" s="84"/>
      <c r="BB512" s="84"/>
      <c r="BC512">
        <v>1</v>
      </c>
      <c r="BD512" s="83" t="str">
        <f>REPLACE(INDEX(GroupVertices[Group],MATCH(Edges[[#This Row],[Vertex 1]],GroupVertices[Vertex],0)),1,1,"")</f>
        <v>1</v>
      </c>
      <c r="BE512" s="83" t="str">
        <f>REPLACE(INDEX(GroupVertices[Group],MATCH(Edges[[#This Row],[Vertex 2]],GroupVertices[Vertex],0)),1,1,"")</f>
        <v>1</v>
      </c>
      <c r="BF512" s="49"/>
      <c r="BG512" s="50"/>
      <c r="BH512" s="49"/>
      <c r="BI512" s="50"/>
      <c r="BJ512" s="49"/>
      <c r="BK512" s="50"/>
      <c r="BL512" s="49"/>
      <c r="BM512" s="50"/>
      <c r="BN512" s="49"/>
    </row>
    <row r="513" spans="1:66" ht="15">
      <c r="A513" s="68" t="s">
        <v>400</v>
      </c>
      <c r="B513" s="68" t="s">
        <v>390</v>
      </c>
      <c r="C513" s="69" t="s">
        <v>5209</v>
      </c>
      <c r="D513" s="70">
        <v>6.678367782143116</v>
      </c>
      <c r="E513" s="71" t="s">
        <v>132</v>
      </c>
      <c r="F513" s="72">
        <v>21</v>
      </c>
      <c r="G513" s="69" t="s">
        <v>51</v>
      </c>
      <c r="H513" s="73"/>
      <c r="I513" s="74"/>
      <c r="J513" s="74"/>
      <c r="K513" s="35" t="s">
        <v>65</v>
      </c>
      <c r="L513" s="82">
        <v>513</v>
      </c>
      <c r="M513" s="82"/>
      <c r="N513" s="76"/>
      <c r="O513" s="84" t="s">
        <v>439</v>
      </c>
      <c r="P513" s="86">
        <v>44086.366747685184</v>
      </c>
      <c r="Q513" s="84" t="s">
        <v>484</v>
      </c>
      <c r="R513" s="87" t="str">
        <f>HYPERLINK("https://www.weforum.org/agenda/2020/09/prevent-post-covid-carmageddon")</f>
        <v>https://www.weforum.org/agenda/2020/09/prevent-post-covid-carmageddon</v>
      </c>
      <c r="S513" s="84" t="s">
        <v>549</v>
      </c>
      <c r="T513" s="84" t="s">
        <v>600</v>
      </c>
      <c r="U513" s="84"/>
      <c r="V513" s="87" t="str">
        <f>HYPERLINK("http://pbs.twimg.com/profile_images/1253528940590686209/pUHCp4SS_normal.jpg")</f>
        <v>http://pbs.twimg.com/profile_images/1253528940590686209/pUHCp4SS_normal.jpg</v>
      </c>
      <c r="W513" s="86">
        <v>44086.366747685184</v>
      </c>
      <c r="X513" s="90">
        <v>44086</v>
      </c>
      <c r="Y513" s="92" t="s">
        <v>924</v>
      </c>
      <c r="Z513" s="87" t="str">
        <f>HYPERLINK("https://twitter.com/learn__together/status/1304703323900059648")</f>
        <v>https://twitter.com/learn__together/status/1304703323900059648</v>
      </c>
      <c r="AA513" s="84"/>
      <c r="AB513" s="84"/>
      <c r="AC513" s="92" t="s">
        <v>1332</v>
      </c>
      <c r="AD513" s="84"/>
      <c r="AE513" s="84" t="b">
        <v>0</v>
      </c>
      <c r="AF513" s="84">
        <v>0</v>
      </c>
      <c r="AG513" s="92" t="s">
        <v>1453</v>
      </c>
      <c r="AH513" s="84" t="b">
        <v>0</v>
      </c>
      <c r="AI513" s="84" t="s">
        <v>1456</v>
      </c>
      <c r="AJ513" s="84"/>
      <c r="AK513" s="92" t="s">
        <v>1453</v>
      </c>
      <c r="AL513" s="84" t="b">
        <v>0</v>
      </c>
      <c r="AM513" s="84">
        <v>36</v>
      </c>
      <c r="AN513" s="92" t="s">
        <v>1401</v>
      </c>
      <c r="AO513" s="84" t="s">
        <v>400</v>
      </c>
      <c r="AP513" s="84" t="b">
        <v>0</v>
      </c>
      <c r="AQ513" s="92" t="s">
        <v>1401</v>
      </c>
      <c r="AR513" s="84" t="s">
        <v>187</v>
      </c>
      <c r="AS513" s="84">
        <v>0</v>
      </c>
      <c r="AT513" s="84">
        <v>0</v>
      </c>
      <c r="AU513" s="84"/>
      <c r="AV513" s="84"/>
      <c r="AW513" s="84"/>
      <c r="AX513" s="84"/>
      <c r="AY513" s="84"/>
      <c r="AZ513" s="84"/>
      <c r="BA513" s="84"/>
      <c r="BB513" s="84"/>
      <c r="BC513">
        <v>2</v>
      </c>
      <c r="BD513" s="83" t="str">
        <f>REPLACE(INDEX(GroupVertices[Group],MATCH(Edges[[#This Row],[Vertex 1]],GroupVertices[Vertex],0)),1,1,"")</f>
        <v>1</v>
      </c>
      <c r="BE513" s="83" t="str">
        <f>REPLACE(INDEX(GroupVertices[Group],MATCH(Edges[[#This Row],[Vertex 2]],GroupVertices[Vertex],0)),1,1,"")</f>
        <v>1</v>
      </c>
      <c r="BF513" s="49">
        <v>0</v>
      </c>
      <c r="BG513" s="50">
        <v>0</v>
      </c>
      <c r="BH513" s="49">
        <v>0</v>
      </c>
      <c r="BI513" s="50">
        <v>0</v>
      </c>
      <c r="BJ513" s="49">
        <v>0</v>
      </c>
      <c r="BK513" s="50">
        <v>0</v>
      </c>
      <c r="BL513" s="49">
        <v>31</v>
      </c>
      <c r="BM513" s="50">
        <v>100</v>
      </c>
      <c r="BN513" s="49">
        <v>31</v>
      </c>
    </row>
    <row r="514" spans="1:66" ht="15">
      <c r="A514" s="68" t="s">
        <v>400</v>
      </c>
      <c r="B514" s="68" t="s">
        <v>406</v>
      </c>
      <c r="C514" s="69" t="s">
        <v>5208</v>
      </c>
      <c r="D514" s="70">
        <v>1</v>
      </c>
      <c r="E514" s="71" t="s">
        <v>132</v>
      </c>
      <c r="F514" s="72">
        <v>32</v>
      </c>
      <c r="G514" s="69" t="s">
        <v>51</v>
      </c>
      <c r="H514" s="73"/>
      <c r="I514" s="74"/>
      <c r="J514" s="74"/>
      <c r="K514" s="35" t="s">
        <v>65</v>
      </c>
      <c r="L514" s="82">
        <v>514</v>
      </c>
      <c r="M514" s="82"/>
      <c r="N514" s="76"/>
      <c r="O514" s="84" t="s">
        <v>439</v>
      </c>
      <c r="P514" s="86">
        <v>44087.3256712963</v>
      </c>
      <c r="Q514" s="84" t="s">
        <v>493</v>
      </c>
      <c r="R514" s="84"/>
      <c r="S514" s="84"/>
      <c r="T514" s="84" t="s">
        <v>609</v>
      </c>
      <c r="U514" s="84"/>
      <c r="V514" s="87" t="str">
        <f>HYPERLINK("http://pbs.twimg.com/profile_images/1253528940590686209/pUHCp4SS_normal.jpg")</f>
        <v>http://pbs.twimg.com/profile_images/1253528940590686209/pUHCp4SS_normal.jpg</v>
      </c>
      <c r="W514" s="86">
        <v>44087.3256712963</v>
      </c>
      <c r="X514" s="90">
        <v>44087</v>
      </c>
      <c r="Y514" s="92" t="s">
        <v>915</v>
      </c>
      <c r="Z514" s="87" t="str">
        <f>HYPERLINK("https://twitter.com/learn__together/status/1305050826109366277")</f>
        <v>https://twitter.com/learn__together/status/1305050826109366277</v>
      </c>
      <c r="AA514" s="84"/>
      <c r="AB514" s="84"/>
      <c r="AC514" s="92" t="s">
        <v>1333</v>
      </c>
      <c r="AD514" s="84"/>
      <c r="AE514" s="84" t="b">
        <v>0</v>
      </c>
      <c r="AF514" s="84">
        <v>0</v>
      </c>
      <c r="AG514" s="92" t="s">
        <v>1453</v>
      </c>
      <c r="AH514" s="84" t="b">
        <v>0</v>
      </c>
      <c r="AI514" s="84" t="s">
        <v>1456</v>
      </c>
      <c r="AJ514" s="84"/>
      <c r="AK514" s="92" t="s">
        <v>1453</v>
      </c>
      <c r="AL514" s="84" t="b">
        <v>0</v>
      </c>
      <c r="AM514" s="84">
        <v>7</v>
      </c>
      <c r="AN514" s="92" t="s">
        <v>1358</v>
      </c>
      <c r="AO514" s="84" t="s">
        <v>400</v>
      </c>
      <c r="AP514" s="84" t="b">
        <v>0</v>
      </c>
      <c r="AQ514" s="92" t="s">
        <v>1358</v>
      </c>
      <c r="AR514" s="84" t="s">
        <v>187</v>
      </c>
      <c r="AS514" s="84">
        <v>0</v>
      </c>
      <c r="AT514" s="84">
        <v>0</v>
      </c>
      <c r="AU514" s="84"/>
      <c r="AV514" s="84"/>
      <c r="AW514" s="84"/>
      <c r="AX514" s="84"/>
      <c r="AY514" s="84"/>
      <c r="AZ514" s="84"/>
      <c r="BA514" s="84"/>
      <c r="BB514" s="84"/>
      <c r="BC514">
        <v>1</v>
      </c>
      <c r="BD514" s="83" t="str">
        <f>REPLACE(INDEX(GroupVertices[Group],MATCH(Edges[[#This Row],[Vertex 1]],GroupVertices[Vertex],0)),1,1,"")</f>
        <v>1</v>
      </c>
      <c r="BE514" s="83" t="str">
        <f>REPLACE(INDEX(GroupVertices[Group],MATCH(Edges[[#This Row],[Vertex 2]],GroupVertices[Vertex],0)),1,1,"")</f>
        <v>1</v>
      </c>
      <c r="BF514" s="49">
        <v>0</v>
      </c>
      <c r="BG514" s="50">
        <v>0</v>
      </c>
      <c r="BH514" s="49">
        <v>0</v>
      </c>
      <c r="BI514" s="50">
        <v>0</v>
      </c>
      <c r="BJ514" s="49">
        <v>0</v>
      </c>
      <c r="BK514" s="50">
        <v>0</v>
      </c>
      <c r="BL514" s="49">
        <v>22</v>
      </c>
      <c r="BM514" s="50">
        <v>100</v>
      </c>
      <c r="BN514" s="49">
        <v>22</v>
      </c>
    </row>
    <row r="515" spans="1:66" ht="15">
      <c r="A515" s="68" t="s">
        <v>400</v>
      </c>
      <c r="B515" s="68" t="s">
        <v>420</v>
      </c>
      <c r="C515" s="69" t="s">
        <v>5208</v>
      </c>
      <c r="D515" s="70">
        <v>1</v>
      </c>
      <c r="E515" s="71" t="s">
        <v>132</v>
      </c>
      <c r="F515" s="72">
        <v>32</v>
      </c>
      <c r="G515" s="69" t="s">
        <v>51</v>
      </c>
      <c r="H515" s="73"/>
      <c r="I515" s="74"/>
      <c r="J515" s="74"/>
      <c r="K515" s="35" t="s">
        <v>65</v>
      </c>
      <c r="L515" s="82">
        <v>515</v>
      </c>
      <c r="M515" s="82"/>
      <c r="N515" s="76"/>
      <c r="O515" s="84" t="s">
        <v>440</v>
      </c>
      <c r="P515" s="86">
        <v>44089.55159722222</v>
      </c>
      <c r="Q515" s="84" t="s">
        <v>511</v>
      </c>
      <c r="R515" s="87" t="str">
        <f>HYPERLINK("https://www.coodingdessign.com/python/datascience/visualization-of-covid-19-new-cases-over-time-in-python/")</f>
        <v>https://www.coodingdessign.com/python/datascience/visualization-of-covid-19-new-cases-over-time-in-python/</v>
      </c>
      <c r="S515" s="84" t="s">
        <v>560</v>
      </c>
      <c r="T515" s="84" t="s">
        <v>626</v>
      </c>
      <c r="U515" s="87" t="str">
        <f>HYPERLINK("https://pbs.twimg.com/media/Eh9WZq2XcActpko.png")</f>
        <v>https://pbs.twimg.com/media/Eh9WZq2XcActpko.png</v>
      </c>
      <c r="V515" s="87" t="str">
        <f>HYPERLINK("https://pbs.twimg.com/media/Eh9WZq2XcActpko.png")</f>
        <v>https://pbs.twimg.com/media/Eh9WZq2XcActpko.png</v>
      </c>
      <c r="W515" s="86">
        <v>44089.55159722222</v>
      </c>
      <c r="X515" s="90">
        <v>44089</v>
      </c>
      <c r="Y515" s="92" t="s">
        <v>922</v>
      </c>
      <c r="Z515" s="87" t="str">
        <f>HYPERLINK("https://twitter.com/learn__together/status/1305857474084442112")</f>
        <v>https://twitter.com/learn__together/status/1305857474084442112</v>
      </c>
      <c r="AA515" s="84"/>
      <c r="AB515" s="84"/>
      <c r="AC515" s="92" t="s">
        <v>1334</v>
      </c>
      <c r="AD515" s="84"/>
      <c r="AE515" s="84" t="b">
        <v>0</v>
      </c>
      <c r="AF515" s="84">
        <v>0</v>
      </c>
      <c r="AG515" s="92" t="s">
        <v>1453</v>
      </c>
      <c r="AH515" s="84" t="b">
        <v>0</v>
      </c>
      <c r="AI515" s="84" t="s">
        <v>1456</v>
      </c>
      <c r="AJ515" s="84"/>
      <c r="AK515" s="92" t="s">
        <v>1453</v>
      </c>
      <c r="AL515" s="84" t="b">
        <v>0</v>
      </c>
      <c r="AM515" s="84">
        <v>19</v>
      </c>
      <c r="AN515" s="92" t="s">
        <v>1410</v>
      </c>
      <c r="AO515" s="84" t="s">
        <v>400</v>
      </c>
      <c r="AP515" s="84" t="b">
        <v>0</v>
      </c>
      <c r="AQ515" s="92" t="s">
        <v>1410</v>
      </c>
      <c r="AR515" s="84" t="s">
        <v>187</v>
      </c>
      <c r="AS515" s="84">
        <v>0</v>
      </c>
      <c r="AT515" s="84">
        <v>0</v>
      </c>
      <c r="AU515" s="84"/>
      <c r="AV515" s="84"/>
      <c r="AW515" s="84"/>
      <c r="AX515" s="84"/>
      <c r="AY515" s="84"/>
      <c r="AZ515" s="84"/>
      <c r="BA515" s="84"/>
      <c r="BB515" s="84"/>
      <c r="BC515">
        <v>1</v>
      </c>
      <c r="BD515" s="83" t="str">
        <f>REPLACE(INDEX(GroupVertices[Group],MATCH(Edges[[#This Row],[Vertex 1]],GroupVertices[Vertex],0)),1,1,"")</f>
        <v>1</v>
      </c>
      <c r="BE515" s="83" t="str">
        <f>REPLACE(INDEX(GroupVertices[Group],MATCH(Edges[[#This Row],[Vertex 2]],GroupVertices[Vertex],0)),1,1,"")</f>
        <v>1</v>
      </c>
      <c r="BF515" s="49"/>
      <c r="BG515" s="50"/>
      <c r="BH515" s="49"/>
      <c r="BI515" s="50"/>
      <c r="BJ515" s="49"/>
      <c r="BK515" s="50"/>
      <c r="BL515" s="49"/>
      <c r="BM515" s="50"/>
      <c r="BN515" s="49"/>
    </row>
    <row r="516" spans="1:66" ht="15">
      <c r="A516" s="68" t="s">
        <v>400</v>
      </c>
      <c r="B516" s="68" t="s">
        <v>438</v>
      </c>
      <c r="C516" s="69" t="s">
        <v>5208</v>
      </c>
      <c r="D516" s="70">
        <v>1</v>
      </c>
      <c r="E516" s="71" t="s">
        <v>132</v>
      </c>
      <c r="F516" s="72">
        <v>32</v>
      </c>
      <c r="G516" s="69" t="s">
        <v>51</v>
      </c>
      <c r="H516" s="73"/>
      <c r="I516" s="74"/>
      <c r="J516" s="74"/>
      <c r="K516" s="35" t="s">
        <v>65</v>
      </c>
      <c r="L516" s="82">
        <v>516</v>
      </c>
      <c r="M516" s="82"/>
      <c r="N516" s="76"/>
      <c r="O516" s="84" t="s">
        <v>440</v>
      </c>
      <c r="P516" s="86">
        <v>44089.55159722222</v>
      </c>
      <c r="Q516" s="84" t="s">
        <v>511</v>
      </c>
      <c r="R516" s="87" t="str">
        <f>HYPERLINK("https://www.coodingdessign.com/python/datascience/visualization-of-covid-19-new-cases-over-time-in-python/")</f>
        <v>https://www.coodingdessign.com/python/datascience/visualization-of-covid-19-new-cases-over-time-in-python/</v>
      </c>
      <c r="S516" s="84" t="s">
        <v>560</v>
      </c>
      <c r="T516" s="84" t="s">
        <v>626</v>
      </c>
      <c r="U516" s="87" t="str">
        <f>HYPERLINK("https://pbs.twimg.com/media/Eh9WZq2XcActpko.png")</f>
        <v>https://pbs.twimg.com/media/Eh9WZq2XcActpko.png</v>
      </c>
      <c r="V516" s="87" t="str">
        <f>HYPERLINK("https://pbs.twimg.com/media/Eh9WZq2XcActpko.png")</f>
        <v>https://pbs.twimg.com/media/Eh9WZq2XcActpko.png</v>
      </c>
      <c r="W516" s="86">
        <v>44089.55159722222</v>
      </c>
      <c r="X516" s="90">
        <v>44089</v>
      </c>
      <c r="Y516" s="92" t="s">
        <v>922</v>
      </c>
      <c r="Z516" s="87" t="str">
        <f>HYPERLINK("https://twitter.com/learn__together/status/1305857474084442112")</f>
        <v>https://twitter.com/learn__together/status/1305857474084442112</v>
      </c>
      <c r="AA516" s="84"/>
      <c r="AB516" s="84"/>
      <c r="AC516" s="92" t="s">
        <v>1334</v>
      </c>
      <c r="AD516" s="84"/>
      <c r="AE516" s="84" t="b">
        <v>0</v>
      </c>
      <c r="AF516" s="84">
        <v>0</v>
      </c>
      <c r="AG516" s="92" t="s">
        <v>1453</v>
      </c>
      <c r="AH516" s="84" t="b">
        <v>0</v>
      </c>
      <c r="AI516" s="84" t="s">
        <v>1456</v>
      </c>
      <c r="AJ516" s="84"/>
      <c r="AK516" s="92" t="s">
        <v>1453</v>
      </c>
      <c r="AL516" s="84" t="b">
        <v>0</v>
      </c>
      <c r="AM516" s="84">
        <v>19</v>
      </c>
      <c r="AN516" s="92" t="s">
        <v>1410</v>
      </c>
      <c r="AO516" s="84" t="s">
        <v>400</v>
      </c>
      <c r="AP516" s="84" t="b">
        <v>0</v>
      </c>
      <c r="AQ516" s="92" t="s">
        <v>1410</v>
      </c>
      <c r="AR516" s="84" t="s">
        <v>187</v>
      </c>
      <c r="AS516" s="84">
        <v>0</v>
      </c>
      <c r="AT516" s="84">
        <v>0</v>
      </c>
      <c r="AU516" s="84"/>
      <c r="AV516" s="84"/>
      <c r="AW516" s="84"/>
      <c r="AX516" s="84"/>
      <c r="AY516" s="84"/>
      <c r="AZ516" s="84"/>
      <c r="BA516" s="84"/>
      <c r="BB516" s="84"/>
      <c r="BC516">
        <v>1</v>
      </c>
      <c r="BD516" s="83" t="str">
        <f>REPLACE(INDEX(GroupVertices[Group],MATCH(Edges[[#This Row],[Vertex 1]],GroupVertices[Vertex],0)),1,1,"")</f>
        <v>1</v>
      </c>
      <c r="BE516" s="83" t="str">
        <f>REPLACE(INDEX(GroupVertices[Group],MATCH(Edges[[#This Row],[Vertex 2]],GroupVertices[Vertex],0)),1,1,"")</f>
        <v>1</v>
      </c>
      <c r="BF516" s="49"/>
      <c r="BG516" s="50"/>
      <c r="BH516" s="49"/>
      <c r="BI516" s="50"/>
      <c r="BJ516" s="49"/>
      <c r="BK516" s="50"/>
      <c r="BL516" s="49"/>
      <c r="BM516" s="50"/>
      <c r="BN516" s="49"/>
    </row>
    <row r="517" spans="1:66" ht="15">
      <c r="A517" s="68" t="s">
        <v>400</v>
      </c>
      <c r="B517" s="68" t="s">
        <v>419</v>
      </c>
      <c r="C517" s="69" t="s">
        <v>5208</v>
      </c>
      <c r="D517" s="70">
        <v>1</v>
      </c>
      <c r="E517" s="71" t="s">
        <v>132</v>
      </c>
      <c r="F517" s="72">
        <v>32</v>
      </c>
      <c r="G517" s="69" t="s">
        <v>51</v>
      </c>
      <c r="H517" s="73"/>
      <c r="I517" s="74"/>
      <c r="J517" s="74"/>
      <c r="K517" s="35" t="s">
        <v>65</v>
      </c>
      <c r="L517" s="82">
        <v>517</v>
      </c>
      <c r="M517" s="82"/>
      <c r="N517" s="76"/>
      <c r="O517" s="84" t="s">
        <v>439</v>
      </c>
      <c r="P517" s="86">
        <v>44089.55159722222</v>
      </c>
      <c r="Q517" s="84" t="s">
        <v>511</v>
      </c>
      <c r="R517" s="87" t="str">
        <f>HYPERLINK("https://www.coodingdessign.com/python/datascience/visualization-of-covid-19-new-cases-over-time-in-python/")</f>
        <v>https://www.coodingdessign.com/python/datascience/visualization-of-covid-19-new-cases-over-time-in-python/</v>
      </c>
      <c r="S517" s="84" t="s">
        <v>560</v>
      </c>
      <c r="T517" s="84" t="s">
        <v>626</v>
      </c>
      <c r="U517" s="87" t="str">
        <f>HYPERLINK("https://pbs.twimg.com/media/Eh9WZq2XcActpko.png")</f>
        <v>https://pbs.twimg.com/media/Eh9WZq2XcActpko.png</v>
      </c>
      <c r="V517" s="87" t="str">
        <f>HYPERLINK("https://pbs.twimg.com/media/Eh9WZq2XcActpko.png")</f>
        <v>https://pbs.twimg.com/media/Eh9WZq2XcActpko.png</v>
      </c>
      <c r="W517" s="86">
        <v>44089.55159722222</v>
      </c>
      <c r="X517" s="90">
        <v>44089</v>
      </c>
      <c r="Y517" s="92" t="s">
        <v>922</v>
      </c>
      <c r="Z517" s="87" t="str">
        <f>HYPERLINK("https://twitter.com/learn__together/status/1305857474084442112")</f>
        <v>https://twitter.com/learn__together/status/1305857474084442112</v>
      </c>
      <c r="AA517" s="84"/>
      <c r="AB517" s="84"/>
      <c r="AC517" s="92" t="s">
        <v>1334</v>
      </c>
      <c r="AD517" s="84"/>
      <c r="AE517" s="84" t="b">
        <v>0</v>
      </c>
      <c r="AF517" s="84">
        <v>0</v>
      </c>
      <c r="AG517" s="92" t="s">
        <v>1453</v>
      </c>
      <c r="AH517" s="84" t="b">
        <v>0</v>
      </c>
      <c r="AI517" s="84" t="s">
        <v>1456</v>
      </c>
      <c r="AJ517" s="84"/>
      <c r="AK517" s="92" t="s">
        <v>1453</v>
      </c>
      <c r="AL517" s="84" t="b">
        <v>0</v>
      </c>
      <c r="AM517" s="84">
        <v>19</v>
      </c>
      <c r="AN517" s="92" t="s">
        <v>1410</v>
      </c>
      <c r="AO517" s="84" t="s">
        <v>400</v>
      </c>
      <c r="AP517" s="84" t="b">
        <v>0</v>
      </c>
      <c r="AQ517" s="92" t="s">
        <v>1410</v>
      </c>
      <c r="AR517" s="84" t="s">
        <v>187</v>
      </c>
      <c r="AS517" s="84">
        <v>0</v>
      </c>
      <c r="AT517" s="84">
        <v>0</v>
      </c>
      <c r="AU517" s="84"/>
      <c r="AV517" s="84"/>
      <c r="AW517" s="84"/>
      <c r="AX517" s="84"/>
      <c r="AY517" s="84"/>
      <c r="AZ517" s="84"/>
      <c r="BA517" s="84"/>
      <c r="BB517" s="84"/>
      <c r="BC517">
        <v>1</v>
      </c>
      <c r="BD517" s="83" t="str">
        <f>REPLACE(INDEX(GroupVertices[Group],MATCH(Edges[[#This Row],[Vertex 1]],GroupVertices[Vertex],0)),1,1,"")</f>
        <v>1</v>
      </c>
      <c r="BE517" s="83" t="str">
        <f>REPLACE(INDEX(GroupVertices[Group],MATCH(Edges[[#This Row],[Vertex 2]],GroupVertices[Vertex],0)),1,1,"")</f>
        <v>1</v>
      </c>
      <c r="BF517" s="49">
        <v>0</v>
      </c>
      <c r="BG517" s="50">
        <v>0</v>
      </c>
      <c r="BH517" s="49">
        <v>0</v>
      </c>
      <c r="BI517" s="50">
        <v>0</v>
      </c>
      <c r="BJ517" s="49">
        <v>0</v>
      </c>
      <c r="BK517" s="50">
        <v>0</v>
      </c>
      <c r="BL517" s="49">
        <v>20</v>
      </c>
      <c r="BM517" s="50">
        <v>100</v>
      </c>
      <c r="BN517" s="49">
        <v>20</v>
      </c>
    </row>
    <row r="518" spans="1:66" ht="15">
      <c r="A518" s="68" t="s">
        <v>401</v>
      </c>
      <c r="B518" s="68" t="s">
        <v>401</v>
      </c>
      <c r="C518" s="69" t="s">
        <v>5208</v>
      </c>
      <c r="D518" s="70">
        <v>1</v>
      </c>
      <c r="E518" s="71" t="s">
        <v>132</v>
      </c>
      <c r="F518" s="72">
        <v>32</v>
      </c>
      <c r="G518" s="69" t="s">
        <v>51</v>
      </c>
      <c r="H518" s="73"/>
      <c r="I518" s="74"/>
      <c r="J518" s="74"/>
      <c r="K518" s="35" t="s">
        <v>65</v>
      </c>
      <c r="L518" s="82">
        <v>518</v>
      </c>
      <c r="M518" s="82"/>
      <c r="N518" s="76"/>
      <c r="O518" s="84" t="s">
        <v>187</v>
      </c>
      <c r="P518" s="86">
        <v>44083.28125</v>
      </c>
      <c r="Q518" s="84" t="s">
        <v>512</v>
      </c>
      <c r="R518" s="87" t="str">
        <f>HYPERLINK("https://covid19-globalinfo.herokuapp.com/")</f>
        <v>https://covid19-globalinfo.herokuapp.com/</v>
      </c>
      <c r="S518" s="84" t="s">
        <v>547</v>
      </c>
      <c r="T518" s="84" t="s">
        <v>627</v>
      </c>
      <c r="U518" s="84"/>
      <c r="V518" s="87" t="str">
        <f>HYPERLINK("http://pbs.twimg.com/profile_images/1261303531178352640/tX8YTJcP_normal.jpg")</f>
        <v>http://pbs.twimg.com/profile_images/1261303531178352640/tX8YTJcP_normal.jpg</v>
      </c>
      <c r="W518" s="86">
        <v>44083.28125</v>
      </c>
      <c r="X518" s="90">
        <v>44083</v>
      </c>
      <c r="Y518" s="92" t="s">
        <v>925</v>
      </c>
      <c r="Z518" s="87" t="str">
        <f>HYPERLINK("https://twitter.com/amitkrout1/status/1303585176941862912")</f>
        <v>https://twitter.com/amitkrout1/status/1303585176941862912</v>
      </c>
      <c r="AA518" s="84"/>
      <c r="AB518" s="84"/>
      <c r="AC518" s="92" t="s">
        <v>1335</v>
      </c>
      <c r="AD518" s="84"/>
      <c r="AE518" s="84" t="b">
        <v>0</v>
      </c>
      <c r="AF518" s="84">
        <v>0</v>
      </c>
      <c r="AG518" s="92" t="s">
        <v>1453</v>
      </c>
      <c r="AH518" s="84" t="b">
        <v>0</v>
      </c>
      <c r="AI518" s="84" t="s">
        <v>1456</v>
      </c>
      <c r="AJ518" s="84"/>
      <c r="AK518" s="92" t="s">
        <v>1453</v>
      </c>
      <c r="AL518" s="84" t="b">
        <v>0</v>
      </c>
      <c r="AM518" s="84">
        <v>2</v>
      </c>
      <c r="AN518" s="92" t="s">
        <v>1453</v>
      </c>
      <c r="AO518" s="84" t="s">
        <v>1464</v>
      </c>
      <c r="AP518" s="84" t="b">
        <v>0</v>
      </c>
      <c r="AQ518" s="92" t="s">
        <v>1335</v>
      </c>
      <c r="AR518" s="84" t="s">
        <v>439</v>
      </c>
      <c r="AS518" s="84">
        <v>0</v>
      </c>
      <c r="AT518" s="84">
        <v>0</v>
      </c>
      <c r="AU518" s="84"/>
      <c r="AV518" s="84"/>
      <c r="AW518" s="84"/>
      <c r="AX518" s="84"/>
      <c r="AY518" s="84"/>
      <c r="AZ518" s="84"/>
      <c r="BA518" s="84"/>
      <c r="BB518" s="84"/>
      <c r="BC518">
        <v>1</v>
      </c>
      <c r="BD518" s="83" t="str">
        <f>REPLACE(INDEX(GroupVertices[Group],MATCH(Edges[[#This Row],[Vertex 1]],GroupVertices[Vertex],0)),1,1,"")</f>
        <v>1</v>
      </c>
      <c r="BE518" s="83" t="str">
        <f>REPLACE(INDEX(GroupVertices[Group],MATCH(Edges[[#This Row],[Vertex 2]],GroupVertices[Vertex],0)),1,1,"")</f>
        <v>1</v>
      </c>
      <c r="BF518" s="49">
        <v>0</v>
      </c>
      <c r="BG518" s="50">
        <v>0</v>
      </c>
      <c r="BH518" s="49">
        <v>0</v>
      </c>
      <c r="BI518" s="50">
        <v>0</v>
      </c>
      <c r="BJ518" s="49">
        <v>0</v>
      </c>
      <c r="BK518" s="50">
        <v>0</v>
      </c>
      <c r="BL518" s="49">
        <v>11</v>
      </c>
      <c r="BM518" s="50">
        <v>100</v>
      </c>
      <c r="BN518" s="49">
        <v>11</v>
      </c>
    </row>
    <row r="519" spans="1:66" ht="15">
      <c r="A519" s="68" t="s">
        <v>402</v>
      </c>
      <c r="B519" s="68" t="s">
        <v>401</v>
      </c>
      <c r="C519" s="69" t="s">
        <v>5208</v>
      </c>
      <c r="D519" s="70">
        <v>1</v>
      </c>
      <c r="E519" s="71" t="s">
        <v>132</v>
      </c>
      <c r="F519" s="72">
        <v>32</v>
      </c>
      <c r="G519" s="69" t="s">
        <v>51</v>
      </c>
      <c r="H519" s="73"/>
      <c r="I519" s="74"/>
      <c r="J519" s="74"/>
      <c r="K519" s="35" t="s">
        <v>65</v>
      </c>
      <c r="L519" s="82">
        <v>519</v>
      </c>
      <c r="M519" s="82"/>
      <c r="N519" s="76"/>
      <c r="O519" s="84" t="s">
        <v>439</v>
      </c>
      <c r="P519" s="86">
        <v>44083.282546296294</v>
      </c>
      <c r="Q519" s="84" t="s">
        <v>512</v>
      </c>
      <c r="R519" s="87" t="str">
        <f>HYPERLINK("https://covid19-globalinfo.herokuapp.com/")</f>
        <v>https://covid19-globalinfo.herokuapp.com/</v>
      </c>
      <c r="S519" s="84" t="s">
        <v>547</v>
      </c>
      <c r="T519" s="84" t="s">
        <v>628</v>
      </c>
      <c r="U519" s="84"/>
      <c r="V519" s="87" t="str">
        <f>HYPERLINK("http://pbs.twimg.com/profile_images/849166849950568448/Zb0nWTNN_normal.jpg")</f>
        <v>http://pbs.twimg.com/profile_images/849166849950568448/Zb0nWTNN_normal.jpg</v>
      </c>
      <c r="W519" s="86">
        <v>44083.282546296294</v>
      </c>
      <c r="X519" s="90">
        <v>44083</v>
      </c>
      <c r="Y519" s="92" t="s">
        <v>926</v>
      </c>
      <c r="Z519" s="87" t="str">
        <f>HYPERLINK("https://twitter.com/codernotesbot/status/1303585648801005569")</f>
        <v>https://twitter.com/codernotesbot/status/1303585648801005569</v>
      </c>
      <c r="AA519" s="84"/>
      <c r="AB519" s="84"/>
      <c r="AC519" s="92" t="s">
        <v>1336</v>
      </c>
      <c r="AD519" s="84"/>
      <c r="AE519" s="84" t="b">
        <v>0</v>
      </c>
      <c r="AF519" s="84">
        <v>0</v>
      </c>
      <c r="AG519" s="92" t="s">
        <v>1453</v>
      </c>
      <c r="AH519" s="84" t="b">
        <v>0</v>
      </c>
      <c r="AI519" s="84" t="s">
        <v>1456</v>
      </c>
      <c r="AJ519" s="84"/>
      <c r="AK519" s="92" t="s">
        <v>1453</v>
      </c>
      <c r="AL519" s="84" t="b">
        <v>0</v>
      </c>
      <c r="AM519" s="84">
        <v>2</v>
      </c>
      <c r="AN519" s="92" t="s">
        <v>1335</v>
      </c>
      <c r="AO519" s="84" t="s">
        <v>1524</v>
      </c>
      <c r="AP519" s="84" t="b">
        <v>0</v>
      </c>
      <c r="AQ519" s="92" t="s">
        <v>1335</v>
      </c>
      <c r="AR519" s="84" t="s">
        <v>187</v>
      </c>
      <c r="AS519" s="84">
        <v>0</v>
      </c>
      <c r="AT519" s="84">
        <v>0</v>
      </c>
      <c r="AU519" s="84"/>
      <c r="AV519" s="84"/>
      <c r="AW519" s="84"/>
      <c r="AX519" s="84"/>
      <c r="AY519" s="84"/>
      <c r="AZ519" s="84"/>
      <c r="BA519" s="84"/>
      <c r="BB519" s="84"/>
      <c r="BC519">
        <v>1</v>
      </c>
      <c r="BD519" s="83" t="str">
        <f>REPLACE(INDEX(GroupVertices[Group],MATCH(Edges[[#This Row],[Vertex 1]],GroupVertices[Vertex],0)),1,1,"")</f>
        <v>1</v>
      </c>
      <c r="BE519" s="83" t="str">
        <f>REPLACE(INDEX(GroupVertices[Group],MATCH(Edges[[#This Row],[Vertex 2]],GroupVertices[Vertex],0)),1,1,"")</f>
        <v>1</v>
      </c>
      <c r="BF519" s="49">
        <v>0</v>
      </c>
      <c r="BG519" s="50">
        <v>0</v>
      </c>
      <c r="BH519" s="49">
        <v>0</v>
      </c>
      <c r="BI519" s="50">
        <v>0</v>
      </c>
      <c r="BJ519" s="49">
        <v>0</v>
      </c>
      <c r="BK519" s="50">
        <v>0</v>
      </c>
      <c r="BL519" s="49">
        <v>11</v>
      </c>
      <c r="BM519" s="50">
        <v>100</v>
      </c>
      <c r="BN519" s="49">
        <v>11</v>
      </c>
    </row>
    <row r="520" spans="1:66" ht="15">
      <c r="A520" s="68" t="s">
        <v>403</v>
      </c>
      <c r="B520" s="68" t="s">
        <v>403</v>
      </c>
      <c r="C520" s="69" t="s">
        <v>5208</v>
      </c>
      <c r="D520" s="70">
        <v>1</v>
      </c>
      <c r="E520" s="71" t="s">
        <v>132</v>
      </c>
      <c r="F520" s="72">
        <v>32</v>
      </c>
      <c r="G520" s="69" t="s">
        <v>51</v>
      </c>
      <c r="H520" s="73"/>
      <c r="I520" s="74"/>
      <c r="J520" s="74"/>
      <c r="K520" s="35" t="s">
        <v>65</v>
      </c>
      <c r="L520" s="82">
        <v>520</v>
      </c>
      <c r="M520" s="82"/>
      <c r="N520" s="76"/>
      <c r="O520" s="84" t="s">
        <v>187</v>
      </c>
      <c r="P520" s="86">
        <v>44083.4693287037</v>
      </c>
      <c r="Q520" s="84" t="s">
        <v>470</v>
      </c>
      <c r="R520" s="84"/>
      <c r="S520" s="84"/>
      <c r="T520" s="84" t="s">
        <v>587</v>
      </c>
      <c r="U520" s="87" t="str">
        <f>HYPERLINK("https://pbs.twimg.com/media/EheAw4eWsAAx-Hd.jpg")</f>
        <v>https://pbs.twimg.com/media/EheAw4eWsAAx-Hd.jpg</v>
      </c>
      <c r="V520" s="87" t="str">
        <f>HYPERLINK("https://pbs.twimg.com/media/EheAw4eWsAAx-Hd.jpg")</f>
        <v>https://pbs.twimg.com/media/EheAw4eWsAAx-Hd.jpg</v>
      </c>
      <c r="W520" s="86">
        <v>44083.4693287037</v>
      </c>
      <c r="X520" s="90">
        <v>44083</v>
      </c>
      <c r="Y520" s="92" t="s">
        <v>927</v>
      </c>
      <c r="Z520" s="87" t="str">
        <f>HYPERLINK("https://twitter.com/appverticals/status/1303653333551517697")</f>
        <v>https://twitter.com/appverticals/status/1303653333551517697</v>
      </c>
      <c r="AA520" s="84"/>
      <c r="AB520" s="84"/>
      <c r="AC520" s="92" t="s">
        <v>1337</v>
      </c>
      <c r="AD520" s="84"/>
      <c r="AE520" s="84" t="b">
        <v>0</v>
      </c>
      <c r="AF520" s="84">
        <v>7</v>
      </c>
      <c r="AG520" s="92" t="s">
        <v>1453</v>
      </c>
      <c r="AH520" s="84" t="b">
        <v>0</v>
      </c>
      <c r="AI520" s="84" t="s">
        <v>1456</v>
      </c>
      <c r="AJ520" s="84"/>
      <c r="AK520" s="92" t="s">
        <v>1453</v>
      </c>
      <c r="AL520" s="84" t="b">
        <v>0</v>
      </c>
      <c r="AM520" s="84">
        <v>13</v>
      </c>
      <c r="AN520" s="92" t="s">
        <v>1453</v>
      </c>
      <c r="AO520" s="84" t="s">
        <v>1465</v>
      </c>
      <c r="AP520" s="84" t="b">
        <v>0</v>
      </c>
      <c r="AQ520" s="92" t="s">
        <v>1337</v>
      </c>
      <c r="AR520" s="84" t="s">
        <v>187</v>
      </c>
      <c r="AS520" s="84">
        <v>0</v>
      </c>
      <c r="AT520" s="84">
        <v>0</v>
      </c>
      <c r="AU520" s="84"/>
      <c r="AV520" s="84"/>
      <c r="AW520" s="84"/>
      <c r="AX520" s="84"/>
      <c r="AY520" s="84"/>
      <c r="AZ520" s="84"/>
      <c r="BA520" s="84"/>
      <c r="BB520" s="84"/>
      <c r="BC520">
        <v>1</v>
      </c>
      <c r="BD520" s="83" t="str">
        <f>REPLACE(INDEX(GroupVertices[Group],MATCH(Edges[[#This Row],[Vertex 1]],GroupVertices[Vertex],0)),1,1,"")</f>
        <v>1</v>
      </c>
      <c r="BE520" s="83" t="str">
        <f>REPLACE(INDEX(GroupVertices[Group],MATCH(Edges[[#This Row],[Vertex 2]],GroupVertices[Vertex],0)),1,1,"")</f>
        <v>1</v>
      </c>
      <c r="BF520" s="49">
        <v>0</v>
      </c>
      <c r="BG520" s="50">
        <v>0</v>
      </c>
      <c r="BH520" s="49">
        <v>0</v>
      </c>
      <c r="BI520" s="50">
        <v>0</v>
      </c>
      <c r="BJ520" s="49">
        <v>0</v>
      </c>
      <c r="BK520" s="50">
        <v>0</v>
      </c>
      <c r="BL520" s="49">
        <v>37</v>
      </c>
      <c r="BM520" s="50">
        <v>100</v>
      </c>
      <c r="BN520" s="49">
        <v>37</v>
      </c>
    </row>
    <row r="521" spans="1:66" ht="15">
      <c r="A521" s="68" t="s">
        <v>402</v>
      </c>
      <c r="B521" s="68" t="s">
        <v>403</v>
      </c>
      <c r="C521" s="69" t="s">
        <v>5208</v>
      </c>
      <c r="D521" s="70">
        <v>1</v>
      </c>
      <c r="E521" s="71" t="s">
        <v>132</v>
      </c>
      <c r="F521" s="72">
        <v>32</v>
      </c>
      <c r="G521" s="69" t="s">
        <v>51</v>
      </c>
      <c r="H521" s="73"/>
      <c r="I521" s="74"/>
      <c r="J521" s="74"/>
      <c r="K521" s="35" t="s">
        <v>65</v>
      </c>
      <c r="L521" s="82">
        <v>521</v>
      </c>
      <c r="M521" s="82"/>
      <c r="N521" s="76"/>
      <c r="O521" s="84" t="s">
        <v>439</v>
      </c>
      <c r="P521" s="86">
        <v>44083.46969907408</v>
      </c>
      <c r="Q521" s="84" t="s">
        <v>470</v>
      </c>
      <c r="R521" s="84"/>
      <c r="S521" s="84"/>
      <c r="T521" s="84" t="s">
        <v>587</v>
      </c>
      <c r="U521" s="87" t="str">
        <f>HYPERLINK("https://pbs.twimg.com/media/EheAw4eWsAAx-Hd.jpg")</f>
        <v>https://pbs.twimg.com/media/EheAw4eWsAAx-Hd.jpg</v>
      </c>
      <c r="V521" s="87" t="str">
        <f>HYPERLINK("https://pbs.twimg.com/media/EheAw4eWsAAx-Hd.jpg")</f>
        <v>https://pbs.twimg.com/media/EheAw4eWsAAx-Hd.jpg</v>
      </c>
      <c r="W521" s="86">
        <v>44083.46969907408</v>
      </c>
      <c r="X521" s="90">
        <v>44083</v>
      </c>
      <c r="Y521" s="92" t="s">
        <v>928</v>
      </c>
      <c r="Z521" s="87" t="str">
        <f>HYPERLINK("https://twitter.com/codernotesbot/status/1303653470201737217")</f>
        <v>https://twitter.com/codernotesbot/status/1303653470201737217</v>
      </c>
      <c r="AA521" s="84"/>
      <c r="AB521" s="84"/>
      <c r="AC521" s="92" t="s">
        <v>1338</v>
      </c>
      <c r="AD521" s="84"/>
      <c r="AE521" s="84" t="b">
        <v>0</v>
      </c>
      <c r="AF521" s="84">
        <v>0</v>
      </c>
      <c r="AG521" s="92" t="s">
        <v>1453</v>
      </c>
      <c r="AH521" s="84" t="b">
        <v>0</v>
      </c>
      <c r="AI521" s="84" t="s">
        <v>1456</v>
      </c>
      <c r="AJ521" s="84"/>
      <c r="AK521" s="92" t="s">
        <v>1453</v>
      </c>
      <c r="AL521" s="84" t="b">
        <v>0</v>
      </c>
      <c r="AM521" s="84">
        <v>13</v>
      </c>
      <c r="AN521" s="92" t="s">
        <v>1337</v>
      </c>
      <c r="AO521" s="84" t="s">
        <v>1524</v>
      </c>
      <c r="AP521" s="84" t="b">
        <v>0</v>
      </c>
      <c r="AQ521" s="92" t="s">
        <v>1337</v>
      </c>
      <c r="AR521" s="84" t="s">
        <v>187</v>
      </c>
      <c r="AS521" s="84">
        <v>0</v>
      </c>
      <c r="AT521" s="84">
        <v>0</v>
      </c>
      <c r="AU521" s="84"/>
      <c r="AV521" s="84"/>
      <c r="AW521" s="84"/>
      <c r="AX521" s="84"/>
      <c r="AY521" s="84"/>
      <c r="AZ521" s="84"/>
      <c r="BA521" s="84"/>
      <c r="BB521" s="84"/>
      <c r="BC521">
        <v>1</v>
      </c>
      <c r="BD521" s="83" t="str">
        <f>REPLACE(INDEX(GroupVertices[Group],MATCH(Edges[[#This Row],[Vertex 1]],GroupVertices[Vertex],0)),1,1,"")</f>
        <v>1</v>
      </c>
      <c r="BE521" s="83" t="str">
        <f>REPLACE(INDEX(GroupVertices[Group],MATCH(Edges[[#This Row],[Vertex 2]],GroupVertices[Vertex],0)),1,1,"")</f>
        <v>1</v>
      </c>
      <c r="BF521" s="49">
        <v>0</v>
      </c>
      <c r="BG521" s="50">
        <v>0</v>
      </c>
      <c r="BH521" s="49">
        <v>0</v>
      </c>
      <c r="BI521" s="50">
        <v>0</v>
      </c>
      <c r="BJ521" s="49">
        <v>0</v>
      </c>
      <c r="BK521" s="50">
        <v>0</v>
      </c>
      <c r="BL521" s="49">
        <v>37</v>
      </c>
      <c r="BM521" s="50">
        <v>100</v>
      </c>
      <c r="BN521" s="49">
        <v>37</v>
      </c>
    </row>
    <row r="522" spans="1:66" ht="15">
      <c r="A522" s="68" t="s">
        <v>402</v>
      </c>
      <c r="B522" s="68" t="s">
        <v>414</v>
      </c>
      <c r="C522" s="69" t="s">
        <v>5208</v>
      </c>
      <c r="D522" s="70">
        <v>1</v>
      </c>
      <c r="E522" s="71" t="s">
        <v>132</v>
      </c>
      <c r="F522" s="72">
        <v>32</v>
      </c>
      <c r="G522" s="69" t="s">
        <v>51</v>
      </c>
      <c r="H522" s="73"/>
      <c r="I522" s="74"/>
      <c r="J522" s="74"/>
      <c r="K522" s="35" t="s">
        <v>65</v>
      </c>
      <c r="L522" s="82">
        <v>522</v>
      </c>
      <c r="M522" s="82"/>
      <c r="N522" s="76"/>
      <c r="O522" s="84" t="s">
        <v>439</v>
      </c>
      <c r="P522" s="86">
        <v>44087.314363425925</v>
      </c>
      <c r="Q522" s="84" t="s">
        <v>491</v>
      </c>
      <c r="R522" s="84" t="s">
        <v>527</v>
      </c>
      <c r="S522" s="84" t="s">
        <v>552</v>
      </c>
      <c r="T522" s="84" t="s">
        <v>607</v>
      </c>
      <c r="U522" s="87" t="str">
        <f>HYPERLINK("https://pbs.twimg.com/media/EhxkE21U0AEO4mg.jpg")</f>
        <v>https://pbs.twimg.com/media/EhxkE21U0AEO4mg.jpg</v>
      </c>
      <c r="V522" s="87" t="str">
        <f>HYPERLINK("https://pbs.twimg.com/media/EhxkE21U0AEO4mg.jpg")</f>
        <v>https://pbs.twimg.com/media/EhxkE21U0AEO4mg.jpg</v>
      </c>
      <c r="W522" s="86">
        <v>44087.314363425925</v>
      </c>
      <c r="X522" s="90">
        <v>44087</v>
      </c>
      <c r="Y522" s="92" t="s">
        <v>929</v>
      </c>
      <c r="Z522" s="87" t="str">
        <f>HYPERLINK("https://twitter.com/codernotesbot/status/1305046730908467201")</f>
        <v>https://twitter.com/codernotesbot/status/1305046730908467201</v>
      </c>
      <c r="AA522" s="84"/>
      <c r="AB522" s="84"/>
      <c r="AC522" s="92" t="s">
        <v>1339</v>
      </c>
      <c r="AD522" s="84"/>
      <c r="AE522" s="84" t="b">
        <v>0</v>
      </c>
      <c r="AF522" s="84">
        <v>0</v>
      </c>
      <c r="AG522" s="92" t="s">
        <v>1453</v>
      </c>
      <c r="AH522" s="84" t="b">
        <v>0</v>
      </c>
      <c r="AI522" s="84" t="s">
        <v>1456</v>
      </c>
      <c r="AJ522" s="84"/>
      <c r="AK522" s="92" t="s">
        <v>1453</v>
      </c>
      <c r="AL522" s="84" t="b">
        <v>0</v>
      </c>
      <c r="AM522" s="84">
        <v>12</v>
      </c>
      <c r="AN522" s="92" t="s">
        <v>1381</v>
      </c>
      <c r="AO522" s="84" t="s">
        <v>1524</v>
      </c>
      <c r="AP522" s="84" t="b">
        <v>0</v>
      </c>
      <c r="AQ522" s="92" t="s">
        <v>1381</v>
      </c>
      <c r="AR522" s="84" t="s">
        <v>187</v>
      </c>
      <c r="AS522" s="84">
        <v>0</v>
      </c>
      <c r="AT522" s="84">
        <v>0</v>
      </c>
      <c r="AU522" s="84"/>
      <c r="AV522" s="84"/>
      <c r="AW522" s="84"/>
      <c r="AX522" s="84"/>
      <c r="AY522" s="84"/>
      <c r="AZ522" s="84"/>
      <c r="BA522" s="84"/>
      <c r="BB522" s="84"/>
      <c r="BC522">
        <v>1</v>
      </c>
      <c r="BD522" s="83" t="str">
        <f>REPLACE(INDEX(GroupVertices[Group],MATCH(Edges[[#This Row],[Vertex 1]],GroupVertices[Vertex],0)),1,1,"")</f>
        <v>1</v>
      </c>
      <c r="BE522" s="83" t="str">
        <f>REPLACE(INDEX(GroupVertices[Group],MATCH(Edges[[#This Row],[Vertex 2]],GroupVertices[Vertex],0)),1,1,"")</f>
        <v>1</v>
      </c>
      <c r="BF522" s="49">
        <v>0</v>
      </c>
      <c r="BG522" s="50">
        <v>0</v>
      </c>
      <c r="BH522" s="49">
        <v>0</v>
      </c>
      <c r="BI522" s="50">
        <v>0</v>
      </c>
      <c r="BJ522" s="49">
        <v>0</v>
      </c>
      <c r="BK522" s="50">
        <v>0</v>
      </c>
      <c r="BL522" s="49">
        <v>40</v>
      </c>
      <c r="BM522" s="50">
        <v>100</v>
      </c>
      <c r="BN522" s="49">
        <v>40</v>
      </c>
    </row>
    <row r="523" spans="1:66" ht="15">
      <c r="A523" s="68" t="s">
        <v>402</v>
      </c>
      <c r="B523" s="68" t="s">
        <v>406</v>
      </c>
      <c r="C523" s="69" t="s">
        <v>5208</v>
      </c>
      <c r="D523" s="70">
        <v>1</v>
      </c>
      <c r="E523" s="71" t="s">
        <v>132</v>
      </c>
      <c r="F523" s="72">
        <v>32</v>
      </c>
      <c r="G523" s="69" t="s">
        <v>51</v>
      </c>
      <c r="H523" s="73"/>
      <c r="I523" s="74"/>
      <c r="J523" s="74"/>
      <c r="K523" s="35" t="s">
        <v>65</v>
      </c>
      <c r="L523" s="82">
        <v>523</v>
      </c>
      <c r="M523" s="82"/>
      <c r="N523" s="76"/>
      <c r="O523" s="84" t="s">
        <v>439</v>
      </c>
      <c r="P523" s="86">
        <v>44087.326527777775</v>
      </c>
      <c r="Q523" s="84" t="s">
        <v>493</v>
      </c>
      <c r="R523" s="84"/>
      <c r="S523" s="84"/>
      <c r="T523" s="84" t="s">
        <v>609</v>
      </c>
      <c r="U523" s="84"/>
      <c r="V523" s="87" t="str">
        <f>HYPERLINK("http://pbs.twimg.com/profile_images/849166849950568448/Zb0nWTNN_normal.jpg")</f>
        <v>http://pbs.twimg.com/profile_images/849166849950568448/Zb0nWTNN_normal.jpg</v>
      </c>
      <c r="W523" s="86">
        <v>44087.326527777775</v>
      </c>
      <c r="X523" s="90">
        <v>44087</v>
      </c>
      <c r="Y523" s="92" t="s">
        <v>930</v>
      </c>
      <c r="Z523" s="87" t="str">
        <f>HYPERLINK("https://twitter.com/codernotesbot/status/1305051137037410310")</f>
        <v>https://twitter.com/codernotesbot/status/1305051137037410310</v>
      </c>
      <c r="AA523" s="84"/>
      <c r="AB523" s="84"/>
      <c r="AC523" s="92" t="s">
        <v>1340</v>
      </c>
      <c r="AD523" s="84"/>
      <c r="AE523" s="84" t="b">
        <v>0</v>
      </c>
      <c r="AF523" s="84">
        <v>0</v>
      </c>
      <c r="AG523" s="92" t="s">
        <v>1453</v>
      </c>
      <c r="AH523" s="84" t="b">
        <v>0</v>
      </c>
      <c r="AI523" s="84" t="s">
        <v>1456</v>
      </c>
      <c r="AJ523" s="84"/>
      <c r="AK523" s="92" t="s">
        <v>1453</v>
      </c>
      <c r="AL523" s="84" t="b">
        <v>0</v>
      </c>
      <c r="AM523" s="84">
        <v>7</v>
      </c>
      <c r="AN523" s="92" t="s">
        <v>1358</v>
      </c>
      <c r="AO523" s="84" t="s">
        <v>1524</v>
      </c>
      <c r="AP523" s="84" t="b">
        <v>0</v>
      </c>
      <c r="AQ523" s="92" t="s">
        <v>1358</v>
      </c>
      <c r="AR523" s="84" t="s">
        <v>187</v>
      </c>
      <c r="AS523" s="84">
        <v>0</v>
      </c>
      <c r="AT523" s="84">
        <v>0</v>
      </c>
      <c r="AU523" s="84"/>
      <c r="AV523" s="84"/>
      <c r="AW523" s="84"/>
      <c r="AX523" s="84"/>
      <c r="AY523" s="84"/>
      <c r="AZ523" s="84"/>
      <c r="BA523" s="84"/>
      <c r="BB523" s="84"/>
      <c r="BC523">
        <v>1</v>
      </c>
      <c r="BD523" s="83" t="str">
        <f>REPLACE(INDEX(GroupVertices[Group],MATCH(Edges[[#This Row],[Vertex 1]],GroupVertices[Vertex],0)),1,1,"")</f>
        <v>1</v>
      </c>
      <c r="BE523" s="83" t="str">
        <f>REPLACE(INDEX(GroupVertices[Group],MATCH(Edges[[#This Row],[Vertex 2]],GroupVertices[Vertex],0)),1,1,"")</f>
        <v>1</v>
      </c>
      <c r="BF523" s="49">
        <v>0</v>
      </c>
      <c r="BG523" s="50">
        <v>0</v>
      </c>
      <c r="BH523" s="49">
        <v>0</v>
      </c>
      <c r="BI523" s="50">
        <v>0</v>
      </c>
      <c r="BJ523" s="49">
        <v>0</v>
      </c>
      <c r="BK523" s="50">
        <v>0</v>
      </c>
      <c r="BL523" s="49">
        <v>22</v>
      </c>
      <c r="BM523" s="50">
        <v>100</v>
      </c>
      <c r="BN523" s="49">
        <v>22</v>
      </c>
    </row>
    <row r="524" spans="1:66" ht="15">
      <c r="A524" s="68" t="s">
        <v>402</v>
      </c>
      <c r="B524" s="68" t="s">
        <v>409</v>
      </c>
      <c r="C524" s="69" t="s">
        <v>5208</v>
      </c>
      <c r="D524" s="70">
        <v>1</v>
      </c>
      <c r="E524" s="71" t="s">
        <v>132</v>
      </c>
      <c r="F524" s="72">
        <v>32</v>
      </c>
      <c r="G524" s="69" t="s">
        <v>51</v>
      </c>
      <c r="H524" s="73"/>
      <c r="I524" s="74"/>
      <c r="J524" s="74"/>
      <c r="K524" s="35" t="s">
        <v>65</v>
      </c>
      <c r="L524" s="82">
        <v>524</v>
      </c>
      <c r="M524" s="82"/>
      <c r="N524" s="76"/>
      <c r="O524" s="84" t="s">
        <v>440</v>
      </c>
      <c r="P524" s="86">
        <v>44088.15241898148</v>
      </c>
      <c r="Q524" s="84" t="s">
        <v>496</v>
      </c>
      <c r="R524" s="84"/>
      <c r="S524" s="84"/>
      <c r="T524" s="84" t="s">
        <v>612</v>
      </c>
      <c r="U524" s="87" t="str">
        <f>HYPERLINK("https://pbs.twimg.com/media/Eh2I9QHWAAA-8vh.png")</f>
        <v>https://pbs.twimg.com/media/Eh2I9QHWAAA-8vh.png</v>
      </c>
      <c r="V524" s="87" t="str">
        <f>HYPERLINK("https://pbs.twimg.com/media/Eh2I9QHWAAA-8vh.png")</f>
        <v>https://pbs.twimg.com/media/Eh2I9QHWAAA-8vh.png</v>
      </c>
      <c r="W524" s="86">
        <v>44088.15241898148</v>
      </c>
      <c r="X524" s="90">
        <v>44088</v>
      </c>
      <c r="Y524" s="92" t="s">
        <v>931</v>
      </c>
      <c r="Z524" s="87" t="str">
        <f>HYPERLINK("https://twitter.com/codernotesbot/status/1305350430294122497")</f>
        <v>https://twitter.com/codernotesbot/status/1305350430294122497</v>
      </c>
      <c r="AA524" s="84"/>
      <c r="AB524" s="84"/>
      <c r="AC524" s="92" t="s">
        <v>1341</v>
      </c>
      <c r="AD524" s="84"/>
      <c r="AE524" s="84" t="b">
        <v>0</v>
      </c>
      <c r="AF524" s="84">
        <v>0</v>
      </c>
      <c r="AG524" s="92" t="s">
        <v>1453</v>
      </c>
      <c r="AH524" s="84" t="b">
        <v>0</v>
      </c>
      <c r="AI524" s="84" t="s">
        <v>1456</v>
      </c>
      <c r="AJ524" s="84"/>
      <c r="AK524" s="92" t="s">
        <v>1453</v>
      </c>
      <c r="AL524" s="84" t="b">
        <v>0</v>
      </c>
      <c r="AM524" s="84">
        <v>15</v>
      </c>
      <c r="AN524" s="92" t="s">
        <v>1360</v>
      </c>
      <c r="AO524" s="84" t="s">
        <v>1524</v>
      </c>
      <c r="AP524" s="84" t="b">
        <v>0</v>
      </c>
      <c r="AQ524" s="92" t="s">
        <v>1360</v>
      </c>
      <c r="AR524" s="84" t="s">
        <v>187</v>
      </c>
      <c r="AS524" s="84">
        <v>0</v>
      </c>
      <c r="AT524" s="84">
        <v>0</v>
      </c>
      <c r="AU524" s="84"/>
      <c r="AV524" s="84"/>
      <c r="AW524" s="84"/>
      <c r="AX524" s="84"/>
      <c r="AY524" s="84"/>
      <c r="AZ524" s="84"/>
      <c r="BA524" s="84"/>
      <c r="BB524" s="84"/>
      <c r="BC524">
        <v>1</v>
      </c>
      <c r="BD524" s="83" t="str">
        <f>REPLACE(INDEX(GroupVertices[Group],MATCH(Edges[[#This Row],[Vertex 1]],GroupVertices[Vertex],0)),1,1,"")</f>
        <v>1</v>
      </c>
      <c r="BE524" s="83" t="str">
        <f>REPLACE(INDEX(GroupVertices[Group],MATCH(Edges[[#This Row],[Vertex 2]],GroupVertices[Vertex],0)),1,1,"")</f>
        <v>1</v>
      </c>
      <c r="BF524" s="49"/>
      <c r="BG524" s="50"/>
      <c r="BH524" s="49"/>
      <c r="BI524" s="50"/>
      <c r="BJ524" s="49"/>
      <c r="BK524" s="50"/>
      <c r="BL524" s="49"/>
      <c r="BM524" s="50"/>
      <c r="BN524" s="49"/>
    </row>
    <row r="525" spans="1:66" ht="15">
      <c r="A525" s="68" t="s">
        <v>402</v>
      </c>
      <c r="B525" s="68" t="s">
        <v>408</v>
      </c>
      <c r="C525" s="69" t="s">
        <v>5208</v>
      </c>
      <c r="D525" s="70">
        <v>1</v>
      </c>
      <c r="E525" s="71" t="s">
        <v>132</v>
      </c>
      <c r="F525" s="72">
        <v>32</v>
      </c>
      <c r="G525" s="69" t="s">
        <v>51</v>
      </c>
      <c r="H525" s="73"/>
      <c r="I525" s="74"/>
      <c r="J525" s="74"/>
      <c r="K525" s="35" t="s">
        <v>65</v>
      </c>
      <c r="L525" s="82">
        <v>525</v>
      </c>
      <c r="M525" s="82"/>
      <c r="N525" s="76"/>
      <c r="O525" s="84" t="s">
        <v>439</v>
      </c>
      <c r="P525" s="86">
        <v>44088.15241898148</v>
      </c>
      <c r="Q525" s="84" t="s">
        <v>496</v>
      </c>
      <c r="R525" s="84"/>
      <c r="S525" s="84"/>
      <c r="T525" s="84" t="s">
        <v>612</v>
      </c>
      <c r="U525" s="87" t="str">
        <f>HYPERLINK("https://pbs.twimg.com/media/Eh2I9QHWAAA-8vh.png")</f>
        <v>https://pbs.twimg.com/media/Eh2I9QHWAAA-8vh.png</v>
      </c>
      <c r="V525" s="87" t="str">
        <f>HYPERLINK("https://pbs.twimg.com/media/Eh2I9QHWAAA-8vh.png")</f>
        <v>https://pbs.twimg.com/media/Eh2I9QHWAAA-8vh.png</v>
      </c>
      <c r="W525" s="86">
        <v>44088.15241898148</v>
      </c>
      <c r="X525" s="90">
        <v>44088</v>
      </c>
      <c r="Y525" s="92" t="s">
        <v>931</v>
      </c>
      <c r="Z525" s="87" t="str">
        <f>HYPERLINK("https://twitter.com/codernotesbot/status/1305350430294122497")</f>
        <v>https://twitter.com/codernotesbot/status/1305350430294122497</v>
      </c>
      <c r="AA525" s="84"/>
      <c r="AB525" s="84"/>
      <c r="AC525" s="92" t="s">
        <v>1341</v>
      </c>
      <c r="AD525" s="84"/>
      <c r="AE525" s="84" t="b">
        <v>0</v>
      </c>
      <c r="AF525" s="84">
        <v>0</v>
      </c>
      <c r="AG525" s="92" t="s">
        <v>1453</v>
      </c>
      <c r="AH525" s="84" t="b">
        <v>0</v>
      </c>
      <c r="AI525" s="84" t="s">
        <v>1456</v>
      </c>
      <c r="AJ525" s="84"/>
      <c r="AK525" s="92" t="s">
        <v>1453</v>
      </c>
      <c r="AL525" s="84" t="b">
        <v>0</v>
      </c>
      <c r="AM525" s="84">
        <v>15</v>
      </c>
      <c r="AN525" s="92" t="s">
        <v>1360</v>
      </c>
      <c r="AO525" s="84" t="s">
        <v>1524</v>
      </c>
      <c r="AP525" s="84" t="b">
        <v>0</v>
      </c>
      <c r="AQ525" s="92" t="s">
        <v>1360</v>
      </c>
      <c r="AR525" s="84" t="s">
        <v>187</v>
      </c>
      <c r="AS525" s="84">
        <v>0</v>
      </c>
      <c r="AT525" s="84">
        <v>0</v>
      </c>
      <c r="AU525" s="84"/>
      <c r="AV525" s="84"/>
      <c r="AW525" s="84"/>
      <c r="AX525" s="84"/>
      <c r="AY525" s="84"/>
      <c r="AZ525" s="84"/>
      <c r="BA525" s="84"/>
      <c r="BB525" s="84"/>
      <c r="BC525">
        <v>1</v>
      </c>
      <c r="BD525" s="83" t="str">
        <f>REPLACE(INDEX(GroupVertices[Group],MATCH(Edges[[#This Row],[Vertex 1]],GroupVertices[Vertex],0)),1,1,"")</f>
        <v>1</v>
      </c>
      <c r="BE525" s="83" t="str">
        <f>REPLACE(INDEX(GroupVertices[Group],MATCH(Edges[[#This Row],[Vertex 2]],GroupVertices[Vertex],0)),1,1,"")</f>
        <v>1</v>
      </c>
      <c r="BF525" s="49">
        <v>0</v>
      </c>
      <c r="BG525" s="50">
        <v>0</v>
      </c>
      <c r="BH525" s="49">
        <v>0</v>
      </c>
      <c r="BI525" s="50">
        <v>0</v>
      </c>
      <c r="BJ525" s="49">
        <v>0</v>
      </c>
      <c r="BK525" s="50">
        <v>0</v>
      </c>
      <c r="BL525" s="49">
        <v>32</v>
      </c>
      <c r="BM525" s="50">
        <v>100</v>
      </c>
      <c r="BN525" s="49">
        <v>32</v>
      </c>
    </row>
    <row r="526" spans="1:66" ht="15">
      <c r="A526" s="68" t="s">
        <v>402</v>
      </c>
      <c r="B526" s="68" t="s">
        <v>420</v>
      </c>
      <c r="C526" s="69" t="s">
        <v>5208</v>
      </c>
      <c r="D526" s="70">
        <v>1</v>
      </c>
      <c r="E526" s="71" t="s">
        <v>132</v>
      </c>
      <c r="F526" s="72">
        <v>32</v>
      </c>
      <c r="G526" s="69" t="s">
        <v>51</v>
      </c>
      <c r="H526" s="73"/>
      <c r="I526" s="74"/>
      <c r="J526" s="74"/>
      <c r="K526" s="35" t="s">
        <v>65</v>
      </c>
      <c r="L526" s="82">
        <v>526</v>
      </c>
      <c r="M526" s="82"/>
      <c r="N526" s="76"/>
      <c r="O526" s="84" t="s">
        <v>440</v>
      </c>
      <c r="P526" s="86">
        <v>44089.55336805555</v>
      </c>
      <c r="Q526" s="84" t="s">
        <v>511</v>
      </c>
      <c r="R526" s="87" t="str">
        <f>HYPERLINK("https://www.coodingdessign.com/python/datascience/visualization-of-covid-19-new-cases-over-time-in-python/")</f>
        <v>https://www.coodingdessign.com/python/datascience/visualization-of-covid-19-new-cases-over-time-in-python/</v>
      </c>
      <c r="S526" s="84" t="s">
        <v>560</v>
      </c>
      <c r="T526" s="84" t="s">
        <v>626</v>
      </c>
      <c r="U526" s="87" t="str">
        <f>HYPERLINK("https://pbs.twimg.com/media/Eh9WZq2XcActpko.png")</f>
        <v>https://pbs.twimg.com/media/Eh9WZq2XcActpko.png</v>
      </c>
      <c r="V526" s="87" t="str">
        <f>HYPERLINK("https://pbs.twimg.com/media/Eh9WZq2XcActpko.png")</f>
        <v>https://pbs.twimg.com/media/Eh9WZq2XcActpko.png</v>
      </c>
      <c r="W526" s="86">
        <v>44089.55336805555</v>
      </c>
      <c r="X526" s="90">
        <v>44089</v>
      </c>
      <c r="Y526" s="92" t="s">
        <v>932</v>
      </c>
      <c r="Z526" s="87" t="str">
        <f>HYPERLINK("https://twitter.com/codernotesbot/status/1305858116895100929")</f>
        <v>https://twitter.com/codernotesbot/status/1305858116895100929</v>
      </c>
      <c r="AA526" s="84"/>
      <c r="AB526" s="84"/>
      <c r="AC526" s="92" t="s">
        <v>1342</v>
      </c>
      <c r="AD526" s="84"/>
      <c r="AE526" s="84" t="b">
        <v>0</v>
      </c>
      <c r="AF526" s="84">
        <v>0</v>
      </c>
      <c r="AG526" s="92" t="s">
        <v>1453</v>
      </c>
      <c r="AH526" s="84" t="b">
        <v>0</v>
      </c>
      <c r="AI526" s="84" t="s">
        <v>1456</v>
      </c>
      <c r="AJ526" s="84"/>
      <c r="AK526" s="92" t="s">
        <v>1453</v>
      </c>
      <c r="AL526" s="84" t="b">
        <v>0</v>
      </c>
      <c r="AM526" s="84">
        <v>19</v>
      </c>
      <c r="AN526" s="92" t="s">
        <v>1410</v>
      </c>
      <c r="AO526" s="84" t="s">
        <v>1524</v>
      </c>
      <c r="AP526" s="84" t="b">
        <v>0</v>
      </c>
      <c r="AQ526" s="92" t="s">
        <v>1410</v>
      </c>
      <c r="AR526" s="84" t="s">
        <v>187</v>
      </c>
      <c r="AS526" s="84">
        <v>0</v>
      </c>
      <c r="AT526" s="84">
        <v>0</v>
      </c>
      <c r="AU526" s="84"/>
      <c r="AV526" s="84"/>
      <c r="AW526" s="84"/>
      <c r="AX526" s="84"/>
      <c r="AY526" s="84"/>
      <c r="AZ526" s="84"/>
      <c r="BA526" s="84"/>
      <c r="BB526" s="84"/>
      <c r="BC526">
        <v>1</v>
      </c>
      <c r="BD526" s="83" t="str">
        <f>REPLACE(INDEX(GroupVertices[Group],MATCH(Edges[[#This Row],[Vertex 1]],GroupVertices[Vertex],0)),1,1,"")</f>
        <v>1</v>
      </c>
      <c r="BE526" s="83" t="str">
        <f>REPLACE(INDEX(GroupVertices[Group],MATCH(Edges[[#This Row],[Vertex 2]],GroupVertices[Vertex],0)),1,1,"")</f>
        <v>1</v>
      </c>
      <c r="BF526" s="49"/>
      <c r="BG526" s="50"/>
      <c r="BH526" s="49"/>
      <c r="BI526" s="50"/>
      <c r="BJ526" s="49"/>
      <c r="BK526" s="50"/>
      <c r="BL526" s="49"/>
      <c r="BM526" s="50"/>
      <c r="BN526" s="49"/>
    </row>
    <row r="527" spans="1:66" ht="15">
      <c r="A527" s="68" t="s">
        <v>402</v>
      </c>
      <c r="B527" s="68" t="s">
        <v>438</v>
      </c>
      <c r="C527" s="69" t="s">
        <v>5208</v>
      </c>
      <c r="D527" s="70">
        <v>1</v>
      </c>
      <c r="E527" s="71" t="s">
        <v>132</v>
      </c>
      <c r="F527" s="72">
        <v>32</v>
      </c>
      <c r="G527" s="69" t="s">
        <v>51</v>
      </c>
      <c r="H527" s="73"/>
      <c r="I527" s="74"/>
      <c r="J527" s="74"/>
      <c r="K527" s="35" t="s">
        <v>65</v>
      </c>
      <c r="L527" s="82">
        <v>527</v>
      </c>
      <c r="M527" s="82"/>
      <c r="N527" s="76"/>
      <c r="O527" s="84" t="s">
        <v>440</v>
      </c>
      <c r="P527" s="86">
        <v>44089.55336805555</v>
      </c>
      <c r="Q527" s="84" t="s">
        <v>511</v>
      </c>
      <c r="R527" s="87" t="str">
        <f>HYPERLINK("https://www.coodingdessign.com/python/datascience/visualization-of-covid-19-new-cases-over-time-in-python/")</f>
        <v>https://www.coodingdessign.com/python/datascience/visualization-of-covid-19-new-cases-over-time-in-python/</v>
      </c>
      <c r="S527" s="84" t="s">
        <v>560</v>
      </c>
      <c r="T527" s="84" t="s">
        <v>626</v>
      </c>
      <c r="U527" s="87" t="str">
        <f>HYPERLINK("https://pbs.twimg.com/media/Eh9WZq2XcActpko.png")</f>
        <v>https://pbs.twimg.com/media/Eh9WZq2XcActpko.png</v>
      </c>
      <c r="V527" s="87" t="str">
        <f>HYPERLINK("https://pbs.twimg.com/media/Eh9WZq2XcActpko.png")</f>
        <v>https://pbs.twimg.com/media/Eh9WZq2XcActpko.png</v>
      </c>
      <c r="W527" s="86">
        <v>44089.55336805555</v>
      </c>
      <c r="X527" s="90">
        <v>44089</v>
      </c>
      <c r="Y527" s="92" t="s">
        <v>932</v>
      </c>
      <c r="Z527" s="87" t="str">
        <f>HYPERLINK("https://twitter.com/codernotesbot/status/1305858116895100929")</f>
        <v>https://twitter.com/codernotesbot/status/1305858116895100929</v>
      </c>
      <c r="AA527" s="84"/>
      <c r="AB527" s="84"/>
      <c r="AC527" s="92" t="s">
        <v>1342</v>
      </c>
      <c r="AD527" s="84"/>
      <c r="AE527" s="84" t="b">
        <v>0</v>
      </c>
      <c r="AF527" s="84">
        <v>0</v>
      </c>
      <c r="AG527" s="92" t="s">
        <v>1453</v>
      </c>
      <c r="AH527" s="84" t="b">
        <v>0</v>
      </c>
      <c r="AI527" s="84" t="s">
        <v>1456</v>
      </c>
      <c r="AJ527" s="84"/>
      <c r="AK527" s="92" t="s">
        <v>1453</v>
      </c>
      <c r="AL527" s="84" t="b">
        <v>0</v>
      </c>
      <c r="AM527" s="84">
        <v>19</v>
      </c>
      <c r="AN527" s="92" t="s">
        <v>1410</v>
      </c>
      <c r="AO527" s="84" t="s">
        <v>1524</v>
      </c>
      <c r="AP527" s="84" t="b">
        <v>0</v>
      </c>
      <c r="AQ527" s="92" t="s">
        <v>1410</v>
      </c>
      <c r="AR527" s="84" t="s">
        <v>187</v>
      </c>
      <c r="AS527" s="84">
        <v>0</v>
      </c>
      <c r="AT527" s="84">
        <v>0</v>
      </c>
      <c r="AU527" s="84"/>
      <c r="AV527" s="84"/>
      <c r="AW527" s="84"/>
      <c r="AX527" s="84"/>
      <c r="AY527" s="84"/>
      <c r="AZ527" s="84"/>
      <c r="BA527" s="84"/>
      <c r="BB527" s="84"/>
      <c r="BC527">
        <v>1</v>
      </c>
      <c r="BD527" s="83" t="str">
        <f>REPLACE(INDEX(GroupVertices[Group],MATCH(Edges[[#This Row],[Vertex 1]],GroupVertices[Vertex],0)),1,1,"")</f>
        <v>1</v>
      </c>
      <c r="BE527" s="83" t="str">
        <f>REPLACE(INDEX(GroupVertices[Group],MATCH(Edges[[#This Row],[Vertex 2]],GroupVertices[Vertex],0)),1,1,"")</f>
        <v>1</v>
      </c>
      <c r="BF527" s="49"/>
      <c r="BG527" s="50"/>
      <c r="BH527" s="49"/>
      <c r="BI527" s="50"/>
      <c r="BJ527" s="49"/>
      <c r="BK527" s="50"/>
      <c r="BL527" s="49"/>
      <c r="BM527" s="50"/>
      <c r="BN527" s="49"/>
    </row>
    <row r="528" spans="1:66" ht="15">
      <c r="A528" s="68" t="s">
        <v>402</v>
      </c>
      <c r="B528" s="68" t="s">
        <v>419</v>
      </c>
      <c r="C528" s="69" t="s">
        <v>5208</v>
      </c>
      <c r="D528" s="70">
        <v>1</v>
      </c>
      <c r="E528" s="71" t="s">
        <v>132</v>
      </c>
      <c r="F528" s="72">
        <v>32</v>
      </c>
      <c r="G528" s="69" t="s">
        <v>51</v>
      </c>
      <c r="H528" s="73"/>
      <c r="I528" s="74"/>
      <c r="J528" s="74"/>
      <c r="K528" s="35" t="s">
        <v>65</v>
      </c>
      <c r="L528" s="82">
        <v>528</v>
      </c>
      <c r="M528" s="82"/>
      <c r="N528" s="76"/>
      <c r="O528" s="84" t="s">
        <v>439</v>
      </c>
      <c r="P528" s="86">
        <v>44089.55336805555</v>
      </c>
      <c r="Q528" s="84" t="s">
        <v>511</v>
      </c>
      <c r="R528" s="87" t="str">
        <f>HYPERLINK("https://www.coodingdessign.com/python/datascience/visualization-of-covid-19-new-cases-over-time-in-python/")</f>
        <v>https://www.coodingdessign.com/python/datascience/visualization-of-covid-19-new-cases-over-time-in-python/</v>
      </c>
      <c r="S528" s="84" t="s">
        <v>560</v>
      </c>
      <c r="T528" s="84" t="s">
        <v>626</v>
      </c>
      <c r="U528" s="87" t="str">
        <f>HYPERLINK("https://pbs.twimg.com/media/Eh9WZq2XcActpko.png")</f>
        <v>https://pbs.twimg.com/media/Eh9WZq2XcActpko.png</v>
      </c>
      <c r="V528" s="87" t="str">
        <f>HYPERLINK("https://pbs.twimg.com/media/Eh9WZq2XcActpko.png")</f>
        <v>https://pbs.twimg.com/media/Eh9WZq2XcActpko.png</v>
      </c>
      <c r="W528" s="86">
        <v>44089.55336805555</v>
      </c>
      <c r="X528" s="90">
        <v>44089</v>
      </c>
      <c r="Y528" s="92" t="s">
        <v>932</v>
      </c>
      <c r="Z528" s="87" t="str">
        <f>HYPERLINK("https://twitter.com/codernotesbot/status/1305858116895100929")</f>
        <v>https://twitter.com/codernotesbot/status/1305858116895100929</v>
      </c>
      <c r="AA528" s="84"/>
      <c r="AB528" s="84"/>
      <c r="AC528" s="92" t="s">
        <v>1342</v>
      </c>
      <c r="AD528" s="84"/>
      <c r="AE528" s="84" t="b">
        <v>0</v>
      </c>
      <c r="AF528" s="84">
        <v>0</v>
      </c>
      <c r="AG528" s="92" t="s">
        <v>1453</v>
      </c>
      <c r="AH528" s="84" t="b">
        <v>0</v>
      </c>
      <c r="AI528" s="84" t="s">
        <v>1456</v>
      </c>
      <c r="AJ528" s="84"/>
      <c r="AK528" s="92" t="s">
        <v>1453</v>
      </c>
      <c r="AL528" s="84" t="b">
        <v>0</v>
      </c>
      <c r="AM528" s="84">
        <v>19</v>
      </c>
      <c r="AN528" s="92" t="s">
        <v>1410</v>
      </c>
      <c r="AO528" s="84" t="s">
        <v>1524</v>
      </c>
      <c r="AP528" s="84" t="b">
        <v>0</v>
      </c>
      <c r="AQ528" s="92" t="s">
        <v>1410</v>
      </c>
      <c r="AR528" s="84" t="s">
        <v>187</v>
      </c>
      <c r="AS528" s="84">
        <v>0</v>
      </c>
      <c r="AT528" s="84">
        <v>0</v>
      </c>
      <c r="AU528" s="84"/>
      <c r="AV528" s="84"/>
      <c r="AW528" s="84"/>
      <c r="AX528" s="84"/>
      <c r="AY528" s="84"/>
      <c r="AZ528" s="84"/>
      <c r="BA528" s="84"/>
      <c r="BB528" s="84"/>
      <c r="BC528">
        <v>1</v>
      </c>
      <c r="BD528" s="83" t="str">
        <f>REPLACE(INDEX(GroupVertices[Group],MATCH(Edges[[#This Row],[Vertex 1]],GroupVertices[Vertex],0)),1,1,"")</f>
        <v>1</v>
      </c>
      <c r="BE528" s="83" t="str">
        <f>REPLACE(INDEX(GroupVertices[Group],MATCH(Edges[[#This Row],[Vertex 2]],GroupVertices[Vertex],0)),1,1,"")</f>
        <v>1</v>
      </c>
      <c r="BF528" s="49">
        <v>0</v>
      </c>
      <c r="BG528" s="50">
        <v>0</v>
      </c>
      <c r="BH528" s="49">
        <v>0</v>
      </c>
      <c r="BI528" s="50">
        <v>0</v>
      </c>
      <c r="BJ528" s="49">
        <v>0</v>
      </c>
      <c r="BK528" s="50">
        <v>0</v>
      </c>
      <c r="BL528" s="49">
        <v>20</v>
      </c>
      <c r="BM528" s="50">
        <v>100</v>
      </c>
      <c r="BN528" s="49">
        <v>20</v>
      </c>
    </row>
    <row r="529" spans="1:66" ht="15">
      <c r="A529" s="68" t="s">
        <v>404</v>
      </c>
      <c r="B529" s="68" t="s">
        <v>404</v>
      </c>
      <c r="C529" s="69" t="s">
        <v>5208</v>
      </c>
      <c r="D529" s="70">
        <v>1</v>
      </c>
      <c r="E529" s="71" t="s">
        <v>132</v>
      </c>
      <c r="F529" s="72">
        <v>32</v>
      </c>
      <c r="G529" s="69" t="s">
        <v>51</v>
      </c>
      <c r="H529" s="73"/>
      <c r="I529" s="74"/>
      <c r="J529" s="74"/>
      <c r="K529" s="35" t="s">
        <v>65</v>
      </c>
      <c r="L529" s="82">
        <v>529</v>
      </c>
      <c r="M529" s="82"/>
      <c r="N529" s="76"/>
      <c r="O529" s="84" t="s">
        <v>187</v>
      </c>
      <c r="P529" s="86">
        <v>44077.7391087963</v>
      </c>
      <c r="Q529" s="84" t="s">
        <v>447</v>
      </c>
      <c r="R529" s="87" t="str">
        <f>HYPERLINK("https://www.latimes.com/world-nation/story/2020-03-16/coronavirus-vaccine-test-opens-as-us-volunteer-gets-1st-shot")</f>
        <v>https://www.latimes.com/world-nation/story/2020-03-16/coronavirus-vaccine-test-opens-as-us-volunteer-gets-1st-shot</v>
      </c>
      <c r="S529" s="84" t="s">
        <v>531</v>
      </c>
      <c r="T529" s="84" t="s">
        <v>567</v>
      </c>
      <c r="U529" s="87" t="str">
        <f>HYPERLINK("https://pbs.twimg.com/media/EhAhLRtWoAEsEe_.jpg")</f>
        <v>https://pbs.twimg.com/media/EhAhLRtWoAEsEe_.jpg</v>
      </c>
      <c r="V529" s="87" t="str">
        <f>HYPERLINK("https://pbs.twimg.com/media/EhAhLRtWoAEsEe_.jpg")</f>
        <v>https://pbs.twimg.com/media/EhAhLRtWoAEsEe_.jpg</v>
      </c>
      <c r="W529" s="86">
        <v>44077.7391087963</v>
      </c>
      <c r="X529" s="90">
        <v>44077</v>
      </c>
      <c r="Y529" s="92" t="s">
        <v>933</v>
      </c>
      <c r="Z529" s="87" t="str">
        <f>HYPERLINK("https://twitter.com/gp_pulipaka/status/1301576771566006273")</f>
        <v>https://twitter.com/gp_pulipaka/status/1301576771566006273</v>
      </c>
      <c r="AA529" s="84"/>
      <c r="AB529" s="84"/>
      <c r="AC529" s="92" t="s">
        <v>1343</v>
      </c>
      <c r="AD529" s="84"/>
      <c r="AE529" s="84" t="b">
        <v>0</v>
      </c>
      <c r="AF529" s="84">
        <v>32</v>
      </c>
      <c r="AG529" s="92" t="s">
        <v>1453</v>
      </c>
      <c r="AH529" s="84" t="b">
        <v>0</v>
      </c>
      <c r="AI529" s="84" t="s">
        <v>1456</v>
      </c>
      <c r="AJ529" s="84"/>
      <c r="AK529" s="92" t="s">
        <v>1453</v>
      </c>
      <c r="AL529" s="84" t="b">
        <v>0</v>
      </c>
      <c r="AM529" s="84">
        <v>80</v>
      </c>
      <c r="AN529" s="92" t="s">
        <v>1453</v>
      </c>
      <c r="AO529" s="84" t="s">
        <v>1484</v>
      </c>
      <c r="AP529" s="84" t="b">
        <v>0</v>
      </c>
      <c r="AQ529" s="92" t="s">
        <v>1343</v>
      </c>
      <c r="AR529" s="84" t="s">
        <v>439</v>
      </c>
      <c r="AS529" s="84">
        <v>0</v>
      </c>
      <c r="AT529" s="84">
        <v>0</v>
      </c>
      <c r="AU529" s="84"/>
      <c r="AV529" s="84"/>
      <c r="AW529" s="84"/>
      <c r="AX529" s="84"/>
      <c r="AY529" s="84"/>
      <c r="AZ529" s="84"/>
      <c r="BA529" s="84"/>
      <c r="BB529" s="84"/>
      <c r="BC529">
        <v>1</v>
      </c>
      <c r="BD529" s="83" t="str">
        <f>REPLACE(INDEX(GroupVertices[Group],MATCH(Edges[[#This Row],[Vertex 1]],GroupVertices[Vertex],0)),1,1,"")</f>
        <v>5</v>
      </c>
      <c r="BE529" s="83" t="str">
        <f>REPLACE(INDEX(GroupVertices[Group],MATCH(Edges[[#This Row],[Vertex 2]],GroupVertices[Vertex],0)),1,1,"")</f>
        <v>5</v>
      </c>
      <c r="BF529" s="49">
        <v>0</v>
      </c>
      <c r="BG529" s="50">
        <v>0</v>
      </c>
      <c r="BH529" s="49">
        <v>0</v>
      </c>
      <c r="BI529" s="50">
        <v>0</v>
      </c>
      <c r="BJ529" s="49">
        <v>0</v>
      </c>
      <c r="BK529" s="50">
        <v>0</v>
      </c>
      <c r="BL529" s="49">
        <v>31</v>
      </c>
      <c r="BM529" s="50">
        <v>100</v>
      </c>
      <c r="BN529" s="49">
        <v>31</v>
      </c>
    </row>
    <row r="530" spans="1:66" ht="15">
      <c r="A530" s="68" t="s">
        <v>405</v>
      </c>
      <c r="B530" s="68" t="s">
        <v>404</v>
      </c>
      <c r="C530" s="69" t="s">
        <v>5208</v>
      </c>
      <c r="D530" s="70">
        <v>1</v>
      </c>
      <c r="E530" s="71" t="s">
        <v>132</v>
      </c>
      <c r="F530" s="72">
        <v>32</v>
      </c>
      <c r="G530" s="69" t="s">
        <v>51</v>
      </c>
      <c r="H530" s="73"/>
      <c r="I530" s="74"/>
      <c r="J530" s="74"/>
      <c r="K530" s="35" t="s">
        <v>65</v>
      </c>
      <c r="L530" s="82">
        <v>530</v>
      </c>
      <c r="M530" s="82"/>
      <c r="N530" s="76"/>
      <c r="O530" s="84" t="s">
        <v>439</v>
      </c>
      <c r="P530" s="86">
        <v>44081.69943287037</v>
      </c>
      <c r="Q530" s="84" t="s">
        <v>447</v>
      </c>
      <c r="R530" s="87" t="str">
        <f>HYPERLINK("https://www.latimes.com/world-nation/story/2020-03-16/coronavirus-vaccine-test-opens-as-us-volunteer-gets-1st-shot")</f>
        <v>https://www.latimes.com/world-nation/story/2020-03-16/coronavirus-vaccine-test-opens-as-us-volunteer-gets-1st-shot</v>
      </c>
      <c r="S530" s="84" t="s">
        <v>531</v>
      </c>
      <c r="T530" s="84" t="s">
        <v>567</v>
      </c>
      <c r="U530" s="87" t="str">
        <f>HYPERLINK("https://pbs.twimg.com/media/EhAhLRtWoAEsEe_.jpg")</f>
        <v>https://pbs.twimg.com/media/EhAhLRtWoAEsEe_.jpg</v>
      </c>
      <c r="V530" s="87" t="str">
        <f>HYPERLINK("https://pbs.twimg.com/media/EhAhLRtWoAEsEe_.jpg")</f>
        <v>https://pbs.twimg.com/media/EhAhLRtWoAEsEe_.jpg</v>
      </c>
      <c r="W530" s="86">
        <v>44081.69943287037</v>
      </c>
      <c r="X530" s="90">
        <v>44081</v>
      </c>
      <c r="Y530" s="92" t="s">
        <v>934</v>
      </c>
      <c r="Z530" s="87" t="str">
        <f>HYPERLINK("https://twitter.com/nodequotesbot/status/1303011946992513024")</f>
        <v>https://twitter.com/nodequotesbot/status/1303011946992513024</v>
      </c>
      <c r="AA530" s="84"/>
      <c r="AB530" s="84"/>
      <c r="AC530" s="92" t="s">
        <v>1344</v>
      </c>
      <c r="AD530" s="84"/>
      <c r="AE530" s="84" t="b">
        <v>0</v>
      </c>
      <c r="AF530" s="84">
        <v>0</v>
      </c>
      <c r="AG530" s="92" t="s">
        <v>1453</v>
      </c>
      <c r="AH530" s="84" t="b">
        <v>0</v>
      </c>
      <c r="AI530" s="84" t="s">
        <v>1456</v>
      </c>
      <c r="AJ530" s="84"/>
      <c r="AK530" s="92" t="s">
        <v>1453</v>
      </c>
      <c r="AL530" s="84" t="b">
        <v>0</v>
      </c>
      <c r="AM530" s="84">
        <v>80</v>
      </c>
      <c r="AN530" s="92" t="s">
        <v>1343</v>
      </c>
      <c r="AO530" s="84" t="s">
        <v>1525</v>
      </c>
      <c r="AP530" s="84" t="b">
        <v>0</v>
      </c>
      <c r="AQ530" s="92" t="s">
        <v>1343</v>
      </c>
      <c r="AR530" s="84" t="s">
        <v>187</v>
      </c>
      <c r="AS530" s="84">
        <v>0</v>
      </c>
      <c r="AT530" s="84">
        <v>0</v>
      </c>
      <c r="AU530" s="84"/>
      <c r="AV530" s="84"/>
      <c r="AW530" s="84"/>
      <c r="AX530" s="84"/>
      <c r="AY530" s="84"/>
      <c r="AZ530" s="84"/>
      <c r="BA530" s="84"/>
      <c r="BB530" s="84"/>
      <c r="BC530">
        <v>1</v>
      </c>
      <c r="BD530" s="83" t="str">
        <f>REPLACE(INDEX(GroupVertices[Group],MATCH(Edges[[#This Row],[Vertex 1]],GroupVertices[Vertex],0)),1,1,"")</f>
        <v>1</v>
      </c>
      <c r="BE530" s="83" t="str">
        <f>REPLACE(INDEX(GroupVertices[Group],MATCH(Edges[[#This Row],[Vertex 2]],GroupVertices[Vertex],0)),1,1,"")</f>
        <v>5</v>
      </c>
      <c r="BF530" s="49">
        <v>0</v>
      </c>
      <c r="BG530" s="50">
        <v>0</v>
      </c>
      <c r="BH530" s="49">
        <v>0</v>
      </c>
      <c r="BI530" s="50">
        <v>0</v>
      </c>
      <c r="BJ530" s="49">
        <v>0</v>
      </c>
      <c r="BK530" s="50">
        <v>0</v>
      </c>
      <c r="BL530" s="49">
        <v>31</v>
      </c>
      <c r="BM530" s="50">
        <v>100</v>
      </c>
      <c r="BN530" s="49">
        <v>31</v>
      </c>
    </row>
    <row r="531" spans="1:66" ht="15">
      <c r="A531" s="68" t="s">
        <v>405</v>
      </c>
      <c r="B531" s="68" t="s">
        <v>415</v>
      </c>
      <c r="C531" s="69" t="s">
        <v>5208</v>
      </c>
      <c r="D531" s="70">
        <v>1</v>
      </c>
      <c r="E531" s="71" t="s">
        <v>132</v>
      </c>
      <c r="F531" s="72">
        <v>32</v>
      </c>
      <c r="G531" s="69" t="s">
        <v>51</v>
      </c>
      <c r="H531" s="73"/>
      <c r="I531" s="74"/>
      <c r="J531" s="74"/>
      <c r="K531" s="35" t="s">
        <v>65</v>
      </c>
      <c r="L531" s="82">
        <v>531</v>
      </c>
      <c r="M531" s="82"/>
      <c r="N531" s="76"/>
      <c r="O531" s="84" t="s">
        <v>439</v>
      </c>
      <c r="P531" s="86">
        <v>44081.17827546296</v>
      </c>
      <c r="Q531" s="84" t="s">
        <v>444</v>
      </c>
      <c r="R531" s="87" t="str">
        <f>HYPERLINK("https://arxiv.org/abs/2009.01657")</f>
        <v>https://arxiv.org/abs/2009.01657</v>
      </c>
      <c r="S531" s="84" t="s">
        <v>529</v>
      </c>
      <c r="T531" s="84" t="s">
        <v>564</v>
      </c>
      <c r="U531" s="87" t="str">
        <f>HYPERLINK("https://pbs.twimg.com/media/EhJrGbiU0AA-1dk.jpg")</f>
        <v>https://pbs.twimg.com/media/EhJrGbiU0AA-1dk.jpg</v>
      </c>
      <c r="V531" s="87" t="str">
        <f>HYPERLINK("https://pbs.twimg.com/media/EhJrGbiU0AA-1dk.jpg")</f>
        <v>https://pbs.twimg.com/media/EhJrGbiU0AA-1dk.jpg</v>
      </c>
      <c r="W531" s="86">
        <v>44081.17827546296</v>
      </c>
      <c r="X531" s="90">
        <v>44081</v>
      </c>
      <c r="Y531" s="92" t="s">
        <v>935</v>
      </c>
      <c r="Z531" s="87" t="str">
        <f>HYPERLINK("https://twitter.com/nodequotesbot/status/1302823087138897920")</f>
        <v>https://twitter.com/nodequotesbot/status/1302823087138897920</v>
      </c>
      <c r="AA531" s="84"/>
      <c r="AB531" s="84"/>
      <c r="AC531" s="92" t="s">
        <v>1345</v>
      </c>
      <c r="AD531" s="84"/>
      <c r="AE531" s="84" t="b">
        <v>0</v>
      </c>
      <c r="AF531" s="84">
        <v>0</v>
      </c>
      <c r="AG531" s="92" t="s">
        <v>1453</v>
      </c>
      <c r="AH531" s="84" t="b">
        <v>0</v>
      </c>
      <c r="AI531" s="84" t="s">
        <v>1456</v>
      </c>
      <c r="AJ531" s="84"/>
      <c r="AK531" s="92" t="s">
        <v>1453</v>
      </c>
      <c r="AL531" s="84" t="b">
        <v>0</v>
      </c>
      <c r="AM531" s="84">
        <v>66</v>
      </c>
      <c r="AN531" s="92" t="s">
        <v>1393</v>
      </c>
      <c r="AO531" s="84" t="s">
        <v>1525</v>
      </c>
      <c r="AP531" s="84" t="b">
        <v>0</v>
      </c>
      <c r="AQ531" s="92" t="s">
        <v>1393</v>
      </c>
      <c r="AR531" s="84" t="s">
        <v>187</v>
      </c>
      <c r="AS531" s="84">
        <v>0</v>
      </c>
      <c r="AT531" s="84">
        <v>0</v>
      </c>
      <c r="AU531" s="84"/>
      <c r="AV531" s="84"/>
      <c r="AW531" s="84"/>
      <c r="AX531" s="84"/>
      <c r="AY531" s="84"/>
      <c r="AZ531" s="84"/>
      <c r="BA531" s="84"/>
      <c r="BB531" s="84"/>
      <c r="BC531">
        <v>1</v>
      </c>
      <c r="BD531" s="83" t="str">
        <f>REPLACE(INDEX(GroupVertices[Group],MATCH(Edges[[#This Row],[Vertex 1]],GroupVertices[Vertex],0)),1,1,"")</f>
        <v>1</v>
      </c>
      <c r="BE531" s="83" t="str">
        <f>REPLACE(INDEX(GroupVertices[Group],MATCH(Edges[[#This Row],[Vertex 2]],GroupVertices[Vertex],0)),1,1,"")</f>
        <v>9</v>
      </c>
      <c r="BF531" s="49">
        <v>0</v>
      </c>
      <c r="BG531" s="50">
        <v>0</v>
      </c>
      <c r="BH531" s="49">
        <v>0</v>
      </c>
      <c r="BI531" s="50">
        <v>0</v>
      </c>
      <c r="BJ531" s="49">
        <v>0</v>
      </c>
      <c r="BK531" s="50">
        <v>0</v>
      </c>
      <c r="BL531" s="49">
        <v>30</v>
      </c>
      <c r="BM531" s="50">
        <v>100</v>
      </c>
      <c r="BN531" s="49">
        <v>30</v>
      </c>
    </row>
    <row r="532" spans="1:66" ht="15">
      <c r="A532" s="68" t="s">
        <v>405</v>
      </c>
      <c r="B532" s="68" t="s">
        <v>417</v>
      </c>
      <c r="C532" s="69" t="s">
        <v>5209</v>
      </c>
      <c r="D532" s="70">
        <v>6.678367782143116</v>
      </c>
      <c r="E532" s="71" t="s">
        <v>132</v>
      </c>
      <c r="F532" s="72">
        <v>21</v>
      </c>
      <c r="G532" s="69" t="s">
        <v>51</v>
      </c>
      <c r="H532" s="73"/>
      <c r="I532" s="74"/>
      <c r="J532" s="74"/>
      <c r="K532" s="35" t="s">
        <v>65</v>
      </c>
      <c r="L532" s="82">
        <v>532</v>
      </c>
      <c r="M532" s="82"/>
      <c r="N532" s="76"/>
      <c r="O532" s="84" t="s">
        <v>439</v>
      </c>
      <c r="P532" s="86">
        <v>44081.93763888889</v>
      </c>
      <c r="Q532" s="84" t="s">
        <v>450</v>
      </c>
      <c r="R532"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532" s="84" t="s">
        <v>533</v>
      </c>
      <c r="T532" s="84"/>
      <c r="U532" s="84"/>
      <c r="V532" s="87" t="str">
        <f>HYPERLINK("http://pbs.twimg.com/profile_images/1272605555497078785/WLzdWQ-o_normal.jpg")</f>
        <v>http://pbs.twimg.com/profile_images/1272605555497078785/WLzdWQ-o_normal.jpg</v>
      </c>
      <c r="W532" s="86">
        <v>44081.93763888889</v>
      </c>
      <c r="X532" s="90">
        <v>44081</v>
      </c>
      <c r="Y532" s="92" t="s">
        <v>936</v>
      </c>
      <c r="Z532" s="87" t="str">
        <f>HYPERLINK("https://twitter.com/nodequotesbot/status/1303098270994972673")</f>
        <v>https://twitter.com/nodequotesbot/status/1303098270994972673</v>
      </c>
      <c r="AA532" s="84"/>
      <c r="AB532" s="84"/>
      <c r="AC532" s="92" t="s">
        <v>1346</v>
      </c>
      <c r="AD532" s="84"/>
      <c r="AE532" s="84" t="b">
        <v>0</v>
      </c>
      <c r="AF532" s="84">
        <v>0</v>
      </c>
      <c r="AG532" s="92" t="s">
        <v>1453</v>
      </c>
      <c r="AH532" s="84" t="b">
        <v>0</v>
      </c>
      <c r="AI532" s="84" t="s">
        <v>1456</v>
      </c>
      <c r="AJ532" s="84"/>
      <c r="AK532" s="92" t="s">
        <v>1453</v>
      </c>
      <c r="AL532" s="84" t="b">
        <v>0</v>
      </c>
      <c r="AM532" s="84">
        <v>31</v>
      </c>
      <c r="AN532" s="92" t="s">
        <v>1396</v>
      </c>
      <c r="AO532" s="84" t="s">
        <v>1525</v>
      </c>
      <c r="AP532" s="84" t="b">
        <v>0</v>
      </c>
      <c r="AQ532" s="92" t="s">
        <v>1396</v>
      </c>
      <c r="AR532" s="84" t="s">
        <v>187</v>
      </c>
      <c r="AS532" s="84">
        <v>0</v>
      </c>
      <c r="AT532" s="84">
        <v>0</v>
      </c>
      <c r="AU532" s="84"/>
      <c r="AV532" s="84"/>
      <c r="AW532" s="84"/>
      <c r="AX532" s="84"/>
      <c r="AY532" s="84"/>
      <c r="AZ532" s="84"/>
      <c r="BA532" s="84"/>
      <c r="BB532" s="84"/>
      <c r="BC532">
        <v>2</v>
      </c>
      <c r="BD532" s="83" t="str">
        <f>REPLACE(INDEX(GroupVertices[Group],MATCH(Edges[[#This Row],[Vertex 1]],GroupVertices[Vertex],0)),1,1,"")</f>
        <v>1</v>
      </c>
      <c r="BE532" s="83" t="str">
        <f>REPLACE(INDEX(GroupVertices[Group],MATCH(Edges[[#This Row],[Vertex 2]],GroupVertices[Vertex],0)),1,1,"")</f>
        <v>2</v>
      </c>
      <c r="BF532" s="49">
        <v>0</v>
      </c>
      <c r="BG532" s="50">
        <v>0</v>
      </c>
      <c r="BH532" s="49">
        <v>0</v>
      </c>
      <c r="BI532" s="50">
        <v>0</v>
      </c>
      <c r="BJ532" s="49">
        <v>0</v>
      </c>
      <c r="BK532" s="50">
        <v>0</v>
      </c>
      <c r="BL532" s="49">
        <v>26</v>
      </c>
      <c r="BM532" s="50">
        <v>100</v>
      </c>
      <c r="BN532" s="49">
        <v>26</v>
      </c>
    </row>
    <row r="533" spans="1:66" ht="15">
      <c r="A533" s="68" t="s">
        <v>405</v>
      </c>
      <c r="B533" s="68" t="s">
        <v>423</v>
      </c>
      <c r="C533" s="69" t="s">
        <v>5210</v>
      </c>
      <c r="D533" s="70">
        <v>10</v>
      </c>
      <c r="E533" s="71" t="s">
        <v>132</v>
      </c>
      <c r="F533" s="72">
        <v>10</v>
      </c>
      <c r="G533" s="69" t="s">
        <v>51</v>
      </c>
      <c r="H533" s="73"/>
      <c r="I533" s="74"/>
      <c r="J533" s="74"/>
      <c r="K533" s="35" t="s">
        <v>65</v>
      </c>
      <c r="L533" s="82">
        <v>533</v>
      </c>
      <c r="M533" s="82"/>
      <c r="N533" s="76"/>
      <c r="O533" s="84" t="s">
        <v>439</v>
      </c>
      <c r="P533" s="86">
        <v>44082.518958333334</v>
      </c>
      <c r="Q533" s="84" t="s">
        <v>457</v>
      </c>
      <c r="R533" s="84"/>
      <c r="S533" s="84"/>
      <c r="T533" s="84" t="s">
        <v>576</v>
      </c>
      <c r="U533" s="87" t="str">
        <f>HYPERLINK("https://pbs.twimg.com/media/Eg6GGrgXgAIxG2X.jpg")</f>
        <v>https://pbs.twimg.com/media/Eg6GGrgXgAIxG2X.jpg</v>
      </c>
      <c r="V533" s="87" t="str">
        <f>HYPERLINK("https://pbs.twimg.com/media/Eg6GGrgXgAIxG2X.jpg")</f>
        <v>https://pbs.twimg.com/media/Eg6GGrgXgAIxG2X.jpg</v>
      </c>
      <c r="W533" s="86">
        <v>44082.518958333334</v>
      </c>
      <c r="X533" s="90">
        <v>44082</v>
      </c>
      <c r="Y533" s="92" t="s">
        <v>937</v>
      </c>
      <c r="Z533" s="87" t="str">
        <f>HYPERLINK("https://twitter.com/nodequotesbot/status/1303308934523097090")</f>
        <v>https://twitter.com/nodequotesbot/status/1303308934523097090</v>
      </c>
      <c r="AA533" s="84"/>
      <c r="AB533" s="84"/>
      <c r="AC533" s="92" t="s">
        <v>1347</v>
      </c>
      <c r="AD533" s="84"/>
      <c r="AE533" s="84" t="b">
        <v>0</v>
      </c>
      <c r="AF533" s="84">
        <v>0</v>
      </c>
      <c r="AG533" s="92" t="s">
        <v>1453</v>
      </c>
      <c r="AH533" s="84" t="b">
        <v>0</v>
      </c>
      <c r="AI533" s="84" t="s">
        <v>1456</v>
      </c>
      <c r="AJ533" s="84"/>
      <c r="AK533" s="92" t="s">
        <v>1453</v>
      </c>
      <c r="AL533" s="84" t="b">
        <v>0</v>
      </c>
      <c r="AM533" s="84">
        <v>51</v>
      </c>
      <c r="AN533" s="92" t="s">
        <v>1425</v>
      </c>
      <c r="AO533" s="84" t="s">
        <v>1525</v>
      </c>
      <c r="AP533" s="84" t="b">
        <v>0</v>
      </c>
      <c r="AQ533" s="92" t="s">
        <v>1425</v>
      </c>
      <c r="AR533" s="84" t="s">
        <v>187</v>
      </c>
      <c r="AS533" s="84">
        <v>0</v>
      </c>
      <c r="AT533" s="84">
        <v>0</v>
      </c>
      <c r="AU533" s="84"/>
      <c r="AV533" s="84"/>
      <c r="AW533" s="84"/>
      <c r="AX533" s="84"/>
      <c r="AY533" s="84"/>
      <c r="AZ533" s="84"/>
      <c r="BA533" s="84"/>
      <c r="BB533" s="84"/>
      <c r="BC533">
        <v>4</v>
      </c>
      <c r="BD533" s="83" t="str">
        <f>REPLACE(INDEX(GroupVertices[Group],MATCH(Edges[[#This Row],[Vertex 1]],GroupVertices[Vertex],0)),1,1,"")</f>
        <v>1</v>
      </c>
      <c r="BE533" s="83" t="str">
        <f>REPLACE(INDEX(GroupVertices[Group],MATCH(Edges[[#This Row],[Vertex 2]],GroupVertices[Vertex],0)),1,1,"")</f>
        <v>1</v>
      </c>
      <c r="BF533" s="49">
        <v>0</v>
      </c>
      <c r="BG533" s="50">
        <v>0</v>
      </c>
      <c r="BH533" s="49">
        <v>0</v>
      </c>
      <c r="BI533" s="50">
        <v>0</v>
      </c>
      <c r="BJ533" s="49">
        <v>0</v>
      </c>
      <c r="BK533" s="50">
        <v>0</v>
      </c>
      <c r="BL533" s="49">
        <v>34</v>
      </c>
      <c r="BM533" s="50">
        <v>100</v>
      </c>
      <c r="BN533" s="49">
        <v>34</v>
      </c>
    </row>
    <row r="534" spans="1:66" ht="15">
      <c r="A534" s="68" t="s">
        <v>405</v>
      </c>
      <c r="B534" s="68" t="s">
        <v>423</v>
      </c>
      <c r="C534" s="69" t="s">
        <v>5210</v>
      </c>
      <c r="D534" s="70">
        <v>10</v>
      </c>
      <c r="E534" s="71" t="s">
        <v>132</v>
      </c>
      <c r="F534" s="72">
        <v>10</v>
      </c>
      <c r="G534" s="69" t="s">
        <v>51</v>
      </c>
      <c r="H534" s="73"/>
      <c r="I534" s="74"/>
      <c r="J534" s="74"/>
      <c r="K534" s="35" t="s">
        <v>65</v>
      </c>
      <c r="L534" s="82">
        <v>534</v>
      </c>
      <c r="M534" s="82"/>
      <c r="N534" s="76"/>
      <c r="O534" s="84" t="s">
        <v>439</v>
      </c>
      <c r="P534" s="86">
        <v>44082.58326388889</v>
      </c>
      <c r="Q534" s="84" t="s">
        <v>459</v>
      </c>
      <c r="R534" s="84"/>
      <c r="S534" s="84"/>
      <c r="T534" s="84" t="s">
        <v>578</v>
      </c>
      <c r="U534" s="87" t="str">
        <f>HYPERLINK("https://pbs.twimg.com/media/EhZc5KGWoAIz_Wo.jpg")</f>
        <v>https://pbs.twimg.com/media/EhZc5KGWoAIz_Wo.jpg</v>
      </c>
      <c r="V534" s="87" t="str">
        <f>HYPERLINK("https://pbs.twimg.com/media/EhZc5KGWoAIz_Wo.jpg")</f>
        <v>https://pbs.twimg.com/media/EhZc5KGWoAIz_Wo.jpg</v>
      </c>
      <c r="W534" s="86">
        <v>44082.58326388889</v>
      </c>
      <c r="X534" s="90">
        <v>44082</v>
      </c>
      <c r="Y534" s="92" t="s">
        <v>938</v>
      </c>
      <c r="Z534" s="87" t="str">
        <f>HYPERLINK("https://twitter.com/nodequotesbot/status/1303332235580305408")</f>
        <v>https://twitter.com/nodequotesbot/status/1303332235580305408</v>
      </c>
      <c r="AA534" s="84"/>
      <c r="AB534" s="84"/>
      <c r="AC534" s="92" t="s">
        <v>1348</v>
      </c>
      <c r="AD534" s="84"/>
      <c r="AE534" s="84" t="b">
        <v>0</v>
      </c>
      <c r="AF534" s="84">
        <v>0</v>
      </c>
      <c r="AG534" s="92" t="s">
        <v>1453</v>
      </c>
      <c r="AH534" s="84" t="b">
        <v>0</v>
      </c>
      <c r="AI534" s="84" t="s">
        <v>1456</v>
      </c>
      <c r="AJ534" s="84"/>
      <c r="AK534" s="92" t="s">
        <v>1453</v>
      </c>
      <c r="AL534" s="84" t="b">
        <v>0</v>
      </c>
      <c r="AM534" s="84">
        <v>44</v>
      </c>
      <c r="AN534" s="92" t="s">
        <v>1428</v>
      </c>
      <c r="AO534" s="84" t="s">
        <v>1525</v>
      </c>
      <c r="AP534" s="84" t="b">
        <v>0</v>
      </c>
      <c r="AQ534" s="92" t="s">
        <v>1428</v>
      </c>
      <c r="AR534" s="84" t="s">
        <v>187</v>
      </c>
      <c r="AS534" s="84">
        <v>0</v>
      </c>
      <c r="AT534" s="84">
        <v>0</v>
      </c>
      <c r="AU534" s="84"/>
      <c r="AV534" s="84"/>
      <c r="AW534" s="84"/>
      <c r="AX534" s="84"/>
      <c r="AY534" s="84"/>
      <c r="AZ534" s="84"/>
      <c r="BA534" s="84"/>
      <c r="BB534" s="84"/>
      <c r="BC534">
        <v>4</v>
      </c>
      <c r="BD534" s="83" t="str">
        <f>REPLACE(INDEX(GroupVertices[Group],MATCH(Edges[[#This Row],[Vertex 1]],GroupVertices[Vertex],0)),1,1,"")</f>
        <v>1</v>
      </c>
      <c r="BE534" s="83" t="str">
        <f>REPLACE(INDEX(GroupVertices[Group],MATCH(Edges[[#This Row],[Vertex 2]],GroupVertices[Vertex],0)),1,1,"")</f>
        <v>1</v>
      </c>
      <c r="BF534" s="49">
        <v>0</v>
      </c>
      <c r="BG534" s="50">
        <v>0</v>
      </c>
      <c r="BH534" s="49">
        <v>0</v>
      </c>
      <c r="BI534" s="50">
        <v>0</v>
      </c>
      <c r="BJ534" s="49">
        <v>0</v>
      </c>
      <c r="BK534" s="50">
        <v>0</v>
      </c>
      <c r="BL534" s="49">
        <v>30</v>
      </c>
      <c r="BM534" s="50">
        <v>100</v>
      </c>
      <c r="BN534" s="49">
        <v>30</v>
      </c>
    </row>
    <row r="535" spans="1:66" ht="15">
      <c r="A535" s="68" t="s">
        <v>405</v>
      </c>
      <c r="B535" s="68" t="s">
        <v>411</v>
      </c>
      <c r="C535" s="69" t="s">
        <v>5208</v>
      </c>
      <c r="D535" s="70">
        <v>1</v>
      </c>
      <c r="E535" s="71" t="s">
        <v>132</v>
      </c>
      <c r="F535" s="72">
        <v>32</v>
      </c>
      <c r="G535" s="69" t="s">
        <v>51</v>
      </c>
      <c r="H535" s="73"/>
      <c r="I535" s="74"/>
      <c r="J535" s="74"/>
      <c r="K535" s="35" t="s">
        <v>65</v>
      </c>
      <c r="L535" s="82">
        <v>535</v>
      </c>
      <c r="M535" s="82"/>
      <c r="N535" s="76"/>
      <c r="O535" s="84" t="s">
        <v>439</v>
      </c>
      <c r="P535" s="86">
        <v>44083.26913194444</v>
      </c>
      <c r="Q535" s="84" t="s">
        <v>513</v>
      </c>
      <c r="R535" s="84"/>
      <c r="S535" s="84"/>
      <c r="T535" s="84" t="s">
        <v>629</v>
      </c>
      <c r="U535" s="87" t="str">
        <f>HYPERLINK("https://pbs.twimg.com/media/Ehc8wWIXcAAl3_B.jpg")</f>
        <v>https://pbs.twimg.com/media/Ehc8wWIXcAAl3_B.jpg</v>
      </c>
      <c r="V535" s="87" t="str">
        <f>HYPERLINK("https://pbs.twimg.com/media/Ehc8wWIXcAAl3_B.jpg")</f>
        <v>https://pbs.twimg.com/media/Ehc8wWIXcAAl3_B.jpg</v>
      </c>
      <c r="W535" s="86">
        <v>44083.26913194444</v>
      </c>
      <c r="X535" s="90">
        <v>44083</v>
      </c>
      <c r="Y535" s="92" t="s">
        <v>939</v>
      </c>
      <c r="Z535" s="87" t="str">
        <f>HYPERLINK("https://twitter.com/nodequotesbot/status/1303580785115570176")</f>
        <v>https://twitter.com/nodequotesbot/status/1303580785115570176</v>
      </c>
      <c r="AA535" s="84"/>
      <c r="AB535" s="84"/>
      <c r="AC535" s="92" t="s">
        <v>1349</v>
      </c>
      <c r="AD535" s="84"/>
      <c r="AE535" s="84" t="b">
        <v>0</v>
      </c>
      <c r="AF535" s="84">
        <v>0</v>
      </c>
      <c r="AG535" s="92" t="s">
        <v>1453</v>
      </c>
      <c r="AH535" s="84" t="b">
        <v>0</v>
      </c>
      <c r="AI535" s="84" t="s">
        <v>1456</v>
      </c>
      <c r="AJ535" s="84"/>
      <c r="AK535" s="92" t="s">
        <v>1453</v>
      </c>
      <c r="AL535" s="84" t="b">
        <v>0</v>
      </c>
      <c r="AM535" s="84">
        <v>4</v>
      </c>
      <c r="AN535" s="92" t="s">
        <v>1376</v>
      </c>
      <c r="AO535" s="84" t="s">
        <v>1525</v>
      </c>
      <c r="AP535" s="84" t="b">
        <v>0</v>
      </c>
      <c r="AQ535" s="92" t="s">
        <v>1376</v>
      </c>
      <c r="AR535" s="84" t="s">
        <v>187</v>
      </c>
      <c r="AS535" s="84">
        <v>0</v>
      </c>
      <c r="AT535" s="84">
        <v>0</v>
      </c>
      <c r="AU535" s="84"/>
      <c r="AV535" s="84"/>
      <c r="AW535" s="84"/>
      <c r="AX535" s="84"/>
      <c r="AY535" s="84"/>
      <c r="AZ535" s="84"/>
      <c r="BA535" s="84"/>
      <c r="BB535" s="84"/>
      <c r="BC535">
        <v>1</v>
      </c>
      <c r="BD535" s="83" t="str">
        <f>REPLACE(INDEX(GroupVertices[Group],MATCH(Edges[[#This Row],[Vertex 1]],GroupVertices[Vertex],0)),1,1,"")</f>
        <v>1</v>
      </c>
      <c r="BE535" s="83" t="str">
        <f>REPLACE(INDEX(GroupVertices[Group],MATCH(Edges[[#This Row],[Vertex 2]],GroupVertices[Vertex],0)),1,1,"")</f>
        <v>1</v>
      </c>
      <c r="BF535" s="49">
        <v>0</v>
      </c>
      <c r="BG535" s="50">
        <v>0</v>
      </c>
      <c r="BH535" s="49">
        <v>0</v>
      </c>
      <c r="BI535" s="50">
        <v>0</v>
      </c>
      <c r="BJ535" s="49">
        <v>0</v>
      </c>
      <c r="BK535" s="50">
        <v>0</v>
      </c>
      <c r="BL535" s="49">
        <v>11</v>
      </c>
      <c r="BM535" s="50">
        <v>100</v>
      </c>
      <c r="BN535" s="49">
        <v>11</v>
      </c>
    </row>
    <row r="536" spans="1:66" ht="15">
      <c r="A536" s="68" t="s">
        <v>405</v>
      </c>
      <c r="B536" s="68" t="s">
        <v>423</v>
      </c>
      <c r="C536" s="69" t="s">
        <v>5210</v>
      </c>
      <c r="D536" s="70">
        <v>10</v>
      </c>
      <c r="E536" s="71" t="s">
        <v>132</v>
      </c>
      <c r="F536" s="72">
        <v>10</v>
      </c>
      <c r="G536" s="69" t="s">
        <v>51</v>
      </c>
      <c r="H536" s="73"/>
      <c r="I536" s="74"/>
      <c r="J536" s="74"/>
      <c r="K536" s="35" t="s">
        <v>65</v>
      </c>
      <c r="L536" s="82">
        <v>536</v>
      </c>
      <c r="M536" s="82"/>
      <c r="N536" s="76"/>
      <c r="O536" s="84" t="s">
        <v>439</v>
      </c>
      <c r="P536" s="86">
        <v>44084.139861111114</v>
      </c>
      <c r="Q536" s="84" t="s">
        <v>459</v>
      </c>
      <c r="R536" s="84"/>
      <c r="S536" s="84"/>
      <c r="T536" s="84" t="s">
        <v>578</v>
      </c>
      <c r="U536" s="87" t="str">
        <f>HYPERLINK("https://pbs.twimg.com/media/EhZc5KGWoAIz_Wo.jpg")</f>
        <v>https://pbs.twimg.com/media/EhZc5KGWoAIz_Wo.jpg</v>
      </c>
      <c r="V536" s="87" t="str">
        <f>HYPERLINK("https://pbs.twimg.com/media/EhZc5KGWoAIz_Wo.jpg")</f>
        <v>https://pbs.twimg.com/media/EhZc5KGWoAIz_Wo.jpg</v>
      </c>
      <c r="W536" s="86">
        <v>44084.139861111114</v>
      </c>
      <c r="X536" s="90">
        <v>44084</v>
      </c>
      <c r="Y536" s="92" t="s">
        <v>940</v>
      </c>
      <c r="Z536" s="87" t="str">
        <f>HYPERLINK("https://twitter.com/nodequotesbot/status/1303896326258778112")</f>
        <v>https://twitter.com/nodequotesbot/status/1303896326258778112</v>
      </c>
      <c r="AA536" s="84"/>
      <c r="AB536" s="84"/>
      <c r="AC536" s="92" t="s">
        <v>1350</v>
      </c>
      <c r="AD536" s="84"/>
      <c r="AE536" s="84" t="b">
        <v>0</v>
      </c>
      <c r="AF536" s="84">
        <v>0</v>
      </c>
      <c r="AG536" s="92" t="s">
        <v>1453</v>
      </c>
      <c r="AH536" s="84" t="b">
        <v>0</v>
      </c>
      <c r="AI536" s="84" t="s">
        <v>1456</v>
      </c>
      <c r="AJ536" s="84"/>
      <c r="AK536" s="92" t="s">
        <v>1453</v>
      </c>
      <c r="AL536" s="84" t="b">
        <v>0</v>
      </c>
      <c r="AM536" s="84">
        <v>44</v>
      </c>
      <c r="AN536" s="92" t="s">
        <v>1428</v>
      </c>
      <c r="AO536" s="84" t="s">
        <v>1525</v>
      </c>
      <c r="AP536" s="84" t="b">
        <v>0</v>
      </c>
      <c r="AQ536" s="92" t="s">
        <v>1428</v>
      </c>
      <c r="AR536" s="84" t="s">
        <v>187</v>
      </c>
      <c r="AS536" s="84">
        <v>0</v>
      </c>
      <c r="AT536" s="84">
        <v>0</v>
      </c>
      <c r="AU536" s="84"/>
      <c r="AV536" s="84"/>
      <c r="AW536" s="84"/>
      <c r="AX536" s="84"/>
      <c r="AY536" s="84"/>
      <c r="AZ536" s="84"/>
      <c r="BA536" s="84"/>
      <c r="BB536" s="84"/>
      <c r="BC536">
        <v>4</v>
      </c>
      <c r="BD536" s="83" t="str">
        <f>REPLACE(INDEX(GroupVertices[Group],MATCH(Edges[[#This Row],[Vertex 1]],GroupVertices[Vertex],0)),1,1,"")</f>
        <v>1</v>
      </c>
      <c r="BE536" s="83" t="str">
        <f>REPLACE(INDEX(GroupVertices[Group],MATCH(Edges[[#This Row],[Vertex 2]],GroupVertices[Vertex],0)),1,1,"")</f>
        <v>1</v>
      </c>
      <c r="BF536" s="49">
        <v>0</v>
      </c>
      <c r="BG536" s="50">
        <v>0</v>
      </c>
      <c r="BH536" s="49">
        <v>0</v>
      </c>
      <c r="BI536" s="50">
        <v>0</v>
      </c>
      <c r="BJ536" s="49">
        <v>0</v>
      </c>
      <c r="BK536" s="50">
        <v>0</v>
      </c>
      <c r="BL536" s="49">
        <v>30</v>
      </c>
      <c r="BM536" s="50">
        <v>100</v>
      </c>
      <c r="BN536" s="49">
        <v>30</v>
      </c>
    </row>
    <row r="537" spans="1:66" ht="15">
      <c r="A537" s="68" t="s">
        <v>405</v>
      </c>
      <c r="B537" s="68" t="s">
        <v>421</v>
      </c>
      <c r="C537" s="69" t="s">
        <v>5209</v>
      </c>
      <c r="D537" s="70">
        <v>6.678367782143116</v>
      </c>
      <c r="E537" s="71" t="s">
        <v>132</v>
      </c>
      <c r="F537" s="72">
        <v>21</v>
      </c>
      <c r="G537" s="69" t="s">
        <v>51</v>
      </c>
      <c r="H537" s="73"/>
      <c r="I537" s="74"/>
      <c r="J537" s="74"/>
      <c r="K537" s="35" t="s">
        <v>65</v>
      </c>
      <c r="L537" s="82">
        <v>537</v>
      </c>
      <c r="M537" s="82"/>
      <c r="N537" s="76"/>
      <c r="O537" s="84" t="s">
        <v>439</v>
      </c>
      <c r="P537" s="86">
        <v>44084.642916666664</v>
      </c>
      <c r="Q537" s="84" t="s">
        <v>479</v>
      </c>
      <c r="R537" s="87" t="str">
        <f>HYPERLINK("https://akashmishra75.herokuapp.com/")</f>
        <v>https://akashmishra75.herokuapp.com/</v>
      </c>
      <c r="S537" s="84" t="s">
        <v>547</v>
      </c>
      <c r="T537" s="84" t="s">
        <v>595</v>
      </c>
      <c r="U537" s="87" t="str">
        <f>HYPERLINK("https://pbs.twimg.com/ext_tw_video_thumb/1299340580011433985/pu/img/BLbI7sTMAVVWOb9h.jpg")</f>
        <v>https://pbs.twimg.com/ext_tw_video_thumb/1299340580011433985/pu/img/BLbI7sTMAVVWOb9h.jpg</v>
      </c>
      <c r="V537" s="87" t="str">
        <f>HYPERLINK("https://pbs.twimg.com/ext_tw_video_thumb/1299340580011433985/pu/img/BLbI7sTMAVVWOb9h.jpg")</f>
        <v>https://pbs.twimg.com/ext_tw_video_thumb/1299340580011433985/pu/img/BLbI7sTMAVVWOb9h.jpg</v>
      </c>
      <c r="W537" s="86">
        <v>44084.642916666664</v>
      </c>
      <c r="X537" s="90">
        <v>44084</v>
      </c>
      <c r="Y537" s="92" t="s">
        <v>941</v>
      </c>
      <c r="Z537" s="87" t="str">
        <f>HYPERLINK("https://twitter.com/nodequotesbot/status/1304078630407073801")</f>
        <v>https://twitter.com/nodequotesbot/status/1304078630407073801</v>
      </c>
      <c r="AA537" s="84"/>
      <c r="AB537" s="84"/>
      <c r="AC537" s="92" t="s">
        <v>1351</v>
      </c>
      <c r="AD537" s="84"/>
      <c r="AE537" s="84" t="b">
        <v>0</v>
      </c>
      <c r="AF537" s="84">
        <v>0</v>
      </c>
      <c r="AG537" s="92" t="s">
        <v>1453</v>
      </c>
      <c r="AH537" s="84" t="b">
        <v>0</v>
      </c>
      <c r="AI537" s="84" t="s">
        <v>1456</v>
      </c>
      <c r="AJ537" s="84"/>
      <c r="AK537" s="92" t="s">
        <v>1453</v>
      </c>
      <c r="AL537" s="84" t="b">
        <v>0</v>
      </c>
      <c r="AM537" s="84">
        <v>76</v>
      </c>
      <c r="AN537" s="92" t="s">
        <v>1418</v>
      </c>
      <c r="AO537" s="84" t="s">
        <v>1525</v>
      </c>
      <c r="AP537" s="84" t="b">
        <v>0</v>
      </c>
      <c r="AQ537" s="92" t="s">
        <v>1418</v>
      </c>
      <c r="AR537" s="84" t="s">
        <v>187</v>
      </c>
      <c r="AS537" s="84">
        <v>0</v>
      </c>
      <c r="AT537" s="84">
        <v>0</v>
      </c>
      <c r="AU537" s="84"/>
      <c r="AV537" s="84"/>
      <c r="AW537" s="84"/>
      <c r="AX537" s="84"/>
      <c r="AY537" s="84"/>
      <c r="AZ537" s="84"/>
      <c r="BA537" s="84"/>
      <c r="BB537" s="84"/>
      <c r="BC537">
        <v>2</v>
      </c>
      <c r="BD537" s="83" t="str">
        <f>REPLACE(INDEX(GroupVertices[Group],MATCH(Edges[[#This Row],[Vertex 1]],GroupVertices[Vertex],0)),1,1,"")</f>
        <v>1</v>
      </c>
      <c r="BE537" s="83" t="str">
        <f>REPLACE(INDEX(GroupVertices[Group],MATCH(Edges[[#This Row],[Vertex 2]],GroupVertices[Vertex],0)),1,1,"")</f>
        <v>8</v>
      </c>
      <c r="BF537" s="49">
        <v>0</v>
      </c>
      <c r="BG537" s="50">
        <v>0</v>
      </c>
      <c r="BH537" s="49">
        <v>0</v>
      </c>
      <c r="BI537" s="50">
        <v>0</v>
      </c>
      <c r="BJ537" s="49">
        <v>0</v>
      </c>
      <c r="BK537" s="50">
        <v>0</v>
      </c>
      <c r="BL537" s="49">
        <v>42</v>
      </c>
      <c r="BM537" s="50">
        <v>100</v>
      </c>
      <c r="BN537" s="49">
        <v>42</v>
      </c>
    </row>
    <row r="538" spans="1:66" ht="15">
      <c r="A538" s="68" t="s">
        <v>405</v>
      </c>
      <c r="B538" s="68" t="s">
        <v>417</v>
      </c>
      <c r="C538" s="69" t="s">
        <v>5209</v>
      </c>
      <c r="D538" s="70">
        <v>6.678367782143116</v>
      </c>
      <c r="E538" s="71" t="s">
        <v>132</v>
      </c>
      <c r="F538" s="72">
        <v>21</v>
      </c>
      <c r="G538" s="69" t="s">
        <v>51</v>
      </c>
      <c r="H538" s="73"/>
      <c r="I538" s="74"/>
      <c r="J538" s="74"/>
      <c r="K538" s="35" t="s">
        <v>65</v>
      </c>
      <c r="L538" s="82">
        <v>538</v>
      </c>
      <c r="M538" s="82"/>
      <c r="N538" s="76"/>
      <c r="O538" s="84" t="s">
        <v>439</v>
      </c>
      <c r="P538" s="86">
        <v>44084.66473379629</v>
      </c>
      <c r="Q538" s="84" t="s">
        <v>450</v>
      </c>
      <c r="R538"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538" s="84" t="s">
        <v>533</v>
      </c>
      <c r="T538" s="84"/>
      <c r="U538" s="84"/>
      <c r="V538" s="87" t="str">
        <f>HYPERLINK("http://pbs.twimg.com/profile_images/1272605555497078785/WLzdWQ-o_normal.jpg")</f>
        <v>http://pbs.twimg.com/profile_images/1272605555497078785/WLzdWQ-o_normal.jpg</v>
      </c>
      <c r="W538" s="86">
        <v>44084.66473379629</v>
      </c>
      <c r="X538" s="90">
        <v>44084</v>
      </c>
      <c r="Y538" s="92" t="s">
        <v>942</v>
      </c>
      <c r="Z538" s="87" t="str">
        <f>HYPERLINK("https://twitter.com/nodequotesbot/status/1304086537655775240")</f>
        <v>https://twitter.com/nodequotesbot/status/1304086537655775240</v>
      </c>
      <c r="AA538" s="84"/>
      <c r="AB538" s="84"/>
      <c r="AC538" s="92" t="s">
        <v>1352</v>
      </c>
      <c r="AD538" s="84"/>
      <c r="AE538" s="84" t="b">
        <v>0</v>
      </c>
      <c r="AF538" s="84">
        <v>0</v>
      </c>
      <c r="AG538" s="92" t="s">
        <v>1453</v>
      </c>
      <c r="AH538" s="84" t="b">
        <v>0</v>
      </c>
      <c r="AI538" s="84" t="s">
        <v>1456</v>
      </c>
      <c r="AJ538" s="84"/>
      <c r="AK538" s="92" t="s">
        <v>1453</v>
      </c>
      <c r="AL538" s="84" t="b">
        <v>0</v>
      </c>
      <c r="AM538" s="84">
        <v>31</v>
      </c>
      <c r="AN538" s="92" t="s">
        <v>1396</v>
      </c>
      <c r="AO538" s="84" t="s">
        <v>1525</v>
      </c>
      <c r="AP538" s="84" t="b">
        <v>0</v>
      </c>
      <c r="AQ538" s="92" t="s">
        <v>1396</v>
      </c>
      <c r="AR538" s="84" t="s">
        <v>187</v>
      </c>
      <c r="AS538" s="84">
        <v>0</v>
      </c>
      <c r="AT538" s="84">
        <v>0</v>
      </c>
      <c r="AU538" s="84"/>
      <c r="AV538" s="84"/>
      <c r="AW538" s="84"/>
      <c r="AX538" s="84"/>
      <c r="AY538" s="84"/>
      <c r="AZ538" s="84"/>
      <c r="BA538" s="84"/>
      <c r="BB538" s="84"/>
      <c r="BC538">
        <v>2</v>
      </c>
      <c r="BD538" s="83" t="str">
        <f>REPLACE(INDEX(GroupVertices[Group],MATCH(Edges[[#This Row],[Vertex 1]],GroupVertices[Vertex],0)),1,1,"")</f>
        <v>1</v>
      </c>
      <c r="BE538" s="83" t="str">
        <f>REPLACE(INDEX(GroupVertices[Group],MATCH(Edges[[#This Row],[Vertex 2]],GroupVertices[Vertex],0)),1,1,"")</f>
        <v>2</v>
      </c>
      <c r="BF538" s="49">
        <v>0</v>
      </c>
      <c r="BG538" s="50">
        <v>0</v>
      </c>
      <c r="BH538" s="49">
        <v>0</v>
      </c>
      <c r="BI538" s="50">
        <v>0</v>
      </c>
      <c r="BJ538" s="49">
        <v>0</v>
      </c>
      <c r="BK538" s="50">
        <v>0</v>
      </c>
      <c r="BL538" s="49">
        <v>26</v>
      </c>
      <c r="BM538" s="50">
        <v>100</v>
      </c>
      <c r="BN538" s="49">
        <v>26</v>
      </c>
    </row>
    <row r="539" spans="1:66" ht="15">
      <c r="A539" s="68" t="s">
        <v>405</v>
      </c>
      <c r="B539" s="68" t="s">
        <v>423</v>
      </c>
      <c r="C539" s="69" t="s">
        <v>5210</v>
      </c>
      <c r="D539" s="70">
        <v>10</v>
      </c>
      <c r="E539" s="71" t="s">
        <v>132</v>
      </c>
      <c r="F539" s="72">
        <v>10</v>
      </c>
      <c r="G539" s="69" t="s">
        <v>51</v>
      </c>
      <c r="H539" s="73"/>
      <c r="I539" s="74"/>
      <c r="J539" s="74"/>
      <c r="K539" s="35" t="s">
        <v>65</v>
      </c>
      <c r="L539" s="82">
        <v>539</v>
      </c>
      <c r="M539" s="82"/>
      <c r="N539" s="76"/>
      <c r="O539" s="84" t="s">
        <v>439</v>
      </c>
      <c r="P539" s="86">
        <v>44085.163125</v>
      </c>
      <c r="Q539" s="84" t="s">
        <v>474</v>
      </c>
      <c r="R539" s="84"/>
      <c r="S539" s="84"/>
      <c r="T539" s="84" t="s">
        <v>591</v>
      </c>
      <c r="U539" s="87" t="str">
        <f>HYPERLINK("https://pbs.twimg.com/media/EhOErS9WAAUfUqQ.jpg")</f>
        <v>https://pbs.twimg.com/media/EhOErS9WAAUfUqQ.jpg</v>
      </c>
      <c r="V539" s="87" t="str">
        <f>HYPERLINK("https://pbs.twimg.com/media/EhOErS9WAAUfUqQ.jpg")</f>
        <v>https://pbs.twimg.com/media/EhOErS9WAAUfUqQ.jpg</v>
      </c>
      <c r="W539" s="86">
        <v>44085.163125</v>
      </c>
      <c r="X539" s="90">
        <v>44085</v>
      </c>
      <c r="Y539" s="92" t="s">
        <v>943</v>
      </c>
      <c r="Z539" s="87" t="str">
        <f>HYPERLINK("https://twitter.com/nodequotesbot/status/1304267147502329857")</f>
        <v>https://twitter.com/nodequotesbot/status/1304267147502329857</v>
      </c>
      <c r="AA539" s="84"/>
      <c r="AB539" s="84"/>
      <c r="AC539" s="92" t="s">
        <v>1353</v>
      </c>
      <c r="AD539" s="84"/>
      <c r="AE539" s="84" t="b">
        <v>0</v>
      </c>
      <c r="AF539" s="84">
        <v>0</v>
      </c>
      <c r="AG539" s="92" t="s">
        <v>1453</v>
      </c>
      <c r="AH539" s="84" t="b">
        <v>0</v>
      </c>
      <c r="AI539" s="84" t="s">
        <v>1456</v>
      </c>
      <c r="AJ539" s="84"/>
      <c r="AK539" s="92" t="s">
        <v>1453</v>
      </c>
      <c r="AL539" s="84" t="b">
        <v>0</v>
      </c>
      <c r="AM539" s="84">
        <v>55</v>
      </c>
      <c r="AN539" s="92" t="s">
        <v>1426</v>
      </c>
      <c r="AO539" s="84" t="s">
        <v>1525</v>
      </c>
      <c r="AP539" s="84" t="b">
        <v>0</v>
      </c>
      <c r="AQ539" s="92" t="s">
        <v>1426</v>
      </c>
      <c r="AR539" s="84" t="s">
        <v>187</v>
      </c>
      <c r="AS539" s="84">
        <v>0</v>
      </c>
      <c r="AT539" s="84">
        <v>0</v>
      </c>
      <c r="AU539" s="84"/>
      <c r="AV539" s="84"/>
      <c r="AW539" s="84"/>
      <c r="AX539" s="84"/>
      <c r="AY539" s="84"/>
      <c r="AZ539" s="84"/>
      <c r="BA539" s="84"/>
      <c r="BB539" s="84"/>
      <c r="BC539">
        <v>4</v>
      </c>
      <c r="BD539" s="83" t="str">
        <f>REPLACE(INDEX(GroupVertices[Group],MATCH(Edges[[#This Row],[Vertex 1]],GroupVertices[Vertex],0)),1,1,"")</f>
        <v>1</v>
      </c>
      <c r="BE539" s="83" t="str">
        <f>REPLACE(INDEX(GroupVertices[Group],MATCH(Edges[[#This Row],[Vertex 2]],GroupVertices[Vertex],0)),1,1,"")</f>
        <v>1</v>
      </c>
      <c r="BF539" s="49">
        <v>0</v>
      </c>
      <c r="BG539" s="50">
        <v>0</v>
      </c>
      <c r="BH539" s="49">
        <v>0</v>
      </c>
      <c r="BI539" s="50">
        <v>0</v>
      </c>
      <c r="BJ539" s="49">
        <v>0</v>
      </c>
      <c r="BK539" s="50">
        <v>0</v>
      </c>
      <c r="BL539" s="49">
        <v>31</v>
      </c>
      <c r="BM539" s="50">
        <v>100</v>
      </c>
      <c r="BN539" s="49">
        <v>31</v>
      </c>
    </row>
    <row r="540" spans="1:66" ht="15">
      <c r="A540" s="68" t="s">
        <v>405</v>
      </c>
      <c r="B540" s="68" t="s">
        <v>421</v>
      </c>
      <c r="C540" s="69" t="s">
        <v>5209</v>
      </c>
      <c r="D540" s="70">
        <v>6.678367782143116</v>
      </c>
      <c r="E540" s="71" t="s">
        <v>132</v>
      </c>
      <c r="F540" s="72">
        <v>21</v>
      </c>
      <c r="G540" s="69" t="s">
        <v>51</v>
      </c>
      <c r="H540" s="73"/>
      <c r="I540" s="74"/>
      <c r="J540" s="74"/>
      <c r="K540" s="35" t="s">
        <v>65</v>
      </c>
      <c r="L540" s="82">
        <v>540</v>
      </c>
      <c r="M540" s="82"/>
      <c r="N540" s="76"/>
      <c r="O540" s="84" t="s">
        <v>439</v>
      </c>
      <c r="P540" s="86">
        <v>44085.16777777778</v>
      </c>
      <c r="Q540" s="84" t="s">
        <v>479</v>
      </c>
      <c r="R540" s="87" t="str">
        <f>HYPERLINK("https://akashmishra75.herokuapp.com/")</f>
        <v>https://akashmishra75.herokuapp.com/</v>
      </c>
      <c r="S540" s="84" t="s">
        <v>547</v>
      </c>
      <c r="T540" s="84" t="s">
        <v>595</v>
      </c>
      <c r="U540" s="87" t="str">
        <f>HYPERLINK("https://pbs.twimg.com/ext_tw_video_thumb/1299340580011433985/pu/img/BLbI7sTMAVVWOb9h.jpg")</f>
        <v>https://pbs.twimg.com/ext_tw_video_thumb/1299340580011433985/pu/img/BLbI7sTMAVVWOb9h.jpg</v>
      </c>
      <c r="V540" s="87" t="str">
        <f>HYPERLINK("https://pbs.twimg.com/ext_tw_video_thumb/1299340580011433985/pu/img/BLbI7sTMAVVWOb9h.jpg")</f>
        <v>https://pbs.twimg.com/ext_tw_video_thumb/1299340580011433985/pu/img/BLbI7sTMAVVWOb9h.jpg</v>
      </c>
      <c r="W540" s="86">
        <v>44085.16777777778</v>
      </c>
      <c r="X540" s="90">
        <v>44085</v>
      </c>
      <c r="Y540" s="92" t="s">
        <v>944</v>
      </c>
      <c r="Z540" s="87" t="str">
        <f>HYPERLINK("https://twitter.com/nodequotesbot/status/1304268834560409601")</f>
        <v>https://twitter.com/nodequotesbot/status/1304268834560409601</v>
      </c>
      <c r="AA540" s="84"/>
      <c r="AB540" s="84"/>
      <c r="AC540" s="92" t="s">
        <v>1354</v>
      </c>
      <c r="AD540" s="84"/>
      <c r="AE540" s="84" t="b">
        <v>0</v>
      </c>
      <c r="AF540" s="84">
        <v>0</v>
      </c>
      <c r="AG540" s="92" t="s">
        <v>1453</v>
      </c>
      <c r="AH540" s="84" t="b">
        <v>0</v>
      </c>
      <c r="AI540" s="84" t="s">
        <v>1456</v>
      </c>
      <c r="AJ540" s="84"/>
      <c r="AK540" s="92" t="s">
        <v>1453</v>
      </c>
      <c r="AL540" s="84" t="b">
        <v>0</v>
      </c>
      <c r="AM540" s="84">
        <v>76</v>
      </c>
      <c r="AN540" s="92" t="s">
        <v>1418</v>
      </c>
      <c r="AO540" s="84" t="s">
        <v>1525</v>
      </c>
      <c r="AP540" s="84" t="b">
        <v>0</v>
      </c>
      <c r="AQ540" s="92" t="s">
        <v>1418</v>
      </c>
      <c r="AR540" s="84" t="s">
        <v>187</v>
      </c>
      <c r="AS540" s="84">
        <v>0</v>
      </c>
      <c r="AT540" s="84">
        <v>0</v>
      </c>
      <c r="AU540" s="84"/>
      <c r="AV540" s="84"/>
      <c r="AW540" s="84"/>
      <c r="AX540" s="84"/>
      <c r="AY540" s="84"/>
      <c r="AZ540" s="84"/>
      <c r="BA540" s="84"/>
      <c r="BB540" s="84"/>
      <c r="BC540">
        <v>2</v>
      </c>
      <c r="BD540" s="83" t="str">
        <f>REPLACE(INDEX(GroupVertices[Group],MATCH(Edges[[#This Row],[Vertex 1]],GroupVertices[Vertex],0)),1,1,"")</f>
        <v>1</v>
      </c>
      <c r="BE540" s="83" t="str">
        <f>REPLACE(INDEX(GroupVertices[Group],MATCH(Edges[[#This Row],[Vertex 2]],GroupVertices[Vertex],0)),1,1,"")</f>
        <v>8</v>
      </c>
      <c r="BF540" s="49">
        <v>0</v>
      </c>
      <c r="BG540" s="50">
        <v>0</v>
      </c>
      <c r="BH540" s="49">
        <v>0</v>
      </c>
      <c r="BI540" s="50">
        <v>0</v>
      </c>
      <c r="BJ540" s="49">
        <v>0</v>
      </c>
      <c r="BK540" s="50">
        <v>0</v>
      </c>
      <c r="BL540" s="49">
        <v>42</v>
      </c>
      <c r="BM540" s="50">
        <v>100</v>
      </c>
      <c r="BN540" s="49">
        <v>42</v>
      </c>
    </row>
    <row r="541" spans="1:66" ht="15">
      <c r="A541" s="68" t="s">
        <v>405</v>
      </c>
      <c r="B541" s="68" t="s">
        <v>436</v>
      </c>
      <c r="C541" s="69" t="s">
        <v>5209</v>
      </c>
      <c r="D541" s="70">
        <v>6.678367782143116</v>
      </c>
      <c r="E541" s="71" t="s">
        <v>132</v>
      </c>
      <c r="F541" s="72">
        <v>21</v>
      </c>
      <c r="G541" s="69" t="s">
        <v>51</v>
      </c>
      <c r="H541" s="73"/>
      <c r="I541" s="74"/>
      <c r="J541" s="74"/>
      <c r="K541" s="35" t="s">
        <v>65</v>
      </c>
      <c r="L541" s="82">
        <v>541</v>
      </c>
      <c r="M541" s="82"/>
      <c r="N541" s="76"/>
      <c r="O541" s="84" t="s">
        <v>440</v>
      </c>
      <c r="P541" s="86">
        <v>44087.11491898148</v>
      </c>
      <c r="Q541" s="84" t="s">
        <v>490</v>
      </c>
      <c r="R541" s="87" t="str">
        <f>HYPERLINK("https://online-learning.harvard.edu/catalog")</f>
        <v>https://online-learning.harvard.edu/catalog</v>
      </c>
      <c r="S541" s="84" t="s">
        <v>551</v>
      </c>
      <c r="T541" s="84" t="s">
        <v>606</v>
      </c>
      <c r="U541" s="84"/>
      <c r="V541" s="87" t="str">
        <f>HYPERLINK("http://pbs.twimg.com/profile_images/1272605555497078785/WLzdWQ-o_normal.jpg")</f>
        <v>http://pbs.twimg.com/profile_images/1272605555497078785/WLzdWQ-o_normal.jpg</v>
      </c>
      <c r="W541" s="86">
        <v>44087.11491898148</v>
      </c>
      <c r="X541" s="90">
        <v>44087</v>
      </c>
      <c r="Y541" s="92" t="s">
        <v>945</v>
      </c>
      <c r="Z541" s="87" t="str">
        <f>HYPERLINK("https://twitter.com/nodequotesbot/status/1304974451881029634")</f>
        <v>https://twitter.com/nodequotesbot/status/1304974451881029634</v>
      </c>
      <c r="AA541" s="84"/>
      <c r="AB541" s="84"/>
      <c r="AC541" s="92" t="s">
        <v>1355</v>
      </c>
      <c r="AD541" s="84"/>
      <c r="AE541" s="84" t="b">
        <v>0</v>
      </c>
      <c r="AF541" s="84">
        <v>0</v>
      </c>
      <c r="AG541" s="92" t="s">
        <v>1453</v>
      </c>
      <c r="AH541" s="84" t="b">
        <v>0</v>
      </c>
      <c r="AI541" s="84" t="s">
        <v>1456</v>
      </c>
      <c r="AJ541" s="84"/>
      <c r="AK541" s="92" t="s">
        <v>1453</v>
      </c>
      <c r="AL541" s="84" t="b">
        <v>0</v>
      </c>
      <c r="AM541" s="84">
        <v>449</v>
      </c>
      <c r="AN541" s="92" t="s">
        <v>1406</v>
      </c>
      <c r="AO541" s="84" t="s">
        <v>1525</v>
      </c>
      <c r="AP541" s="84" t="b">
        <v>0</v>
      </c>
      <c r="AQ541" s="92" t="s">
        <v>1406</v>
      </c>
      <c r="AR541" s="84" t="s">
        <v>187</v>
      </c>
      <c r="AS541" s="84">
        <v>0</v>
      </c>
      <c r="AT541" s="84">
        <v>0</v>
      </c>
      <c r="AU541" s="84"/>
      <c r="AV541" s="84"/>
      <c r="AW541" s="84"/>
      <c r="AX541" s="84"/>
      <c r="AY541" s="84"/>
      <c r="AZ541" s="84"/>
      <c r="BA541" s="84"/>
      <c r="BB541" s="84"/>
      <c r="BC541">
        <v>2</v>
      </c>
      <c r="BD541" s="83" t="str">
        <f>REPLACE(INDEX(GroupVertices[Group],MATCH(Edges[[#This Row],[Vertex 1]],GroupVertices[Vertex],0)),1,1,"")</f>
        <v>1</v>
      </c>
      <c r="BE541" s="83" t="str">
        <f>REPLACE(INDEX(GroupVertices[Group],MATCH(Edges[[#This Row],[Vertex 2]],GroupVertices[Vertex],0)),1,1,"")</f>
        <v>1</v>
      </c>
      <c r="BF541" s="49"/>
      <c r="BG541" s="50"/>
      <c r="BH541" s="49"/>
      <c r="BI541" s="50"/>
      <c r="BJ541" s="49"/>
      <c r="BK541" s="50"/>
      <c r="BL541" s="49"/>
      <c r="BM541" s="50"/>
      <c r="BN541" s="49"/>
    </row>
    <row r="542" spans="1:66" ht="15">
      <c r="A542" s="68" t="s">
        <v>405</v>
      </c>
      <c r="B542" s="68" t="s">
        <v>418</v>
      </c>
      <c r="C542" s="69" t="s">
        <v>5209</v>
      </c>
      <c r="D542" s="70">
        <v>6.678367782143116</v>
      </c>
      <c r="E542" s="71" t="s">
        <v>132</v>
      </c>
      <c r="F542" s="72">
        <v>21</v>
      </c>
      <c r="G542" s="69" t="s">
        <v>51</v>
      </c>
      <c r="H542" s="73"/>
      <c r="I542" s="74"/>
      <c r="J542" s="74"/>
      <c r="K542" s="35" t="s">
        <v>65</v>
      </c>
      <c r="L542" s="82">
        <v>542</v>
      </c>
      <c r="M542" s="82"/>
      <c r="N542" s="76"/>
      <c r="O542" s="84" t="s">
        <v>439</v>
      </c>
      <c r="P542" s="86">
        <v>44087.11491898148</v>
      </c>
      <c r="Q542" s="84" t="s">
        <v>490</v>
      </c>
      <c r="R542" s="87" t="str">
        <f>HYPERLINK("https://online-learning.harvard.edu/catalog")</f>
        <v>https://online-learning.harvard.edu/catalog</v>
      </c>
      <c r="S542" s="84" t="s">
        <v>551</v>
      </c>
      <c r="T542" s="84" t="s">
        <v>606</v>
      </c>
      <c r="U542" s="84"/>
      <c r="V542" s="87" t="str">
        <f>HYPERLINK("http://pbs.twimg.com/profile_images/1272605555497078785/WLzdWQ-o_normal.jpg")</f>
        <v>http://pbs.twimg.com/profile_images/1272605555497078785/WLzdWQ-o_normal.jpg</v>
      </c>
      <c r="W542" s="86">
        <v>44087.11491898148</v>
      </c>
      <c r="X542" s="90">
        <v>44087</v>
      </c>
      <c r="Y542" s="92" t="s">
        <v>945</v>
      </c>
      <c r="Z542" s="87" t="str">
        <f>HYPERLINK("https://twitter.com/nodequotesbot/status/1304974451881029634")</f>
        <v>https://twitter.com/nodequotesbot/status/1304974451881029634</v>
      </c>
      <c r="AA542" s="84"/>
      <c r="AB542" s="84"/>
      <c r="AC542" s="92" t="s">
        <v>1355</v>
      </c>
      <c r="AD542" s="84"/>
      <c r="AE542" s="84" t="b">
        <v>0</v>
      </c>
      <c r="AF542" s="84">
        <v>0</v>
      </c>
      <c r="AG542" s="92" t="s">
        <v>1453</v>
      </c>
      <c r="AH542" s="84" t="b">
        <v>0</v>
      </c>
      <c r="AI542" s="84" t="s">
        <v>1456</v>
      </c>
      <c r="AJ542" s="84"/>
      <c r="AK542" s="92" t="s">
        <v>1453</v>
      </c>
      <c r="AL542" s="84" t="b">
        <v>0</v>
      </c>
      <c r="AM542" s="84">
        <v>449</v>
      </c>
      <c r="AN542" s="92" t="s">
        <v>1406</v>
      </c>
      <c r="AO542" s="84" t="s">
        <v>1525</v>
      </c>
      <c r="AP542" s="84" t="b">
        <v>0</v>
      </c>
      <c r="AQ542" s="92" t="s">
        <v>1406</v>
      </c>
      <c r="AR542" s="84" t="s">
        <v>187</v>
      </c>
      <c r="AS542" s="84">
        <v>0</v>
      </c>
      <c r="AT542" s="84">
        <v>0</v>
      </c>
      <c r="AU542" s="84"/>
      <c r="AV542" s="84"/>
      <c r="AW542" s="84"/>
      <c r="AX542" s="84"/>
      <c r="AY542" s="84"/>
      <c r="AZ542" s="84"/>
      <c r="BA542" s="84"/>
      <c r="BB542" s="84"/>
      <c r="BC542">
        <v>2</v>
      </c>
      <c r="BD542" s="83" t="str">
        <f>REPLACE(INDEX(GroupVertices[Group],MATCH(Edges[[#This Row],[Vertex 1]],GroupVertices[Vertex],0)),1,1,"")</f>
        <v>1</v>
      </c>
      <c r="BE542" s="83" t="str">
        <f>REPLACE(INDEX(GroupVertices[Group],MATCH(Edges[[#This Row],[Vertex 2]],GroupVertices[Vertex],0)),1,1,"")</f>
        <v>1</v>
      </c>
      <c r="BF542" s="49">
        <v>0</v>
      </c>
      <c r="BG542" s="50">
        <v>0</v>
      </c>
      <c r="BH542" s="49">
        <v>0</v>
      </c>
      <c r="BI542" s="50">
        <v>0</v>
      </c>
      <c r="BJ542" s="49">
        <v>0</v>
      </c>
      <c r="BK542" s="50">
        <v>0</v>
      </c>
      <c r="BL542" s="49">
        <v>25</v>
      </c>
      <c r="BM542" s="50">
        <v>100</v>
      </c>
      <c r="BN542" s="49">
        <v>25</v>
      </c>
    </row>
    <row r="543" spans="1:66" ht="15">
      <c r="A543" s="68" t="s">
        <v>405</v>
      </c>
      <c r="B543" s="68" t="s">
        <v>436</v>
      </c>
      <c r="C543" s="69" t="s">
        <v>5209</v>
      </c>
      <c r="D543" s="70">
        <v>6.678367782143116</v>
      </c>
      <c r="E543" s="71" t="s">
        <v>132</v>
      </c>
      <c r="F543" s="72">
        <v>21</v>
      </c>
      <c r="G543" s="69" t="s">
        <v>51</v>
      </c>
      <c r="H543" s="73"/>
      <c r="I543" s="74"/>
      <c r="J543" s="74"/>
      <c r="K543" s="35" t="s">
        <v>65</v>
      </c>
      <c r="L543" s="82">
        <v>543</v>
      </c>
      <c r="M543" s="82"/>
      <c r="N543" s="76"/>
      <c r="O543" s="84" t="s">
        <v>440</v>
      </c>
      <c r="P543" s="86">
        <v>44088.72190972222</v>
      </c>
      <c r="Q543" s="84" t="s">
        <v>490</v>
      </c>
      <c r="R543" s="87" t="str">
        <f>HYPERLINK("https://online-learning.harvard.edu/catalog")</f>
        <v>https://online-learning.harvard.edu/catalog</v>
      </c>
      <c r="S543" s="84" t="s">
        <v>551</v>
      </c>
      <c r="T543" s="84" t="s">
        <v>606</v>
      </c>
      <c r="U543" s="84"/>
      <c r="V543" s="87" t="str">
        <f>HYPERLINK("http://pbs.twimg.com/profile_images/1272605555497078785/WLzdWQ-o_normal.jpg")</f>
        <v>http://pbs.twimg.com/profile_images/1272605555497078785/WLzdWQ-o_normal.jpg</v>
      </c>
      <c r="W543" s="86">
        <v>44088.72190972222</v>
      </c>
      <c r="X543" s="90">
        <v>44088</v>
      </c>
      <c r="Y543" s="92" t="s">
        <v>946</v>
      </c>
      <c r="Z543" s="87" t="str">
        <f>HYPERLINK("https://twitter.com/nodequotesbot/status/1305556805221625861")</f>
        <v>https://twitter.com/nodequotesbot/status/1305556805221625861</v>
      </c>
      <c r="AA543" s="84"/>
      <c r="AB543" s="84"/>
      <c r="AC543" s="92" t="s">
        <v>1356</v>
      </c>
      <c r="AD543" s="84"/>
      <c r="AE543" s="84" t="b">
        <v>0</v>
      </c>
      <c r="AF543" s="84">
        <v>0</v>
      </c>
      <c r="AG543" s="92" t="s">
        <v>1453</v>
      </c>
      <c r="AH543" s="84" t="b">
        <v>0</v>
      </c>
      <c r="AI543" s="84" t="s">
        <v>1456</v>
      </c>
      <c r="AJ543" s="84"/>
      <c r="AK543" s="92" t="s">
        <v>1453</v>
      </c>
      <c r="AL543" s="84" t="b">
        <v>0</v>
      </c>
      <c r="AM543" s="84">
        <v>449</v>
      </c>
      <c r="AN543" s="92" t="s">
        <v>1406</v>
      </c>
      <c r="AO543" s="84" t="s">
        <v>1525</v>
      </c>
      <c r="AP543" s="84" t="b">
        <v>0</v>
      </c>
      <c r="AQ543" s="92" t="s">
        <v>1406</v>
      </c>
      <c r="AR543" s="84" t="s">
        <v>187</v>
      </c>
      <c r="AS543" s="84">
        <v>0</v>
      </c>
      <c r="AT543" s="84">
        <v>0</v>
      </c>
      <c r="AU543" s="84"/>
      <c r="AV543" s="84"/>
      <c r="AW543" s="84"/>
      <c r="AX543" s="84"/>
      <c r="AY543" s="84"/>
      <c r="AZ543" s="84"/>
      <c r="BA543" s="84"/>
      <c r="BB543" s="84"/>
      <c r="BC543">
        <v>2</v>
      </c>
      <c r="BD543" s="83" t="str">
        <f>REPLACE(INDEX(GroupVertices[Group],MATCH(Edges[[#This Row],[Vertex 1]],GroupVertices[Vertex],0)),1,1,"")</f>
        <v>1</v>
      </c>
      <c r="BE543" s="83" t="str">
        <f>REPLACE(INDEX(GroupVertices[Group],MATCH(Edges[[#This Row],[Vertex 2]],GroupVertices[Vertex],0)),1,1,"")</f>
        <v>1</v>
      </c>
      <c r="BF543" s="49"/>
      <c r="BG543" s="50"/>
      <c r="BH543" s="49"/>
      <c r="BI543" s="50"/>
      <c r="BJ543" s="49"/>
      <c r="BK543" s="50"/>
      <c r="BL543" s="49"/>
      <c r="BM543" s="50"/>
      <c r="BN543" s="49"/>
    </row>
    <row r="544" spans="1:66" ht="15">
      <c r="A544" s="68" t="s">
        <v>405</v>
      </c>
      <c r="B544" s="68" t="s">
        <v>418</v>
      </c>
      <c r="C544" s="69" t="s">
        <v>5209</v>
      </c>
      <c r="D544" s="70">
        <v>6.678367782143116</v>
      </c>
      <c r="E544" s="71" t="s">
        <v>132</v>
      </c>
      <c r="F544" s="72">
        <v>21</v>
      </c>
      <c r="G544" s="69" t="s">
        <v>51</v>
      </c>
      <c r="H544" s="73"/>
      <c r="I544" s="74"/>
      <c r="J544" s="74"/>
      <c r="K544" s="35" t="s">
        <v>65</v>
      </c>
      <c r="L544" s="82">
        <v>544</v>
      </c>
      <c r="M544" s="82"/>
      <c r="N544" s="76"/>
      <c r="O544" s="84" t="s">
        <v>439</v>
      </c>
      <c r="P544" s="86">
        <v>44088.72190972222</v>
      </c>
      <c r="Q544" s="84" t="s">
        <v>490</v>
      </c>
      <c r="R544" s="87" t="str">
        <f>HYPERLINK("https://online-learning.harvard.edu/catalog")</f>
        <v>https://online-learning.harvard.edu/catalog</v>
      </c>
      <c r="S544" s="84" t="s">
        <v>551</v>
      </c>
      <c r="T544" s="84" t="s">
        <v>606</v>
      </c>
      <c r="U544" s="84"/>
      <c r="V544" s="87" t="str">
        <f>HYPERLINK("http://pbs.twimg.com/profile_images/1272605555497078785/WLzdWQ-o_normal.jpg")</f>
        <v>http://pbs.twimg.com/profile_images/1272605555497078785/WLzdWQ-o_normal.jpg</v>
      </c>
      <c r="W544" s="86">
        <v>44088.72190972222</v>
      </c>
      <c r="X544" s="90">
        <v>44088</v>
      </c>
      <c r="Y544" s="92" t="s">
        <v>946</v>
      </c>
      <c r="Z544" s="87" t="str">
        <f>HYPERLINK("https://twitter.com/nodequotesbot/status/1305556805221625861")</f>
        <v>https://twitter.com/nodequotesbot/status/1305556805221625861</v>
      </c>
      <c r="AA544" s="84"/>
      <c r="AB544" s="84"/>
      <c r="AC544" s="92" t="s">
        <v>1356</v>
      </c>
      <c r="AD544" s="84"/>
      <c r="AE544" s="84" t="b">
        <v>0</v>
      </c>
      <c r="AF544" s="84">
        <v>0</v>
      </c>
      <c r="AG544" s="92" t="s">
        <v>1453</v>
      </c>
      <c r="AH544" s="84" t="b">
        <v>0</v>
      </c>
      <c r="AI544" s="84" t="s">
        <v>1456</v>
      </c>
      <c r="AJ544" s="84"/>
      <c r="AK544" s="92" t="s">
        <v>1453</v>
      </c>
      <c r="AL544" s="84" t="b">
        <v>0</v>
      </c>
      <c r="AM544" s="84">
        <v>449</v>
      </c>
      <c r="AN544" s="92" t="s">
        <v>1406</v>
      </c>
      <c r="AO544" s="84" t="s">
        <v>1525</v>
      </c>
      <c r="AP544" s="84" t="b">
        <v>0</v>
      </c>
      <c r="AQ544" s="92" t="s">
        <v>1406</v>
      </c>
      <c r="AR544" s="84" t="s">
        <v>187</v>
      </c>
      <c r="AS544" s="84">
        <v>0</v>
      </c>
      <c r="AT544" s="84">
        <v>0</v>
      </c>
      <c r="AU544" s="84"/>
      <c r="AV544" s="84"/>
      <c r="AW544" s="84"/>
      <c r="AX544" s="84"/>
      <c r="AY544" s="84"/>
      <c r="AZ544" s="84"/>
      <c r="BA544" s="84"/>
      <c r="BB544" s="84"/>
      <c r="BC544">
        <v>2</v>
      </c>
      <c r="BD544" s="83" t="str">
        <f>REPLACE(INDEX(GroupVertices[Group],MATCH(Edges[[#This Row],[Vertex 1]],GroupVertices[Vertex],0)),1,1,"")</f>
        <v>1</v>
      </c>
      <c r="BE544" s="83" t="str">
        <f>REPLACE(INDEX(GroupVertices[Group],MATCH(Edges[[#This Row],[Vertex 2]],GroupVertices[Vertex],0)),1,1,"")</f>
        <v>1</v>
      </c>
      <c r="BF544" s="49">
        <v>0</v>
      </c>
      <c r="BG544" s="50">
        <v>0</v>
      </c>
      <c r="BH544" s="49">
        <v>0</v>
      </c>
      <c r="BI544" s="50">
        <v>0</v>
      </c>
      <c r="BJ544" s="49">
        <v>0</v>
      </c>
      <c r="BK544" s="50">
        <v>0</v>
      </c>
      <c r="BL544" s="49">
        <v>25</v>
      </c>
      <c r="BM544" s="50">
        <v>100</v>
      </c>
      <c r="BN544" s="49">
        <v>25</v>
      </c>
    </row>
    <row r="545" spans="1:66" ht="15">
      <c r="A545" s="68" t="s">
        <v>405</v>
      </c>
      <c r="B545" s="68" t="s">
        <v>420</v>
      </c>
      <c r="C545" s="69" t="s">
        <v>5208</v>
      </c>
      <c r="D545" s="70">
        <v>1</v>
      </c>
      <c r="E545" s="71" t="s">
        <v>132</v>
      </c>
      <c r="F545" s="72">
        <v>32</v>
      </c>
      <c r="G545" s="69" t="s">
        <v>51</v>
      </c>
      <c r="H545" s="73"/>
      <c r="I545" s="74"/>
      <c r="J545" s="74"/>
      <c r="K545" s="35" t="s">
        <v>65</v>
      </c>
      <c r="L545" s="82">
        <v>545</v>
      </c>
      <c r="M545" s="82"/>
      <c r="N545" s="76"/>
      <c r="O545" s="84" t="s">
        <v>440</v>
      </c>
      <c r="P545" s="86">
        <v>44089.55459490741</v>
      </c>
      <c r="Q545" s="84" t="s">
        <v>511</v>
      </c>
      <c r="R545" s="87" t="str">
        <f>HYPERLINK("https://www.coodingdessign.com/python/datascience/visualization-of-covid-19-new-cases-over-time-in-python/")</f>
        <v>https://www.coodingdessign.com/python/datascience/visualization-of-covid-19-new-cases-over-time-in-python/</v>
      </c>
      <c r="S545" s="84" t="s">
        <v>560</v>
      </c>
      <c r="T545" s="84" t="s">
        <v>626</v>
      </c>
      <c r="U545" s="87" t="str">
        <f>HYPERLINK("https://pbs.twimg.com/media/Eh9WZq2XcActpko.png")</f>
        <v>https://pbs.twimg.com/media/Eh9WZq2XcActpko.png</v>
      </c>
      <c r="V545" s="87" t="str">
        <f>HYPERLINK("https://pbs.twimg.com/media/Eh9WZq2XcActpko.png")</f>
        <v>https://pbs.twimg.com/media/Eh9WZq2XcActpko.png</v>
      </c>
      <c r="W545" s="86">
        <v>44089.55459490741</v>
      </c>
      <c r="X545" s="90">
        <v>44089</v>
      </c>
      <c r="Y545" s="92" t="s">
        <v>947</v>
      </c>
      <c r="Z545" s="87" t="str">
        <f>HYPERLINK("https://twitter.com/nodequotesbot/status/1305858563777069061")</f>
        <v>https://twitter.com/nodequotesbot/status/1305858563777069061</v>
      </c>
      <c r="AA545" s="84"/>
      <c r="AB545" s="84"/>
      <c r="AC545" s="92" t="s">
        <v>1357</v>
      </c>
      <c r="AD545" s="84"/>
      <c r="AE545" s="84" t="b">
        <v>0</v>
      </c>
      <c r="AF545" s="84">
        <v>0</v>
      </c>
      <c r="AG545" s="92" t="s">
        <v>1453</v>
      </c>
      <c r="AH545" s="84" t="b">
        <v>0</v>
      </c>
      <c r="AI545" s="84" t="s">
        <v>1456</v>
      </c>
      <c r="AJ545" s="84"/>
      <c r="AK545" s="92" t="s">
        <v>1453</v>
      </c>
      <c r="AL545" s="84" t="b">
        <v>0</v>
      </c>
      <c r="AM545" s="84">
        <v>19</v>
      </c>
      <c r="AN545" s="92" t="s">
        <v>1410</v>
      </c>
      <c r="AO545" s="84" t="s">
        <v>1525</v>
      </c>
      <c r="AP545" s="84" t="b">
        <v>0</v>
      </c>
      <c r="AQ545" s="92" t="s">
        <v>1410</v>
      </c>
      <c r="AR545" s="84" t="s">
        <v>187</v>
      </c>
      <c r="AS545" s="84">
        <v>0</v>
      </c>
      <c r="AT545" s="84">
        <v>0</v>
      </c>
      <c r="AU545" s="84"/>
      <c r="AV545" s="84"/>
      <c r="AW545" s="84"/>
      <c r="AX545" s="84"/>
      <c r="AY545" s="84"/>
      <c r="AZ545" s="84"/>
      <c r="BA545" s="84"/>
      <c r="BB545" s="84"/>
      <c r="BC545">
        <v>1</v>
      </c>
      <c r="BD545" s="83" t="str">
        <f>REPLACE(INDEX(GroupVertices[Group],MATCH(Edges[[#This Row],[Vertex 1]],GroupVertices[Vertex],0)),1,1,"")</f>
        <v>1</v>
      </c>
      <c r="BE545" s="83" t="str">
        <f>REPLACE(INDEX(GroupVertices[Group],MATCH(Edges[[#This Row],[Vertex 2]],GroupVertices[Vertex],0)),1,1,"")</f>
        <v>1</v>
      </c>
      <c r="BF545" s="49"/>
      <c r="BG545" s="50"/>
      <c r="BH545" s="49"/>
      <c r="BI545" s="50"/>
      <c r="BJ545" s="49"/>
      <c r="BK545" s="50"/>
      <c r="BL545" s="49"/>
      <c r="BM545" s="50"/>
      <c r="BN545" s="49"/>
    </row>
    <row r="546" spans="1:66" ht="15">
      <c r="A546" s="68" t="s">
        <v>405</v>
      </c>
      <c r="B546" s="68" t="s">
        <v>438</v>
      </c>
      <c r="C546" s="69" t="s">
        <v>5208</v>
      </c>
      <c r="D546" s="70">
        <v>1</v>
      </c>
      <c r="E546" s="71" t="s">
        <v>132</v>
      </c>
      <c r="F546" s="72">
        <v>32</v>
      </c>
      <c r="G546" s="69" t="s">
        <v>51</v>
      </c>
      <c r="H546" s="73"/>
      <c r="I546" s="74"/>
      <c r="J546" s="74"/>
      <c r="K546" s="35" t="s">
        <v>65</v>
      </c>
      <c r="L546" s="82">
        <v>546</v>
      </c>
      <c r="M546" s="82"/>
      <c r="N546" s="76"/>
      <c r="O546" s="84" t="s">
        <v>440</v>
      </c>
      <c r="P546" s="86">
        <v>44089.55459490741</v>
      </c>
      <c r="Q546" s="84" t="s">
        <v>511</v>
      </c>
      <c r="R546" s="87" t="str">
        <f>HYPERLINK("https://www.coodingdessign.com/python/datascience/visualization-of-covid-19-new-cases-over-time-in-python/")</f>
        <v>https://www.coodingdessign.com/python/datascience/visualization-of-covid-19-new-cases-over-time-in-python/</v>
      </c>
      <c r="S546" s="84" t="s">
        <v>560</v>
      </c>
      <c r="T546" s="84" t="s">
        <v>626</v>
      </c>
      <c r="U546" s="87" t="str">
        <f>HYPERLINK("https://pbs.twimg.com/media/Eh9WZq2XcActpko.png")</f>
        <v>https://pbs.twimg.com/media/Eh9WZq2XcActpko.png</v>
      </c>
      <c r="V546" s="87" t="str">
        <f>HYPERLINK("https://pbs.twimg.com/media/Eh9WZq2XcActpko.png")</f>
        <v>https://pbs.twimg.com/media/Eh9WZq2XcActpko.png</v>
      </c>
      <c r="W546" s="86">
        <v>44089.55459490741</v>
      </c>
      <c r="X546" s="90">
        <v>44089</v>
      </c>
      <c r="Y546" s="92" t="s">
        <v>947</v>
      </c>
      <c r="Z546" s="87" t="str">
        <f>HYPERLINK("https://twitter.com/nodequotesbot/status/1305858563777069061")</f>
        <v>https://twitter.com/nodequotesbot/status/1305858563777069061</v>
      </c>
      <c r="AA546" s="84"/>
      <c r="AB546" s="84"/>
      <c r="AC546" s="92" t="s">
        <v>1357</v>
      </c>
      <c r="AD546" s="84"/>
      <c r="AE546" s="84" t="b">
        <v>0</v>
      </c>
      <c r="AF546" s="84">
        <v>0</v>
      </c>
      <c r="AG546" s="92" t="s">
        <v>1453</v>
      </c>
      <c r="AH546" s="84" t="b">
        <v>0</v>
      </c>
      <c r="AI546" s="84" t="s">
        <v>1456</v>
      </c>
      <c r="AJ546" s="84"/>
      <c r="AK546" s="92" t="s">
        <v>1453</v>
      </c>
      <c r="AL546" s="84" t="b">
        <v>0</v>
      </c>
      <c r="AM546" s="84">
        <v>19</v>
      </c>
      <c r="AN546" s="92" t="s">
        <v>1410</v>
      </c>
      <c r="AO546" s="84" t="s">
        <v>1525</v>
      </c>
      <c r="AP546" s="84" t="b">
        <v>0</v>
      </c>
      <c r="AQ546" s="92" t="s">
        <v>1410</v>
      </c>
      <c r="AR546" s="84" t="s">
        <v>187</v>
      </c>
      <c r="AS546" s="84">
        <v>0</v>
      </c>
      <c r="AT546" s="84">
        <v>0</v>
      </c>
      <c r="AU546" s="84"/>
      <c r="AV546" s="84"/>
      <c r="AW546" s="84"/>
      <c r="AX546" s="84"/>
      <c r="AY546" s="84"/>
      <c r="AZ546" s="84"/>
      <c r="BA546" s="84"/>
      <c r="BB546" s="84"/>
      <c r="BC546">
        <v>1</v>
      </c>
      <c r="BD546" s="83" t="str">
        <f>REPLACE(INDEX(GroupVertices[Group],MATCH(Edges[[#This Row],[Vertex 1]],GroupVertices[Vertex],0)),1,1,"")</f>
        <v>1</v>
      </c>
      <c r="BE546" s="83" t="str">
        <f>REPLACE(INDEX(GroupVertices[Group],MATCH(Edges[[#This Row],[Vertex 2]],GroupVertices[Vertex],0)),1,1,"")</f>
        <v>1</v>
      </c>
      <c r="BF546" s="49"/>
      <c r="BG546" s="50"/>
      <c r="BH546" s="49"/>
      <c r="BI546" s="50"/>
      <c r="BJ546" s="49"/>
      <c r="BK546" s="50"/>
      <c r="BL546" s="49"/>
      <c r="BM546" s="50"/>
      <c r="BN546" s="49"/>
    </row>
    <row r="547" spans="1:66" ht="15">
      <c r="A547" s="68" t="s">
        <v>405</v>
      </c>
      <c r="B547" s="68" t="s">
        <v>419</v>
      </c>
      <c r="C547" s="69" t="s">
        <v>5208</v>
      </c>
      <c r="D547" s="70">
        <v>1</v>
      </c>
      <c r="E547" s="71" t="s">
        <v>132</v>
      </c>
      <c r="F547" s="72">
        <v>32</v>
      </c>
      <c r="G547" s="69" t="s">
        <v>51</v>
      </c>
      <c r="H547" s="73"/>
      <c r="I547" s="74"/>
      <c r="J547" s="74"/>
      <c r="K547" s="35" t="s">
        <v>65</v>
      </c>
      <c r="L547" s="82">
        <v>547</v>
      </c>
      <c r="M547" s="82"/>
      <c r="N547" s="76"/>
      <c r="O547" s="84" t="s">
        <v>439</v>
      </c>
      <c r="P547" s="86">
        <v>44089.55459490741</v>
      </c>
      <c r="Q547" s="84" t="s">
        <v>511</v>
      </c>
      <c r="R547" s="87" t="str">
        <f>HYPERLINK("https://www.coodingdessign.com/python/datascience/visualization-of-covid-19-new-cases-over-time-in-python/")</f>
        <v>https://www.coodingdessign.com/python/datascience/visualization-of-covid-19-new-cases-over-time-in-python/</v>
      </c>
      <c r="S547" s="84" t="s">
        <v>560</v>
      </c>
      <c r="T547" s="84" t="s">
        <v>626</v>
      </c>
      <c r="U547" s="87" t="str">
        <f>HYPERLINK("https://pbs.twimg.com/media/Eh9WZq2XcActpko.png")</f>
        <v>https://pbs.twimg.com/media/Eh9WZq2XcActpko.png</v>
      </c>
      <c r="V547" s="87" t="str">
        <f>HYPERLINK("https://pbs.twimg.com/media/Eh9WZq2XcActpko.png")</f>
        <v>https://pbs.twimg.com/media/Eh9WZq2XcActpko.png</v>
      </c>
      <c r="W547" s="86">
        <v>44089.55459490741</v>
      </c>
      <c r="X547" s="90">
        <v>44089</v>
      </c>
      <c r="Y547" s="92" t="s">
        <v>947</v>
      </c>
      <c r="Z547" s="87" t="str">
        <f>HYPERLINK("https://twitter.com/nodequotesbot/status/1305858563777069061")</f>
        <v>https://twitter.com/nodequotesbot/status/1305858563777069061</v>
      </c>
      <c r="AA547" s="84"/>
      <c r="AB547" s="84"/>
      <c r="AC547" s="92" t="s">
        <v>1357</v>
      </c>
      <c r="AD547" s="84"/>
      <c r="AE547" s="84" t="b">
        <v>0</v>
      </c>
      <c r="AF547" s="84">
        <v>0</v>
      </c>
      <c r="AG547" s="92" t="s">
        <v>1453</v>
      </c>
      <c r="AH547" s="84" t="b">
        <v>0</v>
      </c>
      <c r="AI547" s="84" t="s">
        <v>1456</v>
      </c>
      <c r="AJ547" s="84"/>
      <c r="AK547" s="92" t="s">
        <v>1453</v>
      </c>
      <c r="AL547" s="84" t="b">
        <v>0</v>
      </c>
      <c r="AM547" s="84">
        <v>19</v>
      </c>
      <c r="AN547" s="92" t="s">
        <v>1410</v>
      </c>
      <c r="AO547" s="84" t="s">
        <v>1525</v>
      </c>
      <c r="AP547" s="84" t="b">
        <v>0</v>
      </c>
      <c r="AQ547" s="92" t="s">
        <v>1410</v>
      </c>
      <c r="AR547" s="84" t="s">
        <v>187</v>
      </c>
      <c r="AS547" s="84">
        <v>0</v>
      </c>
      <c r="AT547" s="84">
        <v>0</v>
      </c>
      <c r="AU547" s="84"/>
      <c r="AV547" s="84"/>
      <c r="AW547" s="84"/>
      <c r="AX547" s="84"/>
      <c r="AY547" s="84"/>
      <c r="AZ547" s="84"/>
      <c r="BA547" s="84"/>
      <c r="BB547" s="84"/>
      <c r="BC547">
        <v>1</v>
      </c>
      <c r="BD547" s="83" t="str">
        <f>REPLACE(INDEX(GroupVertices[Group],MATCH(Edges[[#This Row],[Vertex 1]],GroupVertices[Vertex],0)),1,1,"")</f>
        <v>1</v>
      </c>
      <c r="BE547" s="83" t="str">
        <f>REPLACE(INDEX(GroupVertices[Group],MATCH(Edges[[#This Row],[Vertex 2]],GroupVertices[Vertex],0)),1,1,"")</f>
        <v>1</v>
      </c>
      <c r="BF547" s="49">
        <v>0</v>
      </c>
      <c r="BG547" s="50">
        <v>0</v>
      </c>
      <c r="BH547" s="49">
        <v>0</v>
      </c>
      <c r="BI547" s="50">
        <v>0</v>
      </c>
      <c r="BJ547" s="49">
        <v>0</v>
      </c>
      <c r="BK547" s="50">
        <v>0</v>
      </c>
      <c r="BL547" s="49">
        <v>20</v>
      </c>
      <c r="BM547" s="50">
        <v>100</v>
      </c>
      <c r="BN547" s="49">
        <v>20</v>
      </c>
    </row>
    <row r="548" spans="1:66" ht="15">
      <c r="A548" s="68" t="s">
        <v>406</v>
      </c>
      <c r="B548" s="68" t="s">
        <v>406</v>
      </c>
      <c r="C548" s="69" t="s">
        <v>5208</v>
      </c>
      <c r="D548" s="70">
        <v>1</v>
      </c>
      <c r="E548" s="71" t="s">
        <v>132</v>
      </c>
      <c r="F548" s="72">
        <v>32</v>
      </c>
      <c r="G548" s="69" t="s">
        <v>51</v>
      </c>
      <c r="H548" s="73"/>
      <c r="I548" s="74"/>
      <c r="J548" s="74"/>
      <c r="K548" s="35" t="s">
        <v>65</v>
      </c>
      <c r="L548" s="82">
        <v>548</v>
      </c>
      <c r="M548" s="82"/>
      <c r="N548" s="76"/>
      <c r="O548" s="84" t="s">
        <v>187</v>
      </c>
      <c r="P548" s="86">
        <v>44087.32560185185</v>
      </c>
      <c r="Q548" s="84" t="s">
        <v>493</v>
      </c>
      <c r="R548" s="84"/>
      <c r="S548" s="84"/>
      <c r="T548" s="84" t="s">
        <v>609</v>
      </c>
      <c r="U548" s="84"/>
      <c r="V548" s="87" t="str">
        <f>HYPERLINK("http://pbs.twimg.com/profile_images/1269635608412073985/ItHkayWB_normal.jpg")</f>
        <v>http://pbs.twimg.com/profile_images/1269635608412073985/ItHkayWB_normal.jpg</v>
      </c>
      <c r="W548" s="86">
        <v>44087.32560185185</v>
      </c>
      <c r="X548" s="90">
        <v>44087</v>
      </c>
      <c r="Y548" s="92" t="s">
        <v>948</v>
      </c>
      <c r="Z548" s="87" t="str">
        <f>HYPERLINK("https://twitter.com/classicnoir93/status/1305050803657351170")</f>
        <v>https://twitter.com/classicnoir93/status/1305050803657351170</v>
      </c>
      <c r="AA548" s="84"/>
      <c r="AB548" s="84"/>
      <c r="AC548" s="92" t="s">
        <v>1358</v>
      </c>
      <c r="AD548" s="84"/>
      <c r="AE548" s="84" t="b">
        <v>0</v>
      </c>
      <c r="AF548" s="84">
        <v>3</v>
      </c>
      <c r="AG548" s="92" t="s">
        <v>1453</v>
      </c>
      <c r="AH548" s="84" t="b">
        <v>0</v>
      </c>
      <c r="AI548" s="84" t="s">
        <v>1456</v>
      </c>
      <c r="AJ548" s="84"/>
      <c r="AK548" s="92" t="s">
        <v>1453</v>
      </c>
      <c r="AL548" s="84" t="b">
        <v>0</v>
      </c>
      <c r="AM548" s="84">
        <v>7</v>
      </c>
      <c r="AN548" s="92" t="s">
        <v>1453</v>
      </c>
      <c r="AO548" s="84" t="s">
        <v>1464</v>
      </c>
      <c r="AP548" s="84" t="b">
        <v>0</v>
      </c>
      <c r="AQ548" s="92" t="s">
        <v>1358</v>
      </c>
      <c r="AR548" s="84" t="s">
        <v>187</v>
      </c>
      <c r="AS548" s="84">
        <v>0</v>
      </c>
      <c r="AT548" s="84">
        <v>0</v>
      </c>
      <c r="AU548" s="84"/>
      <c r="AV548" s="84"/>
      <c r="AW548" s="84"/>
      <c r="AX548" s="84"/>
      <c r="AY548" s="84"/>
      <c r="AZ548" s="84"/>
      <c r="BA548" s="84"/>
      <c r="BB548" s="84"/>
      <c r="BC548">
        <v>1</v>
      </c>
      <c r="BD548" s="83" t="str">
        <f>REPLACE(INDEX(GroupVertices[Group],MATCH(Edges[[#This Row],[Vertex 1]],GroupVertices[Vertex],0)),1,1,"")</f>
        <v>1</v>
      </c>
      <c r="BE548" s="83" t="str">
        <f>REPLACE(INDEX(GroupVertices[Group],MATCH(Edges[[#This Row],[Vertex 2]],GroupVertices[Vertex],0)),1,1,"")</f>
        <v>1</v>
      </c>
      <c r="BF548" s="49">
        <v>0</v>
      </c>
      <c r="BG548" s="50">
        <v>0</v>
      </c>
      <c r="BH548" s="49">
        <v>0</v>
      </c>
      <c r="BI548" s="50">
        <v>0</v>
      </c>
      <c r="BJ548" s="49">
        <v>0</v>
      </c>
      <c r="BK548" s="50">
        <v>0</v>
      </c>
      <c r="BL548" s="49">
        <v>22</v>
      </c>
      <c r="BM548" s="50">
        <v>100</v>
      </c>
      <c r="BN548" s="49">
        <v>22</v>
      </c>
    </row>
    <row r="549" spans="1:66" ht="15">
      <c r="A549" s="68" t="s">
        <v>407</v>
      </c>
      <c r="B549" s="68" t="s">
        <v>406</v>
      </c>
      <c r="C549" s="69" t="s">
        <v>5208</v>
      </c>
      <c r="D549" s="70">
        <v>1</v>
      </c>
      <c r="E549" s="71" t="s">
        <v>132</v>
      </c>
      <c r="F549" s="72">
        <v>32</v>
      </c>
      <c r="G549" s="69" t="s">
        <v>51</v>
      </c>
      <c r="H549" s="73"/>
      <c r="I549" s="74"/>
      <c r="J549" s="74"/>
      <c r="K549" s="35" t="s">
        <v>65</v>
      </c>
      <c r="L549" s="82">
        <v>549</v>
      </c>
      <c r="M549" s="82"/>
      <c r="N549" s="76"/>
      <c r="O549" s="84" t="s">
        <v>439</v>
      </c>
      <c r="P549" s="86">
        <v>44087.325694444444</v>
      </c>
      <c r="Q549" s="84" t="s">
        <v>493</v>
      </c>
      <c r="R549" s="84"/>
      <c r="S549" s="84"/>
      <c r="T549" s="84" t="s">
        <v>609</v>
      </c>
      <c r="U549" s="84"/>
      <c r="V549" s="87" t="str">
        <f>HYPERLINK("http://pbs.twimg.com/profile_images/1127896024737935360/J0nVyVyF_normal.png")</f>
        <v>http://pbs.twimg.com/profile_images/1127896024737935360/J0nVyVyF_normal.png</v>
      </c>
      <c r="W549" s="86">
        <v>44087.325694444444</v>
      </c>
      <c r="X549" s="90">
        <v>44087</v>
      </c>
      <c r="Y549" s="92" t="s">
        <v>949</v>
      </c>
      <c r="Z549" s="87" t="str">
        <f>HYPERLINK("https://twitter.com/xaelbot/status/1305050834405863424")</f>
        <v>https://twitter.com/xaelbot/status/1305050834405863424</v>
      </c>
      <c r="AA549" s="84"/>
      <c r="AB549" s="84"/>
      <c r="AC549" s="92" t="s">
        <v>1359</v>
      </c>
      <c r="AD549" s="84"/>
      <c r="AE549" s="84" t="b">
        <v>0</v>
      </c>
      <c r="AF549" s="84">
        <v>0</v>
      </c>
      <c r="AG549" s="92" t="s">
        <v>1453</v>
      </c>
      <c r="AH549" s="84" t="b">
        <v>0</v>
      </c>
      <c r="AI549" s="84" t="s">
        <v>1456</v>
      </c>
      <c r="AJ549" s="84"/>
      <c r="AK549" s="92" t="s">
        <v>1453</v>
      </c>
      <c r="AL549" s="84" t="b">
        <v>0</v>
      </c>
      <c r="AM549" s="84">
        <v>7</v>
      </c>
      <c r="AN549" s="92" t="s">
        <v>1358</v>
      </c>
      <c r="AO549" s="84" t="s">
        <v>1526</v>
      </c>
      <c r="AP549" s="84" t="b">
        <v>0</v>
      </c>
      <c r="AQ549" s="92" t="s">
        <v>1358</v>
      </c>
      <c r="AR549" s="84" t="s">
        <v>187</v>
      </c>
      <c r="AS549" s="84">
        <v>0</v>
      </c>
      <c r="AT549" s="84">
        <v>0</v>
      </c>
      <c r="AU549" s="84"/>
      <c r="AV549" s="84"/>
      <c r="AW549" s="84"/>
      <c r="AX549" s="84"/>
      <c r="AY549" s="84"/>
      <c r="AZ549" s="84"/>
      <c r="BA549" s="84"/>
      <c r="BB549" s="84"/>
      <c r="BC549">
        <v>1</v>
      </c>
      <c r="BD549" s="83" t="str">
        <f>REPLACE(INDEX(GroupVertices[Group],MATCH(Edges[[#This Row],[Vertex 1]],GroupVertices[Vertex],0)),1,1,"")</f>
        <v>1</v>
      </c>
      <c r="BE549" s="83" t="str">
        <f>REPLACE(INDEX(GroupVertices[Group],MATCH(Edges[[#This Row],[Vertex 2]],GroupVertices[Vertex],0)),1,1,"")</f>
        <v>1</v>
      </c>
      <c r="BF549" s="49">
        <v>0</v>
      </c>
      <c r="BG549" s="50">
        <v>0</v>
      </c>
      <c r="BH549" s="49">
        <v>0</v>
      </c>
      <c r="BI549" s="50">
        <v>0</v>
      </c>
      <c r="BJ549" s="49">
        <v>0</v>
      </c>
      <c r="BK549" s="50">
        <v>0</v>
      </c>
      <c r="BL549" s="49">
        <v>22</v>
      </c>
      <c r="BM549" s="50">
        <v>100</v>
      </c>
      <c r="BN549" s="49">
        <v>22</v>
      </c>
    </row>
    <row r="550" spans="1:66" ht="15">
      <c r="A550" s="68" t="s">
        <v>408</v>
      </c>
      <c r="B550" s="68" t="s">
        <v>409</v>
      </c>
      <c r="C550" s="69" t="s">
        <v>5208</v>
      </c>
      <c r="D550" s="70">
        <v>1</v>
      </c>
      <c r="E550" s="71" t="s">
        <v>132</v>
      </c>
      <c r="F550" s="72">
        <v>32</v>
      </c>
      <c r="G550" s="69" t="s">
        <v>51</v>
      </c>
      <c r="H550" s="73"/>
      <c r="I550" s="74"/>
      <c r="J550" s="74"/>
      <c r="K550" s="35" t="s">
        <v>66</v>
      </c>
      <c r="L550" s="82">
        <v>550</v>
      </c>
      <c r="M550" s="82"/>
      <c r="N550" s="76"/>
      <c r="O550" s="84" t="s">
        <v>441</v>
      </c>
      <c r="P550" s="86">
        <v>44088.15195601852</v>
      </c>
      <c r="Q550" s="84" t="s">
        <v>496</v>
      </c>
      <c r="R550" s="84"/>
      <c r="S550" s="84"/>
      <c r="T550" s="84" t="s">
        <v>612</v>
      </c>
      <c r="U550" s="87" t="str">
        <f>HYPERLINK("https://pbs.twimg.com/media/Eh2I9QHWAAA-8vh.png")</f>
        <v>https://pbs.twimg.com/media/Eh2I9QHWAAA-8vh.png</v>
      </c>
      <c r="V550" s="87" t="str">
        <f>HYPERLINK("https://pbs.twimg.com/media/Eh2I9QHWAAA-8vh.png")</f>
        <v>https://pbs.twimg.com/media/Eh2I9QHWAAA-8vh.png</v>
      </c>
      <c r="W550" s="86">
        <v>44088.15195601852</v>
      </c>
      <c r="X550" s="90">
        <v>44088</v>
      </c>
      <c r="Y550" s="92" t="s">
        <v>950</v>
      </c>
      <c r="Z550" s="87" t="str">
        <f>HYPERLINK("https://twitter.com/davidtorresc8/status/1305350264296296448")</f>
        <v>https://twitter.com/davidtorresc8/status/1305350264296296448</v>
      </c>
      <c r="AA550" s="84"/>
      <c r="AB550" s="84"/>
      <c r="AC550" s="92" t="s">
        <v>1360</v>
      </c>
      <c r="AD550" s="84"/>
      <c r="AE550" s="84" t="b">
        <v>0</v>
      </c>
      <c r="AF550" s="84">
        <v>7</v>
      </c>
      <c r="AG550" s="92" t="s">
        <v>1453</v>
      </c>
      <c r="AH550" s="84" t="b">
        <v>0</v>
      </c>
      <c r="AI550" s="84" t="s">
        <v>1456</v>
      </c>
      <c r="AJ550" s="84"/>
      <c r="AK550" s="92" t="s">
        <v>1453</v>
      </c>
      <c r="AL550" s="84" t="b">
        <v>0</v>
      </c>
      <c r="AM550" s="84">
        <v>15</v>
      </c>
      <c r="AN550" s="92" t="s">
        <v>1453</v>
      </c>
      <c r="AO550" s="84" t="s">
        <v>1465</v>
      </c>
      <c r="AP550" s="84" t="b">
        <v>0</v>
      </c>
      <c r="AQ550" s="92" t="s">
        <v>1360</v>
      </c>
      <c r="AR550" s="84" t="s">
        <v>187</v>
      </c>
      <c r="AS550" s="84">
        <v>0</v>
      </c>
      <c r="AT550" s="84">
        <v>0</v>
      </c>
      <c r="AU550" s="84"/>
      <c r="AV550" s="84"/>
      <c r="AW550" s="84"/>
      <c r="AX550" s="84"/>
      <c r="AY550" s="84"/>
      <c r="AZ550" s="84"/>
      <c r="BA550" s="84"/>
      <c r="BB550" s="84"/>
      <c r="BC550">
        <v>1</v>
      </c>
      <c r="BD550" s="83" t="str">
        <f>REPLACE(INDEX(GroupVertices[Group],MATCH(Edges[[#This Row],[Vertex 1]],GroupVertices[Vertex],0)),1,1,"")</f>
        <v>1</v>
      </c>
      <c r="BE550" s="83" t="str">
        <f>REPLACE(INDEX(GroupVertices[Group],MATCH(Edges[[#This Row],[Vertex 2]],GroupVertices[Vertex],0)),1,1,"")</f>
        <v>1</v>
      </c>
      <c r="BF550" s="49">
        <v>0</v>
      </c>
      <c r="BG550" s="50">
        <v>0</v>
      </c>
      <c r="BH550" s="49">
        <v>0</v>
      </c>
      <c r="BI550" s="50">
        <v>0</v>
      </c>
      <c r="BJ550" s="49">
        <v>0</v>
      </c>
      <c r="BK550" s="50">
        <v>0</v>
      </c>
      <c r="BL550" s="49">
        <v>32</v>
      </c>
      <c r="BM550" s="50">
        <v>100</v>
      </c>
      <c r="BN550" s="49">
        <v>32</v>
      </c>
    </row>
    <row r="551" spans="1:66" ht="15">
      <c r="A551" s="68" t="s">
        <v>409</v>
      </c>
      <c r="B551" s="68" t="s">
        <v>408</v>
      </c>
      <c r="C551" s="69" t="s">
        <v>5208</v>
      </c>
      <c r="D551" s="70">
        <v>1</v>
      </c>
      <c r="E551" s="71" t="s">
        <v>132</v>
      </c>
      <c r="F551" s="72">
        <v>32</v>
      </c>
      <c r="G551" s="69" t="s">
        <v>51</v>
      </c>
      <c r="H551" s="73"/>
      <c r="I551" s="74"/>
      <c r="J551" s="74"/>
      <c r="K551" s="35" t="s">
        <v>66</v>
      </c>
      <c r="L551" s="82">
        <v>551</v>
      </c>
      <c r="M551" s="82"/>
      <c r="N551" s="76"/>
      <c r="O551" s="84" t="s">
        <v>439</v>
      </c>
      <c r="P551" s="86">
        <v>44088.154861111114</v>
      </c>
      <c r="Q551" s="84" t="s">
        <v>496</v>
      </c>
      <c r="R551" s="84"/>
      <c r="S551" s="84"/>
      <c r="T551" s="84" t="s">
        <v>612</v>
      </c>
      <c r="U551" s="87" t="str">
        <f>HYPERLINK("https://pbs.twimg.com/media/Eh2I9QHWAAA-8vh.png")</f>
        <v>https://pbs.twimg.com/media/Eh2I9QHWAAA-8vh.png</v>
      </c>
      <c r="V551" s="87" t="str">
        <f>HYPERLINK("https://pbs.twimg.com/media/Eh2I9QHWAAA-8vh.png")</f>
        <v>https://pbs.twimg.com/media/Eh2I9QHWAAA-8vh.png</v>
      </c>
      <c r="W551" s="86">
        <v>44088.154861111114</v>
      </c>
      <c r="X551" s="90">
        <v>44088</v>
      </c>
      <c r="Y551" s="92" t="s">
        <v>951</v>
      </c>
      <c r="Z551" s="87" t="str">
        <f>HYPERLINK("https://twitter.com/ivanvaz32762138/status/1305351316693229568")</f>
        <v>https://twitter.com/ivanvaz32762138/status/1305351316693229568</v>
      </c>
      <c r="AA551" s="84"/>
      <c r="AB551" s="84"/>
      <c r="AC551" s="92" t="s">
        <v>1361</v>
      </c>
      <c r="AD551" s="84"/>
      <c r="AE551" s="84" t="b">
        <v>0</v>
      </c>
      <c r="AF551" s="84">
        <v>0</v>
      </c>
      <c r="AG551" s="92" t="s">
        <v>1453</v>
      </c>
      <c r="AH551" s="84" t="b">
        <v>0</v>
      </c>
      <c r="AI551" s="84" t="s">
        <v>1456</v>
      </c>
      <c r="AJ551" s="84"/>
      <c r="AK551" s="92" t="s">
        <v>1453</v>
      </c>
      <c r="AL551" s="84" t="b">
        <v>0</v>
      </c>
      <c r="AM551" s="84">
        <v>15</v>
      </c>
      <c r="AN551" s="92" t="s">
        <v>1360</v>
      </c>
      <c r="AO551" s="84" t="s">
        <v>1464</v>
      </c>
      <c r="AP551" s="84" t="b">
        <v>0</v>
      </c>
      <c r="AQ551" s="92" t="s">
        <v>1360</v>
      </c>
      <c r="AR551" s="84" t="s">
        <v>187</v>
      </c>
      <c r="AS551" s="84">
        <v>0</v>
      </c>
      <c r="AT551" s="84">
        <v>0</v>
      </c>
      <c r="AU551" s="84"/>
      <c r="AV551" s="84"/>
      <c r="AW551" s="84"/>
      <c r="AX551" s="84"/>
      <c r="AY551" s="84"/>
      <c r="AZ551" s="84"/>
      <c r="BA551" s="84"/>
      <c r="BB551" s="84"/>
      <c r="BC551">
        <v>1</v>
      </c>
      <c r="BD551" s="83" t="str">
        <f>REPLACE(INDEX(GroupVertices[Group],MATCH(Edges[[#This Row],[Vertex 1]],GroupVertices[Vertex],0)),1,1,"")</f>
        <v>1</v>
      </c>
      <c r="BE551" s="83" t="str">
        <f>REPLACE(INDEX(GroupVertices[Group],MATCH(Edges[[#This Row],[Vertex 2]],GroupVertices[Vertex],0)),1,1,"")</f>
        <v>1</v>
      </c>
      <c r="BF551" s="49">
        <v>0</v>
      </c>
      <c r="BG551" s="50">
        <v>0</v>
      </c>
      <c r="BH551" s="49">
        <v>0</v>
      </c>
      <c r="BI551" s="50">
        <v>0</v>
      </c>
      <c r="BJ551" s="49">
        <v>0</v>
      </c>
      <c r="BK551" s="50">
        <v>0</v>
      </c>
      <c r="BL551" s="49">
        <v>32</v>
      </c>
      <c r="BM551" s="50">
        <v>100</v>
      </c>
      <c r="BN551" s="49">
        <v>32</v>
      </c>
    </row>
    <row r="552" spans="1:66" ht="15">
      <c r="A552" s="68" t="s">
        <v>407</v>
      </c>
      <c r="B552" s="68" t="s">
        <v>409</v>
      </c>
      <c r="C552" s="69" t="s">
        <v>5208</v>
      </c>
      <c r="D552" s="70">
        <v>1</v>
      </c>
      <c r="E552" s="71" t="s">
        <v>132</v>
      </c>
      <c r="F552" s="72">
        <v>32</v>
      </c>
      <c r="G552" s="69" t="s">
        <v>51</v>
      </c>
      <c r="H552" s="73"/>
      <c r="I552" s="74"/>
      <c r="J552" s="74"/>
      <c r="K552" s="35" t="s">
        <v>65</v>
      </c>
      <c r="L552" s="82">
        <v>552</v>
      </c>
      <c r="M552" s="82"/>
      <c r="N552" s="76"/>
      <c r="O552" s="84" t="s">
        <v>440</v>
      </c>
      <c r="P552" s="86">
        <v>44088.15489583334</v>
      </c>
      <c r="Q552" s="84" t="s">
        <v>496</v>
      </c>
      <c r="R552" s="84"/>
      <c r="S552" s="84"/>
      <c r="T552" s="84" t="s">
        <v>612</v>
      </c>
      <c r="U552" s="87" t="str">
        <f>HYPERLINK("https://pbs.twimg.com/media/Eh2I9QHWAAA-8vh.png")</f>
        <v>https://pbs.twimg.com/media/Eh2I9QHWAAA-8vh.png</v>
      </c>
      <c r="V552" s="87" t="str">
        <f>HYPERLINK("https://pbs.twimg.com/media/Eh2I9QHWAAA-8vh.png")</f>
        <v>https://pbs.twimg.com/media/Eh2I9QHWAAA-8vh.png</v>
      </c>
      <c r="W552" s="86">
        <v>44088.15489583334</v>
      </c>
      <c r="X552" s="90">
        <v>44088</v>
      </c>
      <c r="Y552" s="92" t="s">
        <v>952</v>
      </c>
      <c r="Z552" s="87" t="str">
        <f>HYPERLINK("https://twitter.com/xaelbot/status/1305351328806375424")</f>
        <v>https://twitter.com/xaelbot/status/1305351328806375424</v>
      </c>
      <c r="AA552" s="84"/>
      <c r="AB552" s="84"/>
      <c r="AC552" s="92" t="s">
        <v>1362</v>
      </c>
      <c r="AD552" s="84"/>
      <c r="AE552" s="84" t="b">
        <v>0</v>
      </c>
      <c r="AF552" s="84">
        <v>0</v>
      </c>
      <c r="AG552" s="92" t="s">
        <v>1453</v>
      </c>
      <c r="AH552" s="84" t="b">
        <v>0</v>
      </c>
      <c r="AI552" s="84" t="s">
        <v>1456</v>
      </c>
      <c r="AJ552" s="84"/>
      <c r="AK552" s="92" t="s">
        <v>1453</v>
      </c>
      <c r="AL552" s="84" t="b">
        <v>0</v>
      </c>
      <c r="AM552" s="84">
        <v>15</v>
      </c>
      <c r="AN552" s="92" t="s">
        <v>1360</v>
      </c>
      <c r="AO552" s="84" t="s">
        <v>1526</v>
      </c>
      <c r="AP552" s="84" t="b">
        <v>0</v>
      </c>
      <c r="AQ552" s="92" t="s">
        <v>1360</v>
      </c>
      <c r="AR552" s="84" t="s">
        <v>187</v>
      </c>
      <c r="AS552" s="84">
        <v>0</v>
      </c>
      <c r="AT552" s="84">
        <v>0</v>
      </c>
      <c r="AU552" s="84"/>
      <c r="AV552" s="84"/>
      <c r="AW552" s="84"/>
      <c r="AX552" s="84"/>
      <c r="AY552" s="84"/>
      <c r="AZ552" s="84"/>
      <c r="BA552" s="84"/>
      <c r="BB552" s="84"/>
      <c r="BC552">
        <v>1</v>
      </c>
      <c r="BD552" s="83" t="str">
        <f>REPLACE(INDEX(GroupVertices[Group],MATCH(Edges[[#This Row],[Vertex 1]],GroupVertices[Vertex],0)),1,1,"")</f>
        <v>1</v>
      </c>
      <c r="BE552" s="83" t="str">
        <f>REPLACE(INDEX(GroupVertices[Group],MATCH(Edges[[#This Row],[Vertex 2]],GroupVertices[Vertex],0)),1,1,"")</f>
        <v>1</v>
      </c>
      <c r="BF552" s="49"/>
      <c r="BG552" s="50"/>
      <c r="BH552" s="49"/>
      <c r="BI552" s="50"/>
      <c r="BJ552" s="49"/>
      <c r="BK552" s="50"/>
      <c r="BL552" s="49"/>
      <c r="BM552" s="50"/>
      <c r="BN552" s="49"/>
    </row>
    <row r="553" spans="1:66" ht="15">
      <c r="A553" s="68" t="s">
        <v>407</v>
      </c>
      <c r="B553" s="68" t="s">
        <v>408</v>
      </c>
      <c r="C553" s="69" t="s">
        <v>5208</v>
      </c>
      <c r="D553" s="70">
        <v>1</v>
      </c>
      <c r="E553" s="71" t="s">
        <v>132</v>
      </c>
      <c r="F553" s="72">
        <v>32</v>
      </c>
      <c r="G553" s="69" t="s">
        <v>51</v>
      </c>
      <c r="H553" s="73"/>
      <c r="I553" s="74"/>
      <c r="J553" s="74"/>
      <c r="K553" s="35" t="s">
        <v>65</v>
      </c>
      <c r="L553" s="82">
        <v>553</v>
      </c>
      <c r="M553" s="82"/>
      <c r="N553" s="76"/>
      <c r="O553" s="84" t="s">
        <v>439</v>
      </c>
      <c r="P553" s="86">
        <v>44088.15489583334</v>
      </c>
      <c r="Q553" s="84" t="s">
        <v>496</v>
      </c>
      <c r="R553" s="84"/>
      <c r="S553" s="84"/>
      <c r="T553" s="84" t="s">
        <v>612</v>
      </c>
      <c r="U553" s="87" t="str">
        <f>HYPERLINK("https://pbs.twimg.com/media/Eh2I9QHWAAA-8vh.png")</f>
        <v>https://pbs.twimg.com/media/Eh2I9QHWAAA-8vh.png</v>
      </c>
      <c r="V553" s="87" t="str">
        <f>HYPERLINK("https://pbs.twimg.com/media/Eh2I9QHWAAA-8vh.png")</f>
        <v>https://pbs.twimg.com/media/Eh2I9QHWAAA-8vh.png</v>
      </c>
      <c r="W553" s="86">
        <v>44088.15489583334</v>
      </c>
      <c r="X553" s="90">
        <v>44088</v>
      </c>
      <c r="Y553" s="92" t="s">
        <v>952</v>
      </c>
      <c r="Z553" s="87" t="str">
        <f>HYPERLINK("https://twitter.com/xaelbot/status/1305351328806375424")</f>
        <v>https://twitter.com/xaelbot/status/1305351328806375424</v>
      </c>
      <c r="AA553" s="84"/>
      <c r="AB553" s="84"/>
      <c r="AC553" s="92" t="s">
        <v>1362</v>
      </c>
      <c r="AD553" s="84"/>
      <c r="AE553" s="84" t="b">
        <v>0</v>
      </c>
      <c r="AF553" s="84">
        <v>0</v>
      </c>
      <c r="AG553" s="92" t="s">
        <v>1453</v>
      </c>
      <c r="AH553" s="84" t="b">
        <v>0</v>
      </c>
      <c r="AI553" s="84" t="s">
        <v>1456</v>
      </c>
      <c r="AJ553" s="84"/>
      <c r="AK553" s="92" t="s">
        <v>1453</v>
      </c>
      <c r="AL553" s="84" t="b">
        <v>0</v>
      </c>
      <c r="AM553" s="84">
        <v>15</v>
      </c>
      <c r="AN553" s="92" t="s">
        <v>1360</v>
      </c>
      <c r="AO553" s="84" t="s">
        <v>1526</v>
      </c>
      <c r="AP553" s="84" t="b">
        <v>0</v>
      </c>
      <c r="AQ553" s="92" t="s">
        <v>1360</v>
      </c>
      <c r="AR553" s="84" t="s">
        <v>187</v>
      </c>
      <c r="AS553" s="84">
        <v>0</v>
      </c>
      <c r="AT553" s="84">
        <v>0</v>
      </c>
      <c r="AU553" s="84"/>
      <c r="AV553" s="84"/>
      <c r="AW553" s="84"/>
      <c r="AX553" s="84"/>
      <c r="AY553" s="84"/>
      <c r="AZ553" s="84"/>
      <c r="BA553" s="84"/>
      <c r="BB553" s="84"/>
      <c r="BC553">
        <v>1</v>
      </c>
      <c r="BD553" s="83" t="str">
        <f>REPLACE(INDEX(GroupVertices[Group],MATCH(Edges[[#This Row],[Vertex 1]],GroupVertices[Vertex],0)),1,1,"")</f>
        <v>1</v>
      </c>
      <c r="BE553" s="83" t="str">
        <f>REPLACE(INDEX(GroupVertices[Group],MATCH(Edges[[#This Row],[Vertex 2]],GroupVertices[Vertex],0)),1,1,"")</f>
        <v>1</v>
      </c>
      <c r="BF553" s="49">
        <v>0</v>
      </c>
      <c r="BG553" s="50">
        <v>0</v>
      </c>
      <c r="BH553" s="49">
        <v>0</v>
      </c>
      <c r="BI553" s="50">
        <v>0</v>
      </c>
      <c r="BJ553" s="49">
        <v>0</v>
      </c>
      <c r="BK553" s="50">
        <v>0</v>
      </c>
      <c r="BL553" s="49">
        <v>32</v>
      </c>
      <c r="BM553" s="50">
        <v>100</v>
      </c>
      <c r="BN553" s="49">
        <v>32</v>
      </c>
    </row>
    <row r="554" spans="1:66" ht="15">
      <c r="A554" s="68" t="s">
        <v>407</v>
      </c>
      <c r="B554" s="68" t="s">
        <v>423</v>
      </c>
      <c r="C554" s="69" t="s">
        <v>5210</v>
      </c>
      <c r="D554" s="70">
        <v>10</v>
      </c>
      <c r="E554" s="71" t="s">
        <v>136</v>
      </c>
      <c r="F554" s="72">
        <v>10</v>
      </c>
      <c r="G554" s="69" t="s">
        <v>51</v>
      </c>
      <c r="H554" s="73"/>
      <c r="I554" s="74"/>
      <c r="J554" s="74"/>
      <c r="K554" s="35" t="s">
        <v>65</v>
      </c>
      <c r="L554" s="82">
        <v>554</v>
      </c>
      <c r="M554" s="82"/>
      <c r="N554" s="76"/>
      <c r="O554" s="84" t="s">
        <v>439</v>
      </c>
      <c r="P554" s="86">
        <v>44082.51912037037</v>
      </c>
      <c r="Q554" s="84" t="s">
        <v>457</v>
      </c>
      <c r="R554" s="84"/>
      <c r="S554" s="84"/>
      <c r="T554" s="84" t="s">
        <v>576</v>
      </c>
      <c r="U554" s="87" t="str">
        <f>HYPERLINK("https://pbs.twimg.com/media/Eg6GGrgXgAIxG2X.jpg")</f>
        <v>https://pbs.twimg.com/media/Eg6GGrgXgAIxG2X.jpg</v>
      </c>
      <c r="V554" s="87" t="str">
        <f>HYPERLINK("https://pbs.twimg.com/media/Eg6GGrgXgAIxG2X.jpg")</f>
        <v>https://pbs.twimg.com/media/Eg6GGrgXgAIxG2X.jpg</v>
      </c>
      <c r="W554" s="86">
        <v>44082.51912037037</v>
      </c>
      <c r="X554" s="90">
        <v>44082</v>
      </c>
      <c r="Y554" s="92" t="s">
        <v>953</v>
      </c>
      <c r="Z554" s="87" t="str">
        <f>HYPERLINK("https://twitter.com/xaelbot/status/1303308990382854145")</f>
        <v>https://twitter.com/xaelbot/status/1303308990382854145</v>
      </c>
      <c r="AA554" s="84"/>
      <c r="AB554" s="84"/>
      <c r="AC554" s="92" t="s">
        <v>1363</v>
      </c>
      <c r="AD554" s="84"/>
      <c r="AE554" s="84" t="b">
        <v>0</v>
      </c>
      <c r="AF554" s="84">
        <v>0</v>
      </c>
      <c r="AG554" s="92" t="s">
        <v>1453</v>
      </c>
      <c r="AH554" s="84" t="b">
        <v>0</v>
      </c>
      <c r="AI554" s="84" t="s">
        <v>1456</v>
      </c>
      <c r="AJ554" s="84"/>
      <c r="AK554" s="92" t="s">
        <v>1453</v>
      </c>
      <c r="AL554" s="84" t="b">
        <v>0</v>
      </c>
      <c r="AM554" s="84">
        <v>51</v>
      </c>
      <c r="AN554" s="92" t="s">
        <v>1425</v>
      </c>
      <c r="AO554" s="84" t="s">
        <v>1526</v>
      </c>
      <c r="AP554" s="84" t="b">
        <v>0</v>
      </c>
      <c r="AQ554" s="92" t="s">
        <v>1425</v>
      </c>
      <c r="AR554" s="84" t="s">
        <v>187</v>
      </c>
      <c r="AS554" s="84">
        <v>0</v>
      </c>
      <c r="AT554" s="84">
        <v>0</v>
      </c>
      <c r="AU554" s="84"/>
      <c r="AV554" s="84"/>
      <c r="AW554" s="84"/>
      <c r="AX554" s="84"/>
      <c r="AY554" s="84"/>
      <c r="AZ554" s="84"/>
      <c r="BA554" s="84"/>
      <c r="BB554" s="84"/>
      <c r="BC554">
        <v>5</v>
      </c>
      <c r="BD554" s="83" t="str">
        <f>REPLACE(INDEX(GroupVertices[Group],MATCH(Edges[[#This Row],[Vertex 1]],GroupVertices[Vertex],0)),1,1,"")</f>
        <v>1</v>
      </c>
      <c r="BE554" s="83" t="str">
        <f>REPLACE(INDEX(GroupVertices[Group],MATCH(Edges[[#This Row],[Vertex 2]],GroupVertices[Vertex],0)),1,1,"")</f>
        <v>1</v>
      </c>
      <c r="BF554" s="49">
        <v>0</v>
      </c>
      <c r="BG554" s="50">
        <v>0</v>
      </c>
      <c r="BH554" s="49">
        <v>0</v>
      </c>
      <c r="BI554" s="50">
        <v>0</v>
      </c>
      <c r="BJ554" s="49">
        <v>0</v>
      </c>
      <c r="BK554" s="50">
        <v>0</v>
      </c>
      <c r="BL554" s="49">
        <v>34</v>
      </c>
      <c r="BM554" s="50">
        <v>100</v>
      </c>
      <c r="BN554" s="49">
        <v>34</v>
      </c>
    </row>
    <row r="555" spans="1:66" ht="15">
      <c r="A555" s="68" t="s">
        <v>407</v>
      </c>
      <c r="B555" s="68" t="s">
        <v>423</v>
      </c>
      <c r="C555" s="69" t="s">
        <v>5210</v>
      </c>
      <c r="D555" s="70">
        <v>10</v>
      </c>
      <c r="E555" s="71" t="s">
        <v>136</v>
      </c>
      <c r="F555" s="72">
        <v>10</v>
      </c>
      <c r="G555" s="69" t="s">
        <v>51</v>
      </c>
      <c r="H555" s="73"/>
      <c r="I555" s="74"/>
      <c r="J555" s="74"/>
      <c r="K555" s="35" t="s">
        <v>65</v>
      </c>
      <c r="L555" s="82">
        <v>555</v>
      </c>
      <c r="M555" s="82"/>
      <c r="N555" s="76"/>
      <c r="O555" s="84" t="s">
        <v>439</v>
      </c>
      <c r="P555" s="86">
        <v>44082.583599537036</v>
      </c>
      <c r="Q555" s="84" t="s">
        <v>459</v>
      </c>
      <c r="R555" s="84"/>
      <c r="S555" s="84"/>
      <c r="T555" s="84" t="s">
        <v>578</v>
      </c>
      <c r="U555" s="87" t="str">
        <f>HYPERLINK("https://pbs.twimg.com/media/EhZc5KGWoAIz_Wo.jpg")</f>
        <v>https://pbs.twimg.com/media/EhZc5KGWoAIz_Wo.jpg</v>
      </c>
      <c r="V555" s="87" t="str">
        <f>HYPERLINK("https://pbs.twimg.com/media/EhZc5KGWoAIz_Wo.jpg")</f>
        <v>https://pbs.twimg.com/media/EhZc5KGWoAIz_Wo.jpg</v>
      </c>
      <c r="W555" s="86">
        <v>44082.583599537036</v>
      </c>
      <c r="X555" s="90">
        <v>44082</v>
      </c>
      <c r="Y555" s="92" t="s">
        <v>954</v>
      </c>
      <c r="Z555" s="87" t="str">
        <f>HYPERLINK("https://twitter.com/xaelbot/status/1303332357324316672")</f>
        <v>https://twitter.com/xaelbot/status/1303332357324316672</v>
      </c>
      <c r="AA555" s="84"/>
      <c r="AB555" s="84"/>
      <c r="AC555" s="92" t="s">
        <v>1364</v>
      </c>
      <c r="AD555" s="84"/>
      <c r="AE555" s="84" t="b">
        <v>0</v>
      </c>
      <c r="AF555" s="84">
        <v>0</v>
      </c>
      <c r="AG555" s="92" t="s">
        <v>1453</v>
      </c>
      <c r="AH555" s="84" t="b">
        <v>0</v>
      </c>
      <c r="AI555" s="84" t="s">
        <v>1456</v>
      </c>
      <c r="AJ555" s="84"/>
      <c r="AK555" s="92" t="s">
        <v>1453</v>
      </c>
      <c r="AL555" s="84" t="b">
        <v>0</v>
      </c>
      <c r="AM555" s="84">
        <v>44</v>
      </c>
      <c r="AN555" s="92" t="s">
        <v>1428</v>
      </c>
      <c r="AO555" s="84" t="s">
        <v>1526</v>
      </c>
      <c r="AP555" s="84" t="b">
        <v>0</v>
      </c>
      <c r="AQ555" s="92" t="s">
        <v>1428</v>
      </c>
      <c r="AR555" s="84" t="s">
        <v>187</v>
      </c>
      <c r="AS555" s="84">
        <v>0</v>
      </c>
      <c r="AT555" s="84">
        <v>0</v>
      </c>
      <c r="AU555" s="84"/>
      <c r="AV555" s="84"/>
      <c r="AW555" s="84"/>
      <c r="AX555" s="84"/>
      <c r="AY555" s="84"/>
      <c r="AZ555" s="84"/>
      <c r="BA555" s="84"/>
      <c r="BB555" s="84"/>
      <c r="BC555">
        <v>5</v>
      </c>
      <c r="BD555" s="83" t="str">
        <f>REPLACE(INDEX(GroupVertices[Group],MATCH(Edges[[#This Row],[Vertex 1]],GroupVertices[Vertex],0)),1,1,"")</f>
        <v>1</v>
      </c>
      <c r="BE555" s="83" t="str">
        <f>REPLACE(INDEX(GroupVertices[Group],MATCH(Edges[[#This Row],[Vertex 2]],GroupVertices[Vertex],0)),1,1,"")</f>
        <v>1</v>
      </c>
      <c r="BF555" s="49">
        <v>0</v>
      </c>
      <c r="BG555" s="50">
        <v>0</v>
      </c>
      <c r="BH555" s="49">
        <v>0</v>
      </c>
      <c r="BI555" s="50">
        <v>0</v>
      </c>
      <c r="BJ555" s="49">
        <v>0</v>
      </c>
      <c r="BK555" s="50">
        <v>0</v>
      </c>
      <c r="BL555" s="49">
        <v>30</v>
      </c>
      <c r="BM555" s="50">
        <v>100</v>
      </c>
      <c r="BN555" s="49">
        <v>30</v>
      </c>
    </row>
    <row r="556" spans="1:66" ht="15">
      <c r="A556" s="68" t="s">
        <v>407</v>
      </c>
      <c r="B556" s="68" t="s">
        <v>423</v>
      </c>
      <c r="C556" s="69" t="s">
        <v>5210</v>
      </c>
      <c r="D556" s="70">
        <v>10</v>
      </c>
      <c r="E556" s="71" t="s">
        <v>136</v>
      </c>
      <c r="F556" s="72">
        <v>10</v>
      </c>
      <c r="G556" s="69" t="s">
        <v>51</v>
      </c>
      <c r="H556" s="73"/>
      <c r="I556" s="74"/>
      <c r="J556" s="74"/>
      <c r="K556" s="35" t="s">
        <v>65</v>
      </c>
      <c r="L556" s="82">
        <v>556</v>
      </c>
      <c r="M556" s="82"/>
      <c r="N556" s="76"/>
      <c r="O556" s="84" t="s">
        <v>439</v>
      </c>
      <c r="P556" s="86">
        <v>44083.468136574076</v>
      </c>
      <c r="Q556" s="84" t="s">
        <v>459</v>
      </c>
      <c r="R556" s="84"/>
      <c r="S556" s="84"/>
      <c r="T556" s="84" t="s">
        <v>578</v>
      </c>
      <c r="U556" s="87" t="str">
        <f>HYPERLINK("https://pbs.twimg.com/media/EhZc5KGWoAIz_Wo.jpg")</f>
        <v>https://pbs.twimg.com/media/EhZc5KGWoAIz_Wo.jpg</v>
      </c>
      <c r="V556" s="87" t="str">
        <f>HYPERLINK("https://pbs.twimg.com/media/EhZc5KGWoAIz_Wo.jpg")</f>
        <v>https://pbs.twimg.com/media/EhZc5KGWoAIz_Wo.jpg</v>
      </c>
      <c r="W556" s="86">
        <v>44083.468136574076</v>
      </c>
      <c r="X556" s="90">
        <v>44083</v>
      </c>
      <c r="Y556" s="92" t="s">
        <v>955</v>
      </c>
      <c r="Z556" s="87" t="str">
        <f>HYPERLINK("https://twitter.com/xaelbot/status/1303652902758690816")</f>
        <v>https://twitter.com/xaelbot/status/1303652902758690816</v>
      </c>
      <c r="AA556" s="84"/>
      <c r="AB556" s="84"/>
      <c r="AC556" s="92" t="s">
        <v>1365</v>
      </c>
      <c r="AD556" s="84"/>
      <c r="AE556" s="84" t="b">
        <v>0</v>
      </c>
      <c r="AF556" s="84">
        <v>0</v>
      </c>
      <c r="AG556" s="92" t="s">
        <v>1453</v>
      </c>
      <c r="AH556" s="84" t="b">
        <v>0</v>
      </c>
      <c r="AI556" s="84" t="s">
        <v>1456</v>
      </c>
      <c r="AJ556" s="84"/>
      <c r="AK556" s="92" t="s">
        <v>1453</v>
      </c>
      <c r="AL556" s="84" t="b">
        <v>0</v>
      </c>
      <c r="AM556" s="84">
        <v>44</v>
      </c>
      <c r="AN556" s="92" t="s">
        <v>1428</v>
      </c>
      <c r="AO556" s="84" t="s">
        <v>1526</v>
      </c>
      <c r="AP556" s="84" t="b">
        <v>0</v>
      </c>
      <c r="AQ556" s="92" t="s">
        <v>1428</v>
      </c>
      <c r="AR556" s="84" t="s">
        <v>187</v>
      </c>
      <c r="AS556" s="84">
        <v>0</v>
      </c>
      <c r="AT556" s="84">
        <v>0</v>
      </c>
      <c r="AU556" s="84"/>
      <c r="AV556" s="84"/>
      <c r="AW556" s="84"/>
      <c r="AX556" s="84"/>
      <c r="AY556" s="84"/>
      <c r="AZ556" s="84"/>
      <c r="BA556" s="84"/>
      <c r="BB556" s="84"/>
      <c r="BC556">
        <v>5</v>
      </c>
      <c r="BD556" s="83" t="str">
        <f>REPLACE(INDEX(GroupVertices[Group],MATCH(Edges[[#This Row],[Vertex 1]],GroupVertices[Vertex],0)),1,1,"")</f>
        <v>1</v>
      </c>
      <c r="BE556" s="83" t="str">
        <f>REPLACE(INDEX(GroupVertices[Group],MATCH(Edges[[#This Row],[Vertex 2]],GroupVertices[Vertex],0)),1,1,"")</f>
        <v>1</v>
      </c>
      <c r="BF556" s="49">
        <v>0</v>
      </c>
      <c r="BG556" s="50">
        <v>0</v>
      </c>
      <c r="BH556" s="49">
        <v>0</v>
      </c>
      <c r="BI556" s="50">
        <v>0</v>
      </c>
      <c r="BJ556" s="49">
        <v>0</v>
      </c>
      <c r="BK556" s="50">
        <v>0</v>
      </c>
      <c r="BL556" s="49">
        <v>30</v>
      </c>
      <c r="BM556" s="50">
        <v>100</v>
      </c>
      <c r="BN556" s="49">
        <v>30</v>
      </c>
    </row>
    <row r="557" spans="1:66" ht="15">
      <c r="A557" s="68" t="s">
        <v>407</v>
      </c>
      <c r="B557" s="68" t="s">
        <v>437</v>
      </c>
      <c r="C557" s="69" t="s">
        <v>5208</v>
      </c>
      <c r="D557" s="70">
        <v>1</v>
      </c>
      <c r="E557" s="71" t="s">
        <v>132</v>
      </c>
      <c r="F557" s="72">
        <v>32</v>
      </c>
      <c r="G557" s="69" t="s">
        <v>51</v>
      </c>
      <c r="H557" s="73"/>
      <c r="I557" s="74"/>
      <c r="J557" s="74"/>
      <c r="K557" s="35" t="s">
        <v>65</v>
      </c>
      <c r="L557" s="82">
        <v>557</v>
      </c>
      <c r="M557" s="82"/>
      <c r="N557" s="76"/>
      <c r="O557" s="84" t="s">
        <v>440</v>
      </c>
      <c r="P557" s="86">
        <v>44083.615694444445</v>
      </c>
      <c r="Q557" s="84" t="s">
        <v>509</v>
      </c>
      <c r="R557" s="87" t="str">
        <f>HYPERLINK("https://www.dailymail.co.uk/news/article-8714225/US-daily-COVID-19-cases-drop-40k-time-June.html?ito=amp_twitter_share-top")</f>
        <v>https://www.dailymail.co.uk/news/article-8714225/US-daily-COVID-19-cases-drop-40k-time-June.html?ito=amp_twitter_share-top</v>
      </c>
      <c r="S557" s="84" t="s">
        <v>558</v>
      </c>
      <c r="T557" s="84" t="s">
        <v>620</v>
      </c>
      <c r="U557" s="84"/>
      <c r="V557" s="87" t="str">
        <f>HYPERLINK("http://pbs.twimg.com/profile_images/1127896024737935360/J0nVyVyF_normal.png")</f>
        <v>http://pbs.twimg.com/profile_images/1127896024737935360/J0nVyVyF_normal.png</v>
      </c>
      <c r="W557" s="86">
        <v>44083.615694444445</v>
      </c>
      <c r="X557" s="90">
        <v>44083</v>
      </c>
      <c r="Y557" s="92" t="s">
        <v>956</v>
      </c>
      <c r="Z557" s="87" t="str">
        <f>HYPERLINK("https://twitter.com/xaelbot/status/1303706378276667392")</f>
        <v>https://twitter.com/xaelbot/status/1303706378276667392</v>
      </c>
      <c r="AA557" s="84"/>
      <c r="AB557" s="84"/>
      <c r="AC557" s="92" t="s">
        <v>1366</v>
      </c>
      <c r="AD557" s="84"/>
      <c r="AE557" s="84" t="b">
        <v>0</v>
      </c>
      <c r="AF557" s="84">
        <v>0</v>
      </c>
      <c r="AG557" s="92" t="s">
        <v>1453</v>
      </c>
      <c r="AH557" s="84" t="b">
        <v>0</v>
      </c>
      <c r="AI557" s="84" t="s">
        <v>1456</v>
      </c>
      <c r="AJ557" s="84"/>
      <c r="AK557" s="92" t="s">
        <v>1453</v>
      </c>
      <c r="AL557" s="84" t="b">
        <v>0</v>
      </c>
      <c r="AM557" s="84">
        <v>15</v>
      </c>
      <c r="AN557" s="92" t="s">
        <v>1398</v>
      </c>
      <c r="AO557" s="84" t="s">
        <v>1526</v>
      </c>
      <c r="AP557" s="84" t="b">
        <v>0</v>
      </c>
      <c r="AQ557" s="92" t="s">
        <v>1398</v>
      </c>
      <c r="AR557" s="84" t="s">
        <v>187</v>
      </c>
      <c r="AS557" s="84">
        <v>0</v>
      </c>
      <c r="AT557" s="84">
        <v>0</v>
      </c>
      <c r="AU557" s="84"/>
      <c r="AV557" s="84"/>
      <c r="AW557" s="84"/>
      <c r="AX557" s="84"/>
      <c r="AY557" s="84"/>
      <c r="AZ557" s="84"/>
      <c r="BA557" s="84"/>
      <c r="BB557" s="84"/>
      <c r="BC557">
        <v>1</v>
      </c>
      <c r="BD557" s="83" t="str">
        <f>REPLACE(INDEX(GroupVertices[Group],MATCH(Edges[[#This Row],[Vertex 1]],GroupVertices[Vertex],0)),1,1,"")</f>
        <v>1</v>
      </c>
      <c r="BE557" s="83" t="str">
        <f>REPLACE(INDEX(GroupVertices[Group],MATCH(Edges[[#This Row],[Vertex 2]],GroupVertices[Vertex],0)),1,1,"")</f>
        <v>1</v>
      </c>
      <c r="BF557" s="49"/>
      <c r="BG557" s="50"/>
      <c r="BH557" s="49"/>
      <c r="BI557" s="50"/>
      <c r="BJ557" s="49"/>
      <c r="BK557" s="50"/>
      <c r="BL557" s="49"/>
      <c r="BM557" s="50"/>
      <c r="BN557" s="49"/>
    </row>
    <row r="558" spans="1:66" ht="15">
      <c r="A558" s="68" t="s">
        <v>407</v>
      </c>
      <c r="B558" s="68" t="s">
        <v>390</v>
      </c>
      <c r="C558" s="69" t="s">
        <v>5210</v>
      </c>
      <c r="D558" s="70">
        <v>10</v>
      </c>
      <c r="E558" s="71" t="s">
        <v>132</v>
      </c>
      <c r="F558" s="72">
        <v>10</v>
      </c>
      <c r="G558" s="69" t="s">
        <v>51</v>
      </c>
      <c r="H558" s="73"/>
      <c r="I558" s="74"/>
      <c r="J558" s="74"/>
      <c r="K558" s="35" t="s">
        <v>65</v>
      </c>
      <c r="L558" s="82">
        <v>558</v>
      </c>
      <c r="M558" s="82"/>
      <c r="N558" s="76"/>
      <c r="O558" s="84" t="s">
        <v>439</v>
      </c>
      <c r="P558" s="86">
        <v>44083.615694444445</v>
      </c>
      <c r="Q558" s="84" t="s">
        <v>509</v>
      </c>
      <c r="R558" s="87" t="str">
        <f>HYPERLINK("https://www.dailymail.co.uk/news/article-8714225/US-daily-COVID-19-cases-drop-40k-time-June.html?ito=amp_twitter_share-top")</f>
        <v>https://www.dailymail.co.uk/news/article-8714225/US-daily-COVID-19-cases-drop-40k-time-June.html?ito=amp_twitter_share-top</v>
      </c>
      <c r="S558" s="84" t="s">
        <v>558</v>
      </c>
      <c r="T558" s="84" t="s">
        <v>620</v>
      </c>
      <c r="U558" s="84"/>
      <c r="V558" s="87" t="str">
        <f>HYPERLINK("http://pbs.twimg.com/profile_images/1127896024737935360/J0nVyVyF_normal.png")</f>
        <v>http://pbs.twimg.com/profile_images/1127896024737935360/J0nVyVyF_normal.png</v>
      </c>
      <c r="W558" s="86">
        <v>44083.615694444445</v>
      </c>
      <c r="X558" s="90">
        <v>44083</v>
      </c>
      <c r="Y558" s="92" t="s">
        <v>956</v>
      </c>
      <c r="Z558" s="87" t="str">
        <f>HYPERLINK("https://twitter.com/xaelbot/status/1303706378276667392")</f>
        <v>https://twitter.com/xaelbot/status/1303706378276667392</v>
      </c>
      <c r="AA558" s="84"/>
      <c r="AB558" s="84"/>
      <c r="AC558" s="92" t="s">
        <v>1366</v>
      </c>
      <c r="AD558" s="84"/>
      <c r="AE558" s="84" t="b">
        <v>0</v>
      </c>
      <c r="AF558" s="84">
        <v>0</v>
      </c>
      <c r="AG558" s="92" t="s">
        <v>1453</v>
      </c>
      <c r="AH558" s="84" t="b">
        <v>0</v>
      </c>
      <c r="AI558" s="84" t="s">
        <v>1456</v>
      </c>
      <c r="AJ558" s="84"/>
      <c r="AK558" s="92" t="s">
        <v>1453</v>
      </c>
      <c r="AL558" s="84" t="b">
        <v>0</v>
      </c>
      <c r="AM558" s="84">
        <v>15</v>
      </c>
      <c r="AN558" s="92" t="s">
        <v>1398</v>
      </c>
      <c r="AO558" s="84" t="s">
        <v>1526</v>
      </c>
      <c r="AP558" s="84" t="b">
        <v>0</v>
      </c>
      <c r="AQ558" s="92" t="s">
        <v>1398</v>
      </c>
      <c r="AR558" s="84" t="s">
        <v>187</v>
      </c>
      <c r="AS558" s="84">
        <v>0</v>
      </c>
      <c r="AT558" s="84">
        <v>0</v>
      </c>
      <c r="AU558" s="84"/>
      <c r="AV558" s="84"/>
      <c r="AW558" s="84"/>
      <c r="AX558" s="84"/>
      <c r="AY558" s="84"/>
      <c r="AZ558" s="84"/>
      <c r="BA558" s="84"/>
      <c r="BB558" s="84"/>
      <c r="BC558">
        <v>3</v>
      </c>
      <c r="BD558" s="83" t="str">
        <f>REPLACE(INDEX(GroupVertices[Group],MATCH(Edges[[#This Row],[Vertex 1]],GroupVertices[Vertex],0)),1,1,"")</f>
        <v>1</v>
      </c>
      <c r="BE558" s="83" t="str">
        <f>REPLACE(INDEX(GroupVertices[Group],MATCH(Edges[[#This Row],[Vertex 2]],GroupVertices[Vertex],0)),1,1,"")</f>
        <v>1</v>
      </c>
      <c r="BF558" s="49">
        <v>0</v>
      </c>
      <c r="BG558" s="50">
        <v>0</v>
      </c>
      <c r="BH558" s="49">
        <v>0</v>
      </c>
      <c r="BI558" s="50">
        <v>0</v>
      </c>
      <c r="BJ558" s="49">
        <v>0</v>
      </c>
      <c r="BK558" s="50">
        <v>0</v>
      </c>
      <c r="BL558" s="49">
        <v>33</v>
      </c>
      <c r="BM558" s="50">
        <v>100</v>
      </c>
      <c r="BN558" s="49">
        <v>33</v>
      </c>
    </row>
    <row r="559" spans="1:66" ht="15">
      <c r="A559" s="68" t="s">
        <v>407</v>
      </c>
      <c r="B559" s="68" t="s">
        <v>423</v>
      </c>
      <c r="C559" s="69" t="s">
        <v>5210</v>
      </c>
      <c r="D559" s="70">
        <v>10</v>
      </c>
      <c r="E559" s="71" t="s">
        <v>136</v>
      </c>
      <c r="F559" s="72">
        <v>10</v>
      </c>
      <c r="G559" s="69" t="s">
        <v>51</v>
      </c>
      <c r="H559" s="73"/>
      <c r="I559" s="74"/>
      <c r="J559" s="74"/>
      <c r="K559" s="35" t="s">
        <v>65</v>
      </c>
      <c r="L559" s="82">
        <v>559</v>
      </c>
      <c r="M559" s="82"/>
      <c r="N559" s="76"/>
      <c r="O559" s="84" t="s">
        <v>439</v>
      </c>
      <c r="P559" s="86">
        <v>44083.64511574074</v>
      </c>
      <c r="Q559" s="84" t="s">
        <v>474</v>
      </c>
      <c r="R559" s="84"/>
      <c r="S559" s="84"/>
      <c r="T559" s="84" t="s">
        <v>591</v>
      </c>
      <c r="U559" s="87" t="str">
        <f>HYPERLINK("https://pbs.twimg.com/media/EhOErS9WAAUfUqQ.jpg")</f>
        <v>https://pbs.twimg.com/media/EhOErS9WAAUfUqQ.jpg</v>
      </c>
      <c r="V559" s="87" t="str">
        <f>HYPERLINK("https://pbs.twimg.com/media/EhOErS9WAAUfUqQ.jpg")</f>
        <v>https://pbs.twimg.com/media/EhOErS9WAAUfUqQ.jpg</v>
      </c>
      <c r="W559" s="86">
        <v>44083.64511574074</v>
      </c>
      <c r="X559" s="90">
        <v>44083</v>
      </c>
      <c r="Y559" s="92" t="s">
        <v>957</v>
      </c>
      <c r="Z559" s="87" t="str">
        <f>HYPERLINK("https://twitter.com/xaelbot/status/1303717040193179650")</f>
        <v>https://twitter.com/xaelbot/status/1303717040193179650</v>
      </c>
      <c r="AA559" s="84"/>
      <c r="AB559" s="84"/>
      <c r="AC559" s="92" t="s">
        <v>1367</v>
      </c>
      <c r="AD559" s="84"/>
      <c r="AE559" s="84" t="b">
        <v>0</v>
      </c>
      <c r="AF559" s="84">
        <v>0</v>
      </c>
      <c r="AG559" s="92" t="s">
        <v>1453</v>
      </c>
      <c r="AH559" s="84" t="b">
        <v>0</v>
      </c>
      <c r="AI559" s="84" t="s">
        <v>1456</v>
      </c>
      <c r="AJ559" s="84"/>
      <c r="AK559" s="92" t="s">
        <v>1453</v>
      </c>
      <c r="AL559" s="84" t="b">
        <v>0</v>
      </c>
      <c r="AM559" s="84">
        <v>55</v>
      </c>
      <c r="AN559" s="92" t="s">
        <v>1426</v>
      </c>
      <c r="AO559" s="84" t="s">
        <v>1526</v>
      </c>
      <c r="AP559" s="84" t="b">
        <v>0</v>
      </c>
      <c r="AQ559" s="92" t="s">
        <v>1426</v>
      </c>
      <c r="AR559" s="84" t="s">
        <v>187</v>
      </c>
      <c r="AS559" s="84">
        <v>0</v>
      </c>
      <c r="AT559" s="84">
        <v>0</v>
      </c>
      <c r="AU559" s="84"/>
      <c r="AV559" s="84"/>
      <c r="AW559" s="84"/>
      <c r="AX559" s="84"/>
      <c r="AY559" s="84"/>
      <c r="AZ559" s="84"/>
      <c r="BA559" s="84"/>
      <c r="BB559" s="84"/>
      <c r="BC559">
        <v>5</v>
      </c>
      <c r="BD559" s="83" t="str">
        <f>REPLACE(INDEX(GroupVertices[Group],MATCH(Edges[[#This Row],[Vertex 1]],GroupVertices[Vertex],0)),1,1,"")</f>
        <v>1</v>
      </c>
      <c r="BE559" s="83" t="str">
        <f>REPLACE(INDEX(GroupVertices[Group],MATCH(Edges[[#This Row],[Vertex 2]],GroupVertices[Vertex],0)),1,1,"")</f>
        <v>1</v>
      </c>
      <c r="BF559" s="49">
        <v>0</v>
      </c>
      <c r="BG559" s="50">
        <v>0</v>
      </c>
      <c r="BH559" s="49">
        <v>0</v>
      </c>
      <c r="BI559" s="50">
        <v>0</v>
      </c>
      <c r="BJ559" s="49">
        <v>0</v>
      </c>
      <c r="BK559" s="50">
        <v>0</v>
      </c>
      <c r="BL559" s="49">
        <v>31</v>
      </c>
      <c r="BM559" s="50">
        <v>100</v>
      </c>
      <c r="BN559" s="49">
        <v>31</v>
      </c>
    </row>
    <row r="560" spans="1:66" ht="15">
      <c r="A560" s="68" t="s">
        <v>407</v>
      </c>
      <c r="B560" s="68" t="s">
        <v>423</v>
      </c>
      <c r="C560" s="69" t="s">
        <v>5210</v>
      </c>
      <c r="D560" s="70">
        <v>10</v>
      </c>
      <c r="E560" s="71" t="s">
        <v>136</v>
      </c>
      <c r="F560" s="72">
        <v>10</v>
      </c>
      <c r="G560" s="69" t="s">
        <v>51</v>
      </c>
      <c r="H560" s="73"/>
      <c r="I560" s="74"/>
      <c r="J560" s="74"/>
      <c r="K560" s="35" t="s">
        <v>65</v>
      </c>
      <c r="L560" s="82">
        <v>560</v>
      </c>
      <c r="M560" s="82"/>
      <c r="N560" s="76"/>
      <c r="O560" s="84" t="s">
        <v>439</v>
      </c>
      <c r="P560" s="86">
        <v>44084.14074074074</v>
      </c>
      <c r="Q560" s="84" t="s">
        <v>459</v>
      </c>
      <c r="R560" s="84"/>
      <c r="S560" s="84"/>
      <c r="T560" s="84" t="s">
        <v>578</v>
      </c>
      <c r="U560" s="87" t="str">
        <f>HYPERLINK("https://pbs.twimg.com/media/EhZc5KGWoAIz_Wo.jpg")</f>
        <v>https://pbs.twimg.com/media/EhZc5KGWoAIz_Wo.jpg</v>
      </c>
      <c r="V560" s="87" t="str">
        <f>HYPERLINK("https://pbs.twimg.com/media/EhZc5KGWoAIz_Wo.jpg")</f>
        <v>https://pbs.twimg.com/media/EhZc5KGWoAIz_Wo.jpg</v>
      </c>
      <c r="W560" s="86">
        <v>44084.14074074074</v>
      </c>
      <c r="X560" s="90">
        <v>44084</v>
      </c>
      <c r="Y560" s="92" t="s">
        <v>958</v>
      </c>
      <c r="Z560" s="87" t="str">
        <f>HYPERLINK("https://twitter.com/xaelbot/status/1303896646762278913")</f>
        <v>https://twitter.com/xaelbot/status/1303896646762278913</v>
      </c>
      <c r="AA560" s="84"/>
      <c r="AB560" s="84"/>
      <c r="AC560" s="92" t="s">
        <v>1368</v>
      </c>
      <c r="AD560" s="84"/>
      <c r="AE560" s="84" t="b">
        <v>0</v>
      </c>
      <c r="AF560" s="84">
        <v>0</v>
      </c>
      <c r="AG560" s="92" t="s">
        <v>1453</v>
      </c>
      <c r="AH560" s="84" t="b">
        <v>0</v>
      </c>
      <c r="AI560" s="84" t="s">
        <v>1456</v>
      </c>
      <c r="AJ560" s="84"/>
      <c r="AK560" s="92" t="s">
        <v>1453</v>
      </c>
      <c r="AL560" s="84" t="b">
        <v>0</v>
      </c>
      <c r="AM560" s="84">
        <v>44</v>
      </c>
      <c r="AN560" s="92" t="s">
        <v>1428</v>
      </c>
      <c r="AO560" s="84" t="s">
        <v>1526</v>
      </c>
      <c r="AP560" s="84" t="b">
        <v>0</v>
      </c>
      <c r="AQ560" s="92" t="s">
        <v>1428</v>
      </c>
      <c r="AR560" s="84" t="s">
        <v>187</v>
      </c>
      <c r="AS560" s="84">
        <v>0</v>
      </c>
      <c r="AT560" s="84">
        <v>0</v>
      </c>
      <c r="AU560" s="84"/>
      <c r="AV560" s="84"/>
      <c r="AW560" s="84"/>
      <c r="AX560" s="84"/>
      <c r="AY560" s="84"/>
      <c r="AZ560" s="84"/>
      <c r="BA560" s="84"/>
      <c r="BB560" s="84"/>
      <c r="BC560">
        <v>5</v>
      </c>
      <c r="BD560" s="83" t="str">
        <f>REPLACE(INDEX(GroupVertices[Group],MATCH(Edges[[#This Row],[Vertex 1]],GroupVertices[Vertex],0)),1,1,"")</f>
        <v>1</v>
      </c>
      <c r="BE560" s="83" t="str">
        <f>REPLACE(INDEX(GroupVertices[Group],MATCH(Edges[[#This Row],[Vertex 2]],GroupVertices[Vertex],0)),1,1,"")</f>
        <v>1</v>
      </c>
      <c r="BF560" s="49">
        <v>0</v>
      </c>
      <c r="BG560" s="50">
        <v>0</v>
      </c>
      <c r="BH560" s="49">
        <v>0</v>
      </c>
      <c r="BI560" s="50">
        <v>0</v>
      </c>
      <c r="BJ560" s="49">
        <v>0</v>
      </c>
      <c r="BK560" s="50">
        <v>0</v>
      </c>
      <c r="BL560" s="49">
        <v>30</v>
      </c>
      <c r="BM560" s="50">
        <v>100</v>
      </c>
      <c r="BN560" s="49">
        <v>30</v>
      </c>
    </row>
    <row r="561" spans="1:66" ht="15">
      <c r="A561" s="68" t="s">
        <v>407</v>
      </c>
      <c r="B561" s="68" t="s">
        <v>421</v>
      </c>
      <c r="C561" s="69" t="s">
        <v>5208</v>
      </c>
      <c r="D561" s="70">
        <v>1</v>
      </c>
      <c r="E561" s="71" t="s">
        <v>132</v>
      </c>
      <c r="F561" s="72">
        <v>32</v>
      </c>
      <c r="G561" s="69" t="s">
        <v>51</v>
      </c>
      <c r="H561" s="73"/>
      <c r="I561" s="74"/>
      <c r="J561" s="74"/>
      <c r="K561" s="35" t="s">
        <v>65</v>
      </c>
      <c r="L561" s="82">
        <v>561</v>
      </c>
      <c r="M561" s="82"/>
      <c r="N561" s="76"/>
      <c r="O561" s="84" t="s">
        <v>439</v>
      </c>
      <c r="P561" s="86">
        <v>44084.64293981482</v>
      </c>
      <c r="Q561" s="84" t="s">
        <v>479</v>
      </c>
      <c r="R561" s="87" t="str">
        <f>HYPERLINK("https://akashmishra75.herokuapp.com/")</f>
        <v>https://akashmishra75.herokuapp.com/</v>
      </c>
      <c r="S561" s="84" t="s">
        <v>547</v>
      </c>
      <c r="T561" s="84" t="s">
        <v>595</v>
      </c>
      <c r="U561" s="87" t="str">
        <f>HYPERLINK("https://pbs.twimg.com/ext_tw_video_thumb/1299340580011433985/pu/img/BLbI7sTMAVVWOb9h.jpg")</f>
        <v>https://pbs.twimg.com/ext_tw_video_thumb/1299340580011433985/pu/img/BLbI7sTMAVVWOb9h.jpg</v>
      </c>
      <c r="V561" s="87" t="str">
        <f>HYPERLINK("https://pbs.twimg.com/ext_tw_video_thumb/1299340580011433985/pu/img/BLbI7sTMAVVWOb9h.jpg")</f>
        <v>https://pbs.twimg.com/ext_tw_video_thumb/1299340580011433985/pu/img/BLbI7sTMAVVWOb9h.jpg</v>
      </c>
      <c r="W561" s="86">
        <v>44084.64293981482</v>
      </c>
      <c r="X561" s="90">
        <v>44084</v>
      </c>
      <c r="Y561" s="92" t="s">
        <v>959</v>
      </c>
      <c r="Z561" s="87" t="str">
        <f>HYPERLINK("https://twitter.com/xaelbot/status/1304078638493696002")</f>
        <v>https://twitter.com/xaelbot/status/1304078638493696002</v>
      </c>
      <c r="AA561" s="84"/>
      <c r="AB561" s="84"/>
      <c r="AC561" s="92" t="s">
        <v>1369</v>
      </c>
      <c r="AD561" s="84"/>
      <c r="AE561" s="84" t="b">
        <v>0</v>
      </c>
      <c r="AF561" s="84">
        <v>0</v>
      </c>
      <c r="AG561" s="92" t="s">
        <v>1453</v>
      </c>
      <c r="AH561" s="84" t="b">
        <v>0</v>
      </c>
      <c r="AI561" s="84" t="s">
        <v>1456</v>
      </c>
      <c r="AJ561" s="84"/>
      <c r="AK561" s="92" t="s">
        <v>1453</v>
      </c>
      <c r="AL561" s="84" t="b">
        <v>0</v>
      </c>
      <c r="AM561" s="84">
        <v>76</v>
      </c>
      <c r="AN561" s="92" t="s">
        <v>1418</v>
      </c>
      <c r="AO561" s="84" t="s">
        <v>1526</v>
      </c>
      <c r="AP561" s="84" t="b">
        <v>0</v>
      </c>
      <c r="AQ561" s="92" t="s">
        <v>1418</v>
      </c>
      <c r="AR561" s="84" t="s">
        <v>187</v>
      </c>
      <c r="AS561" s="84">
        <v>0</v>
      </c>
      <c r="AT561" s="84">
        <v>0</v>
      </c>
      <c r="AU561" s="84"/>
      <c r="AV561" s="84"/>
      <c r="AW561" s="84"/>
      <c r="AX561" s="84"/>
      <c r="AY561" s="84"/>
      <c r="AZ561" s="84"/>
      <c r="BA561" s="84"/>
      <c r="BB561" s="84"/>
      <c r="BC561">
        <v>1</v>
      </c>
      <c r="BD561" s="83" t="str">
        <f>REPLACE(INDEX(GroupVertices[Group],MATCH(Edges[[#This Row],[Vertex 1]],GroupVertices[Vertex],0)),1,1,"")</f>
        <v>1</v>
      </c>
      <c r="BE561" s="83" t="str">
        <f>REPLACE(INDEX(GroupVertices[Group],MATCH(Edges[[#This Row],[Vertex 2]],GroupVertices[Vertex],0)),1,1,"")</f>
        <v>8</v>
      </c>
      <c r="BF561" s="49">
        <v>0</v>
      </c>
      <c r="BG561" s="50">
        <v>0</v>
      </c>
      <c r="BH561" s="49">
        <v>0</v>
      </c>
      <c r="BI561" s="50">
        <v>0</v>
      </c>
      <c r="BJ561" s="49">
        <v>0</v>
      </c>
      <c r="BK561" s="50">
        <v>0</v>
      </c>
      <c r="BL561" s="49">
        <v>42</v>
      </c>
      <c r="BM561" s="50">
        <v>100</v>
      </c>
      <c r="BN561" s="49">
        <v>42</v>
      </c>
    </row>
    <row r="562" spans="1:66" ht="15">
      <c r="A562" s="68" t="s">
        <v>407</v>
      </c>
      <c r="B562" s="68" t="s">
        <v>390</v>
      </c>
      <c r="C562" s="69" t="s">
        <v>5210</v>
      </c>
      <c r="D562" s="70">
        <v>10</v>
      </c>
      <c r="E562" s="71" t="s">
        <v>132</v>
      </c>
      <c r="F562" s="72">
        <v>10</v>
      </c>
      <c r="G562" s="69" t="s">
        <v>51</v>
      </c>
      <c r="H562" s="73"/>
      <c r="I562" s="74"/>
      <c r="J562" s="74"/>
      <c r="K562" s="35" t="s">
        <v>65</v>
      </c>
      <c r="L562" s="82">
        <v>562</v>
      </c>
      <c r="M562" s="82"/>
      <c r="N562" s="76"/>
      <c r="O562" s="84" t="s">
        <v>439</v>
      </c>
      <c r="P562" s="86">
        <v>44084.77407407408</v>
      </c>
      <c r="Q562" s="84" t="s">
        <v>481</v>
      </c>
      <c r="R562" s="87" t="str">
        <f>HYPERLINK("https://www.aitrends.com/ai-research/covid-19-ai-update-nih-developing-imaging-tools/")</f>
        <v>https://www.aitrends.com/ai-research/covid-19-ai-update-nih-developing-imaging-tools/</v>
      </c>
      <c r="S562" s="84" t="s">
        <v>548</v>
      </c>
      <c r="T562" s="84" t="s">
        <v>597</v>
      </c>
      <c r="U562" s="84"/>
      <c r="V562" s="87" t="str">
        <f>HYPERLINK("http://pbs.twimg.com/profile_images/1127896024737935360/J0nVyVyF_normal.png")</f>
        <v>http://pbs.twimg.com/profile_images/1127896024737935360/J0nVyVyF_normal.png</v>
      </c>
      <c r="W562" s="86">
        <v>44084.77407407408</v>
      </c>
      <c r="X562" s="90">
        <v>44084</v>
      </c>
      <c r="Y562" s="92" t="s">
        <v>960</v>
      </c>
      <c r="Z562" s="87" t="str">
        <f>HYPERLINK("https://twitter.com/xaelbot/status/1304126158850715648")</f>
        <v>https://twitter.com/xaelbot/status/1304126158850715648</v>
      </c>
      <c r="AA562" s="84"/>
      <c r="AB562" s="84"/>
      <c r="AC562" s="92" t="s">
        <v>1370</v>
      </c>
      <c r="AD562" s="84"/>
      <c r="AE562" s="84" t="b">
        <v>0</v>
      </c>
      <c r="AF562" s="84">
        <v>0</v>
      </c>
      <c r="AG562" s="92" t="s">
        <v>1453</v>
      </c>
      <c r="AH562" s="84" t="b">
        <v>0</v>
      </c>
      <c r="AI562" s="84" t="s">
        <v>1456</v>
      </c>
      <c r="AJ562" s="84"/>
      <c r="AK562" s="92" t="s">
        <v>1453</v>
      </c>
      <c r="AL562" s="84" t="b">
        <v>0</v>
      </c>
      <c r="AM562" s="84">
        <v>17</v>
      </c>
      <c r="AN562" s="92" t="s">
        <v>1405</v>
      </c>
      <c r="AO562" s="84" t="s">
        <v>1526</v>
      </c>
      <c r="AP562" s="84" t="b">
        <v>0</v>
      </c>
      <c r="AQ562" s="92" t="s">
        <v>1405</v>
      </c>
      <c r="AR562" s="84" t="s">
        <v>187</v>
      </c>
      <c r="AS562" s="84">
        <v>0</v>
      </c>
      <c r="AT562" s="84">
        <v>0</v>
      </c>
      <c r="AU562" s="84"/>
      <c r="AV562" s="84"/>
      <c r="AW562" s="84"/>
      <c r="AX562" s="84"/>
      <c r="AY562" s="84"/>
      <c r="AZ562" s="84"/>
      <c r="BA562" s="84"/>
      <c r="BB562" s="84"/>
      <c r="BC562">
        <v>3</v>
      </c>
      <c r="BD562" s="83" t="str">
        <f>REPLACE(INDEX(GroupVertices[Group],MATCH(Edges[[#This Row],[Vertex 1]],GroupVertices[Vertex],0)),1,1,"")</f>
        <v>1</v>
      </c>
      <c r="BE562" s="83" t="str">
        <f>REPLACE(INDEX(GroupVertices[Group],MATCH(Edges[[#This Row],[Vertex 2]],GroupVertices[Vertex],0)),1,1,"")</f>
        <v>1</v>
      </c>
      <c r="BF562" s="49">
        <v>0</v>
      </c>
      <c r="BG562" s="50">
        <v>0</v>
      </c>
      <c r="BH562" s="49">
        <v>0</v>
      </c>
      <c r="BI562" s="50">
        <v>0</v>
      </c>
      <c r="BJ562" s="49">
        <v>0</v>
      </c>
      <c r="BK562" s="50">
        <v>0</v>
      </c>
      <c r="BL562" s="49">
        <v>28</v>
      </c>
      <c r="BM562" s="50">
        <v>100</v>
      </c>
      <c r="BN562" s="49">
        <v>28</v>
      </c>
    </row>
    <row r="563" spans="1:66" ht="15">
      <c r="A563" s="68" t="s">
        <v>407</v>
      </c>
      <c r="B563" s="68" t="s">
        <v>435</v>
      </c>
      <c r="C563" s="69" t="s">
        <v>5208</v>
      </c>
      <c r="D563" s="70">
        <v>1</v>
      </c>
      <c r="E563" s="71" t="s">
        <v>132</v>
      </c>
      <c r="F563" s="72">
        <v>32</v>
      </c>
      <c r="G563" s="69" t="s">
        <v>51</v>
      </c>
      <c r="H563" s="73"/>
      <c r="I563" s="74"/>
      <c r="J563" s="74"/>
      <c r="K563" s="35" t="s">
        <v>65</v>
      </c>
      <c r="L563" s="82">
        <v>563</v>
      </c>
      <c r="M563" s="82"/>
      <c r="N563" s="76"/>
      <c r="O563" s="84" t="s">
        <v>440</v>
      </c>
      <c r="P563" s="86">
        <v>44086.36671296296</v>
      </c>
      <c r="Q563" s="84" t="s">
        <v>484</v>
      </c>
      <c r="R563" s="87" t="str">
        <f>HYPERLINK("https://www.weforum.org/agenda/2020/09/prevent-post-covid-carmageddon")</f>
        <v>https://www.weforum.org/agenda/2020/09/prevent-post-covid-carmageddon</v>
      </c>
      <c r="S563" s="84" t="s">
        <v>549</v>
      </c>
      <c r="T563" s="84" t="s">
        <v>600</v>
      </c>
      <c r="U563" s="84"/>
      <c r="V563" s="87" t="str">
        <f>HYPERLINK("http://pbs.twimg.com/profile_images/1127896024737935360/J0nVyVyF_normal.png")</f>
        <v>http://pbs.twimg.com/profile_images/1127896024737935360/J0nVyVyF_normal.png</v>
      </c>
      <c r="W563" s="86">
        <v>44086.36671296296</v>
      </c>
      <c r="X563" s="90">
        <v>44086</v>
      </c>
      <c r="Y563" s="92" t="s">
        <v>772</v>
      </c>
      <c r="Z563" s="87" t="str">
        <f>HYPERLINK("https://twitter.com/xaelbot/status/1304703313888321536")</f>
        <v>https://twitter.com/xaelbot/status/1304703313888321536</v>
      </c>
      <c r="AA563" s="84"/>
      <c r="AB563" s="84"/>
      <c r="AC563" s="92" t="s">
        <v>1371</v>
      </c>
      <c r="AD563" s="84"/>
      <c r="AE563" s="84" t="b">
        <v>0</v>
      </c>
      <c r="AF563" s="84">
        <v>0</v>
      </c>
      <c r="AG563" s="92" t="s">
        <v>1453</v>
      </c>
      <c r="AH563" s="84" t="b">
        <v>0</v>
      </c>
      <c r="AI563" s="84" t="s">
        <v>1456</v>
      </c>
      <c r="AJ563" s="84"/>
      <c r="AK563" s="92" t="s">
        <v>1453</v>
      </c>
      <c r="AL563" s="84" t="b">
        <v>0</v>
      </c>
      <c r="AM563" s="84">
        <v>36</v>
      </c>
      <c r="AN563" s="92" t="s">
        <v>1401</v>
      </c>
      <c r="AO563" s="84" t="s">
        <v>1526</v>
      </c>
      <c r="AP563" s="84" t="b">
        <v>0</v>
      </c>
      <c r="AQ563" s="92" t="s">
        <v>1401</v>
      </c>
      <c r="AR563" s="84" t="s">
        <v>187</v>
      </c>
      <c r="AS563" s="84">
        <v>0</v>
      </c>
      <c r="AT563" s="84">
        <v>0</v>
      </c>
      <c r="AU563" s="84"/>
      <c r="AV563" s="84"/>
      <c r="AW563" s="84"/>
      <c r="AX563" s="84"/>
      <c r="AY563" s="84"/>
      <c r="AZ563" s="84"/>
      <c r="BA563" s="84"/>
      <c r="BB563" s="84"/>
      <c r="BC563">
        <v>1</v>
      </c>
      <c r="BD563" s="83" t="str">
        <f>REPLACE(INDEX(GroupVertices[Group],MATCH(Edges[[#This Row],[Vertex 1]],GroupVertices[Vertex],0)),1,1,"")</f>
        <v>1</v>
      </c>
      <c r="BE563" s="83" t="str">
        <f>REPLACE(INDEX(GroupVertices[Group],MATCH(Edges[[#This Row],[Vertex 2]],GroupVertices[Vertex],0)),1,1,"")</f>
        <v>1</v>
      </c>
      <c r="BF563" s="49"/>
      <c r="BG563" s="50"/>
      <c r="BH563" s="49"/>
      <c r="BI563" s="50"/>
      <c r="BJ563" s="49"/>
      <c r="BK563" s="50"/>
      <c r="BL563" s="49"/>
      <c r="BM563" s="50"/>
      <c r="BN563" s="49"/>
    </row>
    <row r="564" spans="1:66" ht="15">
      <c r="A564" s="68" t="s">
        <v>407</v>
      </c>
      <c r="B564" s="68" t="s">
        <v>390</v>
      </c>
      <c r="C564" s="69" t="s">
        <v>5210</v>
      </c>
      <c r="D564" s="70">
        <v>10</v>
      </c>
      <c r="E564" s="71" t="s">
        <v>132</v>
      </c>
      <c r="F564" s="72">
        <v>10</v>
      </c>
      <c r="G564" s="69" t="s">
        <v>51</v>
      </c>
      <c r="H564" s="73"/>
      <c r="I564" s="74"/>
      <c r="J564" s="74"/>
      <c r="K564" s="35" t="s">
        <v>65</v>
      </c>
      <c r="L564" s="82">
        <v>564</v>
      </c>
      <c r="M564" s="82"/>
      <c r="N564" s="76"/>
      <c r="O564" s="84" t="s">
        <v>439</v>
      </c>
      <c r="P564" s="86">
        <v>44086.36671296296</v>
      </c>
      <c r="Q564" s="84" t="s">
        <v>484</v>
      </c>
      <c r="R564" s="87" t="str">
        <f>HYPERLINK("https://www.weforum.org/agenda/2020/09/prevent-post-covid-carmageddon")</f>
        <v>https://www.weforum.org/agenda/2020/09/prevent-post-covid-carmageddon</v>
      </c>
      <c r="S564" s="84" t="s">
        <v>549</v>
      </c>
      <c r="T564" s="84" t="s">
        <v>600</v>
      </c>
      <c r="U564" s="84"/>
      <c r="V564" s="87" t="str">
        <f>HYPERLINK("http://pbs.twimg.com/profile_images/1127896024737935360/J0nVyVyF_normal.png")</f>
        <v>http://pbs.twimg.com/profile_images/1127896024737935360/J0nVyVyF_normal.png</v>
      </c>
      <c r="W564" s="86">
        <v>44086.36671296296</v>
      </c>
      <c r="X564" s="90">
        <v>44086</v>
      </c>
      <c r="Y564" s="92" t="s">
        <v>772</v>
      </c>
      <c r="Z564" s="87" t="str">
        <f>HYPERLINK("https://twitter.com/xaelbot/status/1304703313888321536")</f>
        <v>https://twitter.com/xaelbot/status/1304703313888321536</v>
      </c>
      <c r="AA564" s="84"/>
      <c r="AB564" s="84"/>
      <c r="AC564" s="92" t="s">
        <v>1371</v>
      </c>
      <c r="AD564" s="84"/>
      <c r="AE564" s="84" t="b">
        <v>0</v>
      </c>
      <c r="AF564" s="84">
        <v>0</v>
      </c>
      <c r="AG564" s="92" t="s">
        <v>1453</v>
      </c>
      <c r="AH564" s="84" t="b">
        <v>0</v>
      </c>
      <c r="AI564" s="84" t="s">
        <v>1456</v>
      </c>
      <c r="AJ564" s="84"/>
      <c r="AK564" s="92" t="s">
        <v>1453</v>
      </c>
      <c r="AL564" s="84" t="b">
        <v>0</v>
      </c>
      <c r="AM564" s="84">
        <v>36</v>
      </c>
      <c r="AN564" s="92" t="s">
        <v>1401</v>
      </c>
      <c r="AO564" s="84" t="s">
        <v>1526</v>
      </c>
      <c r="AP564" s="84" t="b">
        <v>0</v>
      </c>
      <c r="AQ564" s="92" t="s">
        <v>1401</v>
      </c>
      <c r="AR564" s="84" t="s">
        <v>187</v>
      </c>
      <c r="AS564" s="84">
        <v>0</v>
      </c>
      <c r="AT564" s="84">
        <v>0</v>
      </c>
      <c r="AU564" s="84"/>
      <c r="AV564" s="84"/>
      <c r="AW564" s="84"/>
      <c r="AX564" s="84"/>
      <c r="AY564" s="84"/>
      <c r="AZ564" s="84"/>
      <c r="BA564" s="84"/>
      <c r="BB564" s="84"/>
      <c r="BC564">
        <v>3</v>
      </c>
      <c r="BD564" s="83" t="str">
        <f>REPLACE(INDEX(GroupVertices[Group],MATCH(Edges[[#This Row],[Vertex 1]],GroupVertices[Vertex],0)),1,1,"")</f>
        <v>1</v>
      </c>
      <c r="BE564" s="83" t="str">
        <f>REPLACE(INDEX(GroupVertices[Group],MATCH(Edges[[#This Row],[Vertex 2]],GroupVertices[Vertex],0)),1,1,"")</f>
        <v>1</v>
      </c>
      <c r="BF564" s="49">
        <v>0</v>
      </c>
      <c r="BG564" s="50">
        <v>0</v>
      </c>
      <c r="BH564" s="49">
        <v>0</v>
      </c>
      <c r="BI564" s="50">
        <v>0</v>
      </c>
      <c r="BJ564" s="49">
        <v>0</v>
      </c>
      <c r="BK564" s="50">
        <v>0</v>
      </c>
      <c r="BL564" s="49">
        <v>31</v>
      </c>
      <c r="BM564" s="50">
        <v>100</v>
      </c>
      <c r="BN564" s="49">
        <v>31</v>
      </c>
    </row>
    <row r="565" spans="1:66" ht="15">
      <c r="A565" s="68" t="s">
        <v>407</v>
      </c>
      <c r="B565" s="68" t="s">
        <v>436</v>
      </c>
      <c r="C565" s="69" t="s">
        <v>5209</v>
      </c>
      <c r="D565" s="70">
        <v>6.678367782143116</v>
      </c>
      <c r="E565" s="71" t="s">
        <v>132</v>
      </c>
      <c r="F565" s="72">
        <v>21</v>
      </c>
      <c r="G565" s="69" t="s">
        <v>51</v>
      </c>
      <c r="H565" s="73"/>
      <c r="I565" s="74"/>
      <c r="J565" s="74"/>
      <c r="K565" s="35" t="s">
        <v>65</v>
      </c>
      <c r="L565" s="82">
        <v>565</v>
      </c>
      <c r="M565" s="82"/>
      <c r="N565" s="76"/>
      <c r="O565" s="84" t="s">
        <v>440</v>
      </c>
      <c r="P565" s="86">
        <v>44087.11508101852</v>
      </c>
      <c r="Q565" s="84" t="s">
        <v>490</v>
      </c>
      <c r="R565" s="87" t="str">
        <f>HYPERLINK("https://online-learning.harvard.edu/catalog")</f>
        <v>https://online-learning.harvard.edu/catalog</v>
      </c>
      <c r="S565" s="84" t="s">
        <v>551</v>
      </c>
      <c r="T565" s="84" t="s">
        <v>606</v>
      </c>
      <c r="U565" s="84"/>
      <c r="V565" s="87" t="str">
        <f>HYPERLINK("http://pbs.twimg.com/profile_images/1127896024737935360/J0nVyVyF_normal.png")</f>
        <v>http://pbs.twimg.com/profile_images/1127896024737935360/J0nVyVyF_normal.png</v>
      </c>
      <c r="W565" s="86">
        <v>44087.11508101852</v>
      </c>
      <c r="X565" s="90">
        <v>44087</v>
      </c>
      <c r="Y565" s="92" t="s">
        <v>961</v>
      </c>
      <c r="Z565" s="87" t="str">
        <f>HYPERLINK("https://twitter.com/xaelbot/status/1304974510261702657")</f>
        <v>https://twitter.com/xaelbot/status/1304974510261702657</v>
      </c>
      <c r="AA565" s="84"/>
      <c r="AB565" s="84"/>
      <c r="AC565" s="92" t="s">
        <v>1372</v>
      </c>
      <c r="AD565" s="84"/>
      <c r="AE565" s="84" t="b">
        <v>0</v>
      </c>
      <c r="AF565" s="84">
        <v>0</v>
      </c>
      <c r="AG565" s="92" t="s">
        <v>1453</v>
      </c>
      <c r="AH565" s="84" t="b">
        <v>0</v>
      </c>
      <c r="AI565" s="84" t="s">
        <v>1456</v>
      </c>
      <c r="AJ565" s="84"/>
      <c r="AK565" s="92" t="s">
        <v>1453</v>
      </c>
      <c r="AL565" s="84" t="b">
        <v>0</v>
      </c>
      <c r="AM565" s="84">
        <v>449</v>
      </c>
      <c r="AN565" s="92" t="s">
        <v>1406</v>
      </c>
      <c r="AO565" s="84" t="s">
        <v>1526</v>
      </c>
      <c r="AP565" s="84" t="b">
        <v>0</v>
      </c>
      <c r="AQ565" s="92" t="s">
        <v>1406</v>
      </c>
      <c r="AR565" s="84" t="s">
        <v>187</v>
      </c>
      <c r="AS565" s="84">
        <v>0</v>
      </c>
      <c r="AT565" s="84">
        <v>0</v>
      </c>
      <c r="AU565" s="84"/>
      <c r="AV565" s="84"/>
      <c r="AW565" s="84"/>
      <c r="AX565" s="84"/>
      <c r="AY565" s="84"/>
      <c r="AZ565" s="84"/>
      <c r="BA565" s="84"/>
      <c r="BB565" s="84"/>
      <c r="BC565">
        <v>2</v>
      </c>
      <c r="BD565" s="83" t="str">
        <f>REPLACE(INDEX(GroupVertices[Group],MATCH(Edges[[#This Row],[Vertex 1]],GroupVertices[Vertex],0)),1,1,"")</f>
        <v>1</v>
      </c>
      <c r="BE565" s="83" t="str">
        <f>REPLACE(INDEX(GroupVertices[Group],MATCH(Edges[[#This Row],[Vertex 2]],GroupVertices[Vertex],0)),1,1,"")</f>
        <v>1</v>
      </c>
      <c r="BF565" s="49"/>
      <c r="BG565" s="50"/>
      <c r="BH565" s="49"/>
      <c r="BI565" s="50"/>
      <c r="BJ565" s="49"/>
      <c r="BK565" s="50"/>
      <c r="BL565" s="49"/>
      <c r="BM565" s="50"/>
      <c r="BN565" s="49"/>
    </row>
    <row r="566" spans="1:66" ht="15">
      <c r="A566" s="68" t="s">
        <v>407</v>
      </c>
      <c r="B566" s="68" t="s">
        <v>418</v>
      </c>
      <c r="C566" s="69" t="s">
        <v>5209</v>
      </c>
      <c r="D566" s="70">
        <v>6.678367782143116</v>
      </c>
      <c r="E566" s="71" t="s">
        <v>132</v>
      </c>
      <c r="F566" s="72">
        <v>21</v>
      </c>
      <c r="G566" s="69" t="s">
        <v>51</v>
      </c>
      <c r="H566" s="73"/>
      <c r="I566" s="74"/>
      <c r="J566" s="74"/>
      <c r="K566" s="35" t="s">
        <v>65</v>
      </c>
      <c r="L566" s="82">
        <v>566</v>
      </c>
      <c r="M566" s="82"/>
      <c r="N566" s="76"/>
      <c r="O566" s="84" t="s">
        <v>439</v>
      </c>
      <c r="P566" s="86">
        <v>44087.11508101852</v>
      </c>
      <c r="Q566" s="84" t="s">
        <v>490</v>
      </c>
      <c r="R566" s="87" t="str">
        <f>HYPERLINK("https://online-learning.harvard.edu/catalog")</f>
        <v>https://online-learning.harvard.edu/catalog</v>
      </c>
      <c r="S566" s="84" t="s">
        <v>551</v>
      </c>
      <c r="T566" s="84" t="s">
        <v>606</v>
      </c>
      <c r="U566" s="84"/>
      <c r="V566" s="87" t="str">
        <f>HYPERLINK("http://pbs.twimg.com/profile_images/1127896024737935360/J0nVyVyF_normal.png")</f>
        <v>http://pbs.twimg.com/profile_images/1127896024737935360/J0nVyVyF_normal.png</v>
      </c>
      <c r="W566" s="86">
        <v>44087.11508101852</v>
      </c>
      <c r="X566" s="90">
        <v>44087</v>
      </c>
      <c r="Y566" s="92" t="s">
        <v>961</v>
      </c>
      <c r="Z566" s="87" t="str">
        <f>HYPERLINK("https://twitter.com/xaelbot/status/1304974510261702657")</f>
        <v>https://twitter.com/xaelbot/status/1304974510261702657</v>
      </c>
      <c r="AA566" s="84"/>
      <c r="AB566" s="84"/>
      <c r="AC566" s="92" t="s">
        <v>1372</v>
      </c>
      <c r="AD566" s="84"/>
      <c r="AE566" s="84" t="b">
        <v>0</v>
      </c>
      <c r="AF566" s="84">
        <v>0</v>
      </c>
      <c r="AG566" s="92" t="s">
        <v>1453</v>
      </c>
      <c r="AH566" s="84" t="b">
        <v>0</v>
      </c>
      <c r="AI566" s="84" t="s">
        <v>1456</v>
      </c>
      <c r="AJ566" s="84"/>
      <c r="AK566" s="92" t="s">
        <v>1453</v>
      </c>
      <c r="AL566" s="84" t="b">
        <v>0</v>
      </c>
      <c r="AM566" s="84">
        <v>449</v>
      </c>
      <c r="AN566" s="92" t="s">
        <v>1406</v>
      </c>
      <c r="AO566" s="84" t="s">
        <v>1526</v>
      </c>
      <c r="AP566" s="84" t="b">
        <v>0</v>
      </c>
      <c r="AQ566" s="92" t="s">
        <v>1406</v>
      </c>
      <c r="AR566" s="84" t="s">
        <v>187</v>
      </c>
      <c r="AS566" s="84">
        <v>0</v>
      </c>
      <c r="AT566" s="84">
        <v>0</v>
      </c>
      <c r="AU566" s="84"/>
      <c r="AV566" s="84"/>
      <c r="AW566" s="84"/>
      <c r="AX566" s="84"/>
      <c r="AY566" s="84"/>
      <c r="AZ566" s="84"/>
      <c r="BA566" s="84"/>
      <c r="BB566" s="84"/>
      <c r="BC566">
        <v>2</v>
      </c>
      <c r="BD566" s="83" t="str">
        <f>REPLACE(INDEX(GroupVertices[Group],MATCH(Edges[[#This Row],[Vertex 1]],GroupVertices[Vertex],0)),1,1,"")</f>
        <v>1</v>
      </c>
      <c r="BE566" s="83" t="str">
        <f>REPLACE(INDEX(GroupVertices[Group],MATCH(Edges[[#This Row],[Vertex 2]],GroupVertices[Vertex],0)),1,1,"")</f>
        <v>1</v>
      </c>
      <c r="BF566" s="49">
        <v>0</v>
      </c>
      <c r="BG566" s="50">
        <v>0</v>
      </c>
      <c r="BH566" s="49">
        <v>0</v>
      </c>
      <c r="BI566" s="50">
        <v>0</v>
      </c>
      <c r="BJ566" s="49">
        <v>0</v>
      </c>
      <c r="BK566" s="50">
        <v>0</v>
      </c>
      <c r="BL566" s="49">
        <v>25</v>
      </c>
      <c r="BM566" s="50">
        <v>100</v>
      </c>
      <c r="BN566" s="49">
        <v>25</v>
      </c>
    </row>
    <row r="567" spans="1:66" ht="15">
      <c r="A567" s="68" t="s">
        <v>407</v>
      </c>
      <c r="B567" s="68" t="s">
        <v>436</v>
      </c>
      <c r="C567" s="69" t="s">
        <v>5209</v>
      </c>
      <c r="D567" s="70">
        <v>6.678367782143116</v>
      </c>
      <c r="E567" s="71" t="s">
        <v>132</v>
      </c>
      <c r="F567" s="72">
        <v>21</v>
      </c>
      <c r="G567" s="69" t="s">
        <v>51</v>
      </c>
      <c r="H567" s="73"/>
      <c r="I567" s="74"/>
      <c r="J567" s="74"/>
      <c r="K567" s="35" t="s">
        <v>65</v>
      </c>
      <c r="L567" s="82">
        <v>567</v>
      </c>
      <c r="M567" s="82"/>
      <c r="N567" s="76"/>
      <c r="O567" s="84" t="s">
        <v>440</v>
      </c>
      <c r="P567" s="86">
        <v>44088.722037037034</v>
      </c>
      <c r="Q567" s="84" t="s">
        <v>490</v>
      </c>
      <c r="R567" s="87" t="str">
        <f>HYPERLINK("https://online-learning.harvard.edu/catalog")</f>
        <v>https://online-learning.harvard.edu/catalog</v>
      </c>
      <c r="S567" s="84" t="s">
        <v>551</v>
      </c>
      <c r="T567" s="84" t="s">
        <v>606</v>
      </c>
      <c r="U567" s="84"/>
      <c r="V567" s="87" t="str">
        <f>HYPERLINK("http://pbs.twimg.com/profile_images/1127896024737935360/J0nVyVyF_normal.png")</f>
        <v>http://pbs.twimg.com/profile_images/1127896024737935360/J0nVyVyF_normal.png</v>
      </c>
      <c r="W567" s="86">
        <v>44088.722037037034</v>
      </c>
      <c r="X567" s="90">
        <v>44088</v>
      </c>
      <c r="Y567" s="92" t="s">
        <v>962</v>
      </c>
      <c r="Z567" s="87" t="str">
        <f>HYPERLINK("https://twitter.com/xaelbot/status/1305556854219714561")</f>
        <v>https://twitter.com/xaelbot/status/1305556854219714561</v>
      </c>
      <c r="AA567" s="84"/>
      <c r="AB567" s="84"/>
      <c r="AC567" s="92" t="s">
        <v>1373</v>
      </c>
      <c r="AD567" s="84"/>
      <c r="AE567" s="84" t="b">
        <v>0</v>
      </c>
      <c r="AF567" s="84">
        <v>0</v>
      </c>
      <c r="AG567" s="92" t="s">
        <v>1453</v>
      </c>
      <c r="AH567" s="84" t="b">
        <v>0</v>
      </c>
      <c r="AI567" s="84" t="s">
        <v>1456</v>
      </c>
      <c r="AJ567" s="84"/>
      <c r="AK567" s="92" t="s">
        <v>1453</v>
      </c>
      <c r="AL567" s="84" t="b">
        <v>0</v>
      </c>
      <c r="AM567" s="84">
        <v>449</v>
      </c>
      <c r="AN567" s="92" t="s">
        <v>1406</v>
      </c>
      <c r="AO567" s="84" t="s">
        <v>1526</v>
      </c>
      <c r="AP567" s="84" t="b">
        <v>0</v>
      </c>
      <c r="AQ567" s="92" t="s">
        <v>1406</v>
      </c>
      <c r="AR567" s="84" t="s">
        <v>187</v>
      </c>
      <c r="AS567" s="84">
        <v>0</v>
      </c>
      <c r="AT567" s="84">
        <v>0</v>
      </c>
      <c r="AU567" s="84"/>
      <c r="AV567" s="84"/>
      <c r="AW567" s="84"/>
      <c r="AX567" s="84"/>
      <c r="AY567" s="84"/>
      <c r="AZ567" s="84"/>
      <c r="BA567" s="84"/>
      <c r="BB567" s="84"/>
      <c r="BC567">
        <v>2</v>
      </c>
      <c r="BD567" s="83" t="str">
        <f>REPLACE(INDEX(GroupVertices[Group],MATCH(Edges[[#This Row],[Vertex 1]],GroupVertices[Vertex],0)),1,1,"")</f>
        <v>1</v>
      </c>
      <c r="BE567" s="83" t="str">
        <f>REPLACE(INDEX(GroupVertices[Group],MATCH(Edges[[#This Row],[Vertex 2]],GroupVertices[Vertex],0)),1,1,"")</f>
        <v>1</v>
      </c>
      <c r="BF567" s="49"/>
      <c r="BG567" s="50"/>
      <c r="BH567" s="49"/>
      <c r="BI567" s="50"/>
      <c r="BJ567" s="49"/>
      <c r="BK567" s="50"/>
      <c r="BL567" s="49"/>
      <c r="BM567" s="50"/>
      <c r="BN567" s="49"/>
    </row>
    <row r="568" spans="1:66" ht="15">
      <c r="A568" s="68" t="s">
        <v>407</v>
      </c>
      <c r="B568" s="68" t="s">
        <v>418</v>
      </c>
      <c r="C568" s="69" t="s">
        <v>5209</v>
      </c>
      <c r="D568" s="70">
        <v>6.678367782143116</v>
      </c>
      <c r="E568" s="71" t="s">
        <v>132</v>
      </c>
      <c r="F568" s="72">
        <v>21</v>
      </c>
      <c r="G568" s="69" t="s">
        <v>51</v>
      </c>
      <c r="H568" s="73"/>
      <c r="I568" s="74"/>
      <c r="J568" s="74"/>
      <c r="K568" s="35" t="s">
        <v>65</v>
      </c>
      <c r="L568" s="82">
        <v>568</v>
      </c>
      <c r="M568" s="82"/>
      <c r="N568" s="76"/>
      <c r="O568" s="84" t="s">
        <v>439</v>
      </c>
      <c r="P568" s="86">
        <v>44088.722037037034</v>
      </c>
      <c r="Q568" s="84" t="s">
        <v>490</v>
      </c>
      <c r="R568" s="87" t="str">
        <f>HYPERLINK("https://online-learning.harvard.edu/catalog")</f>
        <v>https://online-learning.harvard.edu/catalog</v>
      </c>
      <c r="S568" s="84" t="s">
        <v>551</v>
      </c>
      <c r="T568" s="84" t="s">
        <v>606</v>
      </c>
      <c r="U568" s="84"/>
      <c r="V568" s="87" t="str">
        <f>HYPERLINK("http://pbs.twimg.com/profile_images/1127896024737935360/J0nVyVyF_normal.png")</f>
        <v>http://pbs.twimg.com/profile_images/1127896024737935360/J0nVyVyF_normal.png</v>
      </c>
      <c r="W568" s="86">
        <v>44088.722037037034</v>
      </c>
      <c r="X568" s="90">
        <v>44088</v>
      </c>
      <c r="Y568" s="92" t="s">
        <v>962</v>
      </c>
      <c r="Z568" s="87" t="str">
        <f>HYPERLINK("https://twitter.com/xaelbot/status/1305556854219714561")</f>
        <v>https://twitter.com/xaelbot/status/1305556854219714561</v>
      </c>
      <c r="AA568" s="84"/>
      <c r="AB568" s="84"/>
      <c r="AC568" s="92" t="s">
        <v>1373</v>
      </c>
      <c r="AD568" s="84"/>
      <c r="AE568" s="84" t="b">
        <v>0</v>
      </c>
      <c r="AF568" s="84">
        <v>0</v>
      </c>
      <c r="AG568" s="92" t="s">
        <v>1453</v>
      </c>
      <c r="AH568" s="84" t="b">
        <v>0</v>
      </c>
      <c r="AI568" s="84" t="s">
        <v>1456</v>
      </c>
      <c r="AJ568" s="84"/>
      <c r="AK568" s="92" t="s">
        <v>1453</v>
      </c>
      <c r="AL568" s="84" t="b">
        <v>0</v>
      </c>
      <c r="AM568" s="84">
        <v>449</v>
      </c>
      <c r="AN568" s="92" t="s">
        <v>1406</v>
      </c>
      <c r="AO568" s="84" t="s">
        <v>1526</v>
      </c>
      <c r="AP568" s="84" t="b">
        <v>0</v>
      </c>
      <c r="AQ568" s="92" t="s">
        <v>1406</v>
      </c>
      <c r="AR568" s="84" t="s">
        <v>187</v>
      </c>
      <c r="AS568" s="84">
        <v>0</v>
      </c>
      <c r="AT568" s="84">
        <v>0</v>
      </c>
      <c r="AU568" s="84"/>
      <c r="AV568" s="84"/>
      <c r="AW568" s="84"/>
      <c r="AX568" s="84"/>
      <c r="AY568" s="84"/>
      <c r="AZ568" s="84"/>
      <c r="BA568" s="84"/>
      <c r="BB568" s="84"/>
      <c r="BC568">
        <v>2</v>
      </c>
      <c r="BD568" s="83" t="str">
        <f>REPLACE(INDEX(GroupVertices[Group],MATCH(Edges[[#This Row],[Vertex 1]],GroupVertices[Vertex],0)),1,1,"")</f>
        <v>1</v>
      </c>
      <c r="BE568" s="83" t="str">
        <f>REPLACE(INDEX(GroupVertices[Group],MATCH(Edges[[#This Row],[Vertex 2]],GroupVertices[Vertex],0)),1,1,"")</f>
        <v>1</v>
      </c>
      <c r="BF568" s="49">
        <v>0</v>
      </c>
      <c r="BG568" s="50">
        <v>0</v>
      </c>
      <c r="BH568" s="49">
        <v>0</v>
      </c>
      <c r="BI568" s="50">
        <v>0</v>
      </c>
      <c r="BJ568" s="49">
        <v>0</v>
      </c>
      <c r="BK568" s="50">
        <v>0</v>
      </c>
      <c r="BL568" s="49">
        <v>25</v>
      </c>
      <c r="BM568" s="50">
        <v>100</v>
      </c>
      <c r="BN568" s="49">
        <v>25</v>
      </c>
    </row>
    <row r="569" spans="1:66" ht="15">
      <c r="A569" s="68" t="s">
        <v>407</v>
      </c>
      <c r="B569" s="68" t="s">
        <v>420</v>
      </c>
      <c r="C569" s="69" t="s">
        <v>5208</v>
      </c>
      <c r="D569" s="70">
        <v>1</v>
      </c>
      <c r="E569" s="71" t="s">
        <v>132</v>
      </c>
      <c r="F569" s="72">
        <v>32</v>
      </c>
      <c r="G569" s="69" t="s">
        <v>51</v>
      </c>
      <c r="H569" s="73"/>
      <c r="I569" s="74"/>
      <c r="J569" s="74"/>
      <c r="K569" s="35" t="s">
        <v>65</v>
      </c>
      <c r="L569" s="82">
        <v>569</v>
      </c>
      <c r="M569" s="82"/>
      <c r="N569" s="76"/>
      <c r="O569" s="84" t="s">
        <v>440</v>
      </c>
      <c r="P569" s="86">
        <v>44089.554664351854</v>
      </c>
      <c r="Q569" s="84" t="s">
        <v>511</v>
      </c>
      <c r="R569" s="87" t="str">
        <f>HYPERLINK("https://www.coodingdessign.com/python/datascience/visualization-of-covid-19-new-cases-over-time-in-python/")</f>
        <v>https://www.coodingdessign.com/python/datascience/visualization-of-covid-19-new-cases-over-time-in-python/</v>
      </c>
      <c r="S569" s="84" t="s">
        <v>560</v>
      </c>
      <c r="T569" s="84" t="s">
        <v>626</v>
      </c>
      <c r="U569" s="87" t="str">
        <f>HYPERLINK("https://pbs.twimg.com/media/Eh9WZq2XcActpko.png")</f>
        <v>https://pbs.twimg.com/media/Eh9WZq2XcActpko.png</v>
      </c>
      <c r="V569" s="87" t="str">
        <f>HYPERLINK("https://pbs.twimg.com/media/Eh9WZq2XcActpko.png")</f>
        <v>https://pbs.twimg.com/media/Eh9WZq2XcActpko.png</v>
      </c>
      <c r="W569" s="86">
        <v>44089.554664351854</v>
      </c>
      <c r="X569" s="90">
        <v>44089</v>
      </c>
      <c r="Y569" s="92" t="s">
        <v>963</v>
      </c>
      <c r="Z569" s="87" t="str">
        <f>HYPERLINK("https://twitter.com/xaelbot/status/1305858586468327426")</f>
        <v>https://twitter.com/xaelbot/status/1305858586468327426</v>
      </c>
      <c r="AA569" s="84"/>
      <c r="AB569" s="84"/>
      <c r="AC569" s="92" t="s">
        <v>1374</v>
      </c>
      <c r="AD569" s="84"/>
      <c r="AE569" s="84" t="b">
        <v>0</v>
      </c>
      <c r="AF569" s="84">
        <v>0</v>
      </c>
      <c r="AG569" s="92" t="s">
        <v>1453</v>
      </c>
      <c r="AH569" s="84" t="b">
        <v>0</v>
      </c>
      <c r="AI569" s="84" t="s">
        <v>1456</v>
      </c>
      <c r="AJ569" s="84"/>
      <c r="AK569" s="92" t="s">
        <v>1453</v>
      </c>
      <c r="AL569" s="84" t="b">
        <v>0</v>
      </c>
      <c r="AM569" s="84">
        <v>19</v>
      </c>
      <c r="AN569" s="92" t="s">
        <v>1410</v>
      </c>
      <c r="AO569" s="84" t="s">
        <v>1526</v>
      </c>
      <c r="AP569" s="84" t="b">
        <v>0</v>
      </c>
      <c r="AQ569" s="92" t="s">
        <v>1410</v>
      </c>
      <c r="AR569" s="84" t="s">
        <v>187</v>
      </c>
      <c r="AS569" s="84">
        <v>0</v>
      </c>
      <c r="AT569" s="84">
        <v>0</v>
      </c>
      <c r="AU569" s="84"/>
      <c r="AV569" s="84"/>
      <c r="AW569" s="84"/>
      <c r="AX569" s="84"/>
      <c r="AY569" s="84"/>
      <c r="AZ569" s="84"/>
      <c r="BA569" s="84"/>
      <c r="BB569" s="84"/>
      <c r="BC569">
        <v>1</v>
      </c>
      <c r="BD569" s="83" t="str">
        <f>REPLACE(INDEX(GroupVertices[Group],MATCH(Edges[[#This Row],[Vertex 1]],GroupVertices[Vertex],0)),1,1,"")</f>
        <v>1</v>
      </c>
      <c r="BE569" s="83" t="str">
        <f>REPLACE(INDEX(GroupVertices[Group],MATCH(Edges[[#This Row],[Vertex 2]],GroupVertices[Vertex],0)),1,1,"")</f>
        <v>1</v>
      </c>
      <c r="BF569" s="49"/>
      <c r="BG569" s="50"/>
      <c r="BH569" s="49"/>
      <c r="BI569" s="50"/>
      <c r="BJ569" s="49"/>
      <c r="BK569" s="50"/>
      <c r="BL569" s="49"/>
      <c r="BM569" s="50"/>
      <c r="BN569" s="49"/>
    </row>
    <row r="570" spans="1:66" ht="15">
      <c r="A570" s="68" t="s">
        <v>407</v>
      </c>
      <c r="B570" s="68" t="s">
        <v>438</v>
      </c>
      <c r="C570" s="69" t="s">
        <v>5208</v>
      </c>
      <c r="D570" s="70">
        <v>1</v>
      </c>
      <c r="E570" s="71" t="s">
        <v>132</v>
      </c>
      <c r="F570" s="72">
        <v>32</v>
      </c>
      <c r="G570" s="69" t="s">
        <v>51</v>
      </c>
      <c r="H570" s="73"/>
      <c r="I570" s="74"/>
      <c r="J570" s="74"/>
      <c r="K570" s="35" t="s">
        <v>65</v>
      </c>
      <c r="L570" s="82">
        <v>570</v>
      </c>
      <c r="M570" s="82"/>
      <c r="N570" s="76"/>
      <c r="O570" s="84" t="s">
        <v>440</v>
      </c>
      <c r="P570" s="86">
        <v>44089.554664351854</v>
      </c>
      <c r="Q570" s="84" t="s">
        <v>511</v>
      </c>
      <c r="R570" s="87" t="str">
        <f>HYPERLINK("https://www.coodingdessign.com/python/datascience/visualization-of-covid-19-new-cases-over-time-in-python/")</f>
        <v>https://www.coodingdessign.com/python/datascience/visualization-of-covid-19-new-cases-over-time-in-python/</v>
      </c>
      <c r="S570" s="84" t="s">
        <v>560</v>
      </c>
      <c r="T570" s="84" t="s">
        <v>626</v>
      </c>
      <c r="U570" s="87" t="str">
        <f>HYPERLINK("https://pbs.twimg.com/media/Eh9WZq2XcActpko.png")</f>
        <v>https://pbs.twimg.com/media/Eh9WZq2XcActpko.png</v>
      </c>
      <c r="V570" s="87" t="str">
        <f>HYPERLINK("https://pbs.twimg.com/media/Eh9WZq2XcActpko.png")</f>
        <v>https://pbs.twimg.com/media/Eh9WZq2XcActpko.png</v>
      </c>
      <c r="W570" s="86">
        <v>44089.554664351854</v>
      </c>
      <c r="X570" s="90">
        <v>44089</v>
      </c>
      <c r="Y570" s="92" t="s">
        <v>963</v>
      </c>
      <c r="Z570" s="87" t="str">
        <f>HYPERLINK("https://twitter.com/xaelbot/status/1305858586468327426")</f>
        <v>https://twitter.com/xaelbot/status/1305858586468327426</v>
      </c>
      <c r="AA570" s="84"/>
      <c r="AB570" s="84"/>
      <c r="AC570" s="92" t="s">
        <v>1374</v>
      </c>
      <c r="AD570" s="84"/>
      <c r="AE570" s="84" t="b">
        <v>0</v>
      </c>
      <c r="AF570" s="84">
        <v>0</v>
      </c>
      <c r="AG570" s="92" t="s">
        <v>1453</v>
      </c>
      <c r="AH570" s="84" t="b">
        <v>0</v>
      </c>
      <c r="AI570" s="84" t="s">
        <v>1456</v>
      </c>
      <c r="AJ570" s="84"/>
      <c r="AK570" s="92" t="s">
        <v>1453</v>
      </c>
      <c r="AL570" s="84" t="b">
        <v>0</v>
      </c>
      <c r="AM570" s="84">
        <v>19</v>
      </c>
      <c r="AN570" s="92" t="s">
        <v>1410</v>
      </c>
      <c r="AO570" s="84" t="s">
        <v>1526</v>
      </c>
      <c r="AP570" s="84" t="b">
        <v>0</v>
      </c>
      <c r="AQ570" s="92" t="s">
        <v>1410</v>
      </c>
      <c r="AR570" s="84" t="s">
        <v>187</v>
      </c>
      <c r="AS570" s="84">
        <v>0</v>
      </c>
      <c r="AT570" s="84">
        <v>0</v>
      </c>
      <c r="AU570" s="84"/>
      <c r="AV570" s="84"/>
      <c r="AW570" s="84"/>
      <c r="AX570" s="84"/>
      <c r="AY570" s="84"/>
      <c r="AZ570" s="84"/>
      <c r="BA570" s="84"/>
      <c r="BB570" s="84"/>
      <c r="BC570">
        <v>1</v>
      </c>
      <c r="BD570" s="83" t="str">
        <f>REPLACE(INDEX(GroupVertices[Group],MATCH(Edges[[#This Row],[Vertex 1]],GroupVertices[Vertex],0)),1,1,"")</f>
        <v>1</v>
      </c>
      <c r="BE570" s="83" t="str">
        <f>REPLACE(INDEX(GroupVertices[Group],MATCH(Edges[[#This Row],[Vertex 2]],GroupVertices[Vertex],0)),1,1,"")</f>
        <v>1</v>
      </c>
      <c r="BF570" s="49"/>
      <c r="BG570" s="50"/>
      <c r="BH570" s="49"/>
      <c r="BI570" s="50"/>
      <c r="BJ570" s="49"/>
      <c r="BK570" s="50"/>
      <c r="BL570" s="49"/>
      <c r="BM570" s="50"/>
      <c r="BN570" s="49"/>
    </row>
    <row r="571" spans="1:66" ht="15">
      <c r="A571" s="68" t="s">
        <v>407</v>
      </c>
      <c r="B571" s="68" t="s">
        <v>419</v>
      </c>
      <c r="C571" s="69" t="s">
        <v>5208</v>
      </c>
      <c r="D571" s="70">
        <v>1</v>
      </c>
      <c r="E571" s="71" t="s">
        <v>132</v>
      </c>
      <c r="F571" s="72">
        <v>32</v>
      </c>
      <c r="G571" s="69" t="s">
        <v>51</v>
      </c>
      <c r="H571" s="73"/>
      <c r="I571" s="74"/>
      <c r="J571" s="74"/>
      <c r="K571" s="35" t="s">
        <v>65</v>
      </c>
      <c r="L571" s="82">
        <v>571</v>
      </c>
      <c r="M571" s="82"/>
      <c r="N571" s="76"/>
      <c r="O571" s="84" t="s">
        <v>439</v>
      </c>
      <c r="P571" s="86">
        <v>44089.554664351854</v>
      </c>
      <c r="Q571" s="84" t="s">
        <v>511</v>
      </c>
      <c r="R571" s="87" t="str">
        <f>HYPERLINK("https://www.coodingdessign.com/python/datascience/visualization-of-covid-19-new-cases-over-time-in-python/")</f>
        <v>https://www.coodingdessign.com/python/datascience/visualization-of-covid-19-new-cases-over-time-in-python/</v>
      </c>
      <c r="S571" s="84" t="s">
        <v>560</v>
      </c>
      <c r="T571" s="84" t="s">
        <v>626</v>
      </c>
      <c r="U571" s="87" t="str">
        <f>HYPERLINK("https://pbs.twimg.com/media/Eh9WZq2XcActpko.png")</f>
        <v>https://pbs.twimg.com/media/Eh9WZq2XcActpko.png</v>
      </c>
      <c r="V571" s="87" t="str">
        <f>HYPERLINK("https://pbs.twimg.com/media/Eh9WZq2XcActpko.png")</f>
        <v>https://pbs.twimg.com/media/Eh9WZq2XcActpko.png</v>
      </c>
      <c r="W571" s="86">
        <v>44089.554664351854</v>
      </c>
      <c r="X571" s="90">
        <v>44089</v>
      </c>
      <c r="Y571" s="92" t="s">
        <v>963</v>
      </c>
      <c r="Z571" s="87" t="str">
        <f>HYPERLINK("https://twitter.com/xaelbot/status/1305858586468327426")</f>
        <v>https://twitter.com/xaelbot/status/1305858586468327426</v>
      </c>
      <c r="AA571" s="84"/>
      <c r="AB571" s="84"/>
      <c r="AC571" s="92" t="s">
        <v>1374</v>
      </c>
      <c r="AD571" s="84"/>
      <c r="AE571" s="84" t="b">
        <v>0</v>
      </c>
      <c r="AF571" s="84">
        <v>0</v>
      </c>
      <c r="AG571" s="92" t="s">
        <v>1453</v>
      </c>
      <c r="AH571" s="84" t="b">
        <v>0</v>
      </c>
      <c r="AI571" s="84" t="s">
        <v>1456</v>
      </c>
      <c r="AJ571" s="84"/>
      <c r="AK571" s="92" t="s">
        <v>1453</v>
      </c>
      <c r="AL571" s="84" t="b">
        <v>0</v>
      </c>
      <c r="AM571" s="84">
        <v>19</v>
      </c>
      <c r="AN571" s="92" t="s">
        <v>1410</v>
      </c>
      <c r="AO571" s="84" t="s">
        <v>1526</v>
      </c>
      <c r="AP571" s="84" t="b">
        <v>0</v>
      </c>
      <c r="AQ571" s="92" t="s">
        <v>1410</v>
      </c>
      <c r="AR571" s="84" t="s">
        <v>187</v>
      </c>
      <c r="AS571" s="84">
        <v>0</v>
      </c>
      <c r="AT571" s="84">
        <v>0</v>
      </c>
      <c r="AU571" s="84"/>
      <c r="AV571" s="84"/>
      <c r="AW571" s="84"/>
      <c r="AX571" s="84"/>
      <c r="AY571" s="84"/>
      <c r="AZ571" s="84"/>
      <c r="BA571" s="84"/>
      <c r="BB571" s="84"/>
      <c r="BC571">
        <v>1</v>
      </c>
      <c r="BD571" s="83" t="str">
        <f>REPLACE(INDEX(GroupVertices[Group],MATCH(Edges[[#This Row],[Vertex 1]],GroupVertices[Vertex],0)),1,1,"")</f>
        <v>1</v>
      </c>
      <c r="BE571" s="83" t="str">
        <f>REPLACE(INDEX(GroupVertices[Group],MATCH(Edges[[#This Row],[Vertex 2]],GroupVertices[Vertex],0)),1,1,"")</f>
        <v>1</v>
      </c>
      <c r="BF571" s="49">
        <v>0</v>
      </c>
      <c r="BG571" s="50">
        <v>0</v>
      </c>
      <c r="BH571" s="49">
        <v>0</v>
      </c>
      <c r="BI571" s="50">
        <v>0</v>
      </c>
      <c r="BJ571" s="49">
        <v>0</v>
      </c>
      <c r="BK571" s="50">
        <v>0</v>
      </c>
      <c r="BL571" s="49">
        <v>20</v>
      </c>
      <c r="BM571" s="50">
        <v>100</v>
      </c>
      <c r="BN571" s="49">
        <v>20</v>
      </c>
    </row>
    <row r="572" spans="1:66" ht="15">
      <c r="A572" s="68" t="s">
        <v>410</v>
      </c>
      <c r="B572" s="68" t="s">
        <v>421</v>
      </c>
      <c r="C572" s="69" t="s">
        <v>5208</v>
      </c>
      <c r="D572" s="70">
        <v>1</v>
      </c>
      <c r="E572" s="71" t="s">
        <v>132</v>
      </c>
      <c r="F572" s="72">
        <v>32</v>
      </c>
      <c r="G572" s="69" t="s">
        <v>51</v>
      </c>
      <c r="H572" s="73"/>
      <c r="I572" s="74"/>
      <c r="J572" s="74"/>
      <c r="K572" s="35" t="s">
        <v>65</v>
      </c>
      <c r="L572" s="82">
        <v>572</v>
      </c>
      <c r="M572" s="82"/>
      <c r="N572" s="76"/>
      <c r="O572" s="84" t="s">
        <v>439</v>
      </c>
      <c r="P572" s="86">
        <v>44089.60071759259</v>
      </c>
      <c r="Q572" s="84" t="s">
        <v>479</v>
      </c>
      <c r="R572" s="87" t="str">
        <f>HYPERLINK("https://akashmishra75.herokuapp.com/")</f>
        <v>https://akashmishra75.herokuapp.com/</v>
      </c>
      <c r="S572" s="84" t="s">
        <v>547</v>
      </c>
      <c r="T572" s="84" t="s">
        <v>595</v>
      </c>
      <c r="U572" s="87" t="str">
        <f>HYPERLINK("https://pbs.twimg.com/ext_tw_video_thumb/1299340580011433985/pu/img/BLbI7sTMAVVWOb9h.jpg")</f>
        <v>https://pbs.twimg.com/ext_tw_video_thumb/1299340580011433985/pu/img/BLbI7sTMAVVWOb9h.jpg</v>
      </c>
      <c r="V572" s="87" t="str">
        <f>HYPERLINK("https://pbs.twimg.com/ext_tw_video_thumb/1299340580011433985/pu/img/BLbI7sTMAVVWOb9h.jpg")</f>
        <v>https://pbs.twimg.com/ext_tw_video_thumb/1299340580011433985/pu/img/BLbI7sTMAVVWOb9h.jpg</v>
      </c>
      <c r="W572" s="86">
        <v>44089.60071759259</v>
      </c>
      <c r="X572" s="90">
        <v>44089</v>
      </c>
      <c r="Y572" s="92" t="s">
        <v>964</v>
      </c>
      <c r="Z572" s="87" t="str">
        <f>HYPERLINK("https://twitter.com/kohli10_56/status/1305875275536674819")</f>
        <v>https://twitter.com/kohli10_56/status/1305875275536674819</v>
      </c>
      <c r="AA572" s="84"/>
      <c r="AB572" s="84"/>
      <c r="AC572" s="92" t="s">
        <v>1375</v>
      </c>
      <c r="AD572" s="84"/>
      <c r="AE572" s="84" t="b">
        <v>0</v>
      </c>
      <c r="AF572" s="84">
        <v>0</v>
      </c>
      <c r="AG572" s="92" t="s">
        <v>1453</v>
      </c>
      <c r="AH572" s="84" t="b">
        <v>0</v>
      </c>
      <c r="AI572" s="84" t="s">
        <v>1456</v>
      </c>
      <c r="AJ572" s="84"/>
      <c r="AK572" s="92" t="s">
        <v>1453</v>
      </c>
      <c r="AL572" s="84" t="b">
        <v>0</v>
      </c>
      <c r="AM572" s="84">
        <v>76</v>
      </c>
      <c r="AN572" s="92" t="s">
        <v>1418</v>
      </c>
      <c r="AO572" s="84" t="s">
        <v>1464</v>
      </c>
      <c r="AP572" s="84" t="b">
        <v>0</v>
      </c>
      <c r="AQ572" s="92" t="s">
        <v>1418</v>
      </c>
      <c r="AR572" s="84" t="s">
        <v>187</v>
      </c>
      <c r="AS572" s="84">
        <v>0</v>
      </c>
      <c r="AT572" s="84">
        <v>0</v>
      </c>
      <c r="AU572" s="84"/>
      <c r="AV572" s="84"/>
      <c r="AW572" s="84"/>
      <c r="AX572" s="84"/>
      <c r="AY572" s="84"/>
      <c r="AZ572" s="84"/>
      <c r="BA572" s="84"/>
      <c r="BB572" s="84"/>
      <c r="BC572">
        <v>1</v>
      </c>
      <c r="BD572" s="83" t="str">
        <f>REPLACE(INDEX(GroupVertices[Group],MATCH(Edges[[#This Row],[Vertex 1]],GroupVertices[Vertex],0)),1,1,"")</f>
        <v>8</v>
      </c>
      <c r="BE572" s="83" t="str">
        <f>REPLACE(INDEX(GroupVertices[Group],MATCH(Edges[[#This Row],[Vertex 2]],GroupVertices[Vertex],0)),1,1,"")</f>
        <v>8</v>
      </c>
      <c r="BF572" s="49">
        <v>0</v>
      </c>
      <c r="BG572" s="50">
        <v>0</v>
      </c>
      <c r="BH572" s="49">
        <v>0</v>
      </c>
      <c r="BI572" s="50">
        <v>0</v>
      </c>
      <c r="BJ572" s="49">
        <v>0</v>
      </c>
      <c r="BK572" s="50">
        <v>0</v>
      </c>
      <c r="BL572" s="49">
        <v>42</v>
      </c>
      <c r="BM572" s="50">
        <v>100</v>
      </c>
      <c r="BN572" s="49">
        <v>42</v>
      </c>
    </row>
    <row r="573" spans="1:66" ht="15">
      <c r="A573" s="68" t="s">
        <v>411</v>
      </c>
      <c r="B573" s="68" t="s">
        <v>411</v>
      </c>
      <c r="C573" s="69" t="s">
        <v>5208</v>
      </c>
      <c r="D573" s="70">
        <v>1</v>
      </c>
      <c r="E573" s="71" t="s">
        <v>132</v>
      </c>
      <c r="F573" s="72">
        <v>32</v>
      </c>
      <c r="G573" s="69" t="s">
        <v>51</v>
      </c>
      <c r="H573" s="73"/>
      <c r="I573" s="74"/>
      <c r="J573" s="74"/>
      <c r="K573" s="35" t="s">
        <v>65</v>
      </c>
      <c r="L573" s="82">
        <v>573</v>
      </c>
      <c r="M573" s="82"/>
      <c r="N573" s="76"/>
      <c r="O573" s="84" t="s">
        <v>187</v>
      </c>
      <c r="P573" s="86">
        <v>44083.25983796296</v>
      </c>
      <c r="Q573" s="84" t="s">
        <v>513</v>
      </c>
      <c r="R573" s="84"/>
      <c r="S573" s="84"/>
      <c r="T573" s="84" t="s">
        <v>629</v>
      </c>
      <c r="U573" s="87" t="str">
        <f>HYPERLINK("https://pbs.twimg.com/media/Ehc8wWIXcAAl3_B.jpg")</f>
        <v>https://pbs.twimg.com/media/Ehc8wWIXcAAl3_B.jpg</v>
      </c>
      <c r="V573" s="87" t="str">
        <f>HYPERLINK("https://pbs.twimg.com/media/Ehc8wWIXcAAl3_B.jpg")</f>
        <v>https://pbs.twimg.com/media/Ehc8wWIXcAAl3_B.jpg</v>
      </c>
      <c r="W573" s="86">
        <v>44083.25983796296</v>
      </c>
      <c r="X573" s="90">
        <v>44083</v>
      </c>
      <c r="Y573" s="92" t="s">
        <v>965</v>
      </c>
      <c r="Z573" s="87" t="str">
        <f>HYPERLINK("https://twitter.com/akson_ai/status/1303577419710951424")</f>
        <v>https://twitter.com/akson_ai/status/1303577419710951424</v>
      </c>
      <c r="AA573" s="84"/>
      <c r="AB573" s="84"/>
      <c r="AC573" s="92" t="s">
        <v>1376</v>
      </c>
      <c r="AD573" s="84"/>
      <c r="AE573" s="84" t="b">
        <v>0</v>
      </c>
      <c r="AF573" s="84">
        <v>1</v>
      </c>
      <c r="AG573" s="92" t="s">
        <v>1453</v>
      </c>
      <c r="AH573" s="84" t="b">
        <v>0</v>
      </c>
      <c r="AI573" s="84" t="s">
        <v>1456</v>
      </c>
      <c r="AJ573" s="84"/>
      <c r="AK573" s="92" t="s">
        <v>1453</v>
      </c>
      <c r="AL573" s="84" t="b">
        <v>0</v>
      </c>
      <c r="AM573" s="84">
        <v>4</v>
      </c>
      <c r="AN573" s="92" t="s">
        <v>1453</v>
      </c>
      <c r="AO573" s="84"/>
      <c r="AP573" s="84" t="b">
        <v>0</v>
      </c>
      <c r="AQ573" s="92" t="s">
        <v>1376</v>
      </c>
      <c r="AR573" s="84" t="s">
        <v>187</v>
      </c>
      <c r="AS573" s="84">
        <v>0</v>
      </c>
      <c r="AT573" s="84">
        <v>0</v>
      </c>
      <c r="AU573" s="84"/>
      <c r="AV573" s="84"/>
      <c r="AW573" s="84"/>
      <c r="AX573" s="84"/>
      <c r="AY573" s="84"/>
      <c r="AZ573" s="84"/>
      <c r="BA573" s="84"/>
      <c r="BB573" s="84"/>
      <c r="BC573">
        <v>1</v>
      </c>
      <c r="BD573" s="83" t="str">
        <f>REPLACE(INDEX(GroupVertices[Group],MATCH(Edges[[#This Row],[Vertex 1]],GroupVertices[Vertex],0)),1,1,"")</f>
        <v>1</v>
      </c>
      <c r="BE573" s="83" t="str">
        <f>REPLACE(INDEX(GroupVertices[Group],MATCH(Edges[[#This Row],[Vertex 2]],GroupVertices[Vertex],0)),1,1,"")</f>
        <v>1</v>
      </c>
      <c r="BF573" s="49">
        <v>0</v>
      </c>
      <c r="BG573" s="50">
        <v>0</v>
      </c>
      <c r="BH573" s="49">
        <v>0</v>
      </c>
      <c r="BI573" s="50">
        <v>0</v>
      </c>
      <c r="BJ573" s="49">
        <v>0</v>
      </c>
      <c r="BK573" s="50">
        <v>0</v>
      </c>
      <c r="BL573" s="49">
        <v>11</v>
      </c>
      <c r="BM573" s="50">
        <v>100</v>
      </c>
      <c r="BN573" s="49">
        <v>11</v>
      </c>
    </row>
    <row r="574" spans="1:66" ht="15">
      <c r="A574" s="68" t="s">
        <v>412</v>
      </c>
      <c r="B574" s="68" t="s">
        <v>411</v>
      </c>
      <c r="C574" s="69" t="s">
        <v>5208</v>
      </c>
      <c r="D574" s="70">
        <v>1</v>
      </c>
      <c r="E574" s="71" t="s">
        <v>132</v>
      </c>
      <c r="F574" s="72">
        <v>32</v>
      </c>
      <c r="G574" s="69" t="s">
        <v>51</v>
      </c>
      <c r="H574" s="73"/>
      <c r="I574" s="74"/>
      <c r="J574" s="74"/>
      <c r="K574" s="35" t="s">
        <v>65</v>
      </c>
      <c r="L574" s="82">
        <v>574</v>
      </c>
      <c r="M574" s="82"/>
      <c r="N574" s="76"/>
      <c r="O574" s="84" t="s">
        <v>439</v>
      </c>
      <c r="P574" s="86">
        <v>44083.25990740741</v>
      </c>
      <c r="Q574" s="84" t="s">
        <v>513</v>
      </c>
      <c r="R574" s="84"/>
      <c r="S574" s="84"/>
      <c r="T574" s="84" t="s">
        <v>629</v>
      </c>
      <c r="U574" s="87" t="str">
        <f>HYPERLINK("https://pbs.twimg.com/media/Ehc8wWIXcAAl3_B.jpg")</f>
        <v>https://pbs.twimg.com/media/Ehc8wWIXcAAl3_B.jpg</v>
      </c>
      <c r="V574" s="87" t="str">
        <f>HYPERLINK("https://pbs.twimg.com/media/Ehc8wWIXcAAl3_B.jpg")</f>
        <v>https://pbs.twimg.com/media/Ehc8wWIXcAAl3_B.jpg</v>
      </c>
      <c r="W574" s="86">
        <v>44083.25990740741</v>
      </c>
      <c r="X574" s="90">
        <v>44083</v>
      </c>
      <c r="Y574" s="92" t="s">
        <v>966</v>
      </c>
      <c r="Z574" s="87" t="str">
        <f>HYPERLINK("https://twitter.com/codegnuts/status/1303577442305675265")</f>
        <v>https://twitter.com/codegnuts/status/1303577442305675265</v>
      </c>
      <c r="AA574" s="84"/>
      <c r="AB574" s="84"/>
      <c r="AC574" s="92" t="s">
        <v>1377</v>
      </c>
      <c r="AD574" s="84"/>
      <c r="AE574" s="84" t="b">
        <v>0</v>
      </c>
      <c r="AF574" s="84">
        <v>0</v>
      </c>
      <c r="AG574" s="92" t="s">
        <v>1453</v>
      </c>
      <c r="AH574" s="84" t="b">
        <v>0</v>
      </c>
      <c r="AI574" s="84" t="s">
        <v>1456</v>
      </c>
      <c r="AJ574" s="84"/>
      <c r="AK574" s="92" t="s">
        <v>1453</v>
      </c>
      <c r="AL574" s="84" t="b">
        <v>0</v>
      </c>
      <c r="AM574" s="84">
        <v>4</v>
      </c>
      <c r="AN574" s="92" t="s">
        <v>1376</v>
      </c>
      <c r="AO574" s="84" t="s">
        <v>1527</v>
      </c>
      <c r="AP574" s="84" t="b">
        <v>0</v>
      </c>
      <c r="AQ574" s="92" t="s">
        <v>1376</v>
      </c>
      <c r="AR574" s="84" t="s">
        <v>187</v>
      </c>
      <c r="AS574" s="84">
        <v>0</v>
      </c>
      <c r="AT574" s="84">
        <v>0</v>
      </c>
      <c r="AU574" s="84"/>
      <c r="AV574" s="84"/>
      <c r="AW574" s="84"/>
      <c r="AX574" s="84"/>
      <c r="AY574" s="84"/>
      <c r="AZ574" s="84"/>
      <c r="BA574" s="84"/>
      <c r="BB574" s="84"/>
      <c r="BC574">
        <v>1</v>
      </c>
      <c r="BD574" s="83" t="str">
        <f>REPLACE(INDEX(GroupVertices[Group],MATCH(Edges[[#This Row],[Vertex 1]],GroupVertices[Vertex],0)),1,1,"")</f>
        <v>1</v>
      </c>
      <c r="BE574" s="83" t="str">
        <f>REPLACE(INDEX(GroupVertices[Group],MATCH(Edges[[#This Row],[Vertex 2]],GroupVertices[Vertex],0)),1,1,"")</f>
        <v>1</v>
      </c>
      <c r="BF574" s="49">
        <v>0</v>
      </c>
      <c r="BG574" s="50">
        <v>0</v>
      </c>
      <c r="BH574" s="49">
        <v>0</v>
      </c>
      <c r="BI574" s="50">
        <v>0</v>
      </c>
      <c r="BJ574" s="49">
        <v>0</v>
      </c>
      <c r="BK574" s="50">
        <v>0</v>
      </c>
      <c r="BL574" s="49">
        <v>11</v>
      </c>
      <c r="BM574" s="50">
        <v>100</v>
      </c>
      <c r="BN574" s="49">
        <v>11</v>
      </c>
    </row>
    <row r="575" spans="1:66" ht="15">
      <c r="A575" s="68" t="s">
        <v>413</v>
      </c>
      <c r="B575" s="68" t="s">
        <v>417</v>
      </c>
      <c r="C575" s="69" t="s">
        <v>5208</v>
      </c>
      <c r="D575" s="70">
        <v>1</v>
      </c>
      <c r="E575" s="71" t="s">
        <v>132</v>
      </c>
      <c r="F575" s="72">
        <v>32</v>
      </c>
      <c r="G575" s="69" t="s">
        <v>51</v>
      </c>
      <c r="H575" s="73"/>
      <c r="I575" s="74"/>
      <c r="J575" s="74"/>
      <c r="K575" s="35" t="s">
        <v>65</v>
      </c>
      <c r="L575" s="82">
        <v>575</v>
      </c>
      <c r="M575" s="82"/>
      <c r="N575" s="76"/>
      <c r="O575" s="84" t="s">
        <v>441</v>
      </c>
      <c r="P575" s="86">
        <v>44084.691145833334</v>
      </c>
      <c r="Q575" s="84" t="s">
        <v>514</v>
      </c>
      <c r="R575"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575" s="84" t="s">
        <v>533</v>
      </c>
      <c r="T575" s="84" t="s">
        <v>630</v>
      </c>
      <c r="U575" s="84"/>
      <c r="V575" s="87" t="str">
        <f>HYPERLINK("http://pbs.twimg.com/profile_images/1235536843208343553/M-uPddln_normal.jpg")</f>
        <v>http://pbs.twimg.com/profile_images/1235536843208343553/M-uPddln_normal.jpg</v>
      </c>
      <c r="W575" s="86">
        <v>44084.691145833334</v>
      </c>
      <c r="X575" s="90">
        <v>44084</v>
      </c>
      <c r="Y575" s="92" t="s">
        <v>967</v>
      </c>
      <c r="Z575" s="87" t="str">
        <f>HYPERLINK("https://twitter.com/lofwyrm/status/1304096105530044417")</f>
        <v>https://twitter.com/lofwyrm/status/1304096105530044417</v>
      </c>
      <c r="AA575" s="84"/>
      <c r="AB575" s="84"/>
      <c r="AC575" s="92" t="s">
        <v>1378</v>
      </c>
      <c r="AD575" s="84"/>
      <c r="AE575" s="84" t="b">
        <v>0</v>
      </c>
      <c r="AF575" s="84">
        <v>1</v>
      </c>
      <c r="AG575" s="92" t="s">
        <v>1453</v>
      </c>
      <c r="AH575" s="84" t="b">
        <v>0</v>
      </c>
      <c r="AI575" s="84" t="s">
        <v>1456</v>
      </c>
      <c r="AJ575" s="84"/>
      <c r="AK575" s="92" t="s">
        <v>1453</v>
      </c>
      <c r="AL575" s="84" t="b">
        <v>0</v>
      </c>
      <c r="AM575" s="84">
        <v>2</v>
      </c>
      <c r="AN575" s="92" t="s">
        <v>1453</v>
      </c>
      <c r="AO575" s="84" t="s">
        <v>1488</v>
      </c>
      <c r="AP575" s="84" t="b">
        <v>0</v>
      </c>
      <c r="AQ575" s="92" t="s">
        <v>1378</v>
      </c>
      <c r="AR575" s="84" t="s">
        <v>187</v>
      </c>
      <c r="AS575" s="84">
        <v>0</v>
      </c>
      <c r="AT575" s="84">
        <v>0</v>
      </c>
      <c r="AU575" s="84"/>
      <c r="AV575" s="84"/>
      <c r="AW575" s="84"/>
      <c r="AX575" s="84"/>
      <c r="AY575" s="84"/>
      <c r="AZ575" s="84"/>
      <c r="BA575" s="84"/>
      <c r="BB575" s="84"/>
      <c r="BC575">
        <v>1</v>
      </c>
      <c r="BD575" s="83" t="str">
        <f>REPLACE(INDEX(GroupVertices[Group],MATCH(Edges[[#This Row],[Vertex 1]],GroupVertices[Vertex],0)),1,1,"")</f>
        <v>1</v>
      </c>
      <c r="BE575" s="83" t="str">
        <f>REPLACE(INDEX(GroupVertices[Group],MATCH(Edges[[#This Row],[Vertex 2]],GroupVertices[Vertex],0)),1,1,"")</f>
        <v>2</v>
      </c>
      <c r="BF575" s="49">
        <v>0</v>
      </c>
      <c r="BG575" s="50">
        <v>0</v>
      </c>
      <c r="BH575" s="49">
        <v>0</v>
      </c>
      <c r="BI575" s="50">
        <v>0</v>
      </c>
      <c r="BJ575" s="49">
        <v>0</v>
      </c>
      <c r="BK575" s="50">
        <v>0</v>
      </c>
      <c r="BL575" s="49">
        <v>29</v>
      </c>
      <c r="BM575" s="50">
        <v>100</v>
      </c>
      <c r="BN575" s="49">
        <v>29</v>
      </c>
    </row>
    <row r="576" spans="1:66" ht="15">
      <c r="A576" s="68" t="s">
        <v>390</v>
      </c>
      <c r="B576" s="68" t="s">
        <v>413</v>
      </c>
      <c r="C576" s="69" t="s">
        <v>5208</v>
      </c>
      <c r="D576" s="70">
        <v>1</v>
      </c>
      <c r="E576" s="71" t="s">
        <v>132</v>
      </c>
      <c r="F576" s="72">
        <v>32</v>
      </c>
      <c r="G576" s="69" t="s">
        <v>51</v>
      </c>
      <c r="H576" s="73"/>
      <c r="I576" s="74"/>
      <c r="J576" s="74"/>
      <c r="K576" s="35" t="s">
        <v>65</v>
      </c>
      <c r="L576" s="82">
        <v>576</v>
      </c>
      <c r="M576" s="82"/>
      <c r="N576" s="76"/>
      <c r="O576" s="84" t="s">
        <v>439</v>
      </c>
      <c r="P576" s="86">
        <v>44084.723807870374</v>
      </c>
      <c r="Q576" s="84" t="s">
        <v>514</v>
      </c>
      <c r="R576"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576" s="84" t="s">
        <v>533</v>
      </c>
      <c r="T576" s="84" t="s">
        <v>630</v>
      </c>
      <c r="U576" s="84"/>
      <c r="V576" s="87" t="str">
        <f>HYPERLINK("http://pbs.twimg.com/profile_images/760774125522518016/jhzjWv0i_normal.jpg")</f>
        <v>http://pbs.twimg.com/profile_images/760774125522518016/jhzjWv0i_normal.jpg</v>
      </c>
      <c r="W576" s="86">
        <v>44084.723807870374</v>
      </c>
      <c r="X576" s="90">
        <v>44084</v>
      </c>
      <c r="Y576" s="92" t="s">
        <v>968</v>
      </c>
      <c r="Z576" s="87" t="str">
        <f>HYPERLINK("https://twitter.com/chidambara09/status/1304107942342393857")</f>
        <v>https://twitter.com/chidambara09/status/1304107942342393857</v>
      </c>
      <c r="AA576" s="84"/>
      <c r="AB576" s="84"/>
      <c r="AC576" s="92" t="s">
        <v>1379</v>
      </c>
      <c r="AD576" s="84"/>
      <c r="AE576" s="84" t="b">
        <v>0</v>
      </c>
      <c r="AF576" s="84">
        <v>0</v>
      </c>
      <c r="AG576" s="92" t="s">
        <v>1453</v>
      </c>
      <c r="AH576" s="84" t="b">
        <v>0</v>
      </c>
      <c r="AI576" s="84" t="s">
        <v>1456</v>
      </c>
      <c r="AJ576" s="84"/>
      <c r="AK576" s="92" t="s">
        <v>1453</v>
      </c>
      <c r="AL576" s="84" t="b">
        <v>0</v>
      </c>
      <c r="AM576" s="84">
        <v>2</v>
      </c>
      <c r="AN576" s="92" t="s">
        <v>1378</v>
      </c>
      <c r="AO576" s="84" t="s">
        <v>1465</v>
      </c>
      <c r="AP576" s="84" t="b">
        <v>0</v>
      </c>
      <c r="AQ576" s="92" t="s">
        <v>1378</v>
      </c>
      <c r="AR576" s="84" t="s">
        <v>187</v>
      </c>
      <c r="AS576" s="84">
        <v>0</v>
      </c>
      <c r="AT576" s="84">
        <v>0</v>
      </c>
      <c r="AU576" s="84"/>
      <c r="AV576" s="84"/>
      <c r="AW576" s="84"/>
      <c r="AX576" s="84"/>
      <c r="AY576" s="84"/>
      <c r="AZ576" s="84"/>
      <c r="BA576" s="84"/>
      <c r="BB576" s="84"/>
      <c r="BC576">
        <v>1</v>
      </c>
      <c r="BD576" s="83" t="str">
        <f>REPLACE(INDEX(GroupVertices[Group],MATCH(Edges[[#This Row],[Vertex 1]],GroupVertices[Vertex],0)),1,1,"")</f>
        <v>1</v>
      </c>
      <c r="BE576" s="83" t="str">
        <f>REPLACE(INDEX(GroupVertices[Group],MATCH(Edges[[#This Row],[Vertex 2]],GroupVertices[Vertex],0)),1,1,"")</f>
        <v>1</v>
      </c>
      <c r="BF576" s="49">
        <v>0</v>
      </c>
      <c r="BG576" s="50">
        <v>0</v>
      </c>
      <c r="BH576" s="49">
        <v>0</v>
      </c>
      <c r="BI576" s="50">
        <v>0</v>
      </c>
      <c r="BJ576" s="49">
        <v>0</v>
      </c>
      <c r="BK576" s="50">
        <v>0</v>
      </c>
      <c r="BL576" s="49">
        <v>29</v>
      </c>
      <c r="BM576" s="50">
        <v>100</v>
      </c>
      <c r="BN576" s="49">
        <v>29</v>
      </c>
    </row>
    <row r="577" spans="1:66" ht="15">
      <c r="A577" s="68" t="s">
        <v>412</v>
      </c>
      <c r="B577" s="68" t="s">
        <v>413</v>
      </c>
      <c r="C577" s="69" t="s">
        <v>5208</v>
      </c>
      <c r="D577" s="70">
        <v>1</v>
      </c>
      <c r="E577" s="71" t="s">
        <v>132</v>
      </c>
      <c r="F577" s="72">
        <v>32</v>
      </c>
      <c r="G577" s="69" t="s">
        <v>51</v>
      </c>
      <c r="H577" s="73"/>
      <c r="I577" s="74"/>
      <c r="J577" s="74"/>
      <c r="K577" s="35" t="s">
        <v>65</v>
      </c>
      <c r="L577" s="82">
        <v>577</v>
      </c>
      <c r="M577" s="82"/>
      <c r="N577" s="76"/>
      <c r="O577" s="84" t="s">
        <v>439</v>
      </c>
      <c r="P577" s="86">
        <v>44084.72386574074</v>
      </c>
      <c r="Q577" s="84" t="s">
        <v>514</v>
      </c>
      <c r="R577"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577" s="84" t="s">
        <v>533</v>
      </c>
      <c r="T577" s="84" t="s">
        <v>630</v>
      </c>
      <c r="U577" s="84"/>
      <c r="V577" s="87" t="str">
        <f>HYPERLINK("http://pbs.twimg.com/profile_images/1266134298429517824/Gxv_xYd7_normal.jpg")</f>
        <v>http://pbs.twimg.com/profile_images/1266134298429517824/Gxv_xYd7_normal.jpg</v>
      </c>
      <c r="W577" s="86">
        <v>44084.72386574074</v>
      </c>
      <c r="X577" s="90">
        <v>44084</v>
      </c>
      <c r="Y577" s="92" t="s">
        <v>969</v>
      </c>
      <c r="Z577" s="87" t="str">
        <f>HYPERLINK("https://twitter.com/codegnuts/status/1304107964396007424")</f>
        <v>https://twitter.com/codegnuts/status/1304107964396007424</v>
      </c>
      <c r="AA577" s="84"/>
      <c r="AB577" s="84"/>
      <c r="AC577" s="92" t="s">
        <v>1380</v>
      </c>
      <c r="AD577" s="84"/>
      <c r="AE577" s="84" t="b">
        <v>0</v>
      </c>
      <c r="AF577" s="84">
        <v>0</v>
      </c>
      <c r="AG577" s="92" t="s">
        <v>1453</v>
      </c>
      <c r="AH577" s="84" t="b">
        <v>0</v>
      </c>
      <c r="AI577" s="84" t="s">
        <v>1456</v>
      </c>
      <c r="AJ577" s="84"/>
      <c r="AK577" s="92" t="s">
        <v>1453</v>
      </c>
      <c r="AL577" s="84" t="b">
        <v>0</v>
      </c>
      <c r="AM577" s="84">
        <v>2</v>
      </c>
      <c r="AN577" s="92" t="s">
        <v>1378</v>
      </c>
      <c r="AO577" s="84" t="s">
        <v>1527</v>
      </c>
      <c r="AP577" s="84" t="b">
        <v>0</v>
      </c>
      <c r="AQ577" s="92" t="s">
        <v>1378</v>
      </c>
      <c r="AR577" s="84" t="s">
        <v>187</v>
      </c>
      <c r="AS577" s="84">
        <v>0</v>
      </c>
      <c r="AT577" s="84">
        <v>0</v>
      </c>
      <c r="AU577" s="84"/>
      <c r="AV577" s="84"/>
      <c r="AW577" s="84"/>
      <c r="AX577" s="84"/>
      <c r="AY577" s="84"/>
      <c r="AZ577" s="84"/>
      <c r="BA577" s="84"/>
      <c r="BB577" s="84"/>
      <c r="BC577">
        <v>1</v>
      </c>
      <c r="BD577" s="83" t="str">
        <f>REPLACE(INDEX(GroupVertices[Group],MATCH(Edges[[#This Row],[Vertex 1]],GroupVertices[Vertex],0)),1,1,"")</f>
        <v>1</v>
      </c>
      <c r="BE577" s="83" t="str">
        <f>REPLACE(INDEX(GroupVertices[Group],MATCH(Edges[[#This Row],[Vertex 2]],GroupVertices[Vertex],0)),1,1,"")</f>
        <v>1</v>
      </c>
      <c r="BF577" s="49">
        <v>0</v>
      </c>
      <c r="BG577" s="50">
        <v>0</v>
      </c>
      <c r="BH577" s="49">
        <v>0</v>
      </c>
      <c r="BI577" s="50">
        <v>0</v>
      </c>
      <c r="BJ577" s="49">
        <v>0</v>
      </c>
      <c r="BK577" s="50">
        <v>0</v>
      </c>
      <c r="BL577" s="49">
        <v>29</v>
      </c>
      <c r="BM577" s="50">
        <v>100</v>
      </c>
      <c r="BN577" s="49">
        <v>29</v>
      </c>
    </row>
    <row r="578" spans="1:66" ht="15">
      <c r="A578" s="68" t="s">
        <v>414</v>
      </c>
      <c r="B578" s="68" t="s">
        <v>414</v>
      </c>
      <c r="C578" s="69" t="s">
        <v>5208</v>
      </c>
      <c r="D578" s="70">
        <v>1</v>
      </c>
      <c r="E578" s="71" t="s">
        <v>132</v>
      </c>
      <c r="F578" s="72">
        <v>32</v>
      </c>
      <c r="G578" s="69" t="s">
        <v>51</v>
      </c>
      <c r="H578" s="73"/>
      <c r="I578" s="74"/>
      <c r="J578" s="74"/>
      <c r="K578" s="35" t="s">
        <v>65</v>
      </c>
      <c r="L578" s="82">
        <v>578</v>
      </c>
      <c r="M578" s="82"/>
      <c r="N578" s="76"/>
      <c r="O578" s="84" t="s">
        <v>187</v>
      </c>
      <c r="P578" s="86">
        <v>44087.3125</v>
      </c>
      <c r="Q578" s="84" t="s">
        <v>491</v>
      </c>
      <c r="R578" s="84" t="s">
        <v>527</v>
      </c>
      <c r="S578" s="84" t="s">
        <v>552</v>
      </c>
      <c r="T578" s="84" t="s">
        <v>607</v>
      </c>
      <c r="U578" s="87" t="str">
        <f>HYPERLINK("https://pbs.twimg.com/media/EhxkE21U0AEO4mg.jpg")</f>
        <v>https://pbs.twimg.com/media/EhxkE21U0AEO4mg.jpg</v>
      </c>
      <c r="V578" s="87" t="str">
        <f>HYPERLINK("https://pbs.twimg.com/media/EhxkE21U0AEO4mg.jpg")</f>
        <v>https://pbs.twimg.com/media/EhxkE21U0AEO4mg.jpg</v>
      </c>
      <c r="W578" s="86">
        <v>44087.3125</v>
      </c>
      <c r="X578" s="90">
        <v>44087</v>
      </c>
      <c r="Y578" s="92" t="s">
        <v>970</v>
      </c>
      <c r="Z578" s="87" t="str">
        <f>HYPERLINK("https://twitter.com/sanjo_jose/status/1305046053347930112")</f>
        <v>https://twitter.com/sanjo_jose/status/1305046053347930112</v>
      </c>
      <c r="AA578" s="84"/>
      <c r="AB578" s="84"/>
      <c r="AC578" s="92" t="s">
        <v>1381</v>
      </c>
      <c r="AD578" s="84"/>
      <c r="AE578" s="84" t="b">
        <v>0</v>
      </c>
      <c r="AF578" s="84">
        <v>4</v>
      </c>
      <c r="AG578" s="92" t="s">
        <v>1453</v>
      </c>
      <c r="AH578" s="84" t="b">
        <v>0</v>
      </c>
      <c r="AI578" s="84" t="s">
        <v>1456</v>
      </c>
      <c r="AJ578" s="84"/>
      <c r="AK578" s="92" t="s">
        <v>1453</v>
      </c>
      <c r="AL578" s="84" t="b">
        <v>0</v>
      </c>
      <c r="AM578" s="84">
        <v>12</v>
      </c>
      <c r="AN578" s="92" t="s">
        <v>1453</v>
      </c>
      <c r="AO578" s="84" t="s">
        <v>1465</v>
      </c>
      <c r="AP578" s="84" t="b">
        <v>0</v>
      </c>
      <c r="AQ578" s="92" t="s">
        <v>1381</v>
      </c>
      <c r="AR578" s="84" t="s">
        <v>187</v>
      </c>
      <c r="AS578" s="84">
        <v>0</v>
      </c>
      <c r="AT578" s="84">
        <v>0</v>
      </c>
      <c r="AU578" s="84"/>
      <c r="AV578" s="84"/>
      <c r="AW578" s="84"/>
      <c r="AX578" s="84"/>
      <c r="AY578" s="84"/>
      <c r="AZ578" s="84"/>
      <c r="BA578" s="84"/>
      <c r="BB578" s="84"/>
      <c r="BC578">
        <v>1</v>
      </c>
      <c r="BD578" s="83" t="str">
        <f>REPLACE(INDEX(GroupVertices[Group],MATCH(Edges[[#This Row],[Vertex 1]],GroupVertices[Vertex],0)),1,1,"")</f>
        <v>1</v>
      </c>
      <c r="BE578" s="83" t="str">
        <f>REPLACE(INDEX(GroupVertices[Group],MATCH(Edges[[#This Row],[Vertex 2]],GroupVertices[Vertex],0)),1,1,"")</f>
        <v>1</v>
      </c>
      <c r="BF578" s="49">
        <v>0</v>
      </c>
      <c r="BG578" s="50">
        <v>0</v>
      </c>
      <c r="BH578" s="49">
        <v>0</v>
      </c>
      <c r="BI578" s="50">
        <v>0</v>
      </c>
      <c r="BJ578" s="49">
        <v>0</v>
      </c>
      <c r="BK578" s="50">
        <v>0</v>
      </c>
      <c r="BL578" s="49">
        <v>40</v>
      </c>
      <c r="BM578" s="50">
        <v>100</v>
      </c>
      <c r="BN578" s="49">
        <v>40</v>
      </c>
    </row>
    <row r="579" spans="1:66" ht="15">
      <c r="A579" s="68" t="s">
        <v>390</v>
      </c>
      <c r="B579" s="68" t="s">
        <v>414</v>
      </c>
      <c r="C579" s="69" t="s">
        <v>5208</v>
      </c>
      <c r="D579" s="70">
        <v>1</v>
      </c>
      <c r="E579" s="71" t="s">
        <v>132</v>
      </c>
      <c r="F579" s="72">
        <v>32</v>
      </c>
      <c r="G579" s="69" t="s">
        <v>51</v>
      </c>
      <c r="H579" s="73"/>
      <c r="I579" s="74"/>
      <c r="J579" s="74"/>
      <c r="K579" s="35" t="s">
        <v>65</v>
      </c>
      <c r="L579" s="82">
        <v>579</v>
      </c>
      <c r="M579" s="82"/>
      <c r="N579" s="76"/>
      <c r="O579" s="84" t="s">
        <v>439</v>
      </c>
      <c r="P579" s="86">
        <v>44087.34422453704</v>
      </c>
      <c r="Q579" s="84" t="s">
        <v>491</v>
      </c>
      <c r="R579" s="84" t="s">
        <v>527</v>
      </c>
      <c r="S579" s="84" t="s">
        <v>552</v>
      </c>
      <c r="T579" s="84" t="s">
        <v>607</v>
      </c>
      <c r="U579" s="87" t="str">
        <f>HYPERLINK("https://pbs.twimg.com/media/EhxkE21U0AEO4mg.jpg")</f>
        <v>https://pbs.twimg.com/media/EhxkE21U0AEO4mg.jpg</v>
      </c>
      <c r="V579" s="87" t="str">
        <f>HYPERLINK("https://pbs.twimg.com/media/EhxkE21U0AEO4mg.jpg")</f>
        <v>https://pbs.twimg.com/media/EhxkE21U0AEO4mg.jpg</v>
      </c>
      <c r="W579" s="86">
        <v>44087.34422453704</v>
      </c>
      <c r="X579" s="90">
        <v>44087</v>
      </c>
      <c r="Y579" s="92" t="s">
        <v>971</v>
      </c>
      <c r="Z579" s="87" t="str">
        <f>HYPERLINK("https://twitter.com/chidambara09/status/1305057552254693379")</f>
        <v>https://twitter.com/chidambara09/status/1305057552254693379</v>
      </c>
      <c r="AA579" s="84"/>
      <c r="AB579" s="84"/>
      <c r="AC579" s="92" t="s">
        <v>1382</v>
      </c>
      <c r="AD579" s="84"/>
      <c r="AE579" s="84" t="b">
        <v>0</v>
      </c>
      <c r="AF579" s="84">
        <v>0</v>
      </c>
      <c r="AG579" s="92" t="s">
        <v>1453</v>
      </c>
      <c r="AH579" s="84" t="b">
        <v>0</v>
      </c>
      <c r="AI579" s="84" t="s">
        <v>1456</v>
      </c>
      <c r="AJ579" s="84"/>
      <c r="AK579" s="92" t="s">
        <v>1453</v>
      </c>
      <c r="AL579" s="84" t="b">
        <v>0</v>
      </c>
      <c r="AM579" s="84">
        <v>12</v>
      </c>
      <c r="AN579" s="92" t="s">
        <v>1381</v>
      </c>
      <c r="AO579" s="84" t="s">
        <v>1465</v>
      </c>
      <c r="AP579" s="84" t="b">
        <v>0</v>
      </c>
      <c r="AQ579" s="92" t="s">
        <v>1381</v>
      </c>
      <c r="AR579" s="84" t="s">
        <v>187</v>
      </c>
      <c r="AS579" s="84">
        <v>0</v>
      </c>
      <c r="AT579" s="84">
        <v>0</v>
      </c>
      <c r="AU579" s="84"/>
      <c r="AV579" s="84"/>
      <c r="AW579" s="84"/>
      <c r="AX579" s="84"/>
      <c r="AY579" s="84"/>
      <c r="AZ579" s="84"/>
      <c r="BA579" s="84"/>
      <c r="BB579" s="84"/>
      <c r="BC579">
        <v>1</v>
      </c>
      <c r="BD579" s="83" t="str">
        <f>REPLACE(INDEX(GroupVertices[Group],MATCH(Edges[[#This Row],[Vertex 1]],GroupVertices[Vertex],0)),1,1,"")</f>
        <v>1</v>
      </c>
      <c r="BE579" s="83" t="str">
        <f>REPLACE(INDEX(GroupVertices[Group],MATCH(Edges[[#This Row],[Vertex 2]],GroupVertices[Vertex],0)),1,1,"")</f>
        <v>1</v>
      </c>
      <c r="BF579" s="49">
        <v>0</v>
      </c>
      <c r="BG579" s="50">
        <v>0</v>
      </c>
      <c r="BH579" s="49">
        <v>0</v>
      </c>
      <c r="BI579" s="50">
        <v>0</v>
      </c>
      <c r="BJ579" s="49">
        <v>0</v>
      </c>
      <c r="BK579" s="50">
        <v>0</v>
      </c>
      <c r="BL579" s="49">
        <v>40</v>
      </c>
      <c r="BM579" s="50">
        <v>100</v>
      </c>
      <c r="BN579" s="49">
        <v>40</v>
      </c>
    </row>
    <row r="580" spans="1:66" ht="15">
      <c r="A580" s="68" t="s">
        <v>412</v>
      </c>
      <c r="B580" s="68" t="s">
        <v>414</v>
      </c>
      <c r="C580" s="69" t="s">
        <v>5208</v>
      </c>
      <c r="D580" s="70">
        <v>1</v>
      </c>
      <c r="E580" s="71" t="s">
        <v>132</v>
      </c>
      <c r="F580" s="72">
        <v>32</v>
      </c>
      <c r="G580" s="69" t="s">
        <v>51</v>
      </c>
      <c r="H580" s="73"/>
      <c r="I580" s="74"/>
      <c r="J580" s="74"/>
      <c r="K580" s="35" t="s">
        <v>65</v>
      </c>
      <c r="L580" s="82">
        <v>580</v>
      </c>
      <c r="M580" s="82"/>
      <c r="N580" s="76"/>
      <c r="O580" s="84" t="s">
        <v>439</v>
      </c>
      <c r="P580" s="86">
        <v>44087.507743055554</v>
      </c>
      <c r="Q580" s="84" t="s">
        <v>491</v>
      </c>
      <c r="R580" s="84" t="s">
        <v>527</v>
      </c>
      <c r="S580" s="84" t="s">
        <v>552</v>
      </c>
      <c r="T580" s="84" t="s">
        <v>607</v>
      </c>
      <c r="U580" s="87" t="str">
        <f>HYPERLINK("https://pbs.twimg.com/media/EhxkE21U0AEO4mg.jpg")</f>
        <v>https://pbs.twimg.com/media/EhxkE21U0AEO4mg.jpg</v>
      </c>
      <c r="V580" s="87" t="str">
        <f>HYPERLINK("https://pbs.twimg.com/media/EhxkE21U0AEO4mg.jpg")</f>
        <v>https://pbs.twimg.com/media/EhxkE21U0AEO4mg.jpg</v>
      </c>
      <c r="W580" s="86">
        <v>44087.507743055554</v>
      </c>
      <c r="X580" s="90">
        <v>44087</v>
      </c>
      <c r="Y580" s="92" t="s">
        <v>972</v>
      </c>
      <c r="Z580" s="87" t="str">
        <f>HYPERLINK("https://twitter.com/codegnuts/status/1305116809356599296")</f>
        <v>https://twitter.com/codegnuts/status/1305116809356599296</v>
      </c>
      <c r="AA580" s="84"/>
      <c r="AB580" s="84"/>
      <c r="AC580" s="92" t="s">
        <v>1383</v>
      </c>
      <c r="AD580" s="84"/>
      <c r="AE580" s="84" t="b">
        <v>0</v>
      </c>
      <c r="AF580" s="84">
        <v>0</v>
      </c>
      <c r="AG580" s="92" t="s">
        <v>1453</v>
      </c>
      <c r="AH580" s="84" t="b">
        <v>0</v>
      </c>
      <c r="AI580" s="84" t="s">
        <v>1456</v>
      </c>
      <c r="AJ580" s="84"/>
      <c r="AK580" s="92" t="s">
        <v>1453</v>
      </c>
      <c r="AL580" s="84" t="b">
        <v>0</v>
      </c>
      <c r="AM580" s="84">
        <v>12</v>
      </c>
      <c r="AN580" s="92" t="s">
        <v>1381</v>
      </c>
      <c r="AO580" s="84" t="s">
        <v>1527</v>
      </c>
      <c r="AP580" s="84" t="b">
        <v>0</v>
      </c>
      <c r="AQ580" s="92" t="s">
        <v>1381</v>
      </c>
      <c r="AR580" s="84" t="s">
        <v>187</v>
      </c>
      <c r="AS580" s="84">
        <v>0</v>
      </c>
      <c r="AT580" s="84">
        <v>0</v>
      </c>
      <c r="AU580" s="84"/>
      <c r="AV580" s="84"/>
      <c r="AW580" s="84"/>
      <c r="AX580" s="84"/>
      <c r="AY580" s="84"/>
      <c r="AZ580" s="84"/>
      <c r="BA580" s="84"/>
      <c r="BB580" s="84"/>
      <c r="BC580">
        <v>1</v>
      </c>
      <c r="BD580" s="83" t="str">
        <f>REPLACE(INDEX(GroupVertices[Group],MATCH(Edges[[#This Row],[Vertex 1]],GroupVertices[Vertex],0)),1,1,"")</f>
        <v>1</v>
      </c>
      <c r="BE580" s="83" t="str">
        <f>REPLACE(INDEX(GroupVertices[Group],MATCH(Edges[[#This Row],[Vertex 2]],GroupVertices[Vertex],0)),1,1,"")</f>
        <v>1</v>
      </c>
      <c r="BF580" s="49">
        <v>0</v>
      </c>
      <c r="BG580" s="50">
        <v>0</v>
      </c>
      <c r="BH580" s="49">
        <v>0</v>
      </c>
      <c r="BI580" s="50">
        <v>0</v>
      </c>
      <c r="BJ580" s="49">
        <v>0</v>
      </c>
      <c r="BK580" s="50">
        <v>0</v>
      </c>
      <c r="BL580" s="49">
        <v>40</v>
      </c>
      <c r="BM580" s="50">
        <v>100</v>
      </c>
      <c r="BN580" s="49">
        <v>40</v>
      </c>
    </row>
    <row r="581" spans="1:66" ht="15">
      <c r="A581" s="68" t="s">
        <v>412</v>
      </c>
      <c r="B581" s="68" t="s">
        <v>417</v>
      </c>
      <c r="C581" s="69" t="s">
        <v>5208</v>
      </c>
      <c r="D581" s="70">
        <v>1</v>
      </c>
      <c r="E581" s="71" t="s">
        <v>132</v>
      </c>
      <c r="F581" s="72">
        <v>32</v>
      </c>
      <c r="G581" s="69" t="s">
        <v>51</v>
      </c>
      <c r="H581" s="73"/>
      <c r="I581" s="74"/>
      <c r="J581" s="74"/>
      <c r="K581" s="35" t="s">
        <v>65</v>
      </c>
      <c r="L581" s="82">
        <v>581</v>
      </c>
      <c r="M581" s="82"/>
      <c r="N581" s="76"/>
      <c r="O581" s="84" t="s">
        <v>439</v>
      </c>
      <c r="P581" s="86">
        <v>44082.009780092594</v>
      </c>
      <c r="Q581" s="84" t="s">
        <v>450</v>
      </c>
      <c r="R581"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581" s="84" t="s">
        <v>533</v>
      </c>
      <c r="T581" s="84"/>
      <c r="U581" s="84"/>
      <c r="V581" s="87" t="str">
        <f>HYPERLINK("http://pbs.twimg.com/profile_images/1266134298429517824/Gxv_xYd7_normal.jpg")</f>
        <v>http://pbs.twimg.com/profile_images/1266134298429517824/Gxv_xYd7_normal.jpg</v>
      </c>
      <c r="W581" s="86">
        <v>44082.009780092594</v>
      </c>
      <c r="X581" s="90">
        <v>44082</v>
      </c>
      <c r="Y581" s="92" t="s">
        <v>973</v>
      </c>
      <c r="Z581" s="87" t="str">
        <f>HYPERLINK("https://twitter.com/codegnuts/status/1303124412196155393")</f>
        <v>https://twitter.com/codegnuts/status/1303124412196155393</v>
      </c>
      <c r="AA581" s="84"/>
      <c r="AB581" s="84"/>
      <c r="AC581" s="92" t="s">
        <v>1384</v>
      </c>
      <c r="AD581" s="84"/>
      <c r="AE581" s="84" t="b">
        <v>0</v>
      </c>
      <c r="AF581" s="84">
        <v>0</v>
      </c>
      <c r="AG581" s="92" t="s">
        <v>1453</v>
      </c>
      <c r="AH581" s="84" t="b">
        <v>0</v>
      </c>
      <c r="AI581" s="84" t="s">
        <v>1456</v>
      </c>
      <c r="AJ581" s="84"/>
      <c r="AK581" s="92" t="s">
        <v>1453</v>
      </c>
      <c r="AL581" s="84" t="b">
        <v>0</v>
      </c>
      <c r="AM581" s="84">
        <v>31</v>
      </c>
      <c r="AN581" s="92" t="s">
        <v>1396</v>
      </c>
      <c r="AO581" s="84" t="s">
        <v>1527</v>
      </c>
      <c r="AP581" s="84" t="b">
        <v>0</v>
      </c>
      <c r="AQ581" s="92" t="s">
        <v>1396</v>
      </c>
      <c r="AR581" s="84" t="s">
        <v>187</v>
      </c>
      <c r="AS581" s="84">
        <v>0</v>
      </c>
      <c r="AT581" s="84">
        <v>0</v>
      </c>
      <c r="AU581" s="84"/>
      <c r="AV581" s="84"/>
      <c r="AW581" s="84"/>
      <c r="AX581" s="84"/>
      <c r="AY581" s="84"/>
      <c r="AZ581" s="84"/>
      <c r="BA581" s="84"/>
      <c r="BB581" s="84"/>
      <c r="BC581">
        <v>1</v>
      </c>
      <c r="BD581" s="83" t="str">
        <f>REPLACE(INDEX(GroupVertices[Group],MATCH(Edges[[#This Row],[Vertex 1]],GroupVertices[Vertex],0)),1,1,"")</f>
        <v>1</v>
      </c>
      <c r="BE581" s="83" t="str">
        <f>REPLACE(INDEX(GroupVertices[Group],MATCH(Edges[[#This Row],[Vertex 2]],GroupVertices[Vertex],0)),1,1,"")</f>
        <v>2</v>
      </c>
      <c r="BF581" s="49">
        <v>0</v>
      </c>
      <c r="BG581" s="50">
        <v>0</v>
      </c>
      <c r="BH581" s="49">
        <v>0</v>
      </c>
      <c r="BI581" s="50">
        <v>0</v>
      </c>
      <c r="BJ581" s="49">
        <v>0</v>
      </c>
      <c r="BK581" s="50">
        <v>0</v>
      </c>
      <c r="BL581" s="49">
        <v>26</v>
      </c>
      <c r="BM581" s="50">
        <v>100</v>
      </c>
      <c r="BN581" s="49">
        <v>26</v>
      </c>
    </row>
    <row r="582" spans="1:66" ht="15">
      <c r="A582" s="68" t="s">
        <v>412</v>
      </c>
      <c r="B582" s="68" t="s">
        <v>423</v>
      </c>
      <c r="C582" s="69" t="s">
        <v>5210</v>
      </c>
      <c r="D582" s="70">
        <v>10</v>
      </c>
      <c r="E582" s="71" t="s">
        <v>136</v>
      </c>
      <c r="F582" s="72">
        <v>10</v>
      </c>
      <c r="G582" s="69" t="s">
        <v>51</v>
      </c>
      <c r="H582" s="73"/>
      <c r="I582" s="74"/>
      <c r="J582" s="74"/>
      <c r="K582" s="35" t="s">
        <v>65</v>
      </c>
      <c r="L582" s="82">
        <v>582</v>
      </c>
      <c r="M582" s="82"/>
      <c r="N582" s="76"/>
      <c r="O582" s="84" t="s">
        <v>439</v>
      </c>
      <c r="P582" s="86">
        <v>44082.51905092593</v>
      </c>
      <c r="Q582" s="84" t="s">
        <v>457</v>
      </c>
      <c r="R582" s="84"/>
      <c r="S582" s="84"/>
      <c r="T582" s="84" t="s">
        <v>576</v>
      </c>
      <c r="U582" s="87" t="str">
        <f>HYPERLINK("https://pbs.twimg.com/media/Eg6GGrgXgAIxG2X.jpg")</f>
        <v>https://pbs.twimg.com/media/Eg6GGrgXgAIxG2X.jpg</v>
      </c>
      <c r="V582" s="87" t="str">
        <f>HYPERLINK("https://pbs.twimg.com/media/Eg6GGrgXgAIxG2X.jpg")</f>
        <v>https://pbs.twimg.com/media/Eg6GGrgXgAIxG2X.jpg</v>
      </c>
      <c r="W582" s="86">
        <v>44082.51905092593</v>
      </c>
      <c r="X582" s="90">
        <v>44082</v>
      </c>
      <c r="Y582" s="92" t="s">
        <v>974</v>
      </c>
      <c r="Z582" s="87" t="str">
        <f>HYPERLINK("https://twitter.com/codegnuts/status/1303308968253689857")</f>
        <v>https://twitter.com/codegnuts/status/1303308968253689857</v>
      </c>
      <c r="AA582" s="84"/>
      <c r="AB582" s="84"/>
      <c r="AC582" s="92" t="s">
        <v>1385</v>
      </c>
      <c r="AD582" s="84"/>
      <c r="AE582" s="84" t="b">
        <v>0</v>
      </c>
      <c r="AF582" s="84">
        <v>0</v>
      </c>
      <c r="AG582" s="92" t="s">
        <v>1453</v>
      </c>
      <c r="AH582" s="84" t="b">
        <v>0</v>
      </c>
      <c r="AI582" s="84" t="s">
        <v>1456</v>
      </c>
      <c r="AJ582" s="84"/>
      <c r="AK582" s="92" t="s">
        <v>1453</v>
      </c>
      <c r="AL582" s="84" t="b">
        <v>0</v>
      </c>
      <c r="AM582" s="84">
        <v>51</v>
      </c>
      <c r="AN582" s="92" t="s">
        <v>1425</v>
      </c>
      <c r="AO582" s="84" t="s">
        <v>1527</v>
      </c>
      <c r="AP582" s="84" t="b">
        <v>0</v>
      </c>
      <c r="AQ582" s="92" t="s">
        <v>1425</v>
      </c>
      <c r="AR582" s="84" t="s">
        <v>187</v>
      </c>
      <c r="AS582" s="84">
        <v>0</v>
      </c>
      <c r="AT582" s="84">
        <v>0</v>
      </c>
      <c r="AU582" s="84"/>
      <c r="AV582" s="84"/>
      <c r="AW582" s="84"/>
      <c r="AX582" s="84"/>
      <c r="AY582" s="84"/>
      <c r="AZ582" s="84"/>
      <c r="BA582" s="84"/>
      <c r="BB582" s="84"/>
      <c r="BC582">
        <v>5</v>
      </c>
      <c r="BD582" s="83" t="str">
        <f>REPLACE(INDEX(GroupVertices[Group],MATCH(Edges[[#This Row],[Vertex 1]],GroupVertices[Vertex],0)),1,1,"")</f>
        <v>1</v>
      </c>
      <c r="BE582" s="83" t="str">
        <f>REPLACE(INDEX(GroupVertices[Group],MATCH(Edges[[#This Row],[Vertex 2]],GroupVertices[Vertex],0)),1,1,"")</f>
        <v>1</v>
      </c>
      <c r="BF582" s="49">
        <v>0</v>
      </c>
      <c r="BG582" s="50">
        <v>0</v>
      </c>
      <c r="BH582" s="49">
        <v>0</v>
      </c>
      <c r="BI582" s="50">
        <v>0</v>
      </c>
      <c r="BJ582" s="49">
        <v>0</v>
      </c>
      <c r="BK582" s="50">
        <v>0</v>
      </c>
      <c r="BL582" s="49">
        <v>34</v>
      </c>
      <c r="BM582" s="50">
        <v>100</v>
      </c>
      <c r="BN582" s="49">
        <v>34</v>
      </c>
    </row>
    <row r="583" spans="1:66" ht="15">
      <c r="A583" s="68" t="s">
        <v>412</v>
      </c>
      <c r="B583" s="68" t="s">
        <v>423</v>
      </c>
      <c r="C583" s="69" t="s">
        <v>5210</v>
      </c>
      <c r="D583" s="70">
        <v>10</v>
      </c>
      <c r="E583" s="71" t="s">
        <v>136</v>
      </c>
      <c r="F583" s="72">
        <v>10</v>
      </c>
      <c r="G583" s="69" t="s">
        <v>51</v>
      </c>
      <c r="H583" s="73"/>
      <c r="I583" s="74"/>
      <c r="J583" s="74"/>
      <c r="K583" s="35" t="s">
        <v>65</v>
      </c>
      <c r="L583" s="82">
        <v>583</v>
      </c>
      <c r="M583" s="82"/>
      <c r="N583" s="76"/>
      <c r="O583" s="84" t="s">
        <v>439</v>
      </c>
      <c r="P583" s="86">
        <v>44082.5190625</v>
      </c>
      <c r="Q583" s="84" t="s">
        <v>457</v>
      </c>
      <c r="R583" s="84"/>
      <c r="S583" s="84"/>
      <c r="T583" s="84" t="s">
        <v>576</v>
      </c>
      <c r="U583" s="87" t="str">
        <f>HYPERLINK("https://pbs.twimg.com/media/Eg6GGrgXgAIxG2X.jpg")</f>
        <v>https://pbs.twimg.com/media/Eg6GGrgXgAIxG2X.jpg</v>
      </c>
      <c r="V583" s="87" t="str">
        <f>HYPERLINK("https://pbs.twimg.com/media/Eg6GGrgXgAIxG2X.jpg")</f>
        <v>https://pbs.twimg.com/media/Eg6GGrgXgAIxG2X.jpg</v>
      </c>
      <c r="W583" s="86">
        <v>44082.5190625</v>
      </c>
      <c r="X583" s="90">
        <v>44082</v>
      </c>
      <c r="Y583" s="92" t="s">
        <v>975</v>
      </c>
      <c r="Z583" s="87" t="str">
        <f>HYPERLINK("https://twitter.com/codegnuts/status/1303308968266268673")</f>
        <v>https://twitter.com/codegnuts/status/1303308968266268673</v>
      </c>
      <c r="AA583" s="84"/>
      <c r="AB583" s="84"/>
      <c r="AC583" s="92" t="s">
        <v>1386</v>
      </c>
      <c r="AD583" s="84"/>
      <c r="AE583" s="84" t="b">
        <v>0</v>
      </c>
      <c r="AF583" s="84">
        <v>0</v>
      </c>
      <c r="AG583" s="92" t="s">
        <v>1453</v>
      </c>
      <c r="AH583" s="84" t="b">
        <v>0</v>
      </c>
      <c r="AI583" s="84" t="s">
        <v>1456</v>
      </c>
      <c r="AJ583" s="84"/>
      <c r="AK583" s="92" t="s">
        <v>1453</v>
      </c>
      <c r="AL583" s="84" t="b">
        <v>0</v>
      </c>
      <c r="AM583" s="84">
        <v>51</v>
      </c>
      <c r="AN583" s="92" t="s">
        <v>1425</v>
      </c>
      <c r="AO583" s="84" t="s">
        <v>1527</v>
      </c>
      <c r="AP583" s="84" t="b">
        <v>0</v>
      </c>
      <c r="AQ583" s="92" t="s">
        <v>1425</v>
      </c>
      <c r="AR583" s="84" t="s">
        <v>187</v>
      </c>
      <c r="AS583" s="84">
        <v>0</v>
      </c>
      <c r="AT583" s="84">
        <v>0</v>
      </c>
      <c r="AU583" s="84"/>
      <c r="AV583" s="84"/>
      <c r="AW583" s="84"/>
      <c r="AX583" s="84"/>
      <c r="AY583" s="84"/>
      <c r="AZ583" s="84"/>
      <c r="BA583" s="84"/>
      <c r="BB583" s="84"/>
      <c r="BC583">
        <v>5</v>
      </c>
      <c r="BD583" s="83" t="str">
        <f>REPLACE(INDEX(GroupVertices[Group],MATCH(Edges[[#This Row],[Vertex 1]],GroupVertices[Vertex],0)),1,1,"")</f>
        <v>1</v>
      </c>
      <c r="BE583" s="83" t="str">
        <f>REPLACE(INDEX(GroupVertices[Group],MATCH(Edges[[#This Row],[Vertex 2]],GroupVertices[Vertex],0)),1,1,"")</f>
        <v>1</v>
      </c>
      <c r="BF583" s="49">
        <v>0</v>
      </c>
      <c r="BG583" s="50">
        <v>0</v>
      </c>
      <c r="BH583" s="49">
        <v>0</v>
      </c>
      <c r="BI583" s="50">
        <v>0</v>
      </c>
      <c r="BJ583" s="49">
        <v>0</v>
      </c>
      <c r="BK583" s="50">
        <v>0</v>
      </c>
      <c r="BL583" s="49">
        <v>34</v>
      </c>
      <c r="BM583" s="50">
        <v>100</v>
      </c>
      <c r="BN583" s="49">
        <v>34</v>
      </c>
    </row>
    <row r="584" spans="1:66" ht="15">
      <c r="A584" s="68" t="s">
        <v>412</v>
      </c>
      <c r="B584" s="68" t="s">
        <v>423</v>
      </c>
      <c r="C584" s="69" t="s">
        <v>5210</v>
      </c>
      <c r="D584" s="70">
        <v>10</v>
      </c>
      <c r="E584" s="71" t="s">
        <v>136</v>
      </c>
      <c r="F584" s="72">
        <v>10</v>
      </c>
      <c r="G584" s="69" t="s">
        <v>51</v>
      </c>
      <c r="H584" s="73"/>
      <c r="I584" s="74"/>
      <c r="J584" s="74"/>
      <c r="K584" s="35" t="s">
        <v>65</v>
      </c>
      <c r="L584" s="82">
        <v>584</v>
      </c>
      <c r="M584" s="82"/>
      <c r="N584" s="76"/>
      <c r="O584" s="84" t="s">
        <v>439</v>
      </c>
      <c r="P584" s="86">
        <v>44082.5190625</v>
      </c>
      <c r="Q584" s="84" t="s">
        <v>457</v>
      </c>
      <c r="R584" s="84"/>
      <c r="S584" s="84"/>
      <c r="T584" s="84" t="s">
        <v>576</v>
      </c>
      <c r="U584" s="87" t="str">
        <f>HYPERLINK("https://pbs.twimg.com/media/Eg6GGrgXgAIxG2X.jpg")</f>
        <v>https://pbs.twimg.com/media/Eg6GGrgXgAIxG2X.jpg</v>
      </c>
      <c r="V584" s="87" t="str">
        <f>HYPERLINK("https://pbs.twimg.com/media/Eg6GGrgXgAIxG2X.jpg")</f>
        <v>https://pbs.twimg.com/media/Eg6GGrgXgAIxG2X.jpg</v>
      </c>
      <c r="W584" s="86">
        <v>44082.5190625</v>
      </c>
      <c r="X584" s="90">
        <v>44082</v>
      </c>
      <c r="Y584" s="92" t="s">
        <v>975</v>
      </c>
      <c r="Z584" s="87" t="str">
        <f>HYPERLINK("https://twitter.com/codegnuts/status/1303308968291454977")</f>
        <v>https://twitter.com/codegnuts/status/1303308968291454977</v>
      </c>
      <c r="AA584" s="84"/>
      <c r="AB584" s="84"/>
      <c r="AC584" s="92" t="s">
        <v>1387</v>
      </c>
      <c r="AD584" s="84"/>
      <c r="AE584" s="84" t="b">
        <v>0</v>
      </c>
      <c r="AF584" s="84">
        <v>0</v>
      </c>
      <c r="AG584" s="92" t="s">
        <v>1453</v>
      </c>
      <c r="AH584" s="84" t="b">
        <v>0</v>
      </c>
      <c r="AI584" s="84" t="s">
        <v>1456</v>
      </c>
      <c r="AJ584" s="84"/>
      <c r="AK584" s="92" t="s">
        <v>1453</v>
      </c>
      <c r="AL584" s="84" t="b">
        <v>0</v>
      </c>
      <c r="AM584" s="84">
        <v>51</v>
      </c>
      <c r="AN584" s="92" t="s">
        <v>1425</v>
      </c>
      <c r="AO584" s="84" t="s">
        <v>1527</v>
      </c>
      <c r="AP584" s="84" t="b">
        <v>0</v>
      </c>
      <c r="AQ584" s="92" t="s">
        <v>1425</v>
      </c>
      <c r="AR584" s="84" t="s">
        <v>187</v>
      </c>
      <c r="AS584" s="84">
        <v>0</v>
      </c>
      <c r="AT584" s="84">
        <v>0</v>
      </c>
      <c r="AU584" s="84"/>
      <c r="AV584" s="84"/>
      <c r="AW584" s="84"/>
      <c r="AX584" s="84"/>
      <c r="AY584" s="84"/>
      <c r="AZ584" s="84"/>
      <c r="BA584" s="84"/>
      <c r="BB584" s="84"/>
      <c r="BC584">
        <v>5</v>
      </c>
      <c r="BD584" s="83" t="str">
        <f>REPLACE(INDEX(GroupVertices[Group],MATCH(Edges[[#This Row],[Vertex 1]],GroupVertices[Vertex],0)),1,1,"")</f>
        <v>1</v>
      </c>
      <c r="BE584" s="83" t="str">
        <f>REPLACE(INDEX(GroupVertices[Group],MATCH(Edges[[#This Row],[Vertex 2]],GroupVertices[Vertex],0)),1,1,"")</f>
        <v>1</v>
      </c>
      <c r="BF584" s="49">
        <v>0</v>
      </c>
      <c r="BG584" s="50">
        <v>0</v>
      </c>
      <c r="BH584" s="49">
        <v>0</v>
      </c>
      <c r="BI584" s="50">
        <v>0</v>
      </c>
      <c r="BJ584" s="49">
        <v>0</v>
      </c>
      <c r="BK584" s="50">
        <v>0</v>
      </c>
      <c r="BL584" s="49">
        <v>34</v>
      </c>
      <c r="BM584" s="50">
        <v>100</v>
      </c>
      <c r="BN584" s="49">
        <v>34</v>
      </c>
    </row>
    <row r="585" spans="1:66" ht="15">
      <c r="A585" s="68" t="s">
        <v>412</v>
      </c>
      <c r="B585" s="68" t="s">
        <v>423</v>
      </c>
      <c r="C585" s="69" t="s">
        <v>5210</v>
      </c>
      <c r="D585" s="70">
        <v>10</v>
      </c>
      <c r="E585" s="71" t="s">
        <v>136</v>
      </c>
      <c r="F585" s="72">
        <v>10</v>
      </c>
      <c r="G585" s="69" t="s">
        <v>51</v>
      </c>
      <c r="H585" s="73"/>
      <c r="I585" s="74"/>
      <c r="J585" s="74"/>
      <c r="K585" s="35" t="s">
        <v>65</v>
      </c>
      <c r="L585" s="82">
        <v>585</v>
      </c>
      <c r="M585" s="82"/>
      <c r="N585" s="76"/>
      <c r="O585" s="84" t="s">
        <v>439</v>
      </c>
      <c r="P585" s="86">
        <v>44084.139861111114</v>
      </c>
      <c r="Q585" s="84" t="s">
        <v>459</v>
      </c>
      <c r="R585" s="84"/>
      <c r="S585" s="84"/>
      <c r="T585" s="84" t="s">
        <v>578</v>
      </c>
      <c r="U585" s="87" t="str">
        <f>HYPERLINK("https://pbs.twimg.com/media/EhZc5KGWoAIz_Wo.jpg")</f>
        <v>https://pbs.twimg.com/media/EhZc5KGWoAIz_Wo.jpg</v>
      </c>
      <c r="V585" s="87" t="str">
        <f>HYPERLINK("https://pbs.twimg.com/media/EhZc5KGWoAIz_Wo.jpg")</f>
        <v>https://pbs.twimg.com/media/EhZc5KGWoAIz_Wo.jpg</v>
      </c>
      <c r="W585" s="86">
        <v>44084.139861111114</v>
      </c>
      <c r="X585" s="90">
        <v>44084</v>
      </c>
      <c r="Y585" s="92" t="s">
        <v>940</v>
      </c>
      <c r="Z585" s="87" t="str">
        <f>HYPERLINK("https://twitter.com/codegnuts/status/1303896326321721344")</f>
        <v>https://twitter.com/codegnuts/status/1303896326321721344</v>
      </c>
      <c r="AA585" s="84"/>
      <c r="AB585" s="84"/>
      <c r="AC585" s="92" t="s">
        <v>1388</v>
      </c>
      <c r="AD585" s="84"/>
      <c r="AE585" s="84" t="b">
        <v>0</v>
      </c>
      <c r="AF585" s="84">
        <v>0</v>
      </c>
      <c r="AG585" s="92" t="s">
        <v>1453</v>
      </c>
      <c r="AH585" s="84" t="b">
        <v>0</v>
      </c>
      <c r="AI585" s="84" t="s">
        <v>1456</v>
      </c>
      <c r="AJ585" s="84"/>
      <c r="AK585" s="92" t="s">
        <v>1453</v>
      </c>
      <c r="AL585" s="84" t="b">
        <v>0</v>
      </c>
      <c r="AM585" s="84">
        <v>44</v>
      </c>
      <c r="AN585" s="92" t="s">
        <v>1428</v>
      </c>
      <c r="AO585" s="84" t="s">
        <v>1527</v>
      </c>
      <c r="AP585" s="84" t="b">
        <v>0</v>
      </c>
      <c r="AQ585" s="92" t="s">
        <v>1428</v>
      </c>
      <c r="AR585" s="84" t="s">
        <v>187</v>
      </c>
      <c r="AS585" s="84">
        <v>0</v>
      </c>
      <c r="AT585" s="84">
        <v>0</v>
      </c>
      <c r="AU585" s="84"/>
      <c r="AV585" s="84"/>
      <c r="AW585" s="84"/>
      <c r="AX585" s="84"/>
      <c r="AY585" s="84"/>
      <c r="AZ585" s="84"/>
      <c r="BA585" s="84"/>
      <c r="BB585" s="84"/>
      <c r="BC585">
        <v>5</v>
      </c>
      <c r="BD585" s="83" t="str">
        <f>REPLACE(INDEX(GroupVertices[Group],MATCH(Edges[[#This Row],[Vertex 1]],GroupVertices[Vertex],0)),1,1,"")</f>
        <v>1</v>
      </c>
      <c r="BE585" s="83" t="str">
        <f>REPLACE(INDEX(GroupVertices[Group],MATCH(Edges[[#This Row],[Vertex 2]],GroupVertices[Vertex],0)),1,1,"")</f>
        <v>1</v>
      </c>
      <c r="BF585" s="49">
        <v>0</v>
      </c>
      <c r="BG585" s="50">
        <v>0</v>
      </c>
      <c r="BH585" s="49">
        <v>0</v>
      </c>
      <c r="BI585" s="50">
        <v>0</v>
      </c>
      <c r="BJ585" s="49">
        <v>0</v>
      </c>
      <c r="BK585" s="50">
        <v>0</v>
      </c>
      <c r="BL585" s="49">
        <v>30</v>
      </c>
      <c r="BM585" s="50">
        <v>100</v>
      </c>
      <c r="BN585" s="49">
        <v>30</v>
      </c>
    </row>
    <row r="586" spans="1:66" ht="15">
      <c r="A586" s="68" t="s">
        <v>412</v>
      </c>
      <c r="B586" s="68" t="s">
        <v>421</v>
      </c>
      <c r="C586" s="69" t="s">
        <v>5209</v>
      </c>
      <c r="D586" s="70">
        <v>6.678367782143116</v>
      </c>
      <c r="E586" s="71" t="s">
        <v>132</v>
      </c>
      <c r="F586" s="72">
        <v>21</v>
      </c>
      <c r="G586" s="69" t="s">
        <v>51</v>
      </c>
      <c r="H586" s="73"/>
      <c r="I586" s="74"/>
      <c r="J586" s="74"/>
      <c r="K586" s="35" t="s">
        <v>65</v>
      </c>
      <c r="L586" s="82">
        <v>586</v>
      </c>
      <c r="M586" s="82"/>
      <c r="N586" s="76"/>
      <c r="O586" s="84" t="s">
        <v>439</v>
      </c>
      <c r="P586" s="86">
        <v>44084.642916666664</v>
      </c>
      <c r="Q586" s="84" t="s">
        <v>479</v>
      </c>
      <c r="R586" s="87" t="str">
        <f>HYPERLINK("https://akashmishra75.herokuapp.com/")</f>
        <v>https://akashmishra75.herokuapp.com/</v>
      </c>
      <c r="S586" s="84" t="s">
        <v>547</v>
      </c>
      <c r="T586" s="84" t="s">
        <v>595</v>
      </c>
      <c r="U586" s="87" t="str">
        <f>HYPERLINK("https://pbs.twimg.com/ext_tw_video_thumb/1299340580011433985/pu/img/BLbI7sTMAVVWOb9h.jpg")</f>
        <v>https://pbs.twimg.com/ext_tw_video_thumb/1299340580011433985/pu/img/BLbI7sTMAVVWOb9h.jpg</v>
      </c>
      <c r="V586" s="87" t="str">
        <f>HYPERLINK("https://pbs.twimg.com/ext_tw_video_thumb/1299340580011433985/pu/img/BLbI7sTMAVVWOb9h.jpg")</f>
        <v>https://pbs.twimg.com/ext_tw_video_thumb/1299340580011433985/pu/img/BLbI7sTMAVVWOb9h.jpg</v>
      </c>
      <c r="W586" s="86">
        <v>44084.642916666664</v>
      </c>
      <c r="X586" s="90">
        <v>44084</v>
      </c>
      <c r="Y586" s="92" t="s">
        <v>941</v>
      </c>
      <c r="Z586" s="87" t="str">
        <f>HYPERLINK("https://twitter.com/codegnuts/status/1304078630339960834")</f>
        <v>https://twitter.com/codegnuts/status/1304078630339960834</v>
      </c>
      <c r="AA586" s="84"/>
      <c r="AB586" s="84"/>
      <c r="AC586" s="92" t="s">
        <v>1389</v>
      </c>
      <c r="AD586" s="84"/>
      <c r="AE586" s="84" t="b">
        <v>0</v>
      </c>
      <c r="AF586" s="84">
        <v>0</v>
      </c>
      <c r="AG586" s="92" t="s">
        <v>1453</v>
      </c>
      <c r="AH586" s="84" t="b">
        <v>0</v>
      </c>
      <c r="AI586" s="84" t="s">
        <v>1456</v>
      </c>
      <c r="AJ586" s="84"/>
      <c r="AK586" s="92" t="s">
        <v>1453</v>
      </c>
      <c r="AL586" s="84" t="b">
        <v>0</v>
      </c>
      <c r="AM586" s="84">
        <v>76</v>
      </c>
      <c r="AN586" s="92" t="s">
        <v>1418</v>
      </c>
      <c r="AO586" s="84" t="s">
        <v>1527</v>
      </c>
      <c r="AP586" s="84" t="b">
        <v>0</v>
      </c>
      <c r="AQ586" s="92" t="s">
        <v>1418</v>
      </c>
      <c r="AR586" s="84" t="s">
        <v>187</v>
      </c>
      <c r="AS586" s="84">
        <v>0</v>
      </c>
      <c r="AT586" s="84">
        <v>0</v>
      </c>
      <c r="AU586" s="84"/>
      <c r="AV586" s="84"/>
      <c r="AW586" s="84"/>
      <c r="AX586" s="84"/>
      <c r="AY586" s="84"/>
      <c r="AZ586" s="84"/>
      <c r="BA586" s="84"/>
      <c r="BB586" s="84"/>
      <c r="BC586">
        <v>2</v>
      </c>
      <c r="BD586" s="83" t="str">
        <f>REPLACE(INDEX(GroupVertices[Group],MATCH(Edges[[#This Row],[Vertex 1]],GroupVertices[Vertex],0)),1,1,"")</f>
        <v>1</v>
      </c>
      <c r="BE586" s="83" t="str">
        <f>REPLACE(INDEX(GroupVertices[Group],MATCH(Edges[[#This Row],[Vertex 2]],GroupVertices[Vertex],0)),1,1,"")</f>
        <v>8</v>
      </c>
      <c r="BF586" s="49">
        <v>0</v>
      </c>
      <c r="BG586" s="50">
        <v>0</v>
      </c>
      <c r="BH586" s="49">
        <v>0</v>
      </c>
      <c r="BI586" s="50">
        <v>0</v>
      </c>
      <c r="BJ586" s="49">
        <v>0</v>
      </c>
      <c r="BK586" s="50">
        <v>0</v>
      </c>
      <c r="BL586" s="49">
        <v>42</v>
      </c>
      <c r="BM586" s="50">
        <v>100</v>
      </c>
      <c r="BN586" s="49">
        <v>42</v>
      </c>
    </row>
    <row r="587" spans="1:66" ht="15">
      <c r="A587" s="68" t="s">
        <v>412</v>
      </c>
      <c r="B587" s="68" t="s">
        <v>417</v>
      </c>
      <c r="C587" s="69" t="s">
        <v>5208</v>
      </c>
      <c r="D587" s="70">
        <v>1</v>
      </c>
      <c r="E587" s="71" t="s">
        <v>132</v>
      </c>
      <c r="F587" s="72">
        <v>32</v>
      </c>
      <c r="G587" s="69" t="s">
        <v>51</v>
      </c>
      <c r="H587" s="73"/>
      <c r="I587" s="74"/>
      <c r="J587" s="74"/>
      <c r="K587" s="35" t="s">
        <v>65</v>
      </c>
      <c r="L587" s="82">
        <v>587</v>
      </c>
      <c r="M587" s="82"/>
      <c r="N587" s="76"/>
      <c r="O587" s="84" t="s">
        <v>440</v>
      </c>
      <c r="P587" s="86">
        <v>44084.72386574074</v>
      </c>
      <c r="Q587" s="84" t="s">
        <v>514</v>
      </c>
      <c r="R587"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587" s="84" t="s">
        <v>533</v>
      </c>
      <c r="T587" s="84" t="s">
        <v>630</v>
      </c>
      <c r="U587" s="84"/>
      <c r="V587" s="87" t="str">
        <f>HYPERLINK("http://pbs.twimg.com/profile_images/1266134298429517824/Gxv_xYd7_normal.jpg")</f>
        <v>http://pbs.twimg.com/profile_images/1266134298429517824/Gxv_xYd7_normal.jpg</v>
      </c>
      <c r="W587" s="86">
        <v>44084.72386574074</v>
      </c>
      <c r="X587" s="90">
        <v>44084</v>
      </c>
      <c r="Y587" s="92" t="s">
        <v>969</v>
      </c>
      <c r="Z587" s="87" t="str">
        <f>HYPERLINK("https://twitter.com/codegnuts/status/1304107964396007424")</f>
        <v>https://twitter.com/codegnuts/status/1304107964396007424</v>
      </c>
      <c r="AA587" s="84"/>
      <c r="AB587" s="84"/>
      <c r="AC587" s="92" t="s">
        <v>1380</v>
      </c>
      <c r="AD587" s="84"/>
      <c r="AE587" s="84" t="b">
        <v>0</v>
      </c>
      <c r="AF587" s="84">
        <v>0</v>
      </c>
      <c r="AG587" s="92" t="s">
        <v>1453</v>
      </c>
      <c r="AH587" s="84" t="b">
        <v>0</v>
      </c>
      <c r="AI587" s="84" t="s">
        <v>1456</v>
      </c>
      <c r="AJ587" s="84"/>
      <c r="AK587" s="92" t="s">
        <v>1453</v>
      </c>
      <c r="AL587" s="84" t="b">
        <v>0</v>
      </c>
      <c r="AM587" s="84">
        <v>2</v>
      </c>
      <c r="AN587" s="92" t="s">
        <v>1378</v>
      </c>
      <c r="AO587" s="84" t="s">
        <v>1527</v>
      </c>
      <c r="AP587" s="84" t="b">
        <v>0</v>
      </c>
      <c r="AQ587" s="92" t="s">
        <v>1378</v>
      </c>
      <c r="AR587" s="84" t="s">
        <v>187</v>
      </c>
      <c r="AS587" s="84">
        <v>0</v>
      </c>
      <c r="AT587" s="84">
        <v>0</v>
      </c>
      <c r="AU587" s="84"/>
      <c r="AV587" s="84"/>
      <c r="AW587" s="84"/>
      <c r="AX587" s="84"/>
      <c r="AY587" s="84"/>
      <c r="AZ587" s="84"/>
      <c r="BA587" s="84"/>
      <c r="BB587" s="84"/>
      <c r="BC587">
        <v>1</v>
      </c>
      <c r="BD587" s="83" t="str">
        <f>REPLACE(INDEX(GroupVertices[Group],MATCH(Edges[[#This Row],[Vertex 1]],GroupVertices[Vertex],0)),1,1,"")</f>
        <v>1</v>
      </c>
      <c r="BE587" s="83" t="str">
        <f>REPLACE(INDEX(GroupVertices[Group],MATCH(Edges[[#This Row],[Vertex 2]],GroupVertices[Vertex],0)),1,1,"")</f>
        <v>2</v>
      </c>
      <c r="BF587" s="49"/>
      <c r="BG587" s="50"/>
      <c r="BH587" s="49"/>
      <c r="BI587" s="50"/>
      <c r="BJ587" s="49"/>
      <c r="BK587" s="50"/>
      <c r="BL587" s="49"/>
      <c r="BM587" s="50"/>
      <c r="BN587" s="49"/>
    </row>
    <row r="588" spans="1:66" ht="15">
      <c r="A588" s="68" t="s">
        <v>412</v>
      </c>
      <c r="B588" s="68" t="s">
        <v>423</v>
      </c>
      <c r="C588" s="69" t="s">
        <v>5210</v>
      </c>
      <c r="D588" s="70">
        <v>10</v>
      </c>
      <c r="E588" s="71" t="s">
        <v>136</v>
      </c>
      <c r="F588" s="72">
        <v>10</v>
      </c>
      <c r="G588" s="69" t="s">
        <v>51</v>
      </c>
      <c r="H588" s="73"/>
      <c r="I588" s="74"/>
      <c r="J588" s="74"/>
      <c r="K588" s="35" t="s">
        <v>65</v>
      </c>
      <c r="L588" s="82">
        <v>588</v>
      </c>
      <c r="M588" s="82"/>
      <c r="N588" s="76"/>
      <c r="O588" s="84" t="s">
        <v>439</v>
      </c>
      <c r="P588" s="86">
        <v>44084.74820601852</v>
      </c>
      <c r="Q588" s="84" t="s">
        <v>474</v>
      </c>
      <c r="R588" s="84"/>
      <c r="S588" s="84"/>
      <c r="T588" s="84" t="s">
        <v>591</v>
      </c>
      <c r="U588" s="87" t="str">
        <f>HYPERLINK("https://pbs.twimg.com/media/EhOErS9WAAUfUqQ.jpg")</f>
        <v>https://pbs.twimg.com/media/EhOErS9WAAUfUqQ.jpg</v>
      </c>
      <c r="V588" s="87" t="str">
        <f>HYPERLINK("https://pbs.twimg.com/media/EhOErS9WAAUfUqQ.jpg")</f>
        <v>https://pbs.twimg.com/media/EhOErS9WAAUfUqQ.jpg</v>
      </c>
      <c r="W588" s="86">
        <v>44084.74820601852</v>
      </c>
      <c r="X588" s="90">
        <v>44084</v>
      </c>
      <c r="Y588" s="92" t="s">
        <v>976</v>
      </c>
      <c r="Z588" s="87" t="str">
        <f>HYPERLINK("https://twitter.com/codegnuts/status/1304116783402557442")</f>
        <v>https://twitter.com/codegnuts/status/1304116783402557442</v>
      </c>
      <c r="AA588" s="84"/>
      <c r="AB588" s="84"/>
      <c r="AC588" s="92" t="s">
        <v>1390</v>
      </c>
      <c r="AD588" s="84"/>
      <c r="AE588" s="84" t="b">
        <v>0</v>
      </c>
      <c r="AF588" s="84">
        <v>0</v>
      </c>
      <c r="AG588" s="92" t="s">
        <v>1453</v>
      </c>
      <c r="AH588" s="84" t="b">
        <v>0</v>
      </c>
      <c r="AI588" s="84" t="s">
        <v>1456</v>
      </c>
      <c r="AJ588" s="84"/>
      <c r="AK588" s="92" t="s">
        <v>1453</v>
      </c>
      <c r="AL588" s="84" t="b">
        <v>0</v>
      </c>
      <c r="AM588" s="84">
        <v>55</v>
      </c>
      <c r="AN588" s="92" t="s">
        <v>1426</v>
      </c>
      <c r="AO588" s="84" t="s">
        <v>1527</v>
      </c>
      <c r="AP588" s="84" t="b">
        <v>0</v>
      </c>
      <c r="AQ588" s="92" t="s">
        <v>1426</v>
      </c>
      <c r="AR588" s="84" t="s">
        <v>187</v>
      </c>
      <c r="AS588" s="84">
        <v>0</v>
      </c>
      <c r="AT588" s="84">
        <v>0</v>
      </c>
      <c r="AU588" s="84"/>
      <c r="AV588" s="84"/>
      <c r="AW588" s="84"/>
      <c r="AX588" s="84"/>
      <c r="AY588" s="84"/>
      <c r="AZ588" s="84"/>
      <c r="BA588" s="84"/>
      <c r="BB588" s="84"/>
      <c r="BC588">
        <v>5</v>
      </c>
      <c r="BD588" s="83" t="str">
        <f>REPLACE(INDEX(GroupVertices[Group],MATCH(Edges[[#This Row],[Vertex 1]],GroupVertices[Vertex],0)),1,1,"")</f>
        <v>1</v>
      </c>
      <c r="BE588" s="83" t="str">
        <f>REPLACE(INDEX(GroupVertices[Group],MATCH(Edges[[#This Row],[Vertex 2]],GroupVertices[Vertex],0)),1,1,"")</f>
        <v>1</v>
      </c>
      <c r="BF588" s="49">
        <v>0</v>
      </c>
      <c r="BG588" s="50">
        <v>0</v>
      </c>
      <c r="BH588" s="49">
        <v>0</v>
      </c>
      <c r="BI588" s="50">
        <v>0</v>
      </c>
      <c r="BJ588" s="49">
        <v>0</v>
      </c>
      <c r="BK588" s="50">
        <v>0</v>
      </c>
      <c r="BL588" s="49">
        <v>31</v>
      </c>
      <c r="BM588" s="50">
        <v>100</v>
      </c>
      <c r="BN588" s="49">
        <v>31</v>
      </c>
    </row>
    <row r="589" spans="1:66" ht="15">
      <c r="A589" s="68" t="s">
        <v>412</v>
      </c>
      <c r="B589" s="68" t="s">
        <v>435</v>
      </c>
      <c r="C589" s="69" t="s">
        <v>5208</v>
      </c>
      <c r="D589" s="70">
        <v>1</v>
      </c>
      <c r="E589" s="71" t="s">
        <v>132</v>
      </c>
      <c r="F589" s="72">
        <v>32</v>
      </c>
      <c r="G589" s="69" t="s">
        <v>51</v>
      </c>
      <c r="H589" s="73"/>
      <c r="I589" s="74"/>
      <c r="J589" s="74"/>
      <c r="K589" s="35" t="s">
        <v>65</v>
      </c>
      <c r="L589" s="82">
        <v>589</v>
      </c>
      <c r="M589" s="82"/>
      <c r="N589" s="76"/>
      <c r="O589" s="84" t="s">
        <v>440</v>
      </c>
      <c r="P589" s="86">
        <v>44086.46329861111</v>
      </c>
      <c r="Q589" s="84" t="s">
        <v>484</v>
      </c>
      <c r="R589" s="87" t="str">
        <f>HYPERLINK("https://www.weforum.org/agenda/2020/09/prevent-post-covid-carmageddon")</f>
        <v>https://www.weforum.org/agenda/2020/09/prevent-post-covid-carmageddon</v>
      </c>
      <c r="S589" s="84" t="s">
        <v>549</v>
      </c>
      <c r="T589" s="84" t="s">
        <v>600</v>
      </c>
      <c r="U589" s="84"/>
      <c r="V589" s="87" t="str">
        <f>HYPERLINK("http://pbs.twimg.com/profile_images/1266134298429517824/Gxv_xYd7_normal.jpg")</f>
        <v>http://pbs.twimg.com/profile_images/1266134298429517824/Gxv_xYd7_normal.jpg</v>
      </c>
      <c r="W589" s="86">
        <v>44086.46329861111</v>
      </c>
      <c r="X589" s="90">
        <v>44086</v>
      </c>
      <c r="Y589" s="92" t="s">
        <v>977</v>
      </c>
      <c r="Z589" s="87" t="str">
        <f>HYPERLINK("https://twitter.com/codegnuts/status/1304738313039880193")</f>
        <v>https://twitter.com/codegnuts/status/1304738313039880193</v>
      </c>
      <c r="AA589" s="84"/>
      <c r="AB589" s="84"/>
      <c r="AC589" s="92" t="s">
        <v>1391</v>
      </c>
      <c r="AD589" s="84"/>
      <c r="AE589" s="84" t="b">
        <v>0</v>
      </c>
      <c r="AF589" s="84">
        <v>0</v>
      </c>
      <c r="AG589" s="92" t="s">
        <v>1453</v>
      </c>
      <c r="AH589" s="84" t="b">
        <v>0</v>
      </c>
      <c r="AI589" s="84" t="s">
        <v>1456</v>
      </c>
      <c r="AJ589" s="84"/>
      <c r="AK589" s="92" t="s">
        <v>1453</v>
      </c>
      <c r="AL589" s="84" t="b">
        <v>0</v>
      </c>
      <c r="AM589" s="84">
        <v>36</v>
      </c>
      <c r="AN589" s="92" t="s">
        <v>1401</v>
      </c>
      <c r="AO589" s="84" t="s">
        <v>1527</v>
      </c>
      <c r="AP589" s="84" t="b">
        <v>0</v>
      </c>
      <c r="AQ589" s="92" t="s">
        <v>1401</v>
      </c>
      <c r="AR589" s="84" t="s">
        <v>187</v>
      </c>
      <c r="AS589" s="84">
        <v>0</v>
      </c>
      <c r="AT589" s="84">
        <v>0</v>
      </c>
      <c r="AU589" s="84"/>
      <c r="AV589" s="84"/>
      <c r="AW589" s="84"/>
      <c r="AX589" s="84"/>
      <c r="AY589" s="84"/>
      <c r="AZ589" s="84"/>
      <c r="BA589" s="84"/>
      <c r="BB589" s="84"/>
      <c r="BC589">
        <v>1</v>
      </c>
      <c r="BD589" s="83" t="str">
        <f>REPLACE(INDEX(GroupVertices[Group],MATCH(Edges[[#This Row],[Vertex 1]],GroupVertices[Vertex],0)),1,1,"")</f>
        <v>1</v>
      </c>
      <c r="BE589" s="83" t="str">
        <f>REPLACE(INDEX(GroupVertices[Group],MATCH(Edges[[#This Row],[Vertex 2]],GroupVertices[Vertex],0)),1,1,"")</f>
        <v>1</v>
      </c>
      <c r="BF589" s="49"/>
      <c r="BG589" s="50"/>
      <c r="BH589" s="49"/>
      <c r="BI589" s="50"/>
      <c r="BJ589" s="49"/>
      <c r="BK589" s="50"/>
      <c r="BL589" s="49"/>
      <c r="BM589" s="50"/>
      <c r="BN589" s="49"/>
    </row>
    <row r="590" spans="1:66" ht="15">
      <c r="A590" s="68" t="s">
        <v>412</v>
      </c>
      <c r="B590" s="68" t="s">
        <v>390</v>
      </c>
      <c r="C590" s="69" t="s">
        <v>5208</v>
      </c>
      <c r="D590" s="70">
        <v>1</v>
      </c>
      <c r="E590" s="71" t="s">
        <v>132</v>
      </c>
      <c r="F590" s="72">
        <v>32</v>
      </c>
      <c r="G590" s="69" t="s">
        <v>51</v>
      </c>
      <c r="H590" s="73"/>
      <c r="I590" s="74"/>
      <c r="J590" s="74"/>
      <c r="K590" s="35" t="s">
        <v>65</v>
      </c>
      <c r="L590" s="82">
        <v>590</v>
      </c>
      <c r="M590" s="82"/>
      <c r="N590" s="76"/>
      <c r="O590" s="84" t="s">
        <v>439</v>
      </c>
      <c r="P590" s="86">
        <v>44086.46329861111</v>
      </c>
      <c r="Q590" s="84" t="s">
        <v>484</v>
      </c>
      <c r="R590" s="87" t="str">
        <f>HYPERLINK("https://www.weforum.org/agenda/2020/09/prevent-post-covid-carmageddon")</f>
        <v>https://www.weforum.org/agenda/2020/09/prevent-post-covid-carmageddon</v>
      </c>
      <c r="S590" s="84" t="s">
        <v>549</v>
      </c>
      <c r="T590" s="84" t="s">
        <v>600</v>
      </c>
      <c r="U590" s="84"/>
      <c r="V590" s="87" t="str">
        <f>HYPERLINK("http://pbs.twimg.com/profile_images/1266134298429517824/Gxv_xYd7_normal.jpg")</f>
        <v>http://pbs.twimg.com/profile_images/1266134298429517824/Gxv_xYd7_normal.jpg</v>
      </c>
      <c r="W590" s="86">
        <v>44086.46329861111</v>
      </c>
      <c r="X590" s="90">
        <v>44086</v>
      </c>
      <c r="Y590" s="92" t="s">
        <v>977</v>
      </c>
      <c r="Z590" s="87" t="str">
        <f>HYPERLINK("https://twitter.com/codegnuts/status/1304738313039880193")</f>
        <v>https://twitter.com/codegnuts/status/1304738313039880193</v>
      </c>
      <c r="AA590" s="84"/>
      <c r="AB590" s="84"/>
      <c r="AC590" s="92" t="s">
        <v>1391</v>
      </c>
      <c r="AD590" s="84"/>
      <c r="AE590" s="84" t="b">
        <v>0</v>
      </c>
      <c r="AF590" s="84">
        <v>0</v>
      </c>
      <c r="AG590" s="92" t="s">
        <v>1453</v>
      </c>
      <c r="AH590" s="84" t="b">
        <v>0</v>
      </c>
      <c r="AI590" s="84" t="s">
        <v>1456</v>
      </c>
      <c r="AJ590" s="84"/>
      <c r="AK590" s="92" t="s">
        <v>1453</v>
      </c>
      <c r="AL590" s="84" t="b">
        <v>0</v>
      </c>
      <c r="AM590" s="84">
        <v>36</v>
      </c>
      <c r="AN590" s="92" t="s">
        <v>1401</v>
      </c>
      <c r="AO590" s="84" t="s">
        <v>1527</v>
      </c>
      <c r="AP590" s="84" t="b">
        <v>0</v>
      </c>
      <c r="AQ590" s="92" t="s">
        <v>1401</v>
      </c>
      <c r="AR590" s="84" t="s">
        <v>187</v>
      </c>
      <c r="AS590" s="84">
        <v>0</v>
      </c>
      <c r="AT590" s="84">
        <v>0</v>
      </c>
      <c r="AU590" s="84"/>
      <c r="AV590" s="84"/>
      <c r="AW590" s="84"/>
      <c r="AX590" s="84"/>
      <c r="AY590" s="84"/>
      <c r="AZ590" s="84"/>
      <c r="BA590" s="84"/>
      <c r="BB590" s="84"/>
      <c r="BC590">
        <v>1</v>
      </c>
      <c r="BD590" s="83" t="str">
        <f>REPLACE(INDEX(GroupVertices[Group],MATCH(Edges[[#This Row],[Vertex 1]],GroupVertices[Vertex],0)),1,1,"")</f>
        <v>1</v>
      </c>
      <c r="BE590" s="83" t="str">
        <f>REPLACE(INDEX(GroupVertices[Group],MATCH(Edges[[#This Row],[Vertex 2]],GroupVertices[Vertex],0)),1,1,"")</f>
        <v>1</v>
      </c>
      <c r="BF590" s="49">
        <v>0</v>
      </c>
      <c r="BG590" s="50">
        <v>0</v>
      </c>
      <c r="BH590" s="49">
        <v>0</v>
      </c>
      <c r="BI590" s="50">
        <v>0</v>
      </c>
      <c r="BJ590" s="49">
        <v>0</v>
      </c>
      <c r="BK590" s="50">
        <v>0</v>
      </c>
      <c r="BL590" s="49">
        <v>31</v>
      </c>
      <c r="BM590" s="50">
        <v>100</v>
      </c>
      <c r="BN590" s="49">
        <v>31</v>
      </c>
    </row>
    <row r="591" spans="1:66" ht="15">
      <c r="A591" s="68" t="s">
        <v>412</v>
      </c>
      <c r="B591" s="68" t="s">
        <v>421</v>
      </c>
      <c r="C591" s="69" t="s">
        <v>5209</v>
      </c>
      <c r="D591" s="70">
        <v>6.678367782143116</v>
      </c>
      <c r="E591" s="71" t="s">
        <v>132</v>
      </c>
      <c r="F591" s="72">
        <v>21</v>
      </c>
      <c r="G591" s="69" t="s">
        <v>51</v>
      </c>
      <c r="H591" s="73"/>
      <c r="I591" s="74"/>
      <c r="J591" s="74"/>
      <c r="K591" s="35" t="s">
        <v>65</v>
      </c>
      <c r="L591" s="82">
        <v>591</v>
      </c>
      <c r="M591" s="82"/>
      <c r="N591" s="76"/>
      <c r="O591" s="84" t="s">
        <v>439</v>
      </c>
      <c r="P591" s="86">
        <v>44089.60077546296</v>
      </c>
      <c r="Q591" s="84" t="s">
        <v>479</v>
      </c>
      <c r="R591" s="87" t="str">
        <f>HYPERLINK("https://akashmishra75.herokuapp.com/")</f>
        <v>https://akashmishra75.herokuapp.com/</v>
      </c>
      <c r="S591" s="84" t="s">
        <v>547</v>
      </c>
      <c r="T591" s="84" t="s">
        <v>595</v>
      </c>
      <c r="U591" s="87" t="str">
        <f>HYPERLINK("https://pbs.twimg.com/ext_tw_video_thumb/1299340580011433985/pu/img/BLbI7sTMAVVWOb9h.jpg")</f>
        <v>https://pbs.twimg.com/ext_tw_video_thumb/1299340580011433985/pu/img/BLbI7sTMAVVWOb9h.jpg</v>
      </c>
      <c r="V591" s="87" t="str">
        <f>HYPERLINK("https://pbs.twimg.com/ext_tw_video_thumb/1299340580011433985/pu/img/BLbI7sTMAVVWOb9h.jpg")</f>
        <v>https://pbs.twimg.com/ext_tw_video_thumb/1299340580011433985/pu/img/BLbI7sTMAVVWOb9h.jpg</v>
      </c>
      <c r="W591" s="86">
        <v>44089.60077546296</v>
      </c>
      <c r="X591" s="90">
        <v>44089</v>
      </c>
      <c r="Y591" s="92" t="s">
        <v>978</v>
      </c>
      <c r="Z591" s="87" t="str">
        <f>HYPERLINK("https://twitter.com/codegnuts/status/1305875298601201670")</f>
        <v>https://twitter.com/codegnuts/status/1305875298601201670</v>
      </c>
      <c r="AA591" s="84"/>
      <c r="AB591" s="84"/>
      <c r="AC591" s="92" t="s">
        <v>1392</v>
      </c>
      <c r="AD591" s="84"/>
      <c r="AE591" s="84" t="b">
        <v>0</v>
      </c>
      <c r="AF591" s="84">
        <v>0</v>
      </c>
      <c r="AG591" s="92" t="s">
        <v>1453</v>
      </c>
      <c r="AH591" s="84" t="b">
        <v>0</v>
      </c>
      <c r="AI591" s="84" t="s">
        <v>1456</v>
      </c>
      <c r="AJ591" s="84"/>
      <c r="AK591" s="92" t="s">
        <v>1453</v>
      </c>
      <c r="AL591" s="84" t="b">
        <v>0</v>
      </c>
      <c r="AM591" s="84">
        <v>76</v>
      </c>
      <c r="AN591" s="92" t="s">
        <v>1418</v>
      </c>
      <c r="AO591" s="84" t="s">
        <v>1527</v>
      </c>
      <c r="AP591" s="84" t="b">
        <v>0</v>
      </c>
      <c r="AQ591" s="92" t="s">
        <v>1418</v>
      </c>
      <c r="AR591" s="84" t="s">
        <v>187</v>
      </c>
      <c r="AS591" s="84">
        <v>0</v>
      </c>
      <c r="AT591" s="84">
        <v>0</v>
      </c>
      <c r="AU591" s="84"/>
      <c r="AV591" s="84"/>
      <c r="AW591" s="84"/>
      <c r="AX591" s="84"/>
      <c r="AY591" s="84"/>
      <c r="AZ591" s="84"/>
      <c r="BA591" s="84"/>
      <c r="BB591" s="84"/>
      <c r="BC591">
        <v>2</v>
      </c>
      <c r="BD591" s="83" t="str">
        <f>REPLACE(INDEX(GroupVertices[Group],MATCH(Edges[[#This Row],[Vertex 1]],GroupVertices[Vertex],0)),1,1,"")</f>
        <v>1</v>
      </c>
      <c r="BE591" s="83" t="str">
        <f>REPLACE(INDEX(GroupVertices[Group],MATCH(Edges[[#This Row],[Vertex 2]],GroupVertices[Vertex],0)),1,1,"")</f>
        <v>8</v>
      </c>
      <c r="BF591" s="49">
        <v>0</v>
      </c>
      <c r="BG591" s="50">
        <v>0</v>
      </c>
      <c r="BH591" s="49">
        <v>0</v>
      </c>
      <c r="BI591" s="50">
        <v>0</v>
      </c>
      <c r="BJ591" s="49">
        <v>0</v>
      </c>
      <c r="BK591" s="50">
        <v>0</v>
      </c>
      <c r="BL591" s="49">
        <v>42</v>
      </c>
      <c r="BM591" s="50">
        <v>100</v>
      </c>
      <c r="BN591" s="49">
        <v>42</v>
      </c>
    </row>
    <row r="592" spans="1:66" ht="15">
      <c r="A592" s="68" t="s">
        <v>415</v>
      </c>
      <c r="B592" s="68" t="s">
        <v>415</v>
      </c>
      <c r="C592" s="69" t="s">
        <v>5209</v>
      </c>
      <c r="D592" s="70">
        <v>6.678367782143116</v>
      </c>
      <c r="E592" s="71" t="s">
        <v>132</v>
      </c>
      <c r="F592" s="72">
        <v>21</v>
      </c>
      <c r="G592" s="69" t="s">
        <v>51</v>
      </c>
      <c r="H592" s="73"/>
      <c r="I592" s="74"/>
      <c r="J592" s="74"/>
      <c r="K592" s="35" t="s">
        <v>65</v>
      </c>
      <c r="L592" s="82">
        <v>592</v>
      </c>
      <c r="M592" s="82"/>
      <c r="N592" s="76"/>
      <c r="O592" s="84" t="s">
        <v>187</v>
      </c>
      <c r="P592" s="86">
        <v>44079.560740740744</v>
      </c>
      <c r="Q592" s="84" t="s">
        <v>444</v>
      </c>
      <c r="R592" s="87" t="str">
        <f>HYPERLINK("https://arxiv.org/abs/2009.01657")</f>
        <v>https://arxiv.org/abs/2009.01657</v>
      </c>
      <c r="S592" s="84" t="s">
        <v>529</v>
      </c>
      <c r="T592" s="84" t="s">
        <v>564</v>
      </c>
      <c r="U592" s="87" t="str">
        <f>HYPERLINK("https://pbs.twimg.com/media/EhJrGbiU0AA-1dk.jpg")</f>
        <v>https://pbs.twimg.com/media/EhJrGbiU0AA-1dk.jpg</v>
      </c>
      <c r="V592" s="87" t="str">
        <f>HYPERLINK("https://pbs.twimg.com/media/EhJrGbiU0AA-1dk.jpg")</f>
        <v>https://pbs.twimg.com/media/EhJrGbiU0AA-1dk.jpg</v>
      </c>
      <c r="W592" s="86">
        <v>44079.560740740744</v>
      </c>
      <c r="X592" s="90">
        <v>44079</v>
      </c>
      <c r="Y592" s="92" t="s">
        <v>979</v>
      </c>
      <c r="Z592" s="87" t="str">
        <f>HYPERLINK("https://twitter.com/marcusborba/status/1302236910560120833")</f>
        <v>https://twitter.com/marcusborba/status/1302236910560120833</v>
      </c>
      <c r="AA592" s="84"/>
      <c r="AB592" s="84"/>
      <c r="AC592" s="92" t="s">
        <v>1393</v>
      </c>
      <c r="AD592" s="84"/>
      <c r="AE592" s="84" t="b">
        <v>0</v>
      </c>
      <c r="AF592" s="84">
        <v>50</v>
      </c>
      <c r="AG592" s="92" t="s">
        <v>1453</v>
      </c>
      <c r="AH592" s="84" t="b">
        <v>0</v>
      </c>
      <c r="AI592" s="84" t="s">
        <v>1456</v>
      </c>
      <c r="AJ592" s="84"/>
      <c r="AK592" s="92" t="s">
        <v>1453</v>
      </c>
      <c r="AL592" s="84" t="b">
        <v>0</v>
      </c>
      <c r="AM592" s="84">
        <v>66</v>
      </c>
      <c r="AN592" s="92" t="s">
        <v>1453</v>
      </c>
      <c r="AO592" s="84" t="s">
        <v>1464</v>
      </c>
      <c r="AP592" s="84" t="b">
        <v>0</v>
      </c>
      <c r="AQ592" s="92" t="s">
        <v>1393</v>
      </c>
      <c r="AR592" s="84" t="s">
        <v>439</v>
      </c>
      <c r="AS592" s="84">
        <v>0</v>
      </c>
      <c r="AT592" s="84">
        <v>0</v>
      </c>
      <c r="AU592" s="84"/>
      <c r="AV592" s="84"/>
      <c r="AW592" s="84"/>
      <c r="AX592" s="84"/>
      <c r="AY592" s="84"/>
      <c r="AZ592" s="84"/>
      <c r="BA592" s="84"/>
      <c r="BB592" s="84"/>
      <c r="BC592">
        <v>2</v>
      </c>
      <c r="BD592" s="83" t="str">
        <f>REPLACE(INDEX(GroupVertices[Group],MATCH(Edges[[#This Row],[Vertex 1]],GroupVertices[Vertex],0)),1,1,"")</f>
        <v>9</v>
      </c>
      <c r="BE592" s="83" t="str">
        <f>REPLACE(INDEX(GroupVertices[Group],MATCH(Edges[[#This Row],[Vertex 2]],GroupVertices[Vertex],0)),1,1,"")</f>
        <v>9</v>
      </c>
      <c r="BF592" s="49">
        <v>0</v>
      </c>
      <c r="BG592" s="50">
        <v>0</v>
      </c>
      <c r="BH592" s="49">
        <v>0</v>
      </c>
      <c r="BI592" s="50">
        <v>0</v>
      </c>
      <c r="BJ592" s="49">
        <v>0</v>
      </c>
      <c r="BK592" s="50">
        <v>0</v>
      </c>
      <c r="BL592" s="49">
        <v>30</v>
      </c>
      <c r="BM592" s="50">
        <v>100</v>
      </c>
      <c r="BN592" s="49">
        <v>30</v>
      </c>
    </row>
    <row r="593" spans="1:66" ht="15">
      <c r="A593" s="68" t="s">
        <v>415</v>
      </c>
      <c r="B593" s="68" t="s">
        <v>415</v>
      </c>
      <c r="C593" s="69" t="s">
        <v>5209</v>
      </c>
      <c r="D593" s="70">
        <v>6.678367782143116</v>
      </c>
      <c r="E593" s="71" t="s">
        <v>132</v>
      </c>
      <c r="F593" s="72">
        <v>21</v>
      </c>
      <c r="G593" s="69" t="s">
        <v>51</v>
      </c>
      <c r="H593" s="73"/>
      <c r="I593" s="74"/>
      <c r="J593" s="74"/>
      <c r="K593" s="35" t="s">
        <v>65</v>
      </c>
      <c r="L593" s="82">
        <v>593</v>
      </c>
      <c r="M593" s="82"/>
      <c r="N593" s="76"/>
      <c r="O593" s="84" t="s">
        <v>187</v>
      </c>
      <c r="P593" s="86">
        <v>44086.05179398148</v>
      </c>
      <c r="Q593" s="84" t="s">
        <v>510</v>
      </c>
      <c r="R593" s="87" t="str">
        <f>HYPERLINK("https://databaseline.tech/a-tour-of-end-to-end-ml-platforms/")</f>
        <v>https://databaseline.tech/a-tour-of-end-to-end-ml-platforms/</v>
      </c>
      <c r="S593" s="84" t="s">
        <v>559</v>
      </c>
      <c r="T593" s="84" t="s">
        <v>625</v>
      </c>
      <c r="U593" s="87" t="str">
        <f>HYPERLINK("https://pbs.twimg.com/media/EhrUf4qX0AAV6wn.png")</f>
        <v>https://pbs.twimg.com/media/EhrUf4qX0AAV6wn.png</v>
      </c>
      <c r="V593" s="87" t="str">
        <f>HYPERLINK("https://pbs.twimg.com/media/EhrUf4qX0AAV6wn.png")</f>
        <v>https://pbs.twimg.com/media/EhrUf4qX0AAV6wn.png</v>
      </c>
      <c r="W593" s="86">
        <v>44086.05179398148</v>
      </c>
      <c r="X593" s="90">
        <v>44086</v>
      </c>
      <c r="Y593" s="92" t="s">
        <v>980</v>
      </c>
      <c r="Z593" s="87" t="str">
        <f>HYPERLINK("https://twitter.com/marcusborba/status/1304589188856242180")</f>
        <v>https://twitter.com/marcusborba/status/1304589188856242180</v>
      </c>
      <c r="AA593" s="84"/>
      <c r="AB593" s="84"/>
      <c r="AC593" s="92" t="s">
        <v>1394</v>
      </c>
      <c r="AD593" s="84"/>
      <c r="AE593" s="84" t="b">
        <v>0</v>
      </c>
      <c r="AF593" s="84">
        <v>44</v>
      </c>
      <c r="AG593" s="92" t="s">
        <v>1453</v>
      </c>
      <c r="AH593" s="84" t="b">
        <v>0</v>
      </c>
      <c r="AI593" s="84" t="s">
        <v>1456</v>
      </c>
      <c r="AJ593" s="84"/>
      <c r="AK593" s="92" t="s">
        <v>1453</v>
      </c>
      <c r="AL593" s="84" t="b">
        <v>0</v>
      </c>
      <c r="AM593" s="84">
        <v>75</v>
      </c>
      <c r="AN593" s="92" t="s">
        <v>1453</v>
      </c>
      <c r="AO593" s="84" t="s">
        <v>1465</v>
      </c>
      <c r="AP593" s="84" t="b">
        <v>0</v>
      </c>
      <c r="AQ593" s="92" t="s">
        <v>1394</v>
      </c>
      <c r="AR593" s="84" t="s">
        <v>439</v>
      </c>
      <c r="AS593" s="84">
        <v>0</v>
      </c>
      <c r="AT593" s="84">
        <v>0</v>
      </c>
      <c r="AU593" s="84"/>
      <c r="AV593" s="84"/>
      <c r="AW593" s="84"/>
      <c r="AX593" s="84"/>
      <c r="AY593" s="84"/>
      <c r="AZ593" s="84"/>
      <c r="BA593" s="84"/>
      <c r="BB593" s="84"/>
      <c r="BC593">
        <v>2</v>
      </c>
      <c r="BD593" s="83" t="str">
        <f>REPLACE(INDEX(GroupVertices[Group],MATCH(Edges[[#This Row],[Vertex 1]],GroupVertices[Vertex],0)),1,1,"")</f>
        <v>9</v>
      </c>
      <c r="BE593" s="83" t="str">
        <f>REPLACE(INDEX(GroupVertices[Group],MATCH(Edges[[#This Row],[Vertex 2]],GroupVertices[Vertex],0)),1,1,"")</f>
        <v>9</v>
      </c>
      <c r="BF593" s="49">
        <v>0</v>
      </c>
      <c r="BG593" s="50">
        <v>0</v>
      </c>
      <c r="BH593" s="49">
        <v>0</v>
      </c>
      <c r="BI593" s="50">
        <v>0</v>
      </c>
      <c r="BJ593" s="49">
        <v>0</v>
      </c>
      <c r="BK593" s="50">
        <v>0</v>
      </c>
      <c r="BL593" s="49">
        <v>27</v>
      </c>
      <c r="BM593" s="50">
        <v>100</v>
      </c>
      <c r="BN593" s="49">
        <v>27</v>
      </c>
    </row>
    <row r="594" spans="1:66" ht="15">
      <c r="A594" s="68" t="s">
        <v>416</v>
      </c>
      <c r="B594" s="68" t="s">
        <v>415</v>
      </c>
      <c r="C594" s="69" t="s">
        <v>5208</v>
      </c>
      <c r="D594" s="70">
        <v>1</v>
      </c>
      <c r="E594" s="71" t="s">
        <v>132</v>
      </c>
      <c r="F594" s="72">
        <v>32</v>
      </c>
      <c r="G594" s="69" t="s">
        <v>51</v>
      </c>
      <c r="H594" s="73"/>
      <c r="I594" s="74"/>
      <c r="J594" s="74"/>
      <c r="K594" s="35" t="s">
        <v>65</v>
      </c>
      <c r="L594" s="82">
        <v>594</v>
      </c>
      <c r="M594" s="82"/>
      <c r="N594" s="76"/>
      <c r="O594" s="84" t="s">
        <v>439</v>
      </c>
      <c r="P594" s="86">
        <v>44081.17831018518</v>
      </c>
      <c r="Q594" s="84" t="s">
        <v>444</v>
      </c>
      <c r="R594" s="87" t="str">
        <f>HYPERLINK("https://arxiv.org/abs/2009.01657")</f>
        <v>https://arxiv.org/abs/2009.01657</v>
      </c>
      <c r="S594" s="84" t="s">
        <v>529</v>
      </c>
      <c r="T594" s="84" t="s">
        <v>564</v>
      </c>
      <c r="U594" s="87" t="str">
        <f>HYPERLINK("https://pbs.twimg.com/media/EhJrGbiU0AA-1dk.jpg")</f>
        <v>https://pbs.twimg.com/media/EhJrGbiU0AA-1dk.jpg</v>
      </c>
      <c r="V594" s="87" t="str">
        <f>HYPERLINK("https://pbs.twimg.com/media/EhJrGbiU0AA-1dk.jpg")</f>
        <v>https://pbs.twimg.com/media/EhJrGbiU0AA-1dk.jpg</v>
      </c>
      <c r="W594" s="86">
        <v>44081.17831018518</v>
      </c>
      <c r="X594" s="90">
        <v>44081</v>
      </c>
      <c r="Y594" s="92" t="s">
        <v>981</v>
      </c>
      <c r="Z594" s="87" t="str">
        <f>HYPERLINK("https://twitter.com/taieb_bot/status/1302823097461084163")</f>
        <v>https://twitter.com/taieb_bot/status/1302823097461084163</v>
      </c>
      <c r="AA594" s="84"/>
      <c r="AB594" s="84"/>
      <c r="AC594" s="92" t="s">
        <v>1395</v>
      </c>
      <c r="AD594" s="84"/>
      <c r="AE594" s="84" t="b">
        <v>0</v>
      </c>
      <c r="AF594" s="84">
        <v>0</v>
      </c>
      <c r="AG594" s="92" t="s">
        <v>1453</v>
      </c>
      <c r="AH594" s="84" t="b">
        <v>0</v>
      </c>
      <c r="AI594" s="84" t="s">
        <v>1456</v>
      </c>
      <c r="AJ594" s="84"/>
      <c r="AK594" s="92" t="s">
        <v>1453</v>
      </c>
      <c r="AL594" s="84" t="b">
        <v>0</v>
      </c>
      <c r="AM594" s="84">
        <v>66</v>
      </c>
      <c r="AN594" s="92" t="s">
        <v>1393</v>
      </c>
      <c r="AO594" s="84" t="s">
        <v>1528</v>
      </c>
      <c r="AP594" s="84" t="b">
        <v>0</v>
      </c>
      <c r="AQ594" s="92" t="s">
        <v>1393</v>
      </c>
      <c r="AR594" s="84" t="s">
        <v>187</v>
      </c>
      <c r="AS594" s="84">
        <v>0</v>
      </c>
      <c r="AT594" s="84">
        <v>0</v>
      </c>
      <c r="AU594" s="84"/>
      <c r="AV594" s="84"/>
      <c r="AW594" s="84"/>
      <c r="AX594" s="84"/>
      <c r="AY594" s="84"/>
      <c r="AZ594" s="84"/>
      <c r="BA594" s="84"/>
      <c r="BB594" s="84"/>
      <c r="BC594">
        <v>1</v>
      </c>
      <c r="BD594" s="83" t="str">
        <f>REPLACE(INDEX(GroupVertices[Group],MATCH(Edges[[#This Row],[Vertex 1]],GroupVertices[Vertex],0)),1,1,"")</f>
        <v>1</v>
      </c>
      <c r="BE594" s="83" t="str">
        <f>REPLACE(INDEX(GroupVertices[Group],MATCH(Edges[[#This Row],[Vertex 2]],GroupVertices[Vertex],0)),1,1,"")</f>
        <v>9</v>
      </c>
      <c r="BF594" s="49">
        <v>0</v>
      </c>
      <c r="BG594" s="50">
        <v>0</v>
      </c>
      <c r="BH594" s="49">
        <v>0</v>
      </c>
      <c r="BI594" s="50">
        <v>0</v>
      </c>
      <c r="BJ594" s="49">
        <v>0</v>
      </c>
      <c r="BK594" s="50">
        <v>0</v>
      </c>
      <c r="BL594" s="49">
        <v>30</v>
      </c>
      <c r="BM594" s="50">
        <v>100</v>
      </c>
      <c r="BN594" s="49">
        <v>30</v>
      </c>
    </row>
    <row r="595" spans="1:66" ht="15">
      <c r="A595" s="68" t="s">
        <v>417</v>
      </c>
      <c r="B595" s="68" t="s">
        <v>417</v>
      </c>
      <c r="C595" s="69" t="s">
        <v>5208</v>
      </c>
      <c r="D595" s="70">
        <v>1</v>
      </c>
      <c r="E595" s="71" t="s">
        <v>132</v>
      </c>
      <c r="F595" s="72">
        <v>32</v>
      </c>
      <c r="G595" s="69" t="s">
        <v>51</v>
      </c>
      <c r="H595" s="73"/>
      <c r="I595" s="74"/>
      <c r="J595" s="74"/>
      <c r="K595" s="35" t="s">
        <v>65</v>
      </c>
      <c r="L595" s="82">
        <v>595</v>
      </c>
      <c r="M595" s="82"/>
      <c r="N595" s="76"/>
      <c r="O595" s="84" t="s">
        <v>187</v>
      </c>
      <c r="P595" s="86">
        <v>44081.937523148146</v>
      </c>
      <c r="Q595" s="84" t="s">
        <v>450</v>
      </c>
      <c r="R595"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595" s="84" t="s">
        <v>533</v>
      </c>
      <c r="T595" s="84" t="s">
        <v>631</v>
      </c>
      <c r="U595" s="84"/>
      <c r="V595" s="87" t="str">
        <f>HYPERLINK("http://pbs.twimg.com/profile_images/917490733116002304/druvxWq0_normal.jpg")</f>
        <v>http://pbs.twimg.com/profile_images/917490733116002304/druvxWq0_normal.jpg</v>
      </c>
      <c r="W595" s="86">
        <v>44081.937523148146</v>
      </c>
      <c r="X595" s="90">
        <v>44081</v>
      </c>
      <c r="Y595" s="92" t="s">
        <v>982</v>
      </c>
      <c r="Z595" s="87" t="str">
        <f>HYPERLINK("https://twitter.com/gavlaaaaaaaa/status/1303098227001044995")</f>
        <v>https://twitter.com/gavlaaaaaaaa/status/1303098227001044995</v>
      </c>
      <c r="AA595" s="84"/>
      <c r="AB595" s="84"/>
      <c r="AC595" s="92" t="s">
        <v>1396</v>
      </c>
      <c r="AD595" s="84"/>
      <c r="AE595" s="84" t="b">
        <v>0</v>
      </c>
      <c r="AF595" s="84">
        <v>27</v>
      </c>
      <c r="AG595" s="92" t="s">
        <v>1453</v>
      </c>
      <c r="AH595" s="84" t="b">
        <v>0</v>
      </c>
      <c r="AI595" s="84" t="s">
        <v>1456</v>
      </c>
      <c r="AJ595" s="84"/>
      <c r="AK595" s="92" t="s">
        <v>1453</v>
      </c>
      <c r="AL595" s="84" t="b">
        <v>0</v>
      </c>
      <c r="AM595" s="84">
        <v>31</v>
      </c>
      <c r="AN595" s="92" t="s">
        <v>1453</v>
      </c>
      <c r="AO595" s="84" t="s">
        <v>1529</v>
      </c>
      <c r="AP595" s="84" t="b">
        <v>0</v>
      </c>
      <c r="AQ595" s="92" t="s">
        <v>1396</v>
      </c>
      <c r="AR595" s="84" t="s">
        <v>187</v>
      </c>
      <c r="AS595" s="84">
        <v>0</v>
      </c>
      <c r="AT595" s="84">
        <v>0</v>
      </c>
      <c r="AU595" s="84"/>
      <c r="AV595" s="84"/>
      <c r="AW595" s="84"/>
      <c r="AX595" s="84"/>
      <c r="AY595" s="84"/>
      <c r="AZ595" s="84"/>
      <c r="BA595" s="84"/>
      <c r="BB595" s="84"/>
      <c r="BC595">
        <v>1</v>
      </c>
      <c r="BD595" s="83" t="str">
        <f>REPLACE(INDEX(GroupVertices[Group],MATCH(Edges[[#This Row],[Vertex 1]],GroupVertices[Vertex],0)),1,1,"")</f>
        <v>2</v>
      </c>
      <c r="BE595" s="83" t="str">
        <f>REPLACE(INDEX(GroupVertices[Group],MATCH(Edges[[#This Row],[Vertex 2]],GroupVertices[Vertex],0)),1,1,"")</f>
        <v>2</v>
      </c>
      <c r="BF595" s="49">
        <v>0</v>
      </c>
      <c r="BG595" s="50">
        <v>0</v>
      </c>
      <c r="BH595" s="49">
        <v>0</v>
      </c>
      <c r="BI595" s="50">
        <v>0</v>
      </c>
      <c r="BJ595" s="49">
        <v>0</v>
      </c>
      <c r="BK595" s="50">
        <v>0</v>
      </c>
      <c r="BL595" s="49">
        <v>26</v>
      </c>
      <c r="BM595" s="50">
        <v>100</v>
      </c>
      <c r="BN595" s="49">
        <v>26</v>
      </c>
    </row>
    <row r="596" spans="1:66" ht="15">
      <c r="A596" s="68" t="s">
        <v>390</v>
      </c>
      <c r="B596" s="68" t="s">
        <v>417</v>
      </c>
      <c r="C596" s="69" t="s">
        <v>5208</v>
      </c>
      <c r="D596" s="70">
        <v>1</v>
      </c>
      <c r="E596" s="71" t="s">
        <v>132</v>
      </c>
      <c r="F596" s="72">
        <v>32</v>
      </c>
      <c r="G596" s="69" t="s">
        <v>51</v>
      </c>
      <c r="H596" s="73"/>
      <c r="I596" s="74"/>
      <c r="J596" s="74"/>
      <c r="K596" s="35" t="s">
        <v>65</v>
      </c>
      <c r="L596" s="82">
        <v>596</v>
      </c>
      <c r="M596" s="82"/>
      <c r="N596" s="76"/>
      <c r="O596" s="84" t="s">
        <v>440</v>
      </c>
      <c r="P596" s="86">
        <v>44084.723807870374</v>
      </c>
      <c r="Q596" s="84" t="s">
        <v>514</v>
      </c>
      <c r="R596"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596" s="84" t="s">
        <v>533</v>
      </c>
      <c r="T596" s="84" t="s">
        <v>630</v>
      </c>
      <c r="U596" s="84"/>
      <c r="V596" s="87" t="str">
        <f>HYPERLINK("http://pbs.twimg.com/profile_images/760774125522518016/jhzjWv0i_normal.jpg")</f>
        <v>http://pbs.twimg.com/profile_images/760774125522518016/jhzjWv0i_normal.jpg</v>
      </c>
      <c r="W596" s="86">
        <v>44084.723807870374</v>
      </c>
      <c r="X596" s="90">
        <v>44084</v>
      </c>
      <c r="Y596" s="92" t="s">
        <v>968</v>
      </c>
      <c r="Z596" s="87" t="str">
        <f>HYPERLINK("https://twitter.com/chidambara09/status/1304107942342393857")</f>
        <v>https://twitter.com/chidambara09/status/1304107942342393857</v>
      </c>
      <c r="AA596" s="84"/>
      <c r="AB596" s="84"/>
      <c r="AC596" s="92" t="s">
        <v>1379</v>
      </c>
      <c r="AD596" s="84"/>
      <c r="AE596" s="84" t="b">
        <v>0</v>
      </c>
      <c r="AF596" s="84">
        <v>0</v>
      </c>
      <c r="AG596" s="92" t="s">
        <v>1453</v>
      </c>
      <c r="AH596" s="84" t="b">
        <v>0</v>
      </c>
      <c r="AI596" s="84" t="s">
        <v>1456</v>
      </c>
      <c r="AJ596" s="84"/>
      <c r="AK596" s="92" t="s">
        <v>1453</v>
      </c>
      <c r="AL596" s="84" t="b">
        <v>0</v>
      </c>
      <c r="AM596" s="84">
        <v>2</v>
      </c>
      <c r="AN596" s="92" t="s">
        <v>1378</v>
      </c>
      <c r="AO596" s="84" t="s">
        <v>1465</v>
      </c>
      <c r="AP596" s="84" t="b">
        <v>0</v>
      </c>
      <c r="AQ596" s="92" t="s">
        <v>1378</v>
      </c>
      <c r="AR596" s="84" t="s">
        <v>187</v>
      </c>
      <c r="AS596" s="84">
        <v>0</v>
      </c>
      <c r="AT596" s="84">
        <v>0</v>
      </c>
      <c r="AU596" s="84"/>
      <c r="AV596" s="84"/>
      <c r="AW596" s="84"/>
      <c r="AX596" s="84"/>
      <c r="AY596" s="84"/>
      <c r="AZ596" s="84"/>
      <c r="BA596" s="84"/>
      <c r="BB596" s="84"/>
      <c r="BC596">
        <v>1</v>
      </c>
      <c r="BD596" s="83" t="str">
        <f>REPLACE(INDEX(GroupVertices[Group],MATCH(Edges[[#This Row],[Vertex 1]],GroupVertices[Vertex],0)),1,1,"")</f>
        <v>1</v>
      </c>
      <c r="BE596" s="83" t="str">
        <f>REPLACE(INDEX(GroupVertices[Group],MATCH(Edges[[#This Row],[Vertex 2]],GroupVertices[Vertex],0)),1,1,"")</f>
        <v>2</v>
      </c>
      <c r="BF596" s="49"/>
      <c r="BG596" s="50"/>
      <c r="BH596" s="49"/>
      <c r="BI596" s="50"/>
      <c r="BJ596" s="49"/>
      <c r="BK596" s="50"/>
      <c r="BL596" s="49"/>
      <c r="BM596" s="50"/>
      <c r="BN596" s="49"/>
    </row>
    <row r="597" spans="1:66" ht="15">
      <c r="A597" s="68" t="s">
        <v>416</v>
      </c>
      <c r="B597" s="68" t="s">
        <v>417</v>
      </c>
      <c r="C597" s="69" t="s">
        <v>5208</v>
      </c>
      <c r="D597" s="70">
        <v>1</v>
      </c>
      <c r="E597" s="71" t="s">
        <v>132</v>
      </c>
      <c r="F597" s="72">
        <v>32</v>
      </c>
      <c r="G597" s="69" t="s">
        <v>51</v>
      </c>
      <c r="H597" s="73"/>
      <c r="I597" s="74"/>
      <c r="J597" s="74"/>
      <c r="K597" s="35" t="s">
        <v>65</v>
      </c>
      <c r="L597" s="82">
        <v>597</v>
      </c>
      <c r="M597" s="82"/>
      <c r="N597" s="76"/>
      <c r="O597" s="84" t="s">
        <v>439</v>
      </c>
      <c r="P597" s="86">
        <v>44081.957395833335</v>
      </c>
      <c r="Q597" s="84" t="s">
        <v>450</v>
      </c>
      <c r="R597" s="87" t="str">
        <f>HYPERLINK("https://medium.com/@rajmalhotra_2822/earn-coursera-certificates-for-free-on-some-programming-courses-during-the-coronavirus-epidemic-7b3f75bc49b1")</f>
        <v>https://medium.com/@rajmalhotra_2822/earn-coursera-certificates-for-free-on-some-programming-courses-during-the-coronavirus-epidemic-7b3f75bc49b1</v>
      </c>
      <c r="S597" s="84" t="s">
        <v>533</v>
      </c>
      <c r="T597" s="84"/>
      <c r="U597" s="84"/>
      <c r="V597" s="87" t="str">
        <f>HYPERLINK("http://pbs.twimg.com/profile_images/885513954818220033/gf3Ci4dO_normal.jpg")</f>
        <v>http://pbs.twimg.com/profile_images/885513954818220033/gf3Ci4dO_normal.jpg</v>
      </c>
      <c r="W597" s="86">
        <v>44081.957395833335</v>
      </c>
      <c r="X597" s="90">
        <v>44081</v>
      </c>
      <c r="Y597" s="92" t="s">
        <v>983</v>
      </c>
      <c r="Z597" s="87" t="str">
        <f>HYPERLINK("https://twitter.com/taieb_bot/status/1303105430210646016")</f>
        <v>https://twitter.com/taieb_bot/status/1303105430210646016</v>
      </c>
      <c r="AA597" s="84"/>
      <c r="AB597" s="84"/>
      <c r="AC597" s="92" t="s">
        <v>1397</v>
      </c>
      <c r="AD597" s="84"/>
      <c r="AE597" s="84" t="b">
        <v>0</v>
      </c>
      <c r="AF597" s="84">
        <v>0</v>
      </c>
      <c r="AG597" s="92" t="s">
        <v>1453</v>
      </c>
      <c r="AH597" s="84" t="b">
        <v>0</v>
      </c>
      <c r="AI597" s="84" t="s">
        <v>1456</v>
      </c>
      <c r="AJ597" s="84"/>
      <c r="AK597" s="92" t="s">
        <v>1453</v>
      </c>
      <c r="AL597" s="84" t="b">
        <v>0</v>
      </c>
      <c r="AM597" s="84">
        <v>31</v>
      </c>
      <c r="AN597" s="92" t="s">
        <v>1396</v>
      </c>
      <c r="AO597" s="84" t="s">
        <v>1528</v>
      </c>
      <c r="AP597" s="84" t="b">
        <v>0</v>
      </c>
      <c r="AQ597" s="92" t="s">
        <v>1396</v>
      </c>
      <c r="AR597" s="84" t="s">
        <v>187</v>
      </c>
      <c r="AS597" s="84">
        <v>0</v>
      </c>
      <c r="AT597" s="84">
        <v>0</v>
      </c>
      <c r="AU597" s="84"/>
      <c r="AV597" s="84"/>
      <c r="AW597" s="84"/>
      <c r="AX597" s="84"/>
      <c r="AY597" s="84"/>
      <c r="AZ597" s="84"/>
      <c r="BA597" s="84"/>
      <c r="BB597" s="84"/>
      <c r="BC597">
        <v>1</v>
      </c>
      <c r="BD597" s="83" t="str">
        <f>REPLACE(INDEX(GroupVertices[Group],MATCH(Edges[[#This Row],[Vertex 1]],GroupVertices[Vertex],0)),1,1,"")</f>
        <v>1</v>
      </c>
      <c r="BE597" s="83" t="str">
        <f>REPLACE(INDEX(GroupVertices[Group],MATCH(Edges[[#This Row],[Vertex 2]],GroupVertices[Vertex],0)),1,1,"")</f>
        <v>2</v>
      </c>
      <c r="BF597" s="49">
        <v>0</v>
      </c>
      <c r="BG597" s="50">
        <v>0</v>
      </c>
      <c r="BH597" s="49">
        <v>0</v>
      </c>
      <c r="BI597" s="50">
        <v>0</v>
      </c>
      <c r="BJ597" s="49">
        <v>0</v>
      </c>
      <c r="BK597" s="50">
        <v>0</v>
      </c>
      <c r="BL597" s="49">
        <v>26</v>
      </c>
      <c r="BM597" s="50">
        <v>100</v>
      </c>
      <c r="BN597" s="49">
        <v>26</v>
      </c>
    </row>
    <row r="598" spans="1:66" ht="15">
      <c r="A598" s="68" t="s">
        <v>390</v>
      </c>
      <c r="B598" s="68" t="s">
        <v>437</v>
      </c>
      <c r="C598" s="69" t="s">
        <v>5208</v>
      </c>
      <c r="D598" s="70">
        <v>1</v>
      </c>
      <c r="E598" s="71" t="s">
        <v>132</v>
      </c>
      <c r="F598" s="72">
        <v>32</v>
      </c>
      <c r="G598" s="69" t="s">
        <v>51</v>
      </c>
      <c r="H598" s="73"/>
      <c r="I598" s="74"/>
      <c r="J598" s="74"/>
      <c r="K598" s="35" t="s">
        <v>65</v>
      </c>
      <c r="L598" s="82">
        <v>598</v>
      </c>
      <c r="M598" s="82"/>
      <c r="N598" s="76"/>
      <c r="O598" s="84" t="s">
        <v>441</v>
      </c>
      <c r="P598" s="86">
        <v>44083.615335648145</v>
      </c>
      <c r="Q598" s="84" t="s">
        <v>509</v>
      </c>
      <c r="R598" s="87" t="str">
        <f>HYPERLINK("https://www.dailymail.co.uk/news/article-8714225/US-daily-COVID-19-cases-drop-40k-time-June.html?ito=amp_twitter_share-top")</f>
        <v>https://www.dailymail.co.uk/news/article-8714225/US-daily-COVID-19-cases-drop-40k-time-June.html?ito=amp_twitter_share-top</v>
      </c>
      <c r="S598" s="84" t="s">
        <v>558</v>
      </c>
      <c r="T598" s="84" t="s">
        <v>632</v>
      </c>
      <c r="U598" s="84"/>
      <c r="V598" s="87" t="str">
        <f>HYPERLINK("http://pbs.twimg.com/profile_images/760774125522518016/jhzjWv0i_normal.jpg")</f>
        <v>http://pbs.twimg.com/profile_images/760774125522518016/jhzjWv0i_normal.jpg</v>
      </c>
      <c r="W598" s="86">
        <v>44083.615335648145</v>
      </c>
      <c r="X598" s="90">
        <v>44083</v>
      </c>
      <c r="Y598" s="92" t="s">
        <v>984</v>
      </c>
      <c r="Z598" s="87" t="str">
        <f>HYPERLINK("https://twitter.com/chidambara09/status/1303706244872503296")</f>
        <v>https://twitter.com/chidambara09/status/1303706244872503296</v>
      </c>
      <c r="AA598" s="84"/>
      <c r="AB598" s="84"/>
      <c r="AC598" s="92" t="s">
        <v>1398</v>
      </c>
      <c r="AD598" s="84"/>
      <c r="AE598" s="84" t="b">
        <v>0</v>
      </c>
      <c r="AF598" s="84">
        <v>4</v>
      </c>
      <c r="AG598" s="92" t="s">
        <v>1453</v>
      </c>
      <c r="AH598" s="84" t="b">
        <v>0</v>
      </c>
      <c r="AI598" s="84" t="s">
        <v>1456</v>
      </c>
      <c r="AJ598" s="84"/>
      <c r="AK598" s="92" t="s">
        <v>1453</v>
      </c>
      <c r="AL598" s="84" t="b">
        <v>0</v>
      </c>
      <c r="AM598" s="84">
        <v>15</v>
      </c>
      <c r="AN598" s="92" t="s">
        <v>1453</v>
      </c>
      <c r="AO598" s="84" t="s">
        <v>1464</v>
      </c>
      <c r="AP598" s="84" t="b">
        <v>0</v>
      </c>
      <c r="AQ598" s="92" t="s">
        <v>1398</v>
      </c>
      <c r="AR598" s="84" t="s">
        <v>187</v>
      </c>
      <c r="AS598" s="84">
        <v>0</v>
      </c>
      <c r="AT598" s="84">
        <v>0</v>
      </c>
      <c r="AU598" s="84"/>
      <c r="AV598" s="84"/>
      <c r="AW598" s="84"/>
      <c r="AX598" s="84"/>
      <c r="AY598" s="84"/>
      <c r="AZ598" s="84"/>
      <c r="BA598" s="84"/>
      <c r="BB598" s="84"/>
      <c r="BC598">
        <v>1</v>
      </c>
      <c r="BD598" s="83" t="str">
        <f>REPLACE(INDEX(GroupVertices[Group],MATCH(Edges[[#This Row],[Vertex 1]],GroupVertices[Vertex],0)),1,1,"")</f>
        <v>1</v>
      </c>
      <c r="BE598" s="83" t="str">
        <f>REPLACE(INDEX(GroupVertices[Group],MATCH(Edges[[#This Row],[Vertex 2]],GroupVertices[Vertex],0)),1,1,"")</f>
        <v>1</v>
      </c>
      <c r="BF598" s="49">
        <v>0</v>
      </c>
      <c r="BG598" s="50">
        <v>0</v>
      </c>
      <c r="BH598" s="49">
        <v>0</v>
      </c>
      <c r="BI598" s="50">
        <v>0</v>
      </c>
      <c r="BJ598" s="49">
        <v>0</v>
      </c>
      <c r="BK598" s="50">
        <v>0</v>
      </c>
      <c r="BL598" s="49">
        <v>33</v>
      </c>
      <c r="BM598" s="50">
        <v>100</v>
      </c>
      <c r="BN598" s="49">
        <v>33</v>
      </c>
    </row>
    <row r="599" spans="1:66" ht="15">
      <c r="A599" s="68" t="s">
        <v>390</v>
      </c>
      <c r="B599" s="68" t="s">
        <v>437</v>
      </c>
      <c r="C599" s="69" t="s">
        <v>5208</v>
      </c>
      <c r="D599" s="70">
        <v>1</v>
      </c>
      <c r="E599" s="71" t="s">
        <v>132</v>
      </c>
      <c r="F599" s="72">
        <v>32</v>
      </c>
      <c r="G599" s="69" t="s">
        <v>51</v>
      </c>
      <c r="H599" s="73"/>
      <c r="I599" s="74"/>
      <c r="J599" s="74"/>
      <c r="K599" s="35" t="s">
        <v>65</v>
      </c>
      <c r="L599" s="82">
        <v>599</v>
      </c>
      <c r="M599" s="82"/>
      <c r="N599" s="76"/>
      <c r="O599" s="84" t="s">
        <v>440</v>
      </c>
      <c r="P599" s="86">
        <v>44083.6169212963</v>
      </c>
      <c r="Q599" s="84" t="s">
        <v>509</v>
      </c>
      <c r="R599" s="87" t="str">
        <f>HYPERLINK("https://www.dailymail.co.uk/news/article-8714225/US-daily-COVID-19-cases-drop-40k-time-June.html?ito=amp_twitter_share-top")</f>
        <v>https://www.dailymail.co.uk/news/article-8714225/US-daily-COVID-19-cases-drop-40k-time-June.html?ito=amp_twitter_share-top</v>
      </c>
      <c r="S599" s="84" t="s">
        <v>558</v>
      </c>
      <c r="T599" s="84" t="s">
        <v>620</v>
      </c>
      <c r="U599" s="84"/>
      <c r="V599" s="87" t="str">
        <f>HYPERLINK("http://pbs.twimg.com/profile_images/760774125522518016/jhzjWv0i_normal.jpg")</f>
        <v>http://pbs.twimg.com/profile_images/760774125522518016/jhzjWv0i_normal.jpg</v>
      </c>
      <c r="W599" s="86">
        <v>44083.6169212963</v>
      </c>
      <c r="X599" s="90">
        <v>44083</v>
      </c>
      <c r="Y599" s="92" t="s">
        <v>985</v>
      </c>
      <c r="Z599" s="87" t="str">
        <f>HYPERLINK("https://twitter.com/chidambara09/status/1303706820347797506")</f>
        <v>https://twitter.com/chidambara09/status/1303706820347797506</v>
      </c>
      <c r="AA599" s="84"/>
      <c r="AB599" s="84"/>
      <c r="AC599" s="92" t="s">
        <v>1399</v>
      </c>
      <c r="AD599" s="84"/>
      <c r="AE599" s="84" t="b">
        <v>0</v>
      </c>
      <c r="AF599" s="84">
        <v>0</v>
      </c>
      <c r="AG599" s="92" t="s">
        <v>1453</v>
      </c>
      <c r="AH599" s="84" t="b">
        <v>0</v>
      </c>
      <c r="AI599" s="84" t="s">
        <v>1456</v>
      </c>
      <c r="AJ599" s="84"/>
      <c r="AK599" s="92" t="s">
        <v>1453</v>
      </c>
      <c r="AL599" s="84" t="b">
        <v>0</v>
      </c>
      <c r="AM599" s="84">
        <v>15</v>
      </c>
      <c r="AN599" s="92" t="s">
        <v>1398</v>
      </c>
      <c r="AO599" s="84" t="s">
        <v>1465</v>
      </c>
      <c r="AP599" s="84" t="b">
        <v>0</v>
      </c>
      <c r="AQ599" s="92" t="s">
        <v>1398</v>
      </c>
      <c r="AR599" s="84" t="s">
        <v>187</v>
      </c>
      <c r="AS599" s="84">
        <v>0</v>
      </c>
      <c r="AT599" s="84">
        <v>0</v>
      </c>
      <c r="AU599" s="84"/>
      <c r="AV599" s="84"/>
      <c r="AW599" s="84"/>
      <c r="AX599" s="84"/>
      <c r="AY599" s="84"/>
      <c r="AZ599" s="84"/>
      <c r="BA599" s="84"/>
      <c r="BB599" s="84"/>
      <c r="BC599">
        <v>1</v>
      </c>
      <c r="BD599" s="83" t="str">
        <f>REPLACE(INDEX(GroupVertices[Group],MATCH(Edges[[#This Row],[Vertex 1]],GroupVertices[Vertex],0)),1,1,"")</f>
        <v>1</v>
      </c>
      <c r="BE599" s="83" t="str">
        <f>REPLACE(INDEX(GroupVertices[Group],MATCH(Edges[[#This Row],[Vertex 2]],GroupVertices[Vertex],0)),1,1,"")</f>
        <v>1</v>
      </c>
      <c r="BF599" s="49">
        <v>0</v>
      </c>
      <c r="BG599" s="50">
        <v>0</v>
      </c>
      <c r="BH599" s="49">
        <v>0</v>
      </c>
      <c r="BI599" s="50">
        <v>0</v>
      </c>
      <c r="BJ599" s="49">
        <v>0</v>
      </c>
      <c r="BK599" s="50">
        <v>0</v>
      </c>
      <c r="BL599" s="49">
        <v>33</v>
      </c>
      <c r="BM599" s="50">
        <v>100</v>
      </c>
      <c r="BN599" s="49">
        <v>33</v>
      </c>
    </row>
    <row r="600" spans="1:66" ht="15">
      <c r="A600" s="68" t="s">
        <v>416</v>
      </c>
      <c r="B600" s="68" t="s">
        <v>437</v>
      </c>
      <c r="C600" s="69" t="s">
        <v>5208</v>
      </c>
      <c r="D600" s="70">
        <v>1</v>
      </c>
      <c r="E600" s="71" t="s">
        <v>132</v>
      </c>
      <c r="F600" s="72">
        <v>32</v>
      </c>
      <c r="G600" s="69" t="s">
        <v>51</v>
      </c>
      <c r="H600" s="73"/>
      <c r="I600" s="74"/>
      <c r="J600" s="74"/>
      <c r="K600" s="35" t="s">
        <v>65</v>
      </c>
      <c r="L600" s="82">
        <v>600</v>
      </c>
      <c r="M600" s="82"/>
      <c r="N600" s="76"/>
      <c r="O600" s="84" t="s">
        <v>440</v>
      </c>
      <c r="P600" s="86">
        <v>44083.61572916667</v>
      </c>
      <c r="Q600" s="84" t="s">
        <v>509</v>
      </c>
      <c r="R600" s="87" t="str">
        <f>HYPERLINK("https://www.dailymail.co.uk/news/article-8714225/US-daily-COVID-19-cases-drop-40k-time-June.html?ito=amp_twitter_share-top")</f>
        <v>https://www.dailymail.co.uk/news/article-8714225/US-daily-COVID-19-cases-drop-40k-time-June.html?ito=amp_twitter_share-top</v>
      </c>
      <c r="S600" s="84" t="s">
        <v>558</v>
      </c>
      <c r="T600" s="84" t="s">
        <v>620</v>
      </c>
      <c r="U600" s="84"/>
      <c r="V600" s="87" t="str">
        <f>HYPERLINK("http://pbs.twimg.com/profile_images/885513954818220033/gf3Ci4dO_normal.jpg")</f>
        <v>http://pbs.twimg.com/profile_images/885513954818220033/gf3Ci4dO_normal.jpg</v>
      </c>
      <c r="W600" s="86">
        <v>44083.61572916667</v>
      </c>
      <c r="X600" s="90">
        <v>44083</v>
      </c>
      <c r="Y600" s="92" t="s">
        <v>986</v>
      </c>
      <c r="Z600" s="87" t="str">
        <f>HYPERLINK("https://twitter.com/taieb_bot/status/1303706389110566912")</f>
        <v>https://twitter.com/taieb_bot/status/1303706389110566912</v>
      </c>
      <c r="AA600" s="84"/>
      <c r="AB600" s="84"/>
      <c r="AC600" s="92" t="s">
        <v>1400</v>
      </c>
      <c r="AD600" s="84"/>
      <c r="AE600" s="84" t="b">
        <v>0</v>
      </c>
      <c r="AF600" s="84">
        <v>0</v>
      </c>
      <c r="AG600" s="92" t="s">
        <v>1453</v>
      </c>
      <c r="AH600" s="84" t="b">
        <v>0</v>
      </c>
      <c r="AI600" s="84" t="s">
        <v>1456</v>
      </c>
      <c r="AJ600" s="84"/>
      <c r="AK600" s="92" t="s">
        <v>1453</v>
      </c>
      <c r="AL600" s="84" t="b">
        <v>0</v>
      </c>
      <c r="AM600" s="84">
        <v>15</v>
      </c>
      <c r="AN600" s="92" t="s">
        <v>1398</v>
      </c>
      <c r="AO600" s="84" t="s">
        <v>1528</v>
      </c>
      <c r="AP600" s="84" t="b">
        <v>0</v>
      </c>
      <c r="AQ600" s="92" t="s">
        <v>1398</v>
      </c>
      <c r="AR600" s="84" t="s">
        <v>187</v>
      </c>
      <c r="AS600" s="84">
        <v>0</v>
      </c>
      <c r="AT600" s="84">
        <v>0</v>
      </c>
      <c r="AU600" s="84"/>
      <c r="AV600" s="84"/>
      <c r="AW600" s="84"/>
      <c r="AX600" s="84"/>
      <c r="AY600" s="84"/>
      <c r="AZ600" s="84"/>
      <c r="BA600" s="84"/>
      <c r="BB600" s="84"/>
      <c r="BC600">
        <v>1</v>
      </c>
      <c r="BD600" s="83" t="str">
        <f>REPLACE(INDEX(GroupVertices[Group],MATCH(Edges[[#This Row],[Vertex 1]],GroupVertices[Vertex],0)),1,1,"")</f>
        <v>1</v>
      </c>
      <c r="BE600" s="83" t="str">
        <f>REPLACE(INDEX(GroupVertices[Group],MATCH(Edges[[#This Row],[Vertex 2]],GroupVertices[Vertex],0)),1,1,"")</f>
        <v>1</v>
      </c>
      <c r="BF600" s="49"/>
      <c r="BG600" s="50"/>
      <c r="BH600" s="49"/>
      <c r="BI600" s="50"/>
      <c r="BJ600" s="49"/>
      <c r="BK600" s="50"/>
      <c r="BL600" s="49"/>
      <c r="BM600" s="50"/>
      <c r="BN600" s="49"/>
    </row>
    <row r="601" spans="1:66" ht="15">
      <c r="A601" s="68" t="s">
        <v>390</v>
      </c>
      <c r="B601" s="68" t="s">
        <v>435</v>
      </c>
      <c r="C601" s="69" t="s">
        <v>5208</v>
      </c>
      <c r="D601" s="70">
        <v>1</v>
      </c>
      <c r="E601" s="71" t="s">
        <v>132</v>
      </c>
      <c r="F601" s="72">
        <v>32</v>
      </c>
      <c r="G601" s="69" t="s">
        <v>51</v>
      </c>
      <c r="H601" s="73"/>
      <c r="I601" s="74"/>
      <c r="J601" s="74"/>
      <c r="K601" s="35" t="s">
        <v>65</v>
      </c>
      <c r="L601" s="82">
        <v>601</v>
      </c>
      <c r="M601" s="82"/>
      <c r="N601" s="76"/>
      <c r="O601" s="84" t="s">
        <v>441</v>
      </c>
      <c r="P601" s="86">
        <v>44086.36667824074</v>
      </c>
      <c r="Q601" s="84" t="s">
        <v>484</v>
      </c>
      <c r="R601" s="87" t="str">
        <f>HYPERLINK("https://www.weforum.org/agenda/2020/09/prevent-post-covid-carmageddon")</f>
        <v>https://www.weforum.org/agenda/2020/09/prevent-post-covid-carmageddon</v>
      </c>
      <c r="S601" s="84" t="s">
        <v>549</v>
      </c>
      <c r="T601" s="84" t="s">
        <v>633</v>
      </c>
      <c r="U601" s="84"/>
      <c r="V601" s="87" t="str">
        <f>HYPERLINK("http://pbs.twimg.com/profile_images/760774125522518016/jhzjWv0i_normal.jpg")</f>
        <v>http://pbs.twimg.com/profile_images/760774125522518016/jhzjWv0i_normal.jpg</v>
      </c>
      <c r="W601" s="86">
        <v>44086.36667824074</v>
      </c>
      <c r="X601" s="90">
        <v>44086</v>
      </c>
      <c r="Y601" s="92" t="s">
        <v>987</v>
      </c>
      <c r="Z601" s="87" t="str">
        <f>HYPERLINK("https://twitter.com/chidambara09/status/1304703301011693574")</f>
        <v>https://twitter.com/chidambara09/status/1304703301011693574</v>
      </c>
      <c r="AA601" s="84"/>
      <c r="AB601" s="84"/>
      <c r="AC601" s="92" t="s">
        <v>1401</v>
      </c>
      <c r="AD601" s="84"/>
      <c r="AE601" s="84" t="b">
        <v>0</v>
      </c>
      <c r="AF601" s="84">
        <v>6</v>
      </c>
      <c r="AG601" s="92" t="s">
        <v>1453</v>
      </c>
      <c r="AH601" s="84" t="b">
        <v>0</v>
      </c>
      <c r="AI601" s="84" t="s">
        <v>1456</v>
      </c>
      <c r="AJ601" s="84"/>
      <c r="AK601" s="92" t="s">
        <v>1453</v>
      </c>
      <c r="AL601" s="84" t="b">
        <v>0</v>
      </c>
      <c r="AM601" s="84">
        <v>36</v>
      </c>
      <c r="AN601" s="92" t="s">
        <v>1453</v>
      </c>
      <c r="AO601" s="84" t="s">
        <v>1464</v>
      </c>
      <c r="AP601" s="84" t="b">
        <v>0</v>
      </c>
      <c r="AQ601" s="92" t="s">
        <v>1401</v>
      </c>
      <c r="AR601" s="84" t="s">
        <v>187</v>
      </c>
      <c r="AS601" s="84">
        <v>0</v>
      </c>
      <c r="AT601" s="84">
        <v>0</v>
      </c>
      <c r="AU601" s="84"/>
      <c r="AV601" s="84"/>
      <c r="AW601" s="84"/>
      <c r="AX601" s="84"/>
      <c r="AY601" s="84"/>
      <c r="AZ601" s="84"/>
      <c r="BA601" s="84"/>
      <c r="BB601" s="84"/>
      <c r="BC601">
        <v>1</v>
      </c>
      <c r="BD601" s="83" t="str">
        <f>REPLACE(INDEX(GroupVertices[Group],MATCH(Edges[[#This Row],[Vertex 1]],GroupVertices[Vertex],0)),1,1,"")</f>
        <v>1</v>
      </c>
      <c r="BE601" s="83" t="str">
        <f>REPLACE(INDEX(GroupVertices[Group],MATCH(Edges[[#This Row],[Vertex 2]],GroupVertices[Vertex],0)),1,1,"")</f>
        <v>1</v>
      </c>
      <c r="BF601" s="49">
        <v>0</v>
      </c>
      <c r="BG601" s="50">
        <v>0</v>
      </c>
      <c r="BH601" s="49">
        <v>0</v>
      </c>
      <c r="BI601" s="50">
        <v>0</v>
      </c>
      <c r="BJ601" s="49">
        <v>0</v>
      </c>
      <c r="BK601" s="50">
        <v>0</v>
      </c>
      <c r="BL601" s="49">
        <v>31</v>
      </c>
      <c r="BM601" s="50">
        <v>100</v>
      </c>
      <c r="BN601" s="49">
        <v>31</v>
      </c>
    </row>
    <row r="602" spans="1:66" ht="15">
      <c r="A602" s="68" t="s">
        <v>390</v>
      </c>
      <c r="B602" s="68" t="s">
        <v>435</v>
      </c>
      <c r="C602" s="69" t="s">
        <v>5208</v>
      </c>
      <c r="D602" s="70">
        <v>1</v>
      </c>
      <c r="E602" s="71" t="s">
        <v>132</v>
      </c>
      <c r="F602" s="72">
        <v>32</v>
      </c>
      <c r="G602" s="69" t="s">
        <v>51</v>
      </c>
      <c r="H602" s="73"/>
      <c r="I602" s="74"/>
      <c r="J602" s="74"/>
      <c r="K602" s="35" t="s">
        <v>65</v>
      </c>
      <c r="L602" s="82">
        <v>602</v>
      </c>
      <c r="M602" s="82"/>
      <c r="N602" s="76"/>
      <c r="O602" s="84" t="s">
        <v>440</v>
      </c>
      <c r="P602" s="86">
        <v>44086.366875</v>
      </c>
      <c r="Q602" s="84" t="s">
        <v>484</v>
      </c>
      <c r="R602" s="87" t="str">
        <f>HYPERLINK("https://www.weforum.org/agenda/2020/09/prevent-post-covid-carmageddon")</f>
        <v>https://www.weforum.org/agenda/2020/09/prevent-post-covid-carmageddon</v>
      </c>
      <c r="S602" s="84" t="s">
        <v>549</v>
      </c>
      <c r="T602" s="84" t="s">
        <v>600</v>
      </c>
      <c r="U602" s="84"/>
      <c r="V602" s="87" t="str">
        <f>HYPERLINK("http://pbs.twimg.com/profile_images/760774125522518016/jhzjWv0i_normal.jpg")</f>
        <v>http://pbs.twimg.com/profile_images/760774125522518016/jhzjWv0i_normal.jpg</v>
      </c>
      <c r="W602" s="86">
        <v>44086.366875</v>
      </c>
      <c r="X602" s="90">
        <v>44086</v>
      </c>
      <c r="Y602" s="92" t="s">
        <v>988</v>
      </c>
      <c r="Z602" s="87" t="str">
        <f>HYPERLINK("https://twitter.com/chidambara09/status/1304703369731215363")</f>
        <v>https://twitter.com/chidambara09/status/1304703369731215363</v>
      </c>
      <c r="AA602" s="84"/>
      <c r="AB602" s="84"/>
      <c r="AC602" s="92" t="s">
        <v>1402</v>
      </c>
      <c r="AD602" s="84"/>
      <c r="AE602" s="84" t="b">
        <v>0</v>
      </c>
      <c r="AF602" s="84">
        <v>0</v>
      </c>
      <c r="AG602" s="92" t="s">
        <v>1453</v>
      </c>
      <c r="AH602" s="84" t="b">
        <v>0</v>
      </c>
      <c r="AI602" s="84" t="s">
        <v>1456</v>
      </c>
      <c r="AJ602" s="84"/>
      <c r="AK602" s="92" t="s">
        <v>1453</v>
      </c>
      <c r="AL602" s="84" t="b">
        <v>0</v>
      </c>
      <c r="AM602" s="84">
        <v>36</v>
      </c>
      <c r="AN602" s="92" t="s">
        <v>1401</v>
      </c>
      <c r="AO602" s="84" t="s">
        <v>1465</v>
      </c>
      <c r="AP602" s="84" t="b">
        <v>0</v>
      </c>
      <c r="AQ602" s="92" t="s">
        <v>1401</v>
      </c>
      <c r="AR602" s="84" t="s">
        <v>187</v>
      </c>
      <c r="AS602" s="84">
        <v>0</v>
      </c>
      <c r="AT602" s="84">
        <v>0</v>
      </c>
      <c r="AU602" s="84"/>
      <c r="AV602" s="84"/>
      <c r="AW602" s="84"/>
      <c r="AX602" s="84"/>
      <c r="AY602" s="84"/>
      <c r="AZ602" s="84"/>
      <c r="BA602" s="84"/>
      <c r="BB602" s="84"/>
      <c r="BC602">
        <v>1</v>
      </c>
      <c r="BD602" s="83" t="str">
        <f>REPLACE(INDEX(GroupVertices[Group],MATCH(Edges[[#This Row],[Vertex 1]],GroupVertices[Vertex],0)),1,1,"")</f>
        <v>1</v>
      </c>
      <c r="BE602" s="83" t="str">
        <f>REPLACE(INDEX(GroupVertices[Group],MATCH(Edges[[#This Row],[Vertex 2]],GroupVertices[Vertex],0)),1,1,"")</f>
        <v>1</v>
      </c>
      <c r="BF602" s="49">
        <v>0</v>
      </c>
      <c r="BG602" s="50">
        <v>0</v>
      </c>
      <c r="BH602" s="49">
        <v>0</v>
      </c>
      <c r="BI602" s="50">
        <v>0</v>
      </c>
      <c r="BJ602" s="49">
        <v>0</v>
      </c>
      <c r="BK602" s="50">
        <v>0</v>
      </c>
      <c r="BL602" s="49">
        <v>31</v>
      </c>
      <c r="BM602" s="50">
        <v>100</v>
      </c>
      <c r="BN602" s="49">
        <v>31</v>
      </c>
    </row>
    <row r="603" spans="1:66" ht="15">
      <c r="A603" s="68" t="s">
        <v>416</v>
      </c>
      <c r="B603" s="68" t="s">
        <v>435</v>
      </c>
      <c r="C603" s="69" t="s">
        <v>5208</v>
      </c>
      <c r="D603" s="70">
        <v>1</v>
      </c>
      <c r="E603" s="71" t="s">
        <v>132</v>
      </c>
      <c r="F603" s="72">
        <v>32</v>
      </c>
      <c r="G603" s="69" t="s">
        <v>51</v>
      </c>
      <c r="H603" s="73"/>
      <c r="I603" s="74"/>
      <c r="J603" s="74"/>
      <c r="K603" s="35" t="s">
        <v>65</v>
      </c>
      <c r="L603" s="82">
        <v>603</v>
      </c>
      <c r="M603" s="82"/>
      <c r="N603" s="76"/>
      <c r="O603" s="84" t="s">
        <v>440</v>
      </c>
      <c r="P603" s="86">
        <v>44086.37414351852</v>
      </c>
      <c r="Q603" s="84" t="s">
        <v>484</v>
      </c>
      <c r="R603" s="87" t="str">
        <f>HYPERLINK("https://www.weforum.org/agenda/2020/09/prevent-post-covid-carmageddon")</f>
        <v>https://www.weforum.org/agenda/2020/09/prevent-post-covid-carmageddon</v>
      </c>
      <c r="S603" s="84" t="s">
        <v>549</v>
      </c>
      <c r="T603" s="84" t="s">
        <v>600</v>
      </c>
      <c r="U603" s="84"/>
      <c r="V603" s="87" t="str">
        <f>HYPERLINK("http://pbs.twimg.com/profile_images/885513954818220033/gf3Ci4dO_normal.jpg")</f>
        <v>http://pbs.twimg.com/profile_images/885513954818220033/gf3Ci4dO_normal.jpg</v>
      </c>
      <c r="W603" s="86">
        <v>44086.37414351852</v>
      </c>
      <c r="X603" s="90">
        <v>44086</v>
      </c>
      <c r="Y603" s="92" t="s">
        <v>989</v>
      </c>
      <c r="Z603" s="87" t="str">
        <f>HYPERLINK("https://twitter.com/taieb_bot/status/1304706007004741632")</f>
        <v>https://twitter.com/taieb_bot/status/1304706007004741632</v>
      </c>
      <c r="AA603" s="84"/>
      <c r="AB603" s="84"/>
      <c r="AC603" s="92" t="s">
        <v>1403</v>
      </c>
      <c r="AD603" s="84"/>
      <c r="AE603" s="84" t="b">
        <v>0</v>
      </c>
      <c r="AF603" s="84">
        <v>0</v>
      </c>
      <c r="AG603" s="92" t="s">
        <v>1453</v>
      </c>
      <c r="AH603" s="84" t="b">
        <v>0</v>
      </c>
      <c r="AI603" s="84" t="s">
        <v>1456</v>
      </c>
      <c r="AJ603" s="84"/>
      <c r="AK603" s="92" t="s">
        <v>1453</v>
      </c>
      <c r="AL603" s="84" t="b">
        <v>0</v>
      </c>
      <c r="AM603" s="84">
        <v>36</v>
      </c>
      <c r="AN603" s="92" t="s">
        <v>1401</v>
      </c>
      <c r="AO603" s="84" t="s">
        <v>1528</v>
      </c>
      <c r="AP603" s="84" t="b">
        <v>0</v>
      </c>
      <c r="AQ603" s="92" t="s">
        <v>1401</v>
      </c>
      <c r="AR603" s="84" t="s">
        <v>187</v>
      </c>
      <c r="AS603" s="84">
        <v>0</v>
      </c>
      <c r="AT603" s="84">
        <v>0</v>
      </c>
      <c r="AU603" s="84"/>
      <c r="AV603" s="84"/>
      <c r="AW603" s="84"/>
      <c r="AX603" s="84"/>
      <c r="AY603" s="84"/>
      <c r="AZ603" s="84"/>
      <c r="BA603" s="84"/>
      <c r="BB603" s="84"/>
      <c r="BC603">
        <v>1</v>
      </c>
      <c r="BD603" s="83" t="str">
        <f>REPLACE(INDEX(GroupVertices[Group],MATCH(Edges[[#This Row],[Vertex 1]],GroupVertices[Vertex],0)),1,1,"")</f>
        <v>1</v>
      </c>
      <c r="BE603" s="83" t="str">
        <f>REPLACE(INDEX(GroupVertices[Group],MATCH(Edges[[#This Row],[Vertex 2]],GroupVertices[Vertex],0)),1,1,"")</f>
        <v>1</v>
      </c>
      <c r="BF603" s="49"/>
      <c r="BG603" s="50"/>
      <c r="BH603" s="49"/>
      <c r="BI603" s="50"/>
      <c r="BJ603" s="49"/>
      <c r="BK603" s="50"/>
      <c r="BL603" s="49"/>
      <c r="BM603" s="50"/>
      <c r="BN603" s="49"/>
    </row>
    <row r="604" spans="1:66" ht="15">
      <c r="A604" s="68" t="s">
        <v>390</v>
      </c>
      <c r="B604" s="68" t="s">
        <v>423</v>
      </c>
      <c r="C604" s="69" t="s">
        <v>5208</v>
      </c>
      <c r="D604" s="70">
        <v>1</v>
      </c>
      <c r="E604" s="71" t="s">
        <v>132</v>
      </c>
      <c r="F604" s="72">
        <v>32</v>
      </c>
      <c r="G604" s="69" t="s">
        <v>51</v>
      </c>
      <c r="H604" s="73"/>
      <c r="I604" s="74"/>
      <c r="J604" s="74"/>
      <c r="K604" s="35" t="s">
        <v>65</v>
      </c>
      <c r="L604" s="82">
        <v>604</v>
      </c>
      <c r="M604" s="82"/>
      <c r="N604" s="76"/>
      <c r="O604" s="84" t="s">
        <v>439</v>
      </c>
      <c r="P604" s="86">
        <v>44082.58320601852</v>
      </c>
      <c r="Q604" s="84" t="s">
        <v>459</v>
      </c>
      <c r="R604" s="84"/>
      <c r="S604" s="84"/>
      <c r="T604" s="84" t="s">
        <v>578</v>
      </c>
      <c r="U604" s="87" t="str">
        <f>HYPERLINK("https://pbs.twimg.com/media/EhZc5KGWoAIz_Wo.jpg")</f>
        <v>https://pbs.twimg.com/media/EhZc5KGWoAIz_Wo.jpg</v>
      </c>
      <c r="V604" s="87" t="str">
        <f>HYPERLINK("https://pbs.twimg.com/media/EhZc5KGWoAIz_Wo.jpg")</f>
        <v>https://pbs.twimg.com/media/EhZc5KGWoAIz_Wo.jpg</v>
      </c>
      <c r="W604" s="86">
        <v>44082.58320601852</v>
      </c>
      <c r="X604" s="90">
        <v>44082</v>
      </c>
      <c r="Y604" s="92" t="s">
        <v>990</v>
      </c>
      <c r="Z604" s="87" t="str">
        <f>HYPERLINK("https://twitter.com/chidambara09/status/1303332213585371137")</f>
        <v>https://twitter.com/chidambara09/status/1303332213585371137</v>
      </c>
      <c r="AA604" s="84"/>
      <c r="AB604" s="84"/>
      <c r="AC604" s="92" t="s">
        <v>1404</v>
      </c>
      <c r="AD604" s="84"/>
      <c r="AE604" s="84" t="b">
        <v>0</v>
      </c>
      <c r="AF604" s="84">
        <v>0</v>
      </c>
      <c r="AG604" s="92" t="s">
        <v>1453</v>
      </c>
      <c r="AH604" s="84" t="b">
        <v>0</v>
      </c>
      <c r="AI604" s="84" t="s">
        <v>1456</v>
      </c>
      <c r="AJ604" s="84"/>
      <c r="AK604" s="92" t="s">
        <v>1453</v>
      </c>
      <c r="AL604" s="84" t="b">
        <v>0</v>
      </c>
      <c r="AM604" s="84">
        <v>44</v>
      </c>
      <c r="AN604" s="92" t="s">
        <v>1428</v>
      </c>
      <c r="AO604" s="84" t="s">
        <v>1465</v>
      </c>
      <c r="AP604" s="84" t="b">
        <v>0</v>
      </c>
      <c r="AQ604" s="92" t="s">
        <v>1428</v>
      </c>
      <c r="AR604" s="84" t="s">
        <v>187</v>
      </c>
      <c r="AS604" s="84">
        <v>0</v>
      </c>
      <c r="AT604" s="84">
        <v>0</v>
      </c>
      <c r="AU604" s="84"/>
      <c r="AV604" s="84"/>
      <c r="AW604" s="84"/>
      <c r="AX604" s="84"/>
      <c r="AY604" s="84"/>
      <c r="AZ604" s="84"/>
      <c r="BA604" s="84"/>
      <c r="BB604" s="84"/>
      <c r="BC604">
        <v>1</v>
      </c>
      <c r="BD604" s="83" t="str">
        <f>REPLACE(INDEX(GroupVertices[Group],MATCH(Edges[[#This Row],[Vertex 1]],GroupVertices[Vertex],0)),1,1,"")</f>
        <v>1</v>
      </c>
      <c r="BE604" s="83" t="str">
        <f>REPLACE(INDEX(GroupVertices[Group],MATCH(Edges[[#This Row],[Vertex 2]],GroupVertices[Vertex],0)),1,1,"")</f>
        <v>1</v>
      </c>
      <c r="BF604" s="49">
        <v>0</v>
      </c>
      <c r="BG604" s="50">
        <v>0</v>
      </c>
      <c r="BH604" s="49">
        <v>0</v>
      </c>
      <c r="BI604" s="50">
        <v>0</v>
      </c>
      <c r="BJ604" s="49">
        <v>0</v>
      </c>
      <c r="BK604" s="50">
        <v>0</v>
      </c>
      <c r="BL604" s="49">
        <v>30</v>
      </c>
      <c r="BM604" s="50">
        <v>100</v>
      </c>
      <c r="BN604" s="49">
        <v>30</v>
      </c>
    </row>
    <row r="605" spans="1:66" ht="15">
      <c r="A605" s="68" t="s">
        <v>390</v>
      </c>
      <c r="B605" s="68" t="s">
        <v>390</v>
      </c>
      <c r="C605" s="69" t="s">
        <v>5209</v>
      </c>
      <c r="D605" s="70">
        <v>6.678367782143116</v>
      </c>
      <c r="E605" s="71" t="s">
        <v>132</v>
      </c>
      <c r="F605" s="72">
        <v>21</v>
      </c>
      <c r="G605" s="69" t="s">
        <v>51</v>
      </c>
      <c r="H605" s="73"/>
      <c r="I605" s="74"/>
      <c r="J605" s="74"/>
      <c r="K605" s="35" t="s">
        <v>65</v>
      </c>
      <c r="L605" s="82">
        <v>605</v>
      </c>
      <c r="M605" s="82"/>
      <c r="N605" s="76"/>
      <c r="O605" s="84" t="s">
        <v>439</v>
      </c>
      <c r="P605" s="86">
        <v>44083.6169212963</v>
      </c>
      <c r="Q605" s="84" t="s">
        <v>509</v>
      </c>
      <c r="R605" s="87" t="str">
        <f>HYPERLINK("https://www.dailymail.co.uk/news/article-8714225/US-daily-COVID-19-cases-drop-40k-time-June.html?ito=amp_twitter_share-top")</f>
        <v>https://www.dailymail.co.uk/news/article-8714225/US-daily-COVID-19-cases-drop-40k-time-June.html?ito=amp_twitter_share-top</v>
      </c>
      <c r="S605" s="84" t="s">
        <v>558</v>
      </c>
      <c r="T605" s="84" t="s">
        <v>620</v>
      </c>
      <c r="U605" s="84"/>
      <c r="V605" s="87" t="str">
        <f>HYPERLINK("http://pbs.twimg.com/profile_images/760774125522518016/jhzjWv0i_normal.jpg")</f>
        <v>http://pbs.twimg.com/profile_images/760774125522518016/jhzjWv0i_normal.jpg</v>
      </c>
      <c r="W605" s="86">
        <v>44083.6169212963</v>
      </c>
      <c r="X605" s="90">
        <v>44083</v>
      </c>
      <c r="Y605" s="92" t="s">
        <v>985</v>
      </c>
      <c r="Z605" s="87" t="str">
        <f>HYPERLINK("https://twitter.com/chidambara09/status/1303706820347797506")</f>
        <v>https://twitter.com/chidambara09/status/1303706820347797506</v>
      </c>
      <c r="AA605" s="84"/>
      <c r="AB605" s="84"/>
      <c r="AC605" s="92" t="s">
        <v>1399</v>
      </c>
      <c r="AD605" s="84"/>
      <c r="AE605" s="84" t="b">
        <v>0</v>
      </c>
      <c r="AF605" s="84">
        <v>0</v>
      </c>
      <c r="AG605" s="92" t="s">
        <v>1453</v>
      </c>
      <c r="AH605" s="84" t="b">
        <v>0</v>
      </c>
      <c r="AI605" s="84" t="s">
        <v>1456</v>
      </c>
      <c r="AJ605" s="84"/>
      <c r="AK605" s="92" t="s">
        <v>1453</v>
      </c>
      <c r="AL605" s="84" t="b">
        <v>0</v>
      </c>
      <c r="AM605" s="84">
        <v>15</v>
      </c>
      <c r="AN605" s="92" t="s">
        <v>1398</v>
      </c>
      <c r="AO605" s="84" t="s">
        <v>1465</v>
      </c>
      <c r="AP605" s="84" t="b">
        <v>0</v>
      </c>
      <c r="AQ605" s="92" t="s">
        <v>1398</v>
      </c>
      <c r="AR605" s="84" t="s">
        <v>187</v>
      </c>
      <c r="AS605" s="84">
        <v>0</v>
      </c>
      <c r="AT605" s="84">
        <v>0</v>
      </c>
      <c r="AU605" s="84"/>
      <c r="AV605" s="84"/>
      <c r="AW605" s="84"/>
      <c r="AX605" s="84"/>
      <c r="AY605" s="84"/>
      <c r="AZ605" s="84"/>
      <c r="BA605" s="84"/>
      <c r="BB605" s="84"/>
      <c r="BC605">
        <v>2</v>
      </c>
      <c r="BD605" s="83" t="str">
        <f>REPLACE(INDEX(GroupVertices[Group],MATCH(Edges[[#This Row],[Vertex 1]],GroupVertices[Vertex],0)),1,1,"")</f>
        <v>1</v>
      </c>
      <c r="BE605" s="83" t="str">
        <f>REPLACE(INDEX(GroupVertices[Group],MATCH(Edges[[#This Row],[Vertex 2]],GroupVertices[Vertex],0)),1,1,"")</f>
        <v>1</v>
      </c>
      <c r="BF605" s="49"/>
      <c r="BG605" s="50"/>
      <c r="BH605" s="49"/>
      <c r="BI605" s="50"/>
      <c r="BJ605" s="49"/>
      <c r="BK605" s="50"/>
      <c r="BL605" s="49"/>
      <c r="BM605" s="50"/>
      <c r="BN605" s="49"/>
    </row>
    <row r="606" spans="1:66" ht="15">
      <c r="A606" s="68" t="s">
        <v>390</v>
      </c>
      <c r="B606" s="68" t="s">
        <v>390</v>
      </c>
      <c r="C606" s="69" t="s">
        <v>5208</v>
      </c>
      <c r="D606" s="70">
        <v>1</v>
      </c>
      <c r="E606" s="71" t="s">
        <v>132</v>
      </c>
      <c r="F606" s="72">
        <v>32</v>
      </c>
      <c r="G606" s="69" t="s">
        <v>51</v>
      </c>
      <c r="H606" s="73"/>
      <c r="I606" s="74"/>
      <c r="J606" s="74"/>
      <c r="K606" s="35" t="s">
        <v>65</v>
      </c>
      <c r="L606" s="82">
        <v>606</v>
      </c>
      <c r="M606" s="82"/>
      <c r="N606" s="76"/>
      <c r="O606" s="84" t="s">
        <v>187</v>
      </c>
      <c r="P606" s="86">
        <v>44084.77310185185</v>
      </c>
      <c r="Q606" s="84" t="s">
        <v>481</v>
      </c>
      <c r="R606" s="87" t="str">
        <f>HYPERLINK("https://www.aitrends.com/ai-research/covid-19-ai-update-nih-developing-imaging-tools/")</f>
        <v>https://www.aitrends.com/ai-research/covid-19-ai-update-nih-developing-imaging-tools/</v>
      </c>
      <c r="S606" s="84" t="s">
        <v>548</v>
      </c>
      <c r="T606" s="84" t="s">
        <v>634</v>
      </c>
      <c r="U606" s="84"/>
      <c r="V606" s="87" t="str">
        <f>HYPERLINK("http://pbs.twimg.com/profile_images/760774125522518016/jhzjWv0i_normal.jpg")</f>
        <v>http://pbs.twimg.com/profile_images/760774125522518016/jhzjWv0i_normal.jpg</v>
      </c>
      <c r="W606" s="86">
        <v>44084.77310185185</v>
      </c>
      <c r="X606" s="90">
        <v>44084</v>
      </c>
      <c r="Y606" s="92" t="s">
        <v>991</v>
      </c>
      <c r="Z606" s="87" t="str">
        <f>HYPERLINK("https://twitter.com/chidambara09/status/1304125807032324096")</f>
        <v>https://twitter.com/chidambara09/status/1304125807032324096</v>
      </c>
      <c r="AA606" s="84"/>
      <c r="AB606" s="84"/>
      <c r="AC606" s="92" t="s">
        <v>1405</v>
      </c>
      <c r="AD606" s="84"/>
      <c r="AE606" s="84" t="b">
        <v>0</v>
      </c>
      <c r="AF606" s="84">
        <v>5</v>
      </c>
      <c r="AG606" s="92" t="s">
        <v>1453</v>
      </c>
      <c r="AH606" s="84" t="b">
        <v>0</v>
      </c>
      <c r="AI606" s="84" t="s">
        <v>1456</v>
      </c>
      <c r="AJ606" s="84"/>
      <c r="AK606" s="92" t="s">
        <v>1453</v>
      </c>
      <c r="AL606" s="84" t="b">
        <v>0</v>
      </c>
      <c r="AM606" s="84">
        <v>17</v>
      </c>
      <c r="AN606" s="92" t="s">
        <v>1453</v>
      </c>
      <c r="AO606" s="84" t="s">
        <v>1464</v>
      </c>
      <c r="AP606" s="84" t="b">
        <v>0</v>
      </c>
      <c r="AQ606" s="92" t="s">
        <v>1405</v>
      </c>
      <c r="AR606" s="84" t="s">
        <v>187</v>
      </c>
      <c r="AS606" s="84">
        <v>0</v>
      </c>
      <c r="AT606" s="84">
        <v>0</v>
      </c>
      <c r="AU606" s="84"/>
      <c r="AV606" s="84"/>
      <c r="AW606" s="84"/>
      <c r="AX606" s="84"/>
      <c r="AY606" s="84"/>
      <c r="AZ606" s="84"/>
      <c r="BA606" s="84"/>
      <c r="BB606" s="84"/>
      <c r="BC606">
        <v>1</v>
      </c>
      <c r="BD606" s="83" t="str">
        <f>REPLACE(INDEX(GroupVertices[Group],MATCH(Edges[[#This Row],[Vertex 1]],GroupVertices[Vertex],0)),1,1,"")</f>
        <v>1</v>
      </c>
      <c r="BE606" s="83" t="str">
        <f>REPLACE(INDEX(GroupVertices[Group],MATCH(Edges[[#This Row],[Vertex 2]],GroupVertices[Vertex],0)),1,1,"")</f>
        <v>1</v>
      </c>
      <c r="BF606" s="49">
        <v>0</v>
      </c>
      <c r="BG606" s="50">
        <v>0</v>
      </c>
      <c r="BH606" s="49">
        <v>0</v>
      </c>
      <c r="BI606" s="50">
        <v>0</v>
      </c>
      <c r="BJ606" s="49">
        <v>0</v>
      </c>
      <c r="BK606" s="50">
        <v>0</v>
      </c>
      <c r="BL606" s="49">
        <v>28</v>
      </c>
      <c r="BM606" s="50">
        <v>100</v>
      </c>
      <c r="BN606" s="49">
        <v>28</v>
      </c>
    </row>
    <row r="607" spans="1:66" ht="15">
      <c r="A607" s="68" t="s">
        <v>390</v>
      </c>
      <c r="B607" s="68" t="s">
        <v>390</v>
      </c>
      <c r="C607" s="69" t="s">
        <v>5209</v>
      </c>
      <c r="D607" s="70">
        <v>6.678367782143116</v>
      </c>
      <c r="E607" s="71" t="s">
        <v>132</v>
      </c>
      <c r="F607" s="72">
        <v>21</v>
      </c>
      <c r="G607" s="69" t="s">
        <v>51</v>
      </c>
      <c r="H607" s="73"/>
      <c r="I607" s="74"/>
      <c r="J607" s="74"/>
      <c r="K607" s="35" t="s">
        <v>65</v>
      </c>
      <c r="L607" s="82">
        <v>607</v>
      </c>
      <c r="M607" s="82"/>
      <c r="N607" s="76"/>
      <c r="O607" s="84" t="s">
        <v>439</v>
      </c>
      <c r="P607" s="86">
        <v>44086.366875</v>
      </c>
      <c r="Q607" s="84" t="s">
        <v>484</v>
      </c>
      <c r="R607" s="87" t="str">
        <f>HYPERLINK("https://www.weforum.org/agenda/2020/09/prevent-post-covid-carmageddon")</f>
        <v>https://www.weforum.org/agenda/2020/09/prevent-post-covid-carmageddon</v>
      </c>
      <c r="S607" s="84" t="s">
        <v>549</v>
      </c>
      <c r="T607" s="84" t="s">
        <v>600</v>
      </c>
      <c r="U607" s="84"/>
      <c r="V607" s="87" t="str">
        <f>HYPERLINK("http://pbs.twimg.com/profile_images/760774125522518016/jhzjWv0i_normal.jpg")</f>
        <v>http://pbs.twimg.com/profile_images/760774125522518016/jhzjWv0i_normal.jpg</v>
      </c>
      <c r="W607" s="86">
        <v>44086.366875</v>
      </c>
      <c r="X607" s="90">
        <v>44086</v>
      </c>
      <c r="Y607" s="92" t="s">
        <v>988</v>
      </c>
      <c r="Z607" s="87" t="str">
        <f>HYPERLINK("https://twitter.com/chidambara09/status/1304703369731215363")</f>
        <v>https://twitter.com/chidambara09/status/1304703369731215363</v>
      </c>
      <c r="AA607" s="84"/>
      <c r="AB607" s="84"/>
      <c r="AC607" s="92" t="s">
        <v>1402</v>
      </c>
      <c r="AD607" s="84"/>
      <c r="AE607" s="84" t="b">
        <v>0</v>
      </c>
      <c r="AF607" s="84">
        <v>0</v>
      </c>
      <c r="AG607" s="92" t="s">
        <v>1453</v>
      </c>
      <c r="AH607" s="84" t="b">
        <v>0</v>
      </c>
      <c r="AI607" s="84" t="s">
        <v>1456</v>
      </c>
      <c r="AJ607" s="84"/>
      <c r="AK607" s="92" t="s">
        <v>1453</v>
      </c>
      <c r="AL607" s="84" t="b">
        <v>0</v>
      </c>
      <c r="AM607" s="84">
        <v>36</v>
      </c>
      <c r="AN607" s="92" t="s">
        <v>1401</v>
      </c>
      <c r="AO607" s="84" t="s">
        <v>1465</v>
      </c>
      <c r="AP607" s="84" t="b">
        <v>0</v>
      </c>
      <c r="AQ607" s="92" t="s">
        <v>1401</v>
      </c>
      <c r="AR607" s="84" t="s">
        <v>187</v>
      </c>
      <c r="AS607" s="84">
        <v>0</v>
      </c>
      <c r="AT607" s="84">
        <v>0</v>
      </c>
      <c r="AU607" s="84"/>
      <c r="AV607" s="84"/>
      <c r="AW607" s="84"/>
      <c r="AX607" s="84"/>
      <c r="AY607" s="84"/>
      <c r="AZ607" s="84"/>
      <c r="BA607" s="84"/>
      <c r="BB607" s="84"/>
      <c r="BC607">
        <v>2</v>
      </c>
      <c r="BD607" s="83" t="str">
        <f>REPLACE(INDEX(GroupVertices[Group],MATCH(Edges[[#This Row],[Vertex 1]],GroupVertices[Vertex],0)),1,1,"")</f>
        <v>1</v>
      </c>
      <c r="BE607" s="83" t="str">
        <f>REPLACE(INDEX(GroupVertices[Group],MATCH(Edges[[#This Row],[Vertex 2]],GroupVertices[Vertex],0)),1,1,"")</f>
        <v>1</v>
      </c>
      <c r="BF607" s="49"/>
      <c r="BG607" s="50"/>
      <c r="BH607" s="49"/>
      <c r="BI607" s="50"/>
      <c r="BJ607" s="49"/>
      <c r="BK607" s="50"/>
      <c r="BL607" s="49"/>
      <c r="BM607" s="50"/>
      <c r="BN607" s="49"/>
    </row>
    <row r="608" spans="1:66" ht="15">
      <c r="A608" s="68" t="s">
        <v>416</v>
      </c>
      <c r="B608" s="68" t="s">
        <v>390</v>
      </c>
      <c r="C608" s="69" t="s">
        <v>5209</v>
      </c>
      <c r="D608" s="70">
        <v>6.678367782143116</v>
      </c>
      <c r="E608" s="71" t="s">
        <v>132</v>
      </c>
      <c r="F608" s="72">
        <v>21</v>
      </c>
      <c r="G608" s="69" t="s">
        <v>51</v>
      </c>
      <c r="H608" s="73"/>
      <c r="I608" s="74"/>
      <c r="J608" s="74"/>
      <c r="K608" s="35" t="s">
        <v>65</v>
      </c>
      <c r="L608" s="82">
        <v>608</v>
      </c>
      <c r="M608" s="82"/>
      <c r="N608" s="76"/>
      <c r="O608" s="84" t="s">
        <v>439</v>
      </c>
      <c r="P608" s="86">
        <v>44083.61572916667</v>
      </c>
      <c r="Q608" s="84" t="s">
        <v>509</v>
      </c>
      <c r="R608" s="87" t="str">
        <f>HYPERLINK("https://www.dailymail.co.uk/news/article-8714225/US-daily-COVID-19-cases-drop-40k-time-June.html?ito=amp_twitter_share-top")</f>
        <v>https://www.dailymail.co.uk/news/article-8714225/US-daily-COVID-19-cases-drop-40k-time-June.html?ito=amp_twitter_share-top</v>
      </c>
      <c r="S608" s="84" t="s">
        <v>558</v>
      </c>
      <c r="T608" s="84" t="s">
        <v>620</v>
      </c>
      <c r="U608" s="84"/>
      <c r="V608" s="87" t="str">
        <f>HYPERLINK("http://pbs.twimg.com/profile_images/885513954818220033/gf3Ci4dO_normal.jpg")</f>
        <v>http://pbs.twimg.com/profile_images/885513954818220033/gf3Ci4dO_normal.jpg</v>
      </c>
      <c r="W608" s="86">
        <v>44083.61572916667</v>
      </c>
      <c r="X608" s="90">
        <v>44083</v>
      </c>
      <c r="Y608" s="92" t="s">
        <v>986</v>
      </c>
      <c r="Z608" s="87" t="str">
        <f>HYPERLINK("https://twitter.com/taieb_bot/status/1303706389110566912")</f>
        <v>https://twitter.com/taieb_bot/status/1303706389110566912</v>
      </c>
      <c r="AA608" s="84"/>
      <c r="AB608" s="84"/>
      <c r="AC608" s="92" t="s">
        <v>1400</v>
      </c>
      <c r="AD608" s="84"/>
      <c r="AE608" s="84" t="b">
        <v>0</v>
      </c>
      <c r="AF608" s="84">
        <v>0</v>
      </c>
      <c r="AG608" s="92" t="s">
        <v>1453</v>
      </c>
      <c r="AH608" s="84" t="b">
        <v>0</v>
      </c>
      <c r="AI608" s="84" t="s">
        <v>1456</v>
      </c>
      <c r="AJ608" s="84"/>
      <c r="AK608" s="92" t="s">
        <v>1453</v>
      </c>
      <c r="AL608" s="84" t="b">
        <v>0</v>
      </c>
      <c r="AM608" s="84">
        <v>15</v>
      </c>
      <c r="AN608" s="92" t="s">
        <v>1398</v>
      </c>
      <c r="AO608" s="84" t="s">
        <v>1528</v>
      </c>
      <c r="AP608" s="84" t="b">
        <v>0</v>
      </c>
      <c r="AQ608" s="92" t="s">
        <v>1398</v>
      </c>
      <c r="AR608" s="84" t="s">
        <v>187</v>
      </c>
      <c r="AS608" s="84">
        <v>0</v>
      </c>
      <c r="AT608" s="84">
        <v>0</v>
      </c>
      <c r="AU608" s="84"/>
      <c r="AV608" s="84"/>
      <c r="AW608" s="84"/>
      <c r="AX608" s="84"/>
      <c r="AY608" s="84"/>
      <c r="AZ608" s="84"/>
      <c r="BA608" s="84"/>
      <c r="BB608" s="84"/>
      <c r="BC608">
        <v>2</v>
      </c>
      <c r="BD608" s="83" t="str">
        <f>REPLACE(INDEX(GroupVertices[Group],MATCH(Edges[[#This Row],[Vertex 1]],GroupVertices[Vertex],0)),1,1,"")</f>
        <v>1</v>
      </c>
      <c r="BE608" s="83" t="str">
        <f>REPLACE(INDEX(GroupVertices[Group],MATCH(Edges[[#This Row],[Vertex 2]],GroupVertices[Vertex],0)),1,1,"")</f>
        <v>1</v>
      </c>
      <c r="BF608" s="49">
        <v>0</v>
      </c>
      <c r="BG608" s="50">
        <v>0</v>
      </c>
      <c r="BH608" s="49">
        <v>0</v>
      </c>
      <c r="BI608" s="50">
        <v>0</v>
      </c>
      <c r="BJ608" s="49">
        <v>0</v>
      </c>
      <c r="BK608" s="50">
        <v>0</v>
      </c>
      <c r="BL608" s="49">
        <v>33</v>
      </c>
      <c r="BM608" s="50">
        <v>100</v>
      </c>
      <c r="BN608" s="49">
        <v>33</v>
      </c>
    </row>
    <row r="609" spans="1:66" ht="15">
      <c r="A609" s="68" t="s">
        <v>416</v>
      </c>
      <c r="B609" s="68" t="s">
        <v>390</v>
      </c>
      <c r="C609" s="69" t="s">
        <v>5209</v>
      </c>
      <c r="D609" s="70">
        <v>6.678367782143116</v>
      </c>
      <c r="E609" s="71" t="s">
        <v>132</v>
      </c>
      <c r="F609" s="72">
        <v>21</v>
      </c>
      <c r="G609" s="69" t="s">
        <v>51</v>
      </c>
      <c r="H609" s="73"/>
      <c r="I609" s="74"/>
      <c r="J609" s="74"/>
      <c r="K609" s="35" t="s">
        <v>65</v>
      </c>
      <c r="L609" s="82">
        <v>609</v>
      </c>
      <c r="M609" s="82"/>
      <c r="N609" s="76"/>
      <c r="O609" s="84" t="s">
        <v>439</v>
      </c>
      <c r="P609" s="86">
        <v>44086.37414351852</v>
      </c>
      <c r="Q609" s="84" t="s">
        <v>484</v>
      </c>
      <c r="R609" s="87" t="str">
        <f>HYPERLINK("https://www.weforum.org/agenda/2020/09/prevent-post-covid-carmageddon")</f>
        <v>https://www.weforum.org/agenda/2020/09/prevent-post-covid-carmageddon</v>
      </c>
      <c r="S609" s="84" t="s">
        <v>549</v>
      </c>
      <c r="T609" s="84" t="s">
        <v>600</v>
      </c>
      <c r="U609" s="84"/>
      <c r="V609" s="87" t="str">
        <f>HYPERLINK("http://pbs.twimg.com/profile_images/885513954818220033/gf3Ci4dO_normal.jpg")</f>
        <v>http://pbs.twimg.com/profile_images/885513954818220033/gf3Ci4dO_normal.jpg</v>
      </c>
      <c r="W609" s="86">
        <v>44086.37414351852</v>
      </c>
      <c r="X609" s="90">
        <v>44086</v>
      </c>
      <c r="Y609" s="92" t="s">
        <v>989</v>
      </c>
      <c r="Z609" s="87" t="str">
        <f>HYPERLINK("https://twitter.com/taieb_bot/status/1304706007004741632")</f>
        <v>https://twitter.com/taieb_bot/status/1304706007004741632</v>
      </c>
      <c r="AA609" s="84"/>
      <c r="AB609" s="84"/>
      <c r="AC609" s="92" t="s">
        <v>1403</v>
      </c>
      <c r="AD609" s="84"/>
      <c r="AE609" s="84" t="b">
        <v>0</v>
      </c>
      <c r="AF609" s="84">
        <v>0</v>
      </c>
      <c r="AG609" s="92" t="s">
        <v>1453</v>
      </c>
      <c r="AH609" s="84" t="b">
        <v>0</v>
      </c>
      <c r="AI609" s="84" t="s">
        <v>1456</v>
      </c>
      <c r="AJ609" s="84"/>
      <c r="AK609" s="92" t="s">
        <v>1453</v>
      </c>
      <c r="AL609" s="84" t="b">
        <v>0</v>
      </c>
      <c r="AM609" s="84">
        <v>36</v>
      </c>
      <c r="AN609" s="92" t="s">
        <v>1401</v>
      </c>
      <c r="AO609" s="84" t="s">
        <v>1528</v>
      </c>
      <c r="AP609" s="84" t="b">
        <v>0</v>
      </c>
      <c r="AQ609" s="92" t="s">
        <v>1401</v>
      </c>
      <c r="AR609" s="84" t="s">
        <v>187</v>
      </c>
      <c r="AS609" s="84">
        <v>0</v>
      </c>
      <c r="AT609" s="84">
        <v>0</v>
      </c>
      <c r="AU609" s="84"/>
      <c r="AV609" s="84"/>
      <c r="AW609" s="84"/>
      <c r="AX609" s="84"/>
      <c r="AY609" s="84"/>
      <c r="AZ609" s="84"/>
      <c r="BA609" s="84"/>
      <c r="BB609" s="84"/>
      <c r="BC609">
        <v>2</v>
      </c>
      <c r="BD609" s="83" t="str">
        <f>REPLACE(INDEX(GroupVertices[Group],MATCH(Edges[[#This Row],[Vertex 1]],GroupVertices[Vertex],0)),1,1,"")</f>
        <v>1</v>
      </c>
      <c r="BE609" s="83" t="str">
        <f>REPLACE(INDEX(GroupVertices[Group],MATCH(Edges[[#This Row],[Vertex 2]],GroupVertices[Vertex],0)),1,1,"")</f>
        <v>1</v>
      </c>
      <c r="BF609" s="49">
        <v>0</v>
      </c>
      <c r="BG609" s="50">
        <v>0</v>
      </c>
      <c r="BH609" s="49">
        <v>0</v>
      </c>
      <c r="BI609" s="50">
        <v>0</v>
      </c>
      <c r="BJ609" s="49">
        <v>0</v>
      </c>
      <c r="BK609" s="50">
        <v>0</v>
      </c>
      <c r="BL609" s="49">
        <v>31</v>
      </c>
      <c r="BM609" s="50">
        <v>100</v>
      </c>
      <c r="BN609" s="49">
        <v>31</v>
      </c>
    </row>
    <row r="610" spans="1:66" ht="15">
      <c r="A610" s="68" t="s">
        <v>418</v>
      </c>
      <c r="B610" s="68" t="s">
        <v>436</v>
      </c>
      <c r="C610" s="69" t="s">
        <v>5208</v>
      </c>
      <c r="D610" s="70">
        <v>1</v>
      </c>
      <c r="E610" s="71" t="s">
        <v>132</v>
      </c>
      <c r="F610" s="72">
        <v>32</v>
      </c>
      <c r="G610" s="69" t="s">
        <v>51</v>
      </c>
      <c r="H610" s="73"/>
      <c r="I610" s="74"/>
      <c r="J610" s="74"/>
      <c r="K610" s="35" t="s">
        <v>65</v>
      </c>
      <c r="L610" s="82">
        <v>610</v>
      </c>
      <c r="M610" s="82"/>
      <c r="N610" s="76"/>
      <c r="O610" s="84" t="s">
        <v>441</v>
      </c>
      <c r="P610" s="86">
        <v>43954.76516203704</v>
      </c>
      <c r="Q610" s="84" t="s">
        <v>490</v>
      </c>
      <c r="R610" s="84" t="s">
        <v>528</v>
      </c>
      <c r="S610" s="84" t="s">
        <v>561</v>
      </c>
      <c r="T610" s="84" t="s">
        <v>635</v>
      </c>
      <c r="U610" s="84"/>
      <c r="V610" s="87" t="str">
        <f>HYPERLINK("http://pbs.twimg.com/profile_images/1293347736100708353/QsLqdzOV_normal.jpg")</f>
        <v>http://pbs.twimg.com/profile_images/1293347736100708353/QsLqdzOV_normal.jpg</v>
      </c>
      <c r="W610" s="86">
        <v>43954.76516203704</v>
      </c>
      <c r="X610" s="90">
        <v>43954</v>
      </c>
      <c r="Y610" s="92" t="s">
        <v>992</v>
      </c>
      <c r="Z610" s="87" t="str">
        <f>HYPERLINK("https://twitter.com/worldofscitech/status/1257012505546829825")</f>
        <v>https://twitter.com/worldofscitech/status/1257012505546829825</v>
      </c>
      <c r="AA610" s="84"/>
      <c r="AB610" s="84"/>
      <c r="AC610" s="92" t="s">
        <v>1406</v>
      </c>
      <c r="AD610" s="84"/>
      <c r="AE610" s="84" t="b">
        <v>0</v>
      </c>
      <c r="AF610" s="84">
        <v>650</v>
      </c>
      <c r="AG610" s="92" t="s">
        <v>1453</v>
      </c>
      <c r="AH610" s="84" t="b">
        <v>0</v>
      </c>
      <c r="AI610" s="84" t="s">
        <v>1456</v>
      </c>
      <c r="AJ610" s="84"/>
      <c r="AK610" s="92" t="s">
        <v>1453</v>
      </c>
      <c r="AL610" s="84" t="b">
        <v>0</v>
      </c>
      <c r="AM610" s="84">
        <v>449</v>
      </c>
      <c r="AN610" s="92" t="s">
        <v>1453</v>
      </c>
      <c r="AO610" s="84" t="s">
        <v>1464</v>
      </c>
      <c r="AP610" s="84" t="b">
        <v>0</v>
      </c>
      <c r="AQ610" s="92" t="s">
        <v>1406</v>
      </c>
      <c r="AR610" s="84" t="s">
        <v>439</v>
      </c>
      <c r="AS610" s="84">
        <v>0</v>
      </c>
      <c r="AT610" s="84">
        <v>0</v>
      </c>
      <c r="AU610" s="84"/>
      <c r="AV610" s="84"/>
      <c r="AW610" s="84"/>
      <c r="AX610" s="84"/>
      <c r="AY610" s="84"/>
      <c r="AZ610" s="84"/>
      <c r="BA610" s="84"/>
      <c r="BB610" s="84"/>
      <c r="BC610">
        <v>1</v>
      </c>
      <c r="BD610" s="83" t="str">
        <f>REPLACE(INDEX(GroupVertices[Group],MATCH(Edges[[#This Row],[Vertex 1]],GroupVertices[Vertex],0)),1,1,"")</f>
        <v>1</v>
      </c>
      <c r="BE610" s="83" t="str">
        <f>REPLACE(INDEX(GroupVertices[Group],MATCH(Edges[[#This Row],[Vertex 2]],GroupVertices[Vertex],0)),1,1,"")</f>
        <v>1</v>
      </c>
      <c r="BF610" s="49">
        <v>0</v>
      </c>
      <c r="BG610" s="50">
        <v>0</v>
      </c>
      <c r="BH610" s="49">
        <v>0</v>
      </c>
      <c r="BI610" s="50">
        <v>0</v>
      </c>
      <c r="BJ610" s="49">
        <v>0</v>
      </c>
      <c r="BK610" s="50">
        <v>0</v>
      </c>
      <c r="BL610" s="49">
        <v>25</v>
      </c>
      <c r="BM610" s="50">
        <v>100</v>
      </c>
      <c r="BN610" s="49">
        <v>25</v>
      </c>
    </row>
    <row r="611" spans="1:66" ht="15">
      <c r="A611" s="68" t="s">
        <v>418</v>
      </c>
      <c r="B611" s="68" t="s">
        <v>436</v>
      </c>
      <c r="C611" s="69" t="s">
        <v>5208</v>
      </c>
      <c r="D611" s="70">
        <v>1</v>
      </c>
      <c r="E611" s="71" t="s">
        <v>132</v>
      </c>
      <c r="F611" s="72">
        <v>32</v>
      </c>
      <c r="G611" s="69" t="s">
        <v>51</v>
      </c>
      <c r="H611" s="73"/>
      <c r="I611" s="74"/>
      <c r="J611" s="74"/>
      <c r="K611" s="35" t="s">
        <v>65</v>
      </c>
      <c r="L611" s="82">
        <v>611</v>
      </c>
      <c r="M611" s="82"/>
      <c r="N611" s="76"/>
      <c r="O611" s="84" t="s">
        <v>440</v>
      </c>
      <c r="P611" s="86">
        <v>44088.721724537034</v>
      </c>
      <c r="Q611" s="84" t="s">
        <v>490</v>
      </c>
      <c r="R611" s="87" t="str">
        <f>HYPERLINK("https://online-learning.harvard.edu/catalog")</f>
        <v>https://online-learning.harvard.edu/catalog</v>
      </c>
      <c r="S611" s="84" t="s">
        <v>551</v>
      </c>
      <c r="T611" s="84" t="s">
        <v>606</v>
      </c>
      <c r="U611" s="84"/>
      <c r="V611" s="87" t="str">
        <f>HYPERLINK("http://pbs.twimg.com/profile_images/1293347736100708353/QsLqdzOV_normal.jpg")</f>
        <v>http://pbs.twimg.com/profile_images/1293347736100708353/QsLqdzOV_normal.jpg</v>
      </c>
      <c r="W611" s="86">
        <v>44088.721724537034</v>
      </c>
      <c r="X611" s="90">
        <v>44088</v>
      </c>
      <c r="Y611" s="92" t="s">
        <v>993</v>
      </c>
      <c r="Z611" s="87" t="str">
        <f>HYPERLINK("https://twitter.com/worldofscitech/status/1305556738242904065")</f>
        <v>https://twitter.com/worldofscitech/status/1305556738242904065</v>
      </c>
      <c r="AA611" s="84"/>
      <c r="AB611" s="84"/>
      <c r="AC611" s="92" t="s">
        <v>1407</v>
      </c>
      <c r="AD611" s="84"/>
      <c r="AE611" s="84" t="b">
        <v>0</v>
      </c>
      <c r="AF611" s="84">
        <v>0</v>
      </c>
      <c r="AG611" s="92" t="s">
        <v>1453</v>
      </c>
      <c r="AH611" s="84" t="b">
        <v>0</v>
      </c>
      <c r="AI611" s="84" t="s">
        <v>1456</v>
      </c>
      <c r="AJ611" s="84"/>
      <c r="AK611" s="92" t="s">
        <v>1453</v>
      </c>
      <c r="AL611" s="84" t="b">
        <v>0</v>
      </c>
      <c r="AM611" s="84">
        <v>449</v>
      </c>
      <c r="AN611" s="92" t="s">
        <v>1406</v>
      </c>
      <c r="AO611" s="84" t="s">
        <v>1464</v>
      </c>
      <c r="AP611" s="84" t="b">
        <v>0</v>
      </c>
      <c r="AQ611" s="92" t="s">
        <v>1406</v>
      </c>
      <c r="AR611" s="84" t="s">
        <v>187</v>
      </c>
      <c r="AS611" s="84">
        <v>0</v>
      </c>
      <c r="AT611" s="84">
        <v>0</v>
      </c>
      <c r="AU611" s="84"/>
      <c r="AV611" s="84"/>
      <c r="AW611" s="84"/>
      <c r="AX611" s="84"/>
      <c r="AY611" s="84"/>
      <c r="AZ611" s="84"/>
      <c r="BA611" s="84"/>
      <c r="BB611" s="84"/>
      <c r="BC611">
        <v>1</v>
      </c>
      <c r="BD611" s="83" t="str">
        <f>REPLACE(INDEX(GroupVertices[Group],MATCH(Edges[[#This Row],[Vertex 1]],GroupVertices[Vertex],0)),1,1,"")</f>
        <v>1</v>
      </c>
      <c r="BE611" s="83" t="str">
        <f>REPLACE(INDEX(GroupVertices[Group],MATCH(Edges[[#This Row],[Vertex 2]],GroupVertices[Vertex],0)),1,1,"")</f>
        <v>1</v>
      </c>
      <c r="BF611" s="49"/>
      <c r="BG611" s="50"/>
      <c r="BH611" s="49"/>
      <c r="BI611" s="50"/>
      <c r="BJ611" s="49"/>
      <c r="BK611" s="50"/>
      <c r="BL611" s="49"/>
      <c r="BM611" s="50"/>
      <c r="BN611" s="49"/>
    </row>
    <row r="612" spans="1:66" ht="15">
      <c r="A612" s="68" t="s">
        <v>416</v>
      </c>
      <c r="B612" s="68" t="s">
        <v>436</v>
      </c>
      <c r="C612" s="69" t="s">
        <v>5209</v>
      </c>
      <c r="D612" s="70">
        <v>6.678367782143116</v>
      </c>
      <c r="E612" s="71" t="s">
        <v>132</v>
      </c>
      <c r="F612" s="72">
        <v>21</v>
      </c>
      <c r="G612" s="69" t="s">
        <v>51</v>
      </c>
      <c r="H612" s="73"/>
      <c r="I612" s="74"/>
      <c r="J612" s="74"/>
      <c r="K612" s="35" t="s">
        <v>65</v>
      </c>
      <c r="L612" s="82">
        <v>612</v>
      </c>
      <c r="M612" s="82"/>
      <c r="N612" s="76"/>
      <c r="O612" s="84" t="s">
        <v>440</v>
      </c>
      <c r="P612" s="86">
        <v>44087.11503472222</v>
      </c>
      <c r="Q612" s="84" t="s">
        <v>490</v>
      </c>
      <c r="R612" s="87" t="str">
        <f>HYPERLINK("https://online-learning.harvard.edu/catalog")</f>
        <v>https://online-learning.harvard.edu/catalog</v>
      </c>
      <c r="S612" s="84" t="s">
        <v>551</v>
      </c>
      <c r="T612" s="84" t="s">
        <v>606</v>
      </c>
      <c r="U612" s="84"/>
      <c r="V612" s="87" t="str">
        <f>HYPERLINK("http://pbs.twimg.com/profile_images/885513954818220033/gf3Ci4dO_normal.jpg")</f>
        <v>http://pbs.twimg.com/profile_images/885513954818220033/gf3Ci4dO_normal.jpg</v>
      </c>
      <c r="W612" s="86">
        <v>44087.11503472222</v>
      </c>
      <c r="X612" s="90">
        <v>44087</v>
      </c>
      <c r="Y612" s="92" t="s">
        <v>994</v>
      </c>
      <c r="Z612" s="87" t="str">
        <f>HYPERLINK("https://twitter.com/taieb_bot/status/1304974494692528130")</f>
        <v>https://twitter.com/taieb_bot/status/1304974494692528130</v>
      </c>
      <c r="AA612" s="84"/>
      <c r="AB612" s="84"/>
      <c r="AC612" s="92" t="s">
        <v>1408</v>
      </c>
      <c r="AD612" s="84"/>
      <c r="AE612" s="84" t="b">
        <v>0</v>
      </c>
      <c r="AF612" s="84">
        <v>0</v>
      </c>
      <c r="AG612" s="92" t="s">
        <v>1453</v>
      </c>
      <c r="AH612" s="84" t="b">
        <v>0</v>
      </c>
      <c r="AI612" s="84" t="s">
        <v>1456</v>
      </c>
      <c r="AJ612" s="84"/>
      <c r="AK612" s="92" t="s">
        <v>1453</v>
      </c>
      <c r="AL612" s="84" t="b">
        <v>0</v>
      </c>
      <c r="AM612" s="84">
        <v>449</v>
      </c>
      <c r="AN612" s="92" t="s">
        <v>1406</v>
      </c>
      <c r="AO612" s="84" t="s">
        <v>1528</v>
      </c>
      <c r="AP612" s="84" t="b">
        <v>0</v>
      </c>
      <c r="AQ612" s="92" t="s">
        <v>1406</v>
      </c>
      <c r="AR612" s="84" t="s">
        <v>187</v>
      </c>
      <c r="AS612" s="84">
        <v>0</v>
      </c>
      <c r="AT612" s="84">
        <v>0</v>
      </c>
      <c r="AU612" s="84"/>
      <c r="AV612" s="84"/>
      <c r="AW612" s="84"/>
      <c r="AX612" s="84"/>
      <c r="AY612" s="84"/>
      <c r="AZ612" s="84"/>
      <c r="BA612" s="84"/>
      <c r="BB612" s="84"/>
      <c r="BC612">
        <v>2</v>
      </c>
      <c r="BD612" s="83" t="str">
        <f>REPLACE(INDEX(GroupVertices[Group],MATCH(Edges[[#This Row],[Vertex 1]],GroupVertices[Vertex],0)),1,1,"")</f>
        <v>1</v>
      </c>
      <c r="BE612" s="83" t="str">
        <f>REPLACE(INDEX(GroupVertices[Group],MATCH(Edges[[#This Row],[Vertex 2]],GroupVertices[Vertex],0)),1,1,"")</f>
        <v>1</v>
      </c>
      <c r="BF612" s="49"/>
      <c r="BG612" s="50"/>
      <c r="BH612" s="49"/>
      <c r="BI612" s="50"/>
      <c r="BJ612" s="49"/>
      <c r="BK612" s="50"/>
      <c r="BL612" s="49"/>
      <c r="BM612" s="50"/>
      <c r="BN612" s="49"/>
    </row>
    <row r="613" spans="1:66" ht="15">
      <c r="A613" s="68" t="s">
        <v>416</v>
      </c>
      <c r="B613" s="68" t="s">
        <v>436</v>
      </c>
      <c r="C613" s="69" t="s">
        <v>5209</v>
      </c>
      <c r="D613" s="70">
        <v>6.678367782143116</v>
      </c>
      <c r="E613" s="71" t="s">
        <v>132</v>
      </c>
      <c r="F613" s="72">
        <v>21</v>
      </c>
      <c r="G613" s="69" t="s">
        <v>51</v>
      </c>
      <c r="H613" s="73"/>
      <c r="I613" s="74"/>
      <c r="J613" s="74"/>
      <c r="K613" s="35" t="s">
        <v>65</v>
      </c>
      <c r="L613" s="82">
        <v>613</v>
      </c>
      <c r="M613" s="82"/>
      <c r="N613" s="76"/>
      <c r="O613" s="84" t="s">
        <v>440</v>
      </c>
      <c r="P613" s="86">
        <v>44088.72207175926</v>
      </c>
      <c r="Q613" s="84" t="s">
        <v>490</v>
      </c>
      <c r="R613" s="87" t="str">
        <f>HYPERLINK("https://online-learning.harvard.edu/catalog")</f>
        <v>https://online-learning.harvard.edu/catalog</v>
      </c>
      <c r="S613" s="84" t="s">
        <v>551</v>
      </c>
      <c r="T613" s="84" t="s">
        <v>606</v>
      </c>
      <c r="U613" s="84"/>
      <c r="V613" s="87" t="str">
        <f>HYPERLINK("http://pbs.twimg.com/profile_images/885513954818220033/gf3Ci4dO_normal.jpg")</f>
        <v>http://pbs.twimg.com/profile_images/885513954818220033/gf3Ci4dO_normal.jpg</v>
      </c>
      <c r="W613" s="86">
        <v>44088.72207175926</v>
      </c>
      <c r="X613" s="90">
        <v>44088</v>
      </c>
      <c r="Y613" s="92" t="s">
        <v>995</v>
      </c>
      <c r="Z613" s="87" t="str">
        <f>HYPERLINK("https://twitter.com/taieb_bot/status/1305556865833750528")</f>
        <v>https://twitter.com/taieb_bot/status/1305556865833750528</v>
      </c>
      <c r="AA613" s="84"/>
      <c r="AB613" s="84"/>
      <c r="AC613" s="92" t="s">
        <v>1409</v>
      </c>
      <c r="AD613" s="84"/>
      <c r="AE613" s="84" t="b">
        <v>0</v>
      </c>
      <c r="AF613" s="84">
        <v>0</v>
      </c>
      <c r="AG613" s="92" t="s">
        <v>1453</v>
      </c>
      <c r="AH613" s="84" t="b">
        <v>0</v>
      </c>
      <c r="AI613" s="84" t="s">
        <v>1456</v>
      </c>
      <c r="AJ613" s="84"/>
      <c r="AK613" s="92" t="s">
        <v>1453</v>
      </c>
      <c r="AL613" s="84" t="b">
        <v>0</v>
      </c>
      <c r="AM613" s="84">
        <v>449</v>
      </c>
      <c r="AN613" s="92" t="s">
        <v>1406</v>
      </c>
      <c r="AO613" s="84" t="s">
        <v>1528</v>
      </c>
      <c r="AP613" s="84" t="b">
        <v>0</v>
      </c>
      <c r="AQ613" s="92" t="s">
        <v>1406</v>
      </c>
      <c r="AR613" s="84" t="s">
        <v>187</v>
      </c>
      <c r="AS613" s="84">
        <v>0</v>
      </c>
      <c r="AT613" s="84">
        <v>0</v>
      </c>
      <c r="AU613" s="84"/>
      <c r="AV613" s="84"/>
      <c r="AW613" s="84"/>
      <c r="AX613" s="84"/>
      <c r="AY613" s="84"/>
      <c r="AZ613" s="84"/>
      <c r="BA613" s="84"/>
      <c r="BB613" s="84"/>
      <c r="BC613">
        <v>2</v>
      </c>
      <c r="BD613" s="83" t="str">
        <f>REPLACE(INDEX(GroupVertices[Group],MATCH(Edges[[#This Row],[Vertex 1]],GroupVertices[Vertex],0)),1,1,"")</f>
        <v>1</v>
      </c>
      <c r="BE613" s="83" t="str">
        <f>REPLACE(INDEX(GroupVertices[Group],MATCH(Edges[[#This Row],[Vertex 2]],GroupVertices[Vertex],0)),1,1,"")</f>
        <v>1</v>
      </c>
      <c r="BF613" s="49"/>
      <c r="BG613" s="50"/>
      <c r="BH613" s="49"/>
      <c r="BI613" s="50"/>
      <c r="BJ613" s="49"/>
      <c r="BK613" s="50"/>
      <c r="BL613" s="49"/>
      <c r="BM613" s="50"/>
      <c r="BN613" s="49"/>
    </row>
    <row r="614" spans="1:66" ht="15">
      <c r="A614" s="68" t="s">
        <v>418</v>
      </c>
      <c r="B614" s="68" t="s">
        <v>418</v>
      </c>
      <c r="C614" s="69" t="s">
        <v>5208</v>
      </c>
      <c r="D614" s="70">
        <v>1</v>
      </c>
      <c r="E614" s="71" t="s">
        <v>132</v>
      </c>
      <c r="F614" s="72">
        <v>32</v>
      </c>
      <c r="G614" s="69" t="s">
        <v>51</v>
      </c>
      <c r="H614" s="73"/>
      <c r="I614" s="74"/>
      <c r="J614" s="74"/>
      <c r="K614" s="35" t="s">
        <v>65</v>
      </c>
      <c r="L614" s="82">
        <v>614</v>
      </c>
      <c r="M614" s="82"/>
      <c r="N614" s="76"/>
      <c r="O614" s="84" t="s">
        <v>439</v>
      </c>
      <c r="P614" s="86">
        <v>44088.721724537034</v>
      </c>
      <c r="Q614" s="84" t="s">
        <v>490</v>
      </c>
      <c r="R614" s="87" t="str">
        <f>HYPERLINK("https://online-learning.harvard.edu/catalog")</f>
        <v>https://online-learning.harvard.edu/catalog</v>
      </c>
      <c r="S614" s="84" t="s">
        <v>551</v>
      </c>
      <c r="T614" s="84" t="s">
        <v>606</v>
      </c>
      <c r="U614" s="84"/>
      <c r="V614" s="87" t="str">
        <f>HYPERLINK("http://pbs.twimg.com/profile_images/1293347736100708353/QsLqdzOV_normal.jpg")</f>
        <v>http://pbs.twimg.com/profile_images/1293347736100708353/QsLqdzOV_normal.jpg</v>
      </c>
      <c r="W614" s="86">
        <v>44088.721724537034</v>
      </c>
      <c r="X614" s="90">
        <v>44088</v>
      </c>
      <c r="Y614" s="92" t="s">
        <v>993</v>
      </c>
      <c r="Z614" s="87" t="str">
        <f>HYPERLINK("https://twitter.com/worldofscitech/status/1305556738242904065")</f>
        <v>https://twitter.com/worldofscitech/status/1305556738242904065</v>
      </c>
      <c r="AA614" s="84"/>
      <c r="AB614" s="84"/>
      <c r="AC614" s="92" t="s">
        <v>1407</v>
      </c>
      <c r="AD614" s="84"/>
      <c r="AE614" s="84" t="b">
        <v>0</v>
      </c>
      <c r="AF614" s="84">
        <v>0</v>
      </c>
      <c r="AG614" s="92" t="s">
        <v>1453</v>
      </c>
      <c r="AH614" s="84" t="b">
        <v>0</v>
      </c>
      <c r="AI614" s="84" t="s">
        <v>1456</v>
      </c>
      <c r="AJ614" s="84"/>
      <c r="AK614" s="92" t="s">
        <v>1453</v>
      </c>
      <c r="AL614" s="84" t="b">
        <v>0</v>
      </c>
      <c r="AM614" s="84">
        <v>449</v>
      </c>
      <c r="AN614" s="92" t="s">
        <v>1406</v>
      </c>
      <c r="AO614" s="84" t="s">
        <v>1464</v>
      </c>
      <c r="AP614" s="84" t="b">
        <v>0</v>
      </c>
      <c r="AQ614" s="92" t="s">
        <v>1406</v>
      </c>
      <c r="AR614" s="84" t="s">
        <v>187</v>
      </c>
      <c r="AS614" s="84">
        <v>0</v>
      </c>
      <c r="AT614" s="84">
        <v>0</v>
      </c>
      <c r="AU614" s="84"/>
      <c r="AV614" s="84"/>
      <c r="AW614" s="84"/>
      <c r="AX614" s="84"/>
      <c r="AY614" s="84"/>
      <c r="AZ614" s="84"/>
      <c r="BA614" s="84"/>
      <c r="BB614" s="84"/>
      <c r="BC614">
        <v>1</v>
      </c>
      <c r="BD614" s="83" t="str">
        <f>REPLACE(INDEX(GroupVertices[Group],MATCH(Edges[[#This Row],[Vertex 1]],GroupVertices[Vertex],0)),1,1,"")</f>
        <v>1</v>
      </c>
      <c r="BE614" s="83" t="str">
        <f>REPLACE(INDEX(GroupVertices[Group],MATCH(Edges[[#This Row],[Vertex 2]],GroupVertices[Vertex],0)),1,1,"")</f>
        <v>1</v>
      </c>
      <c r="BF614" s="49">
        <v>0</v>
      </c>
      <c r="BG614" s="50">
        <v>0</v>
      </c>
      <c r="BH614" s="49">
        <v>0</v>
      </c>
      <c r="BI614" s="50">
        <v>0</v>
      </c>
      <c r="BJ614" s="49">
        <v>0</v>
      </c>
      <c r="BK614" s="50">
        <v>0</v>
      </c>
      <c r="BL614" s="49">
        <v>25</v>
      </c>
      <c r="BM614" s="50">
        <v>100</v>
      </c>
      <c r="BN614" s="49">
        <v>25</v>
      </c>
    </row>
    <row r="615" spans="1:66" ht="15">
      <c r="A615" s="68" t="s">
        <v>416</v>
      </c>
      <c r="B615" s="68" t="s">
        <v>418</v>
      </c>
      <c r="C615" s="69" t="s">
        <v>5209</v>
      </c>
      <c r="D615" s="70">
        <v>6.678367782143116</v>
      </c>
      <c r="E615" s="71" t="s">
        <v>132</v>
      </c>
      <c r="F615" s="72">
        <v>21</v>
      </c>
      <c r="G615" s="69" t="s">
        <v>51</v>
      </c>
      <c r="H615" s="73"/>
      <c r="I615" s="74"/>
      <c r="J615" s="74"/>
      <c r="K615" s="35" t="s">
        <v>65</v>
      </c>
      <c r="L615" s="82">
        <v>615</v>
      </c>
      <c r="M615" s="82"/>
      <c r="N615" s="76"/>
      <c r="O615" s="84" t="s">
        <v>439</v>
      </c>
      <c r="P615" s="86">
        <v>44087.11503472222</v>
      </c>
      <c r="Q615" s="84" t="s">
        <v>490</v>
      </c>
      <c r="R615" s="87" t="str">
        <f>HYPERLINK("https://online-learning.harvard.edu/catalog")</f>
        <v>https://online-learning.harvard.edu/catalog</v>
      </c>
      <c r="S615" s="84" t="s">
        <v>551</v>
      </c>
      <c r="T615" s="84" t="s">
        <v>606</v>
      </c>
      <c r="U615" s="84"/>
      <c r="V615" s="87" t="str">
        <f>HYPERLINK("http://pbs.twimg.com/profile_images/885513954818220033/gf3Ci4dO_normal.jpg")</f>
        <v>http://pbs.twimg.com/profile_images/885513954818220033/gf3Ci4dO_normal.jpg</v>
      </c>
      <c r="W615" s="86">
        <v>44087.11503472222</v>
      </c>
      <c r="X615" s="90">
        <v>44087</v>
      </c>
      <c r="Y615" s="92" t="s">
        <v>994</v>
      </c>
      <c r="Z615" s="87" t="str">
        <f>HYPERLINK("https://twitter.com/taieb_bot/status/1304974494692528130")</f>
        <v>https://twitter.com/taieb_bot/status/1304974494692528130</v>
      </c>
      <c r="AA615" s="84"/>
      <c r="AB615" s="84"/>
      <c r="AC615" s="92" t="s">
        <v>1408</v>
      </c>
      <c r="AD615" s="84"/>
      <c r="AE615" s="84" t="b">
        <v>0</v>
      </c>
      <c r="AF615" s="84">
        <v>0</v>
      </c>
      <c r="AG615" s="92" t="s">
        <v>1453</v>
      </c>
      <c r="AH615" s="84" t="b">
        <v>0</v>
      </c>
      <c r="AI615" s="84" t="s">
        <v>1456</v>
      </c>
      <c r="AJ615" s="84"/>
      <c r="AK615" s="92" t="s">
        <v>1453</v>
      </c>
      <c r="AL615" s="84" t="b">
        <v>0</v>
      </c>
      <c r="AM615" s="84">
        <v>449</v>
      </c>
      <c r="AN615" s="92" t="s">
        <v>1406</v>
      </c>
      <c r="AO615" s="84" t="s">
        <v>1528</v>
      </c>
      <c r="AP615" s="84" t="b">
        <v>0</v>
      </c>
      <c r="AQ615" s="92" t="s">
        <v>1406</v>
      </c>
      <c r="AR615" s="84" t="s">
        <v>187</v>
      </c>
      <c r="AS615" s="84">
        <v>0</v>
      </c>
      <c r="AT615" s="84">
        <v>0</v>
      </c>
      <c r="AU615" s="84"/>
      <c r="AV615" s="84"/>
      <c r="AW615" s="84"/>
      <c r="AX615" s="84"/>
      <c r="AY615" s="84"/>
      <c r="AZ615" s="84"/>
      <c r="BA615" s="84"/>
      <c r="BB615" s="84"/>
      <c r="BC615">
        <v>2</v>
      </c>
      <c r="BD615" s="83" t="str">
        <f>REPLACE(INDEX(GroupVertices[Group],MATCH(Edges[[#This Row],[Vertex 1]],GroupVertices[Vertex],0)),1,1,"")</f>
        <v>1</v>
      </c>
      <c r="BE615" s="83" t="str">
        <f>REPLACE(INDEX(GroupVertices[Group],MATCH(Edges[[#This Row],[Vertex 2]],GroupVertices[Vertex],0)),1,1,"")</f>
        <v>1</v>
      </c>
      <c r="BF615" s="49">
        <v>0</v>
      </c>
      <c r="BG615" s="50">
        <v>0</v>
      </c>
      <c r="BH615" s="49">
        <v>0</v>
      </c>
      <c r="BI615" s="50">
        <v>0</v>
      </c>
      <c r="BJ615" s="49">
        <v>0</v>
      </c>
      <c r="BK615" s="50">
        <v>0</v>
      </c>
      <c r="BL615" s="49">
        <v>25</v>
      </c>
      <c r="BM615" s="50">
        <v>100</v>
      </c>
      <c r="BN615" s="49">
        <v>25</v>
      </c>
    </row>
    <row r="616" spans="1:66" ht="15">
      <c r="A616" s="68" t="s">
        <v>416</v>
      </c>
      <c r="B616" s="68" t="s">
        <v>418</v>
      </c>
      <c r="C616" s="69" t="s">
        <v>5209</v>
      </c>
      <c r="D616" s="70">
        <v>6.678367782143116</v>
      </c>
      <c r="E616" s="71" t="s">
        <v>132</v>
      </c>
      <c r="F616" s="72">
        <v>21</v>
      </c>
      <c r="G616" s="69" t="s">
        <v>51</v>
      </c>
      <c r="H616" s="73"/>
      <c r="I616" s="74"/>
      <c r="J616" s="74"/>
      <c r="K616" s="35" t="s">
        <v>65</v>
      </c>
      <c r="L616" s="82">
        <v>616</v>
      </c>
      <c r="M616" s="82"/>
      <c r="N616" s="76"/>
      <c r="O616" s="84" t="s">
        <v>439</v>
      </c>
      <c r="P616" s="86">
        <v>44088.72207175926</v>
      </c>
      <c r="Q616" s="84" t="s">
        <v>490</v>
      </c>
      <c r="R616" s="87" t="str">
        <f>HYPERLINK("https://online-learning.harvard.edu/catalog")</f>
        <v>https://online-learning.harvard.edu/catalog</v>
      </c>
      <c r="S616" s="84" t="s">
        <v>551</v>
      </c>
      <c r="T616" s="84" t="s">
        <v>606</v>
      </c>
      <c r="U616" s="84"/>
      <c r="V616" s="87" t="str">
        <f>HYPERLINK("http://pbs.twimg.com/profile_images/885513954818220033/gf3Ci4dO_normal.jpg")</f>
        <v>http://pbs.twimg.com/profile_images/885513954818220033/gf3Ci4dO_normal.jpg</v>
      </c>
      <c r="W616" s="86">
        <v>44088.72207175926</v>
      </c>
      <c r="X616" s="90">
        <v>44088</v>
      </c>
      <c r="Y616" s="92" t="s">
        <v>995</v>
      </c>
      <c r="Z616" s="87" t="str">
        <f>HYPERLINK("https://twitter.com/taieb_bot/status/1305556865833750528")</f>
        <v>https://twitter.com/taieb_bot/status/1305556865833750528</v>
      </c>
      <c r="AA616" s="84"/>
      <c r="AB616" s="84"/>
      <c r="AC616" s="92" t="s">
        <v>1409</v>
      </c>
      <c r="AD616" s="84"/>
      <c r="AE616" s="84" t="b">
        <v>0</v>
      </c>
      <c r="AF616" s="84">
        <v>0</v>
      </c>
      <c r="AG616" s="92" t="s">
        <v>1453</v>
      </c>
      <c r="AH616" s="84" t="b">
        <v>0</v>
      </c>
      <c r="AI616" s="84" t="s">
        <v>1456</v>
      </c>
      <c r="AJ616" s="84"/>
      <c r="AK616" s="92" t="s">
        <v>1453</v>
      </c>
      <c r="AL616" s="84" t="b">
        <v>0</v>
      </c>
      <c r="AM616" s="84">
        <v>449</v>
      </c>
      <c r="AN616" s="92" t="s">
        <v>1406</v>
      </c>
      <c r="AO616" s="84" t="s">
        <v>1528</v>
      </c>
      <c r="AP616" s="84" t="b">
        <v>0</v>
      </c>
      <c r="AQ616" s="92" t="s">
        <v>1406</v>
      </c>
      <c r="AR616" s="84" t="s">
        <v>187</v>
      </c>
      <c r="AS616" s="84">
        <v>0</v>
      </c>
      <c r="AT616" s="84">
        <v>0</v>
      </c>
      <c r="AU616" s="84"/>
      <c r="AV616" s="84"/>
      <c r="AW616" s="84"/>
      <c r="AX616" s="84"/>
      <c r="AY616" s="84"/>
      <c r="AZ616" s="84"/>
      <c r="BA616" s="84"/>
      <c r="BB616" s="84"/>
      <c r="BC616">
        <v>2</v>
      </c>
      <c r="BD616" s="83" t="str">
        <f>REPLACE(INDEX(GroupVertices[Group],MATCH(Edges[[#This Row],[Vertex 1]],GroupVertices[Vertex],0)),1,1,"")</f>
        <v>1</v>
      </c>
      <c r="BE616" s="83" t="str">
        <f>REPLACE(INDEX(GroupVertices[Group],MATCH(Edges[[#This Row],[Vertex 2]],GroupVertices[Vertex],0)),1,1,"")</f>
        <v>1</v>
      </c>
      <c r="BF616" s="49">
        <v>0</v>
      </c>
      <c r="BG616" s="50">
        <v>0</v>
      </c>
      <c r="BH616" s="49">
        <v>0</v>
      </c>
      <c r="BI616" s="50">
        <v>0</v>
      </c>
      <c r="BJ616" s="49">
        <v>0</v>
      </c>
      <c r="BK616" s="50">
        <v>0</v>
      </c>
      <c r="BL616" s="49">
        <v>25</v>
      </c>
      <c r="BM616" s="50">
        <v>100</v>
      </c>
      <c r="BN616" s="49">
        <v>25</v>
      </c>
    </row>
    <row r="617" spans="1:66" ht="15">
      <c r="A617" s="68" t="s">
        <v>419</v>
      </c>
      <c r="B617" s="68" t="s">
        <v>420</v>
      </c>
      <c r="C617" s="69" t="s">
        <v>5208</v>
      </c>
      <c r="D617" s="70">
        <v>1</v>
      </c>
      <c r="E617" s="71" t="s">
        <v>132</v>
      </c>
      <c r="F617" s="72">
        <v>32</v>
      </c>
      <c r="G617" s="69" t="s">
        <v>51</v>
      </c>
      <c r="H617" s="73"/>
      <c r="I617" s="74"/>
      <c r="J617" s="74"/>
      <c r="K617" s="35" t="s">
        <v>66</v>
      </c>
      <c r="L617" s="82">
        <v>617</v>
      </c>
      <c r="M617" s="82"/>
      <c r="N617" s="76"/>
      <c r="O617" s="84" t="s">
        <v>441</v>
      </c>
      <c r="P617" s="86">
        <v>44089.55152777778</v>
      </c>
      <c r="Q617" s="84" t="s">
        <v>511</v>
      </c>
      <c r="R617" s="87" t="str">
        <f>HYPERLINK("https://www.coodingdessign.com/python/datascience/visualization-of-covid-19-new-cases-over-time-in-python/")</f>
        <v>https://www.coodingdessign.com/python/datascience/visualization-of-covid-19-new-cases-over-time-in-python/</v>
      </c>
      <c r="S617" s="84" t="s">
        <v>560</v>
      </c>
      <c r="T617" s="84" t="s">
        <v>626</v>
      </c>
      <c r="U617" s="87" t="str">
        <f>HYPERLINK("https://pbs.twimg.com/media/Eh9WZq2XcActpko.png")</f>
        <v>https://pbs.twimg.com/media/Eh9WZq2XcActpko.png</v>
      </c>
      <c r="V617" s="87" t="str">
        <f>HYPERLINK("https://pbs.twimg.com/media/Eh9WZq2XcActpko.png")</f>
        <v>https://pbs.twimg.com/media/Eh9WZq2XcActpko.png</v>
      </c>
      <c r="W617" s="86">
        <v>44089.55152777778</v>
      </c>
      <c r="X617" s="90">
        <v>44089</v>
      </c>
      <c r="Y617" s="92" t="s">
        <v>996</v>
      </c>
      <c r="Z617" s="87" t="str">
        <f>HYPERLINK("https://twitter.com/parmarshantun/status/1305857450466258947")</f>
        <v>https://twitter.com/parmarshantun/status/1305857450466258947</v>
      </c>
      <c r="AA617" s="84"/>
      <c r="AB617" s="84"/>
      <c r="AC617" s="92" t="s">
        <v>1410</v>
      </c>
      <c r="AD617" s="84"/>
      <c r="AE617" s="84" t="b">
        <v>0</v>
      </c>
      <c r="AF617" s="84">
        <v>5</v>
      </c>
      <c r="AG617" s="92" t="s">
        <v>1453</v>
      </c>
      <c r="AH617" s="84" t="b">
        <v>0</v>
      </c>
      <c r="AI617" s="84" t="s">
        <v>1456</v>
      </c>
      <c r="AJ617" s="84"/>
      <c r="AK617" s="92" t="s">
        <v>1453</v>
      </c>
      <c r="AL617" s="84" t="b">
        <v>0</v>
      </c>
      <c r="AM617" s="84">
        <v>19</v>
      </c>
      <c r="AN617" s="92" t="s">
        <v>1453</v>
      </c>
      <c r="AO617" s="84" t="s">
        <v>1465</v>
      </c>
      <c r="AP617" s="84" t="b">
        <v>0</v>
      </c>
      <c r="AQ617" s="92" t="s">
        <v>1410</v>
      </c>
      <c r="AR617" s="84" t="s">
        <v>187</v>
      </c>
      <c r="AS617" s="84">
        <v>0</v>
      </c>
      <c r="AT617" s="84">
        <v>0</v>
      </c>
      <c r="AU617" s="84"/>
      <c r="AV617" s="84"/>
      <c r="AW617" s="84"/>
      <c r="AX617" s="84"/>
      <c r="AY617" s="84"/>
      <c r="AZ617" s="84"/>
      <c r="BA617" s="84"/>
      <c r="BB617" s="84"/>
      <c r="BC617">
        <v>1</v>
      </c>
      <c r="BD617" s="83" t="str">
        <f>REPLACE(INDEX(GroupVertices[Group],MATCH(Edges[[#This Row],[Vertex 1]],GroupVertices[Vertex],0)),1,1,"")</f>
        <v>1</v>
      </c>
      <c r="BE617" s="83" t="str">
        <f>REPLACE(INDEX(GroupVertices[Group],MATCH(Edges[[#This Row],[Vertex 2]],GroupVertices[Vertex],0)),1,1,"")</f>
        <v>1</v>
      </c>
      <c r="BF617" s="49"/>
      <c r="BG617" s="50"/>
      <c r="BH617" s="49"/>
      <c r="BI617" s="50"/>
      <c r="BJ617" s="49"/>
      <c r="BK617" s="50"/>
      <c r="BL617" s="49"/>
      <c r="BM617" s="50"/>
      <c r="BN617" s="49"/>
    </row>
    <row r="618" spans="1:66" ht="15">
      <c r="A618" s="68" t="s">
        <v>420</v>
      </c>
      <c r="B618" s="68" t="s">
        <v>438</v>
      </c>
      <c r="C618" s="69" t="s">
        <v>5208</v>
      </c>
      <c r="D618" s="70">
        <v>1</v>
      </c>
      <c r="E618" s="71" t="s">
        <v>132</v>
      </c>
      <c r="F618" s="72">
        <v>32</v>
      </c>
      <c r="G618" s="69" t="s">
        <v>51</v>
      </c>
      <c r="H618" s="73"/>
      <c r="I618" s="74"/>
      <c r="J618" s="74"/>
      <c r="K618" s="35" t="s">
        <v>65</v>
      </c>
      <c r="L618" s="82">
        <v>618</v>
      </c>
      <c r="M618" s="82"/>
      <c r="N618" s="76"/>
      <c r="O618" s="84" t="s">
        <v>440</v>
      </c>
      <c r="P618" s="86">
        <v>44089.55446759259</v>
      </c>
      <c r="Q618" s="84" t="s">
        <v>511</v>
      </c>
      <c r="R618" s="87" t="str">
        <f>HYPERLINK("https://www.coodingdessign.com/python/datascience/visualization-of-covid-19-new-cases-over-time-in-python/")</f>
        <v>https://www.coodingdessign.com/python/datascience/visualization-of-covid-19-new-cases-over-time-in-python/</v>
      </c>
      <c r="S618" s="84" t="s">
        <v>560</v>
      </c>
      <c r="T618" s="84" t="s">
        <v>626</v>
      </c>
      <c r="U618" s="87" t="str">
        <f>HYPERLINK("https://pbs.twimg.com/media/Eh9WZq2XcActpko.png")</f>
        <v>https://pbs.twimg.com/media/Eh9WZq2XcActpko.png</v>
      </c>
      <c r="V618" s="87" t="str">
        <f>HYPERLINK("https://pbs.twimg.com/media/Eh9WZq2XcActpko.png")</f>
        <v>https://pbs.twimg.com/media/Eh9WZq2XcActpko.png</v>
      </c>
      <c r="W618" s="86">
        <v>44089.55446759259</v>
      </c>
      <c r="X618" s="90">
        <v>44089</v>
      </c>
      <c r="Y618" s="92" t="s">
        <v>997</v>
      </c>
      <c r="Z618" s="87" t="str">
        <f>HYPERLINK("https://twitter.com/blackhackcode/status/1305858516058607620")</f>
        <v>https://twitter.com/blackhackcode/status/1305858516058607620</v>
      </c>
      <c r="AA618" s="84"/>
      <c r="AB618" s="84"/>
      <c r="AC618" s="92" t="s">
        <v>1411</v>
      </c>
      <c r="AD618" s="84"/>
      <c r="AE618" s="84" t="b">
        <v>0</v>
      </c>
      <c r="AF618" s="84">
        <v>0</v>
      </c>
      <c r="AG618" s="92" t="s">
        <v>1453</v>
      </c>
      <c r="AH618" s="84" t="b">
        <v>0</v>
      </c>
      <c r="AI618" s="84" t="s">
        <v>1456</v>
      </c>
      <c r="AJ618" s="84"/>
      <c r="AK618" s="92" t="s">
        <v>1453</v>
      </c>
      <c r="AL618" s="84" t="b">
        <v>0</v>
      </c>
      <c r="AM618" s="84">
        <v>19</v>
      </c>
      <c r="AN618" s="92" t="s">
        <v>1410</v>
      </c>
      <c r="AO618" s="84" t="s">
        <v>1465</v>
      </c>
      <c r="AP618" s="84" t="b">
        <v>0</v>
      </c>
      <c r="AQ618" s="92" t="s">
        <v>1410</v>
      </c>
      <c r="AR618" s="84" t="s">
        <v>187</v>
      </c>
      <c r="AS618" s="84">
        <v>0</v>
      </c>
      <c r="AT618" s="84">
        <v>0</v>
      </c>
      <c r="AU618" s="84"/>
      <c r="AV618" s="84"/>
      <c r="AW618" s="84"/>
      <c r="AX618" s="84"/>
      <c r="AY618" s="84"/>
      <c r="AZ618" s="84"/>
      <c r="BA618" s="84"/>
      <c r="BB618" s="84"/>
      <c r="BC618">
        <v>1</v>
      </c>
      <c r="BD618" s="83" t="str">
        <f>REPLACE(INDEX(GroupVertices[Group],MATCH(Edges[[#This Row],[Vertex 1]],GroupVertices[Vertex],0)),1,1,"")</f>
        <v>1</v>
      </c>
      <c r="BE618" s="83" t="str">
        <f>REPLACE(INDEX(GroupVertices[Group],MATCH(Edges[[#This Row],[Vertex 2]],GroupVertices[Vertex],0)),1,1,"")</f>
        <v>1</v>
      </c>
      <c r="BF618" s="49"/>
      <c r="BG618" s="50"/>
      <c r="BH618" s="49"/>
      <c r="BI618" s="50"/>
      <c r="BJ618" s="49"/>
      <c r="BK618" s="50"/>
      <c r="BL618" s="49"/>
      <c r="BM618" s="50"/>
      <c r="BN618" s="49"/>
    </row>
    <row r="619" spans="1:66" ht="15">
      <c r="A619" s="68" t="s">
        <v>420</v>
      </c>
      <c r="B619" s="68" t="s">
        <v>419</v>
      </c>
      <c r="C619" s="69" t="s">
        <v>5208</v>
      </c>
      <c r="D619" s="70">
        <v>1</v>
      </c>
      <c r="E619" s="71" t="s">
        <v>132</v>
      </c>
      <c r="F619" s="72">
        <v>32</v>
      </c>
      <c r="G619" s="69" t="s">
        <v>51</v>
      </c>
      <c r="H619" s="73"/>
      <c r="I619" s="74"/>
      <c r="J619" s="74"/>
      <c r="K619" s="35" t="s">
        <v>66</v>
      </c>
      <c r="L619" s="82">
        <v>619</v>
      </c>
      <c r="M619" s="82"/>
      <c r="N619" s="76"/>
      <c r="O619" s="84" t="s">
        <v>439</v>
      </c>
      <c r="P619" s="86">
        <v>44089.55446759259</v>
      </c>
      <c r="Q619" s="84" t="s">
        <v>511</v>
      </c>
      <c r="R619" s="87" t="str">
        <f>HYPERLINK("https://www.coodingdessign.com/python/datascience/visualization-of-covid-19-new-cases-over-time-in-python/")</f>
        <v>https://www.coodingdessign.com/python/datascience/visualization-of-covid-19-new-cases-over-time-in-python/</v>
      </c>
      <c r="S619" s="84" t="s">
        <v>560</v>
      </c>
      <c r="T619" s="84" t="s">
        <v>626</v>
      </c>
      <c r="U619" s="87" t="str">
        <f>HYPERLINK("https://pbs.twimg.com/media/Eh9WZq2XcActpko.png")</f>
        <v>https://pbs.twimg.com/media/Eh9WZq2XcActpko.png</v>
      </c>
      <c r="V619" s="87" t="str">
        <f>HYPERLINK("https://pbs.twimg.com/media/Eh9WZq2XcActpko.png")</f>
        <v>https://pbs.twimg.com/media/Eh9WZq2XcActpko.png</v>
      </c>
      <c r="W619" s="86">
        <v>44089.55446759259</v>
      </c>
      <c r="X619" s="90">
        <v>44089</v>
      </c>
      <c r="Y619" s="92" t="s">
        <v>997</v>
      </c>
      <c r="Z619" s="87" t="str">
        <f>HYPERLINK("https://twitter.com/blackhackcode/status/1305858516058607620")</f>
        <v>https://twitter.com/blackhackcode/status/1305858516058607620</v>
      </c>
      <c r="AA619" s="84"/>
      <c r="AB619" s="84"/>
      <c r="AC619" s="92" t="s">
        <v>1411</v>
      </c>
      <c r="AD619" s="84"/>
      <c r="AE619" s="84" t="b">
        <v>0</v>
      </c>
      <c r="AF619" s="84">
        <v>0</v>
      </c>
      <c r="AG619" s="92" t="s">
        <v>1453</v>
      </c>
      <c r="AH619" s="84" t="b">
        <v>0</v>
      </c>
      <c r="AI619" s="84" t="s">
        <v>1456</v>
      </c>
      <c r="AJ619" s="84"/>
      <c r="AK619" s="92" t="s">
        <v>1453</v>
      </c>
      <c r="AL619" s="84" t="b">
        <v>0</v>
      </c>
      <c r="AM619" s="84">
        <v>19</v>
      </c>
      <c r="AN619" s="92" t="s">
        <v>1410</v>
      </c>
      <c r="AO619" s="84" t="s">
        <v>1465</v>
      </c>
      <c r="AP619" s="84" t="b">
        <v>0</v>
      </c>
      <c r="AQ619" s="92" t="s">
        <v>1410</v>
      </c>
      <c r="AR619" s="84" t="s">
        <v>187</v>
      </c>
      <c r="AS619" s="84">
        <v>0</v>
      </c>
      <c r="AT619" s="84">
        <v>0</v>
      </c>
      <c r="AU619" s="84"/>
      <c r="AV619" s="84"/>
      <c r="AW619" s="84"/>
      <c r="AX619" s="84"/>
      <c r="AY619" s="84"/>
      <c r="AZ619" s="84"/>
      <c r="BA619" s="84"/>
      <c r="BB619" s="84"/>
      <c r="BC619">
        <v>1</v>
      </c>
      <c r="BD619" s="83" t="str">
        <f>REPLACE(INDEX(GroupVertices[Group],MATCH(Edges[[#This Row],[Vertex 1]],GroupVertices[Vertex],0)),1,1,"")</f>
        <v>1</v>
      </c>
      <c r="BE619" s="83" t="str">
        <f>REPLACE(INDEX(GroupVertices[Group],MATCH(Edges[[#This Row],[Vertex 2]],GroupVertices[Vertex],0)),1,1,"")</f>
        <v>1</v>
      </c>
      <c r="BF619" s="49">
        <v>0</v>
      </c>
      <c r="BG619" s="50">
        <v>0</v>
      </c>
      <c r="BH619" s="49">
        <v>0</v>
      </c>
      <c r="BI619" s="50">
        <v>0</v>
      </c>
      <c r="BJ619" s="49">
        <v>0</v>
      </c>
      <c r="BK619" s="50">
        <v>0</v>
      </c>
      <c r="BL619" s="49">
        <v>20</v>
      </c>
      <c r="BM619" s="50">
        <v>100</v>
      </c>
      <c r="BN619" s="49">
        <v>20</v>
      </c>
    </row>
    <row r="620" spans="1:66" ht="15">
      <c r="A620" s="68" t="s">
        <v>416</v>
      </c>
      <c r="B620" s="68" t="s">
        <v>420</v>
      </c>
      <c r="C620" s="69" t="s">
        <v>5208</v>
      </c>
      <c r="D620" s="70">
        <v>1</v>
      </c>
      <c r="E620" s="71" t="s">
        <v>132</v>
      </c>
      <c r="F620" s="72">
        <v>32</v>
      </c>
      <c r="G620" s="69" t="s">
        <v>51</v>
      </c>
      <c r="H620" s="73"/>
      <c r="I620" s="74"/>
      <c r="J620" s="74"/>
      <c r="K620" s="35" t="s">
        <v>65</v>
      </c>
      <c r="L620" s="82">
        <v>620</v>
      </c>
      <c r="M620" s="82"/>
      <c r="N620" s="76"/>
      <c r="O620" s="84" t="s">
        <v>440</v>
      </c>
      <c r="P620" s="86">
        <v>44089.55451388889</v>
      </c>
      <c r="Q620" s="84" t="s">
        <v>511</v>
      </c>
      <c r="R620" s="87" t="str">
        <f>HYPERLINK("https://www.coodingdessign.com/python/datascience/visualization-of-covid-19-new-cases-over-time-in-python/")</f>
        <v>https://www.coodingdessign.com/python/datascience/visualization-of-covid-19-new-cases-over-time-in-python/</v>
      </c>
      <c r="S620" s="84" t="s">
        <v>560</v>
      </c>
      <c r="T620" s="84" t="s">
        <v>626</v>
      </c>
      <c r="U620" s="87" t="str">
        <f>HYPERLINK("https://pbs.twimg.com/media/Eh9WZq2XcActpko.png")</f>
        <v>https://pbs.twimg.com/media/Eh9WZq2XcActpko.png</v>
      </c>
      <c r="V620" s="87" t="str">
        <f>HYPERLINK("https://pbs.twimg.com/media/Eh9WZq2XcActpko.png")</f>
        <v>https://pbs.twimg.com/media/Eh9WZq2XcActpko.png</v>
      </c>
      <c r="W620" s="86">
        <v>44089.55451388889</v>
      </c>
      <c r="X620" s="90">
        <v>44089</v>
      </c>
      <c r="Y620" s="92" t="s">
        <v>998</v>
      </c>
      <c r="Z620" s="87" t="str">
        <f>HYPERLINK("https://twitter.com/taieb_bot/status/1305858531711750144")</f>
        <v>https://twitter.com/taieb_bot/status/1305858531711750144</v>
      </c>
      <c r="AA620" s="84"/>
      <c r="AB620" s="84"/>
      <c r="AC620" s="92" t="s">
        <v>1412</v>
      </c>
      <c r="AD620" s="84"/>
      <c r="AE620" s="84" t="b">
        <v>0</v>
      </c>
      <c r="AF620" s="84">
        <v>0</v>
      </c>
      <c r="AG620" s="92" t="s">
        <v>1453</v>
      </c>
      <c r="AH620" s="84" t="b">
        <v>0</v>
      </c>
      <c r="AI620" s="84" t="s">
        <v>1456</v>
      </c>
      <c r="AJ620" s="84"/>
      <c r="AK620" s="92" t="s">
        <v>1453</v>
      </c>
      <c r="AL620" s="84" t="b">
        <v>0</v>
      </c>
      <c r="AM620" s="84">
        <v>19</v>
      </c>
      <c r="AN620" s="92" t="s">
        <v>1410</v>
      </c>
      <c r="AO620" s="84" t="s">
        <v>1528</v>
      </c>
      <c r="AP620" s="84" t="b">
        <v>0</v>
      </c>
      <c r="AQ620" s="92" t="s">
        <v>1410</v>
      </c>
      <c r="AR620" s="84" t="s">
        <v>187</v>
      </c>
      <c r="AS620" s="84">
        <v>0</v>
      </c>
      <c r="AT620" s="84">
        <v>0</v>
      </c>
      <c r="AU620" s="84"/>
      <c r="AV620" s="84"/>
      <c r="AW620" s="84"/>
      <c r="AX620" s="84"/>
      <c r="AY620" s="84"/>
      <c r="AZ620" s="84"/>
      <c r="BA620" s="84"/>
      <c r="BB620" s="84"/>
      <c r="BC620">
        <v>1</v>
      </c>
      <c r="BD620" s="83" t="str">
        <f>REPLACE(INDEX(GroupVertices[Group],MATCH(Edges[[#This Row],[Vertex 1]],GroupVertices[Vertex],0)),1,1,"")</f>
        <v>1</v>
      </c>
      <c r="BE620" s="83" t="str">
        <f>REPLACE(INDEX(GroupVertices[Group],MATCH(Edges[[#This Row],[Vertex 2]],GroupVertices[Vertex],0)),1,1,"")</f>
        <v>1</v>
      </c>
      <c r="BF620" s="49"/>
      <c r="BG620" s="50"/>
      <c r="BH620" s="49"/>
      <c r="BI620" s="50"/>
      <c r="BJ620" s="49"/>
      <c r="BK620" s="50"/>
      <c r="BL620" s="49"/>
      <c r="BM620" s="50"/>
      <c r="BN620" s="49"/>
    </row>
    <row r="621" spans="1:66" ht="15">
      <c r="A621" s="68" t="s">
        <v>419</v>
      </c>
      <c r="B621" s="68" t="s">
        <v>438</v>
      </c>
      <c r="C621" s="69" t="s">
        <v>5208</v>
      </c>
      <c r="D621" s="70">
        <v>1</v>
      </c>
      <c r="E621" s="71" t="s">
        <v>132</v>
      </c>
      <c r="F621" s="72">
        <v>32</v>
      </c>
      <c r="G621" s="69" t="s">
        <v>51</v>
      </c>
      <c r="H621" s="73"/>
      <c r="I621" s="74"/>
      <c r="J621" s="74"/>
      <c r="K621" s="35" t="s">
        <v>65</v>
      </c>
      <c r="L621" s="82">
        <v>621</v>
      </c>
      <c r="M621" s="82"/>
      <c r="N621" s="76"/>
      <c r="O621" s="84" t="s">
        <v>441</v>
      </c>
      <c r="P621" s="86">
        <v>44089.55152777778</v>
      </c>
      <c r="Q621" s="84" t="s">
        <v>511</v>
      </c>
      <c r="R621" s="87" t="str">
        <f>HYPERLINK("https://www.coodingdessign.com/python/datascience/visualization-of-covid-19-new-cases-over-time-in-python/")</f>
        <v>https://www.coodingdessign.com/python/datascience/visualization-of-covid-19-new-cases-over-time-in-python/</v>
      </c>
      <c r="S621" s="84" t="s">
        <v>560</v>
      </c>
      <c r="T621" s="84" t="s">
        <v>626</v>
      </c>
      <c r="U621" s="87" t="str">
        <f>HYPERLINK("https://pbs.twimg.com/media/Eh9WZq2XcActpko.png")</f>
        <v>https://pbs.twimg.com/media/Eh9WZq2XcActpko.png</v>
      </c>
      <c r="V621" s="87" t="str">
        <f>HYPERLINK("https://pbs.twimg.com/media/Eh9WZq2XcActpko.png")</f>
        <v>https://pbs.twimg.com/media/Eh9WZq2XcActpko.png</v>
      </c>
      <c r="W621" s="86">
        <v>44089.55152777778</v>
      </c>
      <c r="X621" s="90">
        <v>44089</v>
      </c>
      <c r="Y621" s="92" t="s">
        <v>996</v>
      </c>
      <c r="Z621" s="87" t="str">
        <f>HYPERLINK("https://twitter.com/parmarshantun/status/1305857450466258947")</f>
        <v>https://twitter.com/parmarshantun/status/1305857450466258947</v>
      </c>
      <c r="AA621" s="84"/>
      <c r="AB621" s="84"/>
      <c r="AC621" s="92" t="s">
        <v>1410</v>
      </c>
      <c r="AD621" s="84"/>
      <c r="AE621" s="84" t="b">
        <v>0</v>
      </c>
      <c r="AF621" s="84">
        <v>5</v>
      </c>
      <c r="AG621" s="92" t="s">
        <v>1453</v>
      </c>
      <c r="AH621" s="84" t="b">
        <v>0</v>
      </c>
      <c r="AI621" s="84" t="s">
        <v>1456</v>
      </c>
      <c r="AJ621" s="84"/>
      <c r="AK621" s="92" t="s">
        <v>1453</v>
      </c>
      <c r="AL621" s="84" t="b">
        <v>0</v>
      </c>
      <c r="AM621" s="84">
        <v>19</v>
      </c>
      <c r="AN621" s="92" t="s">
        <v>1453</v>
      </c>
      <c r="AO621" s="84" t="s">
        <v>1465</v>
      </c>
      <c r="AP621" s="84" t="b">
        <v>0</v>
      </c>
      <c r="AQ621" s="92" t="s">
        <v>1410</v>
      </c>
      <c r="AR621" s="84" t="s">
        <v>187</v>
      </c>
      <c r="AS621" s="84">
        <v>0</v>
      </c>
      <c r="AT621" s="84">
        <v>0</v>
      </c>
      <c r="AU621" s="84"/>
      <c r="AV621" s="84"/>
      <c r="AW621" s="84"/>
      <c r="AX621" s="84"/>
      <c r="AY621" s="84"/>
      <c r="AZ621" s="84"/>
      <c r="BA621" s="84"/>
      <c r="BB621" s="84"/>
      <c r="BC621">
        <v>1</v>
      </c>
      <c r="BD621" s="83" t="str">
        <f>REPLACE(INDEX(GroupVertices[Group],MATCH(Edges[[#This Row],[Vertex 1]],GroupVertices[Vertex],0)),1,1,"")</f>
        <v>1</v>
      </c>
      <c r="BE621" s="83" t="str">
        <f>REPLACE(INDEX(GroupVertices[Group],MATCH(Edges[[#This Row],[Vertex 2]],GroupVertices[Vertex],0)),1,1,"")</f>
        <v>1</v>
      </c>
      <c r="BF621" s="49">
        <v>0</v>
      </c>
      <c r="BG621" s="50">
        <v>0</v>
      </c>
      <c r="BH621" s="49">
        <v>0</v>
      </c>
      <c r="BI621" s="50">
        <v>0</v>
      </c>
      <c r="BJ621" s="49">
        <v>0</v>
      </c>
      <c r="BK621" s="50">
        <v>0</v>
      </c>
      <c r="BL621" s="49">
        <v>20</v>
      </c>
      <c r="BM621" s="50">
        <v>100</v>
      </c>
      <c r="BN621" s="49">
        <v>20</v>
      </c>
    </row>
    <row r="622" spans="1:66" ht="15">
      <c r="A622" s="68" t="s">
        <v>416</v>
      </c>
      <c r="B622" s="68" t="s">
        <v>438</v>
      </c>
      <c r="C622" s="69" t="s">
        <v>5208</v>
      </c>
      <c r="D622" s="70">
        <v>1</v>
      </c>
      <c r="E622" s="71" t="s">
        <v>132</v>
      </c>
      <c r="F622" s="72">
        <v>32</v>
      </c>
      <c r="G622" s="69" t="s">
        <v>51</v>
      </c>
      <c r="H622" s="73"/>
      <c r="I622" s="74"/>
      <c r="J622" s="74"/>
      <c r="K622" s="35" t="s">
        <v>65</v>
      </c>
      <c r="L622" s="82">
        <v>622</v>
      </c>
      <c r="M622" s="82"/>
      <c r="N622" s="76"/>
      <c r="O622" s="84" t="s">
        <v>440</v>
      </c>
      <c r="P622" s="86">
        <v>44089.55451388889</v>
      </c>
      <c r="Q622" s="84" t="s">
        <v>511</v>
      </c>
      <c r="R622" s="87" t="str">
        <f>HYPERLINK("https://www.coodingdessign.com/python/datascience/visualization-of-covid-19-new-cases-over-time-in-python/")</f>
        <v>https://www.coodingdessign.com/python/datascience/visualization-of-covid-19-new-cases-over-time-in-python/</v>
      </c>
      <c r="S622" s="84" t="s">
        <v>560</v>
      </c>
      <c r="T622" s="84" t="s">
        <v>626</v>
      </c>
      <c r="U622" s="87" t="str">
        <f>HYPERLINK("https://pbs.twimg.com/media/Eh9WZq2XcActpko.png")</f>
        <v>https://pbs.twimg.com/media/Eh9WZq2XcActpko.png</v>
      </c>
      <c r="V622" s="87" t="str">
        <f>HYPERLINK("https://pbs.twimg.com/media/Eh9WZq2XcActpko.png")</f>
        <v>https://pbs.twimg.com/media/Eh9WZq2XcActpko.png</v>
      </c>
      <c r="W622" s="86">
        <v>44089.55451388889</v>
      </c>
      <c r="X622" s="90">
        <v>44089</v>
      </c>
      <c r="Y622" s="92" t="s">
        <v>998</v>
      </c>
      <c r="Z622" s="87" t="str">
        <f>HYPERLINK("https://twitter.com/taieb_bot/status/1305858531711750144")</f>
        <v>https://twitter.com/taieb_bot/status/1305858531711750144</v>
      </c>
      <c r="AA622" s="84"/>
      <c r="AB622" s="84"/>
      <c r="AC622" s="92" t="s">
        <v>1412</v>
      </c>
      <c r="AD622" s="84"/>
      <c r="AE622" s="84" t="b">
        <v>0</v>
      </c>
      <c r="AF622" s="84">
        <v>0</v>
      </c>
      <c r="AG622" s="92" t="s">
        <v>1453</v>
      </c>
      <c r="AH622" s="84" t="b">
        <v>0</v>
      </c>
      <c r="AI622" s="84" t="s">
        <v>1456</v>
      </c>
      <c r="AJ622" s="84"/>
      <c r="AK622" s="92" t="s">
        <v>1453</v>
      </c>
      <c r="AL622" s="84" t="b">
        <v>0</v>
      </c>
      <c r="AM622" s="84">
        <v>19</v>
      </c>
      <c r="AN622" s="92" t="s">
        <v>1410</v>
      </c>
      <c r="AO622" s="84" t="s">
        <v>1528</v>
      </c>
      <c r="AP622" s="84" t="b">
        <v>0</v>
      </c>
      <c r="AQ622" s="92" t="s">
        <v>1410</v>
      </c>
      <c r="AR622" s="84" t="s">
        <v>187</v>
      </c>
      <c r="AS622" s="84">
        <v>0</v>
      </c>
      <c r="AT622" s="84">
        <v>0</v>
      </c>
      <c r="AU622" s="84"/>
      <c r="AV622" s="84"/>
      <c r="AW622" s="84"/>
      <c r="AX622" s="84"/>
      <c r="AY622" s="84"/>
      <c r="AZ622" s="84"/>
      <c r="BA622" s="84"/>
      <c r="BB622" s="84"/>
      <c r="BC622">
        <v>1</v>
      </c>
      <c r="BD622" s="83" t="str">
        <f>REPLACE(INDEX(GroupVertices[Group],MATCH(Edges[[#This Row],[Vertex 1]],GroupVertices[Vertex],0)),1,1,"")</f>
        <v>1</v>
      </c>
      <c r="BE622" s="83" t="str">
        <f>REPLACE(INDEX(GroupVertices[Group],MATCH(Edges[[#This Row],[Vertex 2]],GroupVertices[Vertex],0)),1,1,"")</f>
        <v>1</v>
      </c>
      <c r="BF622" s="49"/>
      <c r="BG622" s="50"/>
      <c r="BH622" s="49"/>
      <c r="BI622" s="50"/>
      <c r="BJ622" s="49"/>
      <c r="BK622" s="50"/>
      <c r="BL622" s="49"/>
      <c r="BM622" s="50"/>
      <c r="BN622" s="49"/>
    </row>
    <row r="623" spans="1:66" ht="15">
      <c r="A623" s="68" t="s">
        <v>416</v>
      </c>
      <c r="B623" s="68" t="s">
        <v>419</v>
      </c>
      <c r="C623" s="69" t="s">
        <v>5208</v>
      </c>
      <c r="D623" s="70">
        <v>1</v>
      </c>
      <c r="E623" s="71" t="s">
        <v>132</v>
      </c>
      <c r="F623" s="72">
        <v>32</v>
      </c>
      <c r="G623" s="69" t="s">
        <v>51</v>
      </c>
      <c r="H623" s="73"/>
      <c r="I623" s="74"/>
      <c r="J623" s="74"/>
      <c r="K623" s="35" t="s">
        <v>65</v>
      </c>
      <c r="L623" s="82">
        <v>623</v>
      </c>
      <c r="M623" s="82"/>
      <c r="N623" s="76"/>
      <c r="O623" s="84" t="s">
        <v>439</v>
      </c>
      <c r="P623" s="86">
        <v>44089.55451388889</v>
      </c>
      <c r="Q623" s="84" t="s">
        <v>511</v>
      </c>
      <c r="R623" s="87" t="str">
        <f>HYPERLINK("https://www.coodingdessign.com/python/datascience/visualization-of-covid-19-new-cases-over-time-in-python/")</f>
        <v>https://www.coodingdessign.com/python/datascience/visualization-of-covid-19-new-cases-over-time-in-python/</v>
      </c>
      <c r="S623" s="84" t="s">
        <v>560</v>
      </c>
      <c r="T623" s="84" t="s">
        <v>626</v>
      </c>
      <c r="U623" s="87" t="str">
        <f>HYPERLINK("https://pbs.twimg.com/media/Eh9WZq2XcActpko.png")</f>
        <v>https://pbs.twimg.com/media/Eh9WZq2XcActpko.png</v>
      </c>
      <c r="V623" s="87" t="str">
        <f>HYPERLINK("https://pbs.twimg.com/media/Eh9WZq2XcActpko.png")</f>
        <v>https://pbs.twimg.com/media/Eh9WZq2XcActpko.png</v>
      </c>
      <c r="W623" s="86">
        <v>44089.55451388889</v>
      </c>
      <c r="X623" s="90">
        <v>44089</v>
      </c>
      <c r="Y623" s="92" t="s">
        <v>998</v>
      </c>
      <c r="Z623" s="87" t="str">
        <f>HYPERLINK("https://twitter.com/taieb_bot/status/1305858531711750144")</f>
        <v>https://twitter.com/taieb_bot/status/1305858531711750144</v>
      </c>
      <c r="AA623" s="84"/>
      <c r="AB623" s="84"/>
      <c r="AC623" s="92" t="s">
        <v>1412</v>
      </c>
      <c r="AD623" s="84"/>
      <c r="AE623" s="84" t="b">
        <v>0</v>
      </c>
      <c r="AF623" s="84">
        <v>0</v>
      </c>
      <c r="AG623" s="92" t="s">
        <v>1453</v>
      </c>
      <c r="AH623" s="84" t="b">
        <v>0</v>
      </c>
      <c r="AI623" s="84" t="s">
        <v>1456</v>
      </c>
      <c r="AJ623" s="84"/>
      <c r="AK623" s="92" t="s">
        <v>1453</v>
      </c>
      <c r="AL623" s="84" t="b">
        <v>0</v>
      </c>
      <c r="AM623" s="84">
        <v>19</v>
      </c>
      <c r="AN623" s="92" t="s">
        <v>1410</v>
      </c>
      <c r="AO623" s="84" t="s">
        <v>1528</v>
      </c>
      <c r="AP623" s="84" t="b">
        <v>0</v>
      </c>
      <c r="AQ623" s="92" t="s">
        <v>1410</v>
      </c>
      <c r="AR623" s="84" t="s">
        <v>187</v>
      </c>
      <c r="AS623" s="84">
        <v>0</v>
      </c>
      <c r="AT623" s="84">
        <v>0</v>
      </c>
      <c r="AU623" s="84"/>
      <c r="AV623" s="84"/>
      <c r="AW623" s="84"/>
      <c r="AX623" s="84"/>
      <c r="AY623" s="84"/>
      <c r="AZ623" s="84"/>
      <c r="BA623" s="84"/>
      <c r="BB623" s="84"/>
      <c r="BC623">
        <v>1</v>
      </c>
      <c r="BD623" s="83" t="str">
        <f>REPLACE(INDEX(GroupVertices[Group],MATCH(Edges[[#This Row],[Vertex 1]],GroupVertices[Vertex],0)),1,1,"")</f>
        <v>1</v>
      </c>
      <c r="BE623" s="83" t="str">
        <f>REPLACE(INDEX(GroupVertices[Group],MATCH(Edges[[#This Row],[Vertex 2]],GroupVertices[Vertex],0)),1,1,"")</f>
        <v>1</v>
      </c>
      <c r="BF623" s="49">
        <v>0</v>
      </c>
      <c r="BG623" s="50">
        <v>0</v>
      </c>
      <c r="BH623" s="49">
        <v>0</v>
      </c>
      <c r="BI623" s="50">
        <v>0</v>
      </c>
      <c r="BJ623" s="49">
        <v>0</v>
      </c>
      <c r="BK623" s="50">
        <v>0</v>
      </c>
      <c r="BL623" s="49">
        <v>20</v>
      </c>
      <c r="BM623" s="50">
        <v>100</v>
      </c>
      <c r="BN623" s="49">
        <v>20</v>
      </c>
    </row>
    <row r="624" spans="1:66" ht="15">
      <c r="A624" s="68" t="s">
        <v>416</v>
      </c>
      <c r="B624" s="68" t="s">
        <v>423</v>
      </c>
      <c r="C624" s="69" t="s">
        <v>5210</v>
      </c>
      <c r="D624" s="70">
        <v>10</v>
      </c>
      <c r="E624" s="71" t="s">
        <v>132</v>
      </c>
      <c r="F624" s="72">
        <v>10</v>
      </c>
      <c r="G624" s="69" t="s">
        <v>51</v>
      </c>
      <c r="H624" s="73"/>
      <c r="I624" s="74"/>
      <c r="J624" s="74"/>
      <c r="K624" s="35" t="s">
        <v>65</v>
      </c>
      <c r="L624" s="82">
        <v>624</v>
      </c>
      <c r="M624" s="82"/>
      <c r="N624" s="76"/>
      <c r="O624" s="84" t="s">
        <v>439</v>
      </c>
      <c r="P624" s="86">
        <v>44082.5815162037</v>
      </c>
      <c r="Q624" s="84" t="s">
        <v>459</v>
      </c>
      <c r="R624" s="84"/>
      <c r="S624" s="84"/>
      <c r="T624" s="84" t="s">
        <v>578</v>
      </c>
      <c r="U624" s="87" t="str">
        <f>HYPERLINK("https://pbs.twimg.com/media/EhZc5KGWoAIz_Wo.jpg")</f>
        <v>https://pbs.twimg.com/media/EhZc5KGWoAIz_Wo.jpg</v>
      </c>
      <c r="V624" s="87" t="str">
        <f>HYPERLINK("https://pbs.twimg.com/media/EhZc5KGWoAIz_Wo.jpg")</f>
        <v>https://pbs.twimg.com/media/EhZc5KGWoAIz_Wo.jpg</v>
      </c>
      <c r="W624" s="86">
        <v>44082.5815162037</v>
      </c>
      <c r="X624" s="90">
        <v>44082</v>
      </c>
      <c r="Y624" s="92" t="s">
        <v>999</v>
      </c>
      <c r="Z624" s="87" t="str">
        <f>HYPERLINK("https://twitter.com/taieb_bot/status/1303331603926724608")</f>
        <v>https://twitter.com/taieb_bot/status/1303331603926724608</v>
      </c>
      <c r="AA624" s="84"/>
      <c r="AB624" s="84"/>
      <c r="AC624" s="92" t="s">
        <v>1413</v>
      </c>
      <c r="AD624" s="84"/>
      <c r="AE624" s="84" t="b">
        <v>0</v>
      </c>
      <c r="AF624" s="84">
        <v>0</v>
      </c>
      <c r="AG624" s="92" t="s">
        <v>1453</v>
      </c>
      <c r="AH624" s="84" t="b">
        <v>0</v>
      </c>
      <c r="AI624" s="84" t="s">
        <v>1456</v>
      </c>
      <c r="AJ624" s="84"/>
      <c r="AK624" s="92" t="s">
        <v>1453</v>
      </c>
      <c r="AL624" s="84" t="b">
        <v>0</v>
      </c>
      <c r="AM624" s="84">
        <v>44</v>
      </c>
      <c r="AN624" s="92" t="s">
        <v>1428</v>
      </c>
      <c r="AO624" s="84" t="s">
        <v>1528</v>
      </c>
      <c r="AP624" s="84" t="b">
        <v>0</v>
      </c>
      <c r="AQ624" s="92" t="s">
        <v>1428</v>
      </c>
      <c r="AR624" s="84" t="s">
        <v>187</v>
      </c>
      <c r="AS624" s="84">
        <v>0</v>
      </c>
      <c r="AT624" s="84">
        <v>0</v>
      </c>
      <c r="AU624" s="84"/>
      <c r="AV624" s="84"/>
      <c r="AW624" s="84"/>
      <c r="AX624" s="84"/>
      <c r="AY624" s="84"/>
      <c r="AZ624" s="84"/>
      <c r="BA624" s="84"/>
      <c r="BB624" s="84"/>
      <c r="BC624">
        <v>4</v>
      </c>
      <c r="BD624" s="83" t="str">
        <f>REPLACE(INDEX(GroupVertices[Group],MATCH(Edges[[#This Row],[Vertex 1]],GroupVertices[Vertex],0)),1,1,"")</f>
        <v>1</v>
      </c>
      <c r="BE624" s="83" t="str">
        <f>REPLACE(INDEX(GroupVertices[Group],MATCH(Edges[[#This Row],[Vertex 2]],GroupVertices[Vertex],0)),1,1,"")</f>
        <v>1</v>
      </c>
      <c r="BF624" s="49">
        <v>0</v>
      </c>
      <c r="BG624" s="50">
        <v>0</v>
      </c>
      <c r="BH624" s="49">
        <v>0</v>
      </c>
      <c r="BI624" s="50">
        <v>0</v>
      </c>
      <c r="BJ624" s="49">
        <v>0</v>
      </c>
      <c r="BK624" s="50">
        <v>0</v>
      </c>
      <c r="BL624" s="49">
        <v>30</v>
      </c>
      <c r="BM624" s="50">
        <v>100</v>
      </c>
      <c r="BN624" s="49">
        <v>30</v>
      </c>
    </row>
    <row r="625" spans="1:66" ht="15">
      <c r="A625" s="68" t="s">
        <v>416</v>
      </c>
      <c r="B625" s="68" t="s">
        <v>423</v>
      </c>
      <c r="C625" s="69" t="s">
        <v>5210</v>
      </c>
      <c r="D625" s="70">
        <v>10</v>
      </c>
      <c r="E625" s="71" t="s">
        <v>132</v>
      </c>
      <c r="F625" s="72">
        <v>10</v>
      </c>
      <c r="G625" s="69" t="s">
        <v>51</v>
      </c>
      <c r="H625" s="73"/>
      <c r="I625" s="74"/>
      <c r="J625" s="74"/>
      <c r="K625" s="35" t="s">
        <v>65</v>
      </c>
      <c r="L625" s="82">
        <v>625</v>
      </c>
      <c r="M625" s="82"/>
      <c r="N625" s="76"/>
      <c r="O625" s="84" t="s">
        <v>439</v>
      </c>
      <c r="P625" s="86">
        <v>44083.64491898148</v>
      </c>
      <c r="Q625" s="84" t="s">
        <v>474</v>
      </c>
      <c r="R625" s="84"/>
      <c r="S625" s="84"/>
      <c r="T625" s="84" t="s">
        <v>591</v>
      </c>
      <c r="U625" s="87" t="str">
        <f>HYPERLINK("https://pbs.twimg.com/media/EhOErS9WAAUfUqQ.jpg")</f>
        <v>https://pbs.twimg.com/media/EhOErS9WAAUfUqQ.jpg</v>
      </c>
      <c r="V625" s="87" t="str">
        <f>HYPERLINK("https://pbs.twimg.com/media/EhOErS9WAAUfUqQ.jpg")</f>
        <v>https://pbs.twimg.com/media/EhOErS9WAAUfUqQ.jpg</v>
      </c>
      <c r="W625" s="86">
        <v>44083.64491898148</v>
      </c>
      <c r="X625" s="90">
        <v>44083</v>
      </c>
      <c r="Y625" s="92" t="s">
        <v>1000</v>
      </c>
      <c r="Z625" s="87" t="str">
        <f>HYPERLINK("https://twitter.com/taieb_bot/status/1303716968244154370")</f>
        <v>https://twitter.com/taieb_bot/status/1303716968244154370</v>
      </c>
      <c r="AA625" s="84"/>
      <c r="AB625" s="84"/>
      <c r="AC625" s="92" t="s">
        <v>1414</v>
      </c>
      <c r="AD625" s="84"/>
      <c r="AE625" s="84" t="b">
        <v>0</v>
      </c>
      <c r="AF625" s="84">
        <v>0</v>
      </c>
      <c r="AG625" s="92" t="s">
        <v>1453</v>
      </c>
      <c r="AH625" s="84" t="b">
        <v>0</v>
      </c>
      <c r="AI625" s="84" t="s">
        <v>1456</v>
      </c>
      <c r="AJ625" s="84"/>
      <c r="AK625" s="92" t="s">
        <v>1453</v>
      </c>
      <c r="AL625" s="84" t="b">
        <v>0</v>
      </c>
      <c r="AM625" s="84">
        <v>55</v>
      </c>
      <c r="AN625" s="92" t="s">
        <v>1426</v>
      </c>
      <c r="AO625" s="84" t="s">
        <v>1528</v>
      </c>
      <c r="AP625" s="84" t="b">
        <v>0</v>
      </c>
      <c r="AQ625" s="92" t="s">
        <v>1426</v>
      </c>
      <c r="AR625" s="84" t="s">
        <v>187</v>
      </c>
      <c r="AS625" s="84">
        <v>0</v>
      </c>
      <c r="AT625" s="84">
        <v>0</v>
      </c>
      <c r="AU625" s="84"/>
      <c r="AV625" s="84"/>
      <c r="AW625" s="84"/>
      <c r="AX625" s="84"/>
      <c r="AY625" s="84"/>
      <c r="AZ625" s="84"/>
      <c r="BA625" s="84"/>
      <c r="BB625" s="84"/>
      <c r="BC625">
        <v>4</v>
      </c>
      <c r="BD625" s="83" t="str">
        <f>REPLACE(INDEX(GroupVertices[Group],MATCH(Edges[[#This Row],[Vertex 1]],GroupVertices[Vertex],0)),1,1,"")</f>
        <v>1</v>
      </c>
      <c r="BE625" s="83" t="str">
        <f>REPLACE(INDEX(GroupVertices[Group],MATCH(Edges[[#This Row],[Vertex 2]],GroupVertices[Vertex],0)),1,1,"")</f>
        <v>1</v>
      </c>
      <c r="BF625" s="49">
        <v>0</v>
      </c>
      <c r="BG625" s="50">
        <v>0</v>
      </c>
      <c r="BH625" s="49">
        <v>0</v>
      </c>
      <c r="BI625" s="50">
        <v>0</v>
      </c>
      <c r="BJ625" s="49">
        <v>0</v>
      </c>
      <c r="BK625" s="50">
        <v>0</v>
      </c>
      <c r="BL625" s="49">
        <v>31</v>
      </c>
      <c r="BM625" s="50">
        <v>100</v>
      </c>
      <c r="BN625" s="49">
        <v>31</v>
      </c>
    </row>
    <row r="626" spans="1:66" ht="15">
      <c r="A626" s="68" t="s">
        <v>416</v>
      </c>
      <c r="B626" s="68" t="s">
        <v>423</v>
      </c>
      <c r="C626" s="69" t="s">
        <v>5210</v>
      </c>
      <c r="D626" s="70">
        <v>10</v>
      </c>
      <c r="E626" s="71" t="s">
        <v>132</v>
      </c>
      <c r="F626" s="72">
        <v>10</v>
      </c>
      <c r="G626" s="69" t="s">
        <v>51</v>
      </c>
      <c r="H626" s="73"/>
      <c r="I626" s="74"/>
      <c r="J626" s="74"/>
      <c r="K626" s="35" t="s">
        <v>65</v>
      </c>
      <c r="L626" s="82">
        <v>626</v>
      </c>
      <c r="M626" s="82"/>
      <c r="N626" s="76"/>
      <c r="O626" s="84" t="s">
        <v>439</v>
      </c>
      <c r="P626" s="86">
        <v>44084.13984953704</v>
      </c>
      <c r="Q626" s="84" t="s">
        <v>459</v>
      </c>
      <c r="R626" s="84"/>
      <c r="S626" s="84"/>
      <c r="T626" s="84" t="s">
        <v>578</v>
      </c>
      <c r="U626" s="87" t="str">
        <f>HYPERLINK("https://pbs.twimg.com/media/EhZc5KGWoAIz_Wo.jpg")</f>
        <v>https://pbs.twimg.com/media/EhZc5KGWoAIz_Wo.jpg</v>
      </c>
      <c r="V626" s="87" t="str">
        <f>HYPERLINK("https://pbs.twimg.com/media/EhZc5KGWoAIz_Wo.jpg")</f>
        <v>https://pbs.twimg.com/media/EhZc5KGWoAIz_Wo.jpg</v>
      </c>
      <c r="W626" s="86">
        <v>44084.13984953704</v>
      </c>
      <c r="X626" s="90">
        <v>44084</v>
      </c>
      <c r="Y626" s="92" t="s">
        <v>1001</v>
      </c>
      <c r="Z626" s="87" t="str">
        <f>HYPERLINK("https://twitter.com/taieb_bot/status/1303896322358075393")</f>
        <v>https://twitter.com/taieb_bot/status/1303896322358075393</v>
      </c>
      <c r="AA626" s="84"/>
      <c r="AB626" s="84"/>
      <c r="AC626" s="92" t="s">
        <v>1415</v>
      </c>
      <c r="AD626" s="84"/>
      <c r="AE626" s="84" t="b">
        <v>0</v>
      </c>
      <c r="AF626" s="84">
        <v>0</v>
      </c>
      <c r="AG626" s="92" t="s">
        <v>1453</v>
      </c>
      <c r="AH626" s="84" t="b">
        <v>0</v>
      </c>
      <c r="AI626" s="84" t="s">
        <v>1456</v>
      </c>
      <c r="AJ626" s="84"/>
      <c r="AK626" s="92" t="s">
        <v>1453</v>
      </c>
      <c r="AL626" s="84" t="b">
        <v>0</v>
      </c>
      <c r="AM626" s="84">
        <v>44</v>
      </c>
      <c r="AN626" s="92" t="s">
        <v>1428</v>
      </c>
      <c r="AO626" s="84" t="s">
        <v>1528</v>
      </c>
      <c r="AP626" s="84" t="b">
        <v>0</v>
      </c>
      <c r="AQ626" s="92" t="s">
        <v>1428</v>
      </c>
      <c r="AR626" s="84" t="s">
        <v>187</v>
      </c>
      <c r="AS626" s="84">
        <v>0</v>
      </c>
      <c r="AT626" s="84">
        <v>0</v>
      </c>
      <c r="AU626" s="84"/>
      <c r="AV626" s="84"/>
      <c r="AW626" s="84"/>
      <c r="AX626" s="84"/>
      <c r="AY626" s="84"/>
      <c r="AZ626" s="84"/>
      <c r="BA626" s="84"/>
      <c r="BB626" s="84"/>
      <c r="BC626">
        <v>4</v>
      </c>
      <c r="BD626" s="83" t="str">
        <f>REPLACE(INDEX(GroupVertices[Group],MATCH(Edges[[#This Row],[Vertex 1]],GroupVertices[Vertex],0)),1,1,"")</f>
        <v>1</v>
      </c>
      <c r="BE626" s="83" t="str">
        <f>REPLACE(INDEX(GroupVertices[Group],MATCH(Edges[[#This Row],[Vertex 2]],GroupVertices[Vertex],0)),1,1,"")</f>
        <v>1</v>
      </c>
      <c r="BF626" s="49">
        <v>0</v>
      </c>
      <c r="BG626" s="50">
        <v>0</v>
      </c>
      <c r="BH626" s="49">
        <v>0</v>
      </c>
      <c r="BI626" s="50">
        <v>0</v>
      </c>
      <c r="BJ626" s="49">
        <v>0</v>
      </c>
      <c r="BK626" s="50">
        <v>0</v>
      </c>
      <c r="BL626" s="49">
        <v>30</v>
      </c>
      <c r="BM626" s="50">
        <v>100</v>
      </c>
      <c r="BN626" s="49">
        <v>30</v>
      </c>
    </row>
    <row r="627" spans="1:66" ht="15">
      <c r="A627" s="68" t="s">
        <v>416</v>
      </c>
      <c r="B627" s="68" t="s">
        <v>423</v>
      </c>
      <c r="C627" s="69" t="s">
        <v>5210</v>
      </c>
      <c r="D627" s="70">
        <v>10</v>
      </c>
      <c r="E627" s="71" t="s">
        <v>132</v>
      </c>
      <c r="F627" s="72">
        <v>10</v>
      </c>
      <c r="G627" s="69" t="s">
        <v>51</v>
      </c>
      <c r="H627" s="73"/>
      <c r="I627" s="74"/>
      <c r="J627" s="74"/>
      <c r="K627" s="35" t="s">
        <v>65</v>
      </c>
      <c r="L627" s="82">
        <v>627</v>
      </c>
      <c r="M627" s="82"/>
      <c r="N627" s="76"/>
      <c r="O627" s="84" t="s">
        <v>439</v>
      </c>
      <c r="P627" s="86">
        <v>44084.748819444445</v>
      </c>
      <c r="Q627" s="84" t="s">
        <v>474</v>
      </c>
      <c r="R627" s="84"/>
      <c r="S627" s="84"/>
      <c r="T627" s="84" t="s">
        <v>591</v>
      </c>
      <c r="U627" s="87" t="str">
        <f>HYPERLINK("https://pbs.twimg.com/media/EhOErS9WAAUfUqQ.jpg")</f>
        <v>https://pbs.twimg.com/media/EhOErS9WAAUfUqQ.jpg</v>
      </c>
      <c r="V627" s="87" t="str">
        <f>HYPERLINK("https://pbs.twimg.com/media/EhOErS9WAAUfUqQ.jpg")</f>
        <v>https://pbs.twimg.com/media/EhOErS9WAAUfUqQ.jpg</v>
      </c>
      <c r="W627" s="86">
        <v>44084.748819444445</v>
      </c>
      <c r="X627" s="90">
        <v>44084</v>
      </c>
      <c r="Y627" s="92" t="s">
        <v>1002</v>
      </c>
      <c r="Z627" s="87" t="str">
        <f>HYPERLINK("https://twitter.com/taieb_bot/status/1304117007391100929")</f>
        <v>https://twitter.com/taieb_bot/status/1304117007391100929</v>
      </c>
      <c r="AA627" s="84"/>
      <c r="AB627" s="84"/>
      <c r="AC627" s="92" t="s">
        <v>1416</v>
      </c>
      <c r="AD627" s="84"/>
      <c r="AE627" s="84" t="b">
        <v>0</v>
      </c>
      <c r="AF627" s="84">
        <v>0</v>
      </c>
      <c r="AG627" s="92" t="s">
        <v>1453</v>
      </c>
      <c r="AH627" s="84" t="b">
        <v>0</v>
      </c>
      <c r="AI627" s="84" t="s">
        <v>1456</v>
      </c>
      <c r="AJ627" s="84"/>
      <c r="AK627" s="92" t="s">
        <v>1453</v>
      </c>
      <c r="AL627" s="84" t="b">
        <v>0</v>
      </c>
      <c r="AM627" s="84">
        <v>55</v>
      </c>
      <c r="AN627" s="92" t="s">
        <v>1426</v>
      </c>
      <c r="AO627" s="84" t="s">
        <v>1528</v>
      </c>
      <c r="AP627" s="84" t="b">
        <v>0</v>
      </c>
      <c r="AQ627" s="92" t="s">
        <v>1426</v>
      </c>
      <c r="AR627" s="84" t="s">
        <v>187</v>
      </c>
      <c r="AS627" s="84">
        <v>0</v>
      </c>
      <c r="AT627" s="84">
        <v>0</v>
      </c>
      <c r="AU627" s="84"/>
      <c r="AV627" s="84"/>
      <c r="AW627" s="84"/>
      <c r="AX627" s="84"/>
      <c r="AY627" s="84"/>
      <c r="AZ627" s="84"/>
      <c r="BA627" s="84"/>
      <c r="BB627" s="84"/>
      <c r="BC627">
        <v>4</v>
      </c>
      <c r="BD627" s="83" t="str">
        <f>REPLACE(INDEX(GroupVertices[Group],MATCH(Edges[[#This Row],[Vertex 1]],GroupVertices[Vertex],0)),1,1,"")</f>
        <v>1</v>
      </c>
      <c r="BE627" s="83" t="str">
        <f>REPLACE(INDEX(GroupVertices[Group],MATCH(Edges[[#This Row],[Vertex 2]],GroupVertices[Vertex],0)),1,1,"")</f>
        <v>1</v>
      </c>
      <c r="BF627" s="49">
        <v>0</v>
      </c>
      <c r="BG627" s="50">
        <v>0</v>
      </c>
      <c r="BH627" s="49">
        <v>0</v>
      </c>
      <c r="BI627" s="50">
        <v>0</v>
      </c>
      <c r="BJ627" s="49">
        <v>0</v>
      </c>
      <c r="BK627" s="50">
        <v>0</v>
      </c>
      <c r="BL627" s="49">
        <v>31</v>
      </c>
      <c r="BM627" s="50">
        <v>100</v>
      </c>
      <c r="BN627" s="49">
        <v>31</v>
      </c>
    </row>
    <row r="628" spans="1:66" ht="15">
      <c r="A628" s="68" t="s">
        <v>416</v>
      </c>
      <c r="B628" s="68" t="s">
        <v>421</v>
      </c>
      <c r="C628" s="69" t="s">
        <v>5208</v>
      </c>
      <c r="D628" s="70">
        <v>1</v>
      </c>
      <c r="E628" s="71" t="s">
        <v>132</v>
      </c>
      <c r="F628" s="72">
        <v>32</v>
      </c>
      <c r="G628" s="69" t="s">
        <v>51</v>
      </c>
      <c r="H628" s="73"/>
      <c r="I628" s="74"/>
      <c r="J628" s="74"/>
      <c r="K628" s="35" t="s">
        <v>65</v>
      </c>
      <c r="L628" s="82">
        <v>628</v>
      </c>
      <c r="M628" s="82"/>
      <c r="N628" s="76"/>
      <c r="O628" s="84" t="s">
        <v>439</v>
      </c>
      <c r="P628" s="86">
        <v>44089.600810185184</v>
      </c>
      <c r="Q628" s="84" t="s">
        <v>479</v>
      </c>
      <c r="R628" s="87" t="str">
        <f>HYPERLINK("https://akashmishra75.herokuapp.com/")</f>
        <v>https://akashmishra75.herokuapp.com/</v>
      </c>
      <c r="S628" s="84" t="s">
        <v>547</v>
      </c>
      <c r="T628" s="84" t="s">
        <v>595</v>
      </c>
      <c r="U628" s="87" t="str">
        <f>HYPERLINK("https://pbs.twimg.com/ext_tw_video_thumb/1299340580011433985/pu/img/BLbI7sTMAVVWOb9h.jpg")</f>
        <v>https://pbs.twimg.com/ext_tw_video_thumb/1299340580011433985/pu/img/BLbI7sTMAVVWOb9h.jpg</v>
      </c>
      <c r="V628" s="87" t="str">
        <f>HYPERLINK("https://pbs.twimg.com/ext_tw_video_thumb/1299340580011433985/pu/img/BLbI7sTMAVVWOb9h.jpg")</f>
        <v>https://pbs.twimg.com/ext_tw_video_thumb/1299340580011433985/pu/img/BLbI7sTMAVVWOb9h.jpg</v>
      </c>
      <c r="W628" s="86">
        <v>44089.600810185184</v>
      </c>
      <c r="X628" s="90">
        <v>44089</v>
      </c>
      <c r="Y628" s="92" t="s">
        <v>1003</v>
      </c>
      <c r="Z628" s="87" t="str">
        <f>HYPERLINK("https://twitter.com/taieb_bot/status/1305875307988221952")</f>
        <v>https://twitter.com/taieb_bot/status/1305875307988221952</v>
      </c>
      <c r="AA628" s="84"/>
      <c r="AB628" s="84"/>
      <c r="AC628" s="92" t="s">
        <v>1417</v>
      </c>
      <c r="AD628" s="84"/>
      <c r="AE628" s="84" t="b">
        <v>0</v>
      </c>
      <c r="AF628" s="84">
        <v>0</v>
      </c>
      <c r="AG628" s="92" t="s">
        <v>1453</v>
      </c>
      <c r="AH628" s="84" t="b">
        <v>0</v>
      </c>
      <c r="AI628" s="84" t="s">
        <v>1456</v>
      </c>
      <c r="AJ628" s="84"/>
      <c r="AK628" s="92" t="s">
        <v>1453</v>
      </c>
      <c r="AL628" s="84" t="b">
        <v>0</v>
      </c>
      <c r="AM628" s="84">
        <v>76</v>
      </c>
      <c r="AN628" s="92" t="s">
        <v>1418</v>
      </c>
      <c r="AO628" s="84" t="s">
        <v>1528</v>
      </c>
      <c r="AP628" s="84" t="b">
        <v>0</v>
      </c>
      <c r="AQ628" s="92" t="s">
        <v>1418</v>
      </c>
      <c r="AR628" s="84" t="s">
        <v>187</v>
      </c>
      <c r="AS628" s="84">
        <v>0</v>
      </c>
      <c r="AT628" s="84">
        <v>0</v>
      </c>
      <c r="AU628" s="84"/>
      <c r="AV628" s="84"/>
      <c r="AW628" s="84"/>
      <c r="AX628" s="84"/>
      <c r="AY628" s="84"/>
      <c r="AZ628" s="84"/>
      <c r="BA628" s="84"/>
      <c r="BB628" s="84"/>
      <c r="BC628">
        <v>1</v>
      </c>
      <c r="BD628" s="83" t="str">
        <f>REPLACE(INDEX(GroupVertices[Group],MATCH(Edges[[#This Row],[Vertex 1]],GroupVertices[Vertex],0)),1,1,"")</f>
        <v>1</v>
      </c>
      <c r="BE628" s="83" t="str">
        <f>REPLACE(INDEX(GroupVertices[Group],MATCH(Edges[[#This Row],[Vertex 2]],GroupVertices[Vertex],0)),1,1,"")</f>
        <v>8</v>
      </c>
      <c r="BF628" s="49">
        <v>0</v>
      </c>
      <c r="BG628" s="50">
        <v>0</v>
      </c>
      <c r="BH628" s="49">
        <v>0</v>
      </c>
      <c r="BI628" s="50">
        <v>0</v>
      </c>
      <c r="BJ628" s="49">
        <v>0</v>
      </c>
      <c r="BK628" s="50">
        <v>0</v>
      </c>
      <c r="BL628" s="49">
        <v>42</v>
      </c>
      <c r="BM628" s="50">
        <v>100</v>
      </c>
      <c r="BN628" s="49">
        <v>42</v>
      </c>
    </row>
    <row r="629" spans="1:66" ht="15">
      <c r="A629" s="68" t="s">
        <v>421</v>
      </c>
      <c r="B629" s="68" t="s">
        <v>421</v>
      </c>
      <c r="C629" s="69" t="s">
        <v>5208</v>
      </c>
      <c r="D629" s="70">
        <v>1</v>
      </c>
      <c r="E629" s="71" t="s">
        <v>132</v>
      </c>
      <c r="F629" s="72">
        <v>32</v>
      </c>
      <c r="G629" s="69" t="s">
        <v>51</v>
      </c>
      <c r="H629" s="73"/>
      <c r="I629" s="74"/>
      <c r="J629" s="74"/>
      <c r="K629" s="35" t="s">
        <v>65</v>
      </c>
      <c r="L629" s="82">
        <v>629</v>
      </c>
      <c r="M629" s="82"/>
      <c r="N629" s="76"/>
      <c r="O629" s="84" t="s">
        <v>187</v>
      </c>
      <c r="P629" s="86">
        <v>44071.56928240741</v>
      </c>
      <c r="Q629" s="84" t="s">
        <v>479</v>
      </c>
      <c r="R629" s="87" t="str">
        <f>HYPERLINK("https://akashmishra75.herokuapp.com/")</f>
        <v>https://akashmishra75.herokuapp.com/</v>
      </c>
      <c r="S629" s="84" t="s">
        <v>547</v>
      </c>
      <c r="T629" s="84" t="s">
        <v>595</v>
      </c>
      <c r="U629" s="87" t="str">
        <f>HYPERLINK("https://pbs.twimg.com/ext_tw_video_thumb/1299340580011433985/pu/img/BLbI7sTMAVVWOb9h.jpg")</f>
        <v>https://pbs.twimg.com/ext_tw_video_thumb/1299340580011433985/pu/img/BLbI7sTMAVVWOb9h.jpg</v>
      </c>
      <c r="V629" s="87" t="str">
        <f>HYPERLINK("https://pbs.twimg.com/ext_tw_video_thumb/1299340580011433985/pu/img/BLbI7sTMAVVWOb9h.jpg")</f>
        <v>https://pbs.twimg.com/ext_tw_video_thumb/1299340580011433985/pu/img/BLbI7sTMAVVWOb9h.jpg</v>
      </c>
      <c r="W629" s="86">
        <v>44071.56928240741</v>
      </c>
      <c r="X629" s="90">
        <v>44071</v>
      </c>
      <c r="Y629" s="92" t="s">
        <v>1004</v>
      </c>
      <c r="Z629" s="87" t="str">
        <f>HYPERLINK("https://twitter.com/switchhitx/status/1299340903195107329")</f>
        <v>https://twitter.com/switchhitx/status/1299340903195107329</v>
      </c>
      <c r="AA629" s="84"/>
      <c r="AB629" s="84"/>
      <c r="AC629" s="92" t="s">
        <v>1418</v>
      </c>
      <c r="AD629" s="84"/>
      <c r="AE629" s="84" t="b">
        <v>0</v>
      </c>
      <c r="AF629" s="84">
        <v>43</v>
      </c>
      <c r="AG629" s="92" t="s">
        <v>1453</v>
      </c>
      <c r="AH629" s="84" t="b">
        <v>0</v>
      </c>
      <c r="AI629" s="84" t="s">
        <v>1456</v>
      </c>
      <c r="AJ629" s="84"/>
      <c r="AK629" s="92" t="s">
        <v>1453</v>
      </c>
      <c r="AL629" s="84" t="b">
        <v>0</v>
      </c>
      <c r="AM629" s="84">
        <v>76</v>
      </c>
      <c r="AN629" s="92" t="s">
        <v>1453</v>
      </c>
      <c r="AO629" s="84" t="s">
        <v>1464</v>
      </c>
      <c r="AP629" s="84" t="b">
        <v>0</v>
      </c>
      <c r="AQ629" s="92" t="s">
        <v>1418</v>
      </c>
      <c r="AR629" s="84" t="s">
        <v>439</v>
      </c>
      <c r="AS629" s="84">
        <v>0</v>
      </c>
      <c r="AT629" s="84">
        <v>0</v>
      </c>
      <c r="AU629" s="84"/>
      <c r="AV629" s="84"/>
      <c r="AW629" s="84"/>
      <c r="AX629" s="84"/>
      <c r="AY629" s="84"/>
      <c r="AZ629" s="84"/>
      <c r="BA629" s="84"/>
      <c r="BB629" s="84"/>
      <c r="BC629">
        <v>1</v>
      </c>
      <c r="BD629" s="83" t="str">
        <f>REPLACE(INDEX(GroupVertices[Group],MATCH(Edges[[#This Row],[Vertex 1]],GroupVertices[Vertex],0)),1,1,"")</f>
        <v>8</v>
      </c>
      <c r="BE629" s="83" t="str">
        <f>REPLACE(INDEX(GroupVertices[Group],MATCH(Edges[[#This Row],[Vertex 2]],GroupVertices[Vertex],0)),1,1,"")</f>
        <v>8</v>
      </c>
      <c r="BF629" s="49">
        <v>0</v>
      </c>
      <c r="BG629" s="50">
        <v>0</v>
      </c>
      <c r="BH629" s="49">
        <v>0</v>
      </c>
      <c r="BI629" s="50">
        <v>0</v>
      </c>
      <c r="BJ629" s="49">
        <v>0</v>
      </c>
      <c r="BK629" s="50">
        <v>0</v>
      </c>
      <c r="BL629" s="49">
        <v>42</v>
      </c>
      <c r="BM629" s="50">
        <v>100</v>
      </c>
      <c r="BN629" s="49">
        <v>42</v>
      </c>
    </row>
    <row r="630" spans="1:66" ht="15">
      <c r="A630" s="68" t="s">
        <v>422</v>
      </c>
      <c r="B630" s="68" t="s">
        <v>421</v>
      </c>
      <c r="C630" s="69" t="s">
        <v>5210</v>
      </c>
      <c r="D630" s="70">
        <v>10</v>
      </c>
      <c r="E630" s="71" t="s">
        <v>136</v>
      </c>
      <c r="F630" s="72">
        <v>10</v>
      </c>
      <c r="G630" s="69" t="s">
        <v>51</v>
      </c>
      <c r="H630" s="73"/>
      <c r="I630" s="74"/>
      <c r="J630" s="74"/>
      <c r="K630" s="35" t="s">
        <v>65</v>
      </c>
      <c r="L630" s="82">
        <v>630</v>
      </c>
      <c r="M630" s="82"/>
      <c r="N630" s="76"/>
      <c r="O630" s="84" t="s">
        <v>439</v>
      </c>
      <c r="P630" s="86">
        <v>44085.16842592593</v>
      </c>
      <c r="Q630" s="84" t="s">
        <v>479</v>
      </c>
      <c r="R630" s="87" t="str">
        <f>HYPERLINK("https://akashmishra75.herokuapp.com/")</f>
        <v>https://akashmishra75.herokuapp.com/</v>
      </c>
      <c r="S630" s="84" t="s">
        <v>547</v>
      </c>
      <c r="T630" s="84" t="s">
        <v>595</v>
      </c>
      <c r="U630" s="87" t="str">
        <f>HYPERLINK("https://pbs.twimg.com/ext_tw_video_thumb/1299340580011433985/pu/img/BLbI7sTMAVVWOb9h.jpg")</f>
        <v>https://pbs.twimg.com/ext_tw_video_thumb/1299340580011433985/pu/img/BLbI7sTMAVVWOb9h.jpg</v>
      </c>
      <c r="V630" s="87" t="str">
        <f>HYPERLINK("https://pbs.twimg.com/ext_tw_video_thumb/1299340580011433985/pu/img/BLbI7sTMAVVWOb9h.jpg")</f>
        <v>https://pbs.twimg.com/ext_tw_video_thumb/1299340580011433985/pu/img/BLbI7sTMAVVWOb9h.jpg</v>
      </c>
      <c r="W630" s="86">
        <v>44085.16842592593</v>
      </c>
      <c r="X630" s="90">
        <v>44085</v>
      </c>
      <c r="Y630" s="92" t="s">
        <v>1005</v>
      </c>
      <c r="Z630" s="87" t="str">
        <f>HYPERLINK("https://twitter.com/codedailybot/status/1304269069156315142")</f>
        <v>https://twitter.com/codedailybot/status/1304269069156315142</v>
      </c>
      <c r="AA630" s="84"/>
      <c r="AB630" s="84"/>
      <c r="AC630" s="92" t="s">
        <v>1419</v>
      </c>
      <c r="AD630" s="84"/>
      <c r="AE630" s="84" t="b">
        <v>0</v>
      </c>
      <c r="AF630" s="84">
        <v>0</v>
      </c>
      <c r="AG630" s="92" t="s">
        <v>1453</v>
      </c>
      <c r="AH630" s="84" t="b">
        <v>0</v>
      </c>
      <c r="AI630" s="84" t="s">
        <v>1456</v>
      </c>
      <c r="AJ630" s="84"/>
      <c r="AK630" s="92" t="s">
        <v>1453</v>
      </c>
      <c r="AL630" s="84" t="b">
        <v>0</v>
      </c>
      <c r="AM630" s="84">
        <v>76</v>
      </c>
      <c r="AN630" s="92" t="s">
        <v>1418</v>
      </c>
      <c r="AO630" s="84" t="s">
        <v>422</v>
      </c>
      <c r="AP630" s="84" t="b">
        <v>0</v>
      </c>
      <c r="AQ630" s="92" t="s">
        <v>1418</v>
      </c>
      <c r="AR630" s="84" t="s">
        <v>187</v>
      </c>
      <c r="AS630" s="84">
        <v>0</v>
      </c>
      <c r="AT630" s="84">
        <v>0</v>
      </c>
      <c r="AU630" s="84"/>
      <c r="AV630" s="84"/>
      <c r="AW630" s="84"/>
      <c r="AX630" s="84"/>
      <c r="AY630" s="84"/>
      <c r="AZ630" s="84"/>
      <c r="BA630" s="84"/>
      <c r="BB630" s="84"/>
      <c r="BC630">
        <v>5</v>
      </c>
      <c r="BD630" s="83" t="str">
        <f>REPLACE(INDEX(GroupVertices[Group],MATCH(Edges[[#This Row],[Vertex 1]],GroupVertices[Vertex],0)),1,1,"")</f>
        <v>8</v>
      </c>
      <c r="BE630" s="83" t="str">
        <f>REPLACE(INDEX(GroupVertices[Group],MATCH(Edges[[#This Row],[Vertex 2]],GroupVertices[Vertex],0)),1,1,"")</f>
        <v>8</v>
      </c>
      <c r="BF630" s="49">
        <v>0</v>
      </c>
      <c r="BG630" s="50">
        <v>0</v>
      </c>
      <c r="BH630" s="49">
        <v>0</v>
      </c>
      <c r="BI630" s="50">
        <v>0</v>
      </c>
      <c r="BJ630" s="49">
        <v>0</v>
      </c>
      <c r="BK630" s="50">
        <v>0</v>
      </c>
      <c r="BL630" s="49">
        <v>42</v>
      </c>
      <c r="BM630" s="50">
        <v>100</v>
      </c>
      <c r="BN630" s="49">
        <v>42</v>
      </c>
    </row>
    <row r="631" spans="1:66" ht="15">
      <c r="A631" s="68" t="s">
        <v>422</v>
      </c>
      <c r="B631" s="68" t="s">
        <v>421</v>
      </c>
      <c r="C631" s="69" t="s">
        <v>5210</v>
      </c>
      <c r="D631" s="70">
        <v>10</v>
      </c>
      <c r="E631" s="71" t="s">
        <v>136</v>
      </c>
      <c r="F631" s="72">
        <v>10</v>
      </c>
      <c r="G631" s="69" t="s">
        <v>51</v>
      </c>
      <c r="H631" s="73"/>
      <c r="I631" s="74"/>
      <c r="J631" s="74"/>
      <c r="K631" s="35" t="s">
        <v>65</v>
      </c>
      <c r="L631" s="82">
        <v>631</v>
      </c>
      <c r="M631" s="82"/>
      <c r="N631" s="76"/>
      <c r="O631" s="84" t="s">
        <v>439</v>
      </c>
      <c r="P631" s="86">
        <v>44085.16842592593</v>
      </c>
      <c r="Q631" s="84" t="s">
        <v>479</v>
      </c>
      <c r="R631" s="87" t="str">
        <f>HYPERLINK("https://akashmishra75.herokuapp.com/")</f>
        <v>https://akashmishra75.herokuapp.com/</v>
      </c>
      <c r="S631" s="84" t="s">
        <v>547</v>
      </c>
      <c r="T631" s="84" t="s">
        <v>595</v>
      </c>
      <c r="U631" s="87" t="str">
        <f>HYPERLINK("https://pbs.twimg.com/ext_tw_video_thumb/1299340580011433985/pu/img/BLbI7sTMAVVWOb9h.jpg")</f>
        <v>https://pbs.twimg.com/ext_tw_video_thumb/1299340580011433985/pu/img/BLbI7sTMAVVWOb9h.jpg</v>
      </c>
      <c r="V631" s="87" t="str">
        <f>HYPERLINK("https://pbs.twimg.com/ext_tw_video_thumb/1299340580011433985/pu/img/BLbI7sTMAVVWOb9h.jpg")</f>
        <v>https://pbs.twimg.com/ext_tw_video_thumb/1299340580011433985/pu/img/BLbI7sTMAVVWOb9h.jpg</v>
      </c>
      <c r="W631" s="86">
        <v>44085.16842592593</v>
      </c>
      <c r="X631" s="90">
        <v>44085</v>
      </c>
      <c r="Y631" s="92" t="s">
        <v>1005</v>
      </c>
      <c r="Z631" s="87" t="str">
        <f>HYPERLINK("https://twitter.com/codedailybot/status/1304269069215039488")</f>
        <v>https://twitter.com/codedailybot/status/1304269069215039488</v>
      </c>
      <c r="AA631" s="84"/>
      <c r="AB631" s="84"/>
      <c r="AC631" s="92" t="s">
        <v>1420</v>
      </c>
      <c r="AD631" s="84"/>
      <c r="AE631" s="84" t="b">
        <v>0</v>
      </c>
      <c r="AF631" s="84">
        <v>0</v>
      </c>
      <c r="AG631" s="92" t="s">
        <v>1453</v>
      </c>
      <c r="AH631" s="84" t="b">
        <v>0</v>
      </c>
      <c r="AI631" s="84" t="s">
        <v>1456</v>
      </c>
      <c r="AJ631" s="84"/>
      <c r="AK631" s="92" t="s">
        <v>1453</v>
      </c>
      <c r="AL631" s="84" t="b">
        <v>0</v>
      </c>
      <c r="AM631" s="84">
        <v>76</v>
      </c>
      <c r="AN631" s="92" t="s">
        <v>1418</v>
      </c>
      <c r="AO631" s="84" t="s">
        <v>422</v>
      </c>
      <c r="AP631" s="84" t="b">
        <v>0</v>
      </c>
      <c r="AQ631" s="92" t="s">
        <v>1418</v>
      </c>
      <c r="AR631" s="84" t="s">
        <v>187</v>
      </c>
      <c r="AS631" s="84">
        <v>0</v>
      </c>
      <c r="AT631" s="84">
        <v>0</v>
      </c>
      <c r="AU631" s="84"/>
      <c r="AV631" s="84"/>
      <c r="AW631" s="84"/>
      <c r="AX631" s="84"/>
      <c r="AY631" s="84"/>
      <c r="AZ631" s="84"/>
      <c r="BA631" s="84"/>
      <c r="BB631" s="84"/>
      <c r="BC631">
        <v>5</v>
      </c>
      <c r="BD631" s="83" t="str">
        <f>REPLACE(INDEX(GroupVertices[Group],MATCH(Edges[[#This Row],[Vertex 1]],GroupVertices[Vertex],0)),1,1,"")</f>
        <v>8</v>
      </c>
      <c r="BE631" s="83" t="str">
        <f>REPLACE(INDEX(GroupVertices[Group],MATCH(Edges[[#This Row],[Vertex 2]],GroupVertices[Vertex],0)),1,1,"")</f>
        <v>8</v>
      </c>
      <c r="BF631" s="49">
        <v>0</v>
      </c>
      <c r="BG631" s="50">
        <v>0</v>
      </c>
      <c r="BH631" s="49">
        <v>0</v>
      </c>
      <c r="BI631" s="50">
        <v>0</v>
      </c>
      <c r="BJ631" s="49">
        <v>0</v>
      </c>
      <c r="BK631" s="50">
        <v>0</v>
      </c>
      <c r="BL631" s="49">
        <v>42</v>
      </c>
      <c r="BM631" s="50">
        <v>100</v>
      </c>
      <c r="BN631" s="49">
        <v>42</v>
      </c>
    </row>
    <row r="632" spans="1:66" ht="15">
      <c r="A632" s="68" t="s">
        <v>422</v>
      </c>
      <c r="B632" s="68" t="s">
        <v>421</v>
      </c>
      <c r="C632" s="69" t="s">
        <v>5210</v>
      </c>
      <c r="D632" s="70">
        <v>10</v>
      </c>
      <c r="E632" s="71" t="s">
        <v>136</v>
      </c>
      <c r="F632" s="72">
        <v>10</v>
      </c>
      <c r="G632" s="69" t="s">
        <v>51</v>
      </c>
      <c r="H632" s="73"/>
      <c r="I632" s="74"/>
      <c r="J632" s="74"/>
      <c r="K632" s="35" t="s">
        <v>65</v>
      </c>
      <c r="L632" s="82">
        <v>632</v>
      </c>
      <c r="M632" s="82"/>
      <c r="N632" s="76"/>
      <c r="O632" s="84" t="s">
        <v>439</v>
      </c>
      <c r="P632" s="86">
        <v>44089.60089120371</v>
      </c>
      <c r="Q632" s="84" t="s">
        <v>479</v>
      </c>
      <c r="R632" s="87" t="str">
        <f>HYPERLINK("https://akashmishra75.herokuapp.com/")</f>
        <v>https://akashmishra75.herokuapp.com/</v>
      </c>
      <c r="S632" s="84" t="s">
        <v>547</v>
      </c>
      <c r="T632" s="84" t="s">
        <v>595</v>
      </c>
      <c r="U632" s="87" t="str">
        <f>HYPERLINK("https://pbs.twimg.com/ext_tw_video_thumb/1299340580011433985/pu/img/BLbI7sTMAVVWOb9h.jpg")</f>
        <v>https://pbs.twimg.com/ext_tw_video_thumb/1299340580011433985/pu/img/BLbI7sTMAVVWOb9h.jpg</v>
      </c>
      <c r="V632" s="87" t="str">
        <f>HYPERLINK("https://pbs.twimg.com/ext_tw_video_thumb/1299340580011433985/pu/img/BLbI7sTMAVVWOb9h.jpg")</f>
        <v>https://pbs.twimg.com/ext_tw_video_thumb/1299340580011433985/pu/img/BLbI7sTMAVVWOb9h.jpg</v>
      </c>
      <c r="W632" s="86">
        <v>44089.60089120371</v>
      </c>
      <c r="X632" s="90">
        <v>44089</v>
      </c>
      <c r="Y632" s="92" t="s">
        <v>1006</v>
      </c>
      <c r="Z632" s="87" t="str">
        <f>HYPERLINK("https://twitter.com/codedailybot/status/1305875339890118662")</f>
        <v>https://twitter.com/codedailybot/status/1305875339890118662</v>
      </c>
      <c r="AA632" s="84"/>
      <c r="AB632" s="84"/>
      <c r="AC632" s="92" t="s">
        <v>1421</v>
      </c>
      <c r="AD632" s="84"/>
      <c r="AE632" s="84" t="b">
        <v>0</v>
      </c>
      <c r="AF632" s="84">
        <v>0</v>
      </c>
      <c r="AG632" s="92" t="s">
        <v>1453</v>
      </c>
      <c r="AH632" s="84" t="b">
        <v>0</v>
      </c>
      <c r="AI632" s="84" t="s">
        <v>1456</v>
      </c>
      <c r="AJ632" s="84"/>
      <c r="AK632" s="92" t="s">
        <v>1453</v>
      </c>
      <c r="AL632" s="84" t="b">
        <v>0</v>
      </c>
      <c r="AM632" s="84">
        <v>76</v>
      </c>
      <c r="AN632" s="92" t="s">
        <v>1418</v>
      </c>
      <c r="AO632" s="84" t="s">
        <v>422</v>
      </c>
      <c r="AP632" s="84" t="b">
        <v>0</v>
      </c>
      <c r="AQ632" s="92" t="s">
        <v>1418</v>
      </c>
      <c r="AR632" s="84" t="s">
        <v>187</v>
      </c>
      <c r="AS632" s="84">
        <v>0</v>
      </c>
      <c r="AT632" s="84">
        <v>0</v>
      </c>
      <c r="AU632" s="84"/>
      <c r="AV632" s="84"/>
      <c r="AW632" s="84"/>
      <c r="AX632" s="84"/>
      <c r="AY632" s="84"/>
      <c r="AZ632" s="84"/>
      <c r="BA632" s="84"/>
      <c r="BB632" s="84"/>
      <c r="BC632">
        <v>5</v>
      </c>
      <c r="BD632" s="83" t="str">
        <f>REPLACE(INDEX(GroupVertices[Group],MATCH(Edges[[#This Row],[Vertex 1]],GroupVertices[Vertex],0)),1,1,"")</f>
        <v>8</v>
      </c>
      <c r="BE632" s="83" t="str">
        <f>REPLACE(INDEX(GroupVertices[Group],MATCH(Edges[[#This Row],[Vertex 2]],GroupVertices[Vertex],0)),1,1,"")</f>
        <v>8</v>
      </c>
      <c r="BF632" s="49">
        <v>0</v>
      </c>
      <c r="BG632" s="50">
        <v>0</v>
      </c>
      <c r="BH632" s="49">
        <v>0</v>
      </c>
      <c r="BI632" s="50">
        <v>0</v>
      </c>
      <c r="BJ632" s="49">
        <v>0</v>
      </c>
      <c r="BK632" s="50">
        <v>0</v>
      </c>
      <c r="BL632" s="49">
        <v>42</v>
      </c>
      <c r="BM632" s="50">
        <v>100</v>
      </c>
      <c r="BN632" s="49">
        <v>42</v>
      </c>
    </row>
    <row r="633" spans="1:66" ht="15">
      <c r="A633" s="68" t="s">
        <v>422</v>
      </c>
      <c r="B633" s="68" t="s">
        <v>421</v>
      </c>
      <c r="C633" s="69" t="s">
        <v>5210</v>
      </c>
      <c r="D633" s="70">
        <v>10</v>
      </c>
      <c r="E633" s="71" t="s">
        <v>136</v>
      </c>
      <c r="F633" s="72">
        <v>10</v>
      </c>
      <c r="G633" s="69" t="s">
        <v>51</v>
      </c>
      <c r="H633" s="73"/>
      <c r="I633" s="74"/>
      <c r="J633" s="74"/>
      <c r="K633" s="35" t="s">
        <v>65</v>
      </c>
      <c r="L633" s="82">
        <v>633</v>
      </c>
      <c r="M633" s="82"/>
      <c r="N633" s="76"/>
      <c r="O633" s="84" t="s">
        <v>439</v>
      </c>
      <c r="P633" s="86">
        <v>44089.60089120371</v>
      </c>
      <c r="Q633" s="84" t="s">
        <v>479</v>
      </c>
      <c r="R633" s="87" t="str">
        <f>HYPERLINK("https://akashmishra75.herokuapp.com/")</f>
        <v>https://akashmishra75.herokuapp.com/</v>
      </c>
      <c r="S633" s="84" t="s">
        <v>547</v>
      </c>
      <c r="T633" s="84" t="s">
        <v>595</v>
      </c>
      <c r="U633" s="87" t="str">
        <f>HYPERLINK("https://pbs.twimg.com/ext_tw_video_thumb/1299340580011433985/pu/img/BLbI7sTMAVVWOb9h.jpg")</f>
        <v>https://pbs.twimg.com/ext_tw_video_thumb/1299340580011433985/pu/img/BLbI7sTMAVVWOb9h.jpg</v>
      </c>
      <c r="V633" s="87" t="str">
        <f>HYPERLINK("https://pbs.twimg.com/ext_tw_video_thumb/1299340580011433985/pu/img/BLbI7sTMAVVWOb9h.jpg")</f>
        <v>https://pbs.twimg.com/ext_tw_video_thumb/1299340580011433985/pu/img/BLbI7sTMAVVWOb9h.jpg</v>
      </c>
      <c r="W633" s="86">
        <v>44089.60089120371</v>
      </c>
      <c r="X633" s="90">
        <v>44089</v>
      </c>
      <c r="Y633" s="92" t="s">
        <v>1006</v>
      </c>
      <c r="Z633" s="87" t="str">
        <f>HYPERLINK("https://twitter.com/codedailybot/status/1305875339890118663")</f>
        <v>https://twitter.com/codedailybot/status/1305875339890118663</v>
      </c>
      <c r="AA633" s="84"/>
      <c r="AB633" s="84"/>
      <c r="AC633" s="92" t="s">
        <v>1422</v>
      </c>
      <c r="AD633" s="84"/>
      <c r="AE633" s="84" t="b">
        <v>0</v>
      </c>
      <c r="AF633" s="84">
        <v>0</v>
      </c>
      <c r="AG633" s="92" t="s">
        <v>1453</v>
      </c>
      <c r="AH633" s="84" t="b">
        <v>0</v>
      </c>
      <c r="AI633" s="84" t="s">
        <v>1456</v>
      </c>
      <c r="AJ633" s="84"/>
      <c r="AK633" s="92" t="s">
        <v>1453</v>
      </c>
      <c r="AL633" s="84" t="b">
        <v>0</v>
      </c>
      <c r="AM633" s="84">
        <v>76</v>
      </c>
      <c r="AN633" s="92" t="s">
        <v>1418</v>
      </c>
      <c r="AO633" s="84" t="s">
        <v>422</v>
      </c>
      <c r="AP633" s="84" t="b">
        <v>0</v>
      </c>
      <c r="AQ633" s="92" t="s">
        <v>1418</v>
      </c>
      <c r="AR633" s="84" t="s">
        <v>187</v>
      </c>
      <c r="AS633" s="84">
        <v>0</v>
      </c>
      <c r="AT633" s="84">
        <v>0</v>
      </c>
      <c r="AU633" s="84"/>
      <c r="AV633" s="84"/>
      <c r="AW633" s="84"/>
      <c r="AX633" s="84"/>
      <c r="AY633" s="84"/>
      <c r="AZ633" s="84"/>
      <c r="BA633" s="84"/>
      <c r="BB633" s="84"/>
      <c r="BC633">
        <v>5</v>
      </c>
      <c r="BD633" s="83" t="str">
        <f>REPLACE(INDEX(GroupVertices[Group],MATCH(Edges[[#This Row],[Vertex 1]],GroupVertices[Vertex],0)),1,1,"")</f>
        <v>8</v>
      </c>
      <c r="BE633" s="83" t="str">
        <f>REPLACE(INDEX(GroupVertices[Group],MATCH(Edges[[#This Row],[Vertex 2]],GroupVertices[Vertex],0)),1,1,"")</f>
        <v>8</v>
      </c>
      <c r="BF633" s="49">
        <v>0</v>
      </c>
      <c r="BG633" s="50">
        <v>0</v>
      </c>
      <c r="BH633" s="49">
        <v>0</v>
      </c>
      <c r="BI633" s="50">
        <v>0</v>
      </c>
      <c r="BJ633" s="49">
        <v>0</v>
      </c>
      <c r="BK633" s="50">
        <v>0</v>
      </c>
      <c r="BL633" s="49">
        <v>42</v>
      </c>
      <c r="BM633" s="50">
        <v>100</v>
      </c>
      <c r="BN633" s="49">
        <v>42</v>
      </c>
    </row>
    <row r="634" spans="1:66" ht="15">
      <c r="A634" s="68" t="s">
        <v>422</v>
      </c>
      <c r="B634" s="68" t="s">
        <v>421</v>
      </c>
      <c r="C634" s="69" t="s">
        <v>5210</v>
      </c>
      <c r="D634" s="70">
        <v>10</v>
      </c>
      <c r="E634" s="71" t="s">
        <v>136</v>
      </c>
      <c r="F634" s="72">
        <v>10</v>
      </c>
      <c r="G634" s="69" t="s">
        <v>51</v>
      </c>
      <c r="H634" s="73"/>
      <c r="I634" s="74"/>
      <c r="J634" s="74"/>
      <c r="K634" s="35" t="s">
        <v>65</v>
      </c>
      <c r="L634" s="82">
        <v>634</v>
      </c>
      <c r="M634" s="82"/>
      <c r="N634" s="76"/>
      <c r="O634" s="84" t="s">
        <v>439</v>
      </c>
      <c r="P634" s="86">
        <v>44089.60089120371</v>
      </c>
      <c r="Q634" s="84" t="s">
        <v>479</v>
      </c>
      <c r="R634" s="87" t="str">
        <f>HYPERLINK("https://akashmishra75.herokuapp.com/")</f>
        <v>https://akashmishra75.herokuapp.com/</v>
      </c>
      <c r="S634" s="84" t="s">
        <v>547</v>
      </c>
      <c r="T634" s="84" t="s">
        <v>595</v>
      </c>
      <c r="U634" s="87" t="str">
        <f>HYPERLINK("https://pbs.twimg.com/ext_tw_video_thumb/1299340580011433985/pu/img/BLbI7sTMAVVWOb9h.jpg")</f>
        <v>https://pbs.twimg.com/ext_tw_video_thumb/1299340580011433985/pu/img/BLbI7sTMAVVWOb9h.jpg</v>
      </c>
      <c r="V634" s="87" t="str">
        <f>HYPERLINK("https://pbs.twimg.com/ext_tw_video_thumb/1299340580011433985/pu/img/BLbI7sTMAVVWOb9h.jpg")</f>
        <v>https://pbs.twimg.com/ext_tw_video_thumb/1299340580011433985/pu/img/BLbI7sTMAVVWOb9h.jpg</v>
      </c>
      <c r="W634" s="86">
        <v>44089.60089120371</v>
      </c>
      <c r="X634" s="90">
        <v>44089</v>
      </c>
      <c r="Y634" s="92" t="s">
        <v>1006</v>
      </c>
      <c r="Z634" s="87" t="str">
        <f>HYPERLINK("https://twitter.com/codedailybot/status/1305875339940433925")</f>
        <v>https://twitter.com/codedailybot/status/1305875339940433925</v>
      </c>
      <c r="AA634" s="84"/>
      <c r="AB634" s="84"/>
      <c r="AC634" s="92" t="s">
        <v>1423</v>
      </c>
      <c r="AD634" s="84"/>
      <c r="AE634" s="84" t="b">
        <v>0</v>
      </c>
      <c r="AF634" s="84">
        <v>0</v>
      </c>
      <c r="AG634" s="92" t="s">
        <v>1453</v>
      </c>
      <c r="AH634" s="84" t="b">
        <v>0</v>
      </c>
      <c r="AI634" s="84" t="s">
        <v>1456</v>
      </c>
      <c r="AJ634" s="84"/>
      <c r="AK634" s="92" t="s">
        <v>1453</v>
      </c>
      <c r="AL634" s="84" t="b">
        <v>0</v>
      </c>
      <c r="AM634" s="84">
        <v>76</v>
      </c>
      <c r="AN634" s="92" t="s">
        <v>1418</v>
      </c>
      <c r="AO634" s="84" t="s">
        <v>422</v>
      </c>
      <c r="AP634" s="84" t="b">
        <v>0</v>
      </c>
      <c r="AQ634" s="92" t="s">
        <v>1418</v>
      </c>
      <c r="AR634" s="84" t="s">
        <v>187</v>
      </c>
      <c r="AS634" s="84">
        <v>0</v>
      </c>
      <c r="AT634" s="84">
        <v>0</v>
      </c>
      <c r="AU634" s="84"/>
      <c r="AV634" s="84"/>
      <c r="AW634" s="84"/>
      <c r="AX634" s="84"/>
      <c r="AY634" s="84"/>
      <c r="AZ634" s="84"/>
      <c r="BA634" s="84"/>
      <c r="BB634" s="84"/>
      <c r="BC634">
        <v>5</v>
      </c>
      <c r="BD634" s="83" t="str">
        <f>REPLACE(INDEX(GroupVertices[Group],MATCH(Edges[[#This Row],[Vertex 1]],GroupVertices[Vertex],0)),1,1,"")</f>
        <v>8</v>
      </c>
      <c r="BE634" s="83" t="str">
        <f>REPLACE(INDEX(GroupVertices[Group],MATCH(Edges[[#This Row],[Vertex 2]],GroupVertices[Vertex],0)),1,1,"")</f>
        <v>8</v>
      </c>
      <c r="BF634" s="49">
        <v>0</v>
      </c>
      <c r="BG634" s="50">
        <v>0</v>
      </c>
      <c r="BH634" s="49">
        <v>0</v>
      </c>
      <c r="BI634" s="50">
        <v>0</v>
      </c>
      <c r="BJ634" s="49">
        <v>0</v>
      </c>
      <c r="BK634" s="50">
        <v>0</v>
      </c>
      <c r="BL634" s="49">
        <v>42</v>
      </c>
      <c r="BM634" s="50">
        <v>100</v>
      </c>
      <c r="BN634" s="49">
        <v>42</v>
      </c>
    </row>
    <row r="635" spans="1:66" ht="15">
      <c r="A635" s="68" t="s">
        <v>422</v>
      </c>
      <c r="B635" s="68" t="s">
        <v>427</v>
      </c>
      <c r="C635" s="69" t="s">
        <v>5208</v>
      </c>
      <c r="D635" s="70">
        <v>1</v>
      </c>
      <c r="E635" s="71" t="s">
        <v>132</v>
      </c>
      <c r="F635" s="72">
        <v>32</v>
      </c>
      <c r="G635" s="69" t="s">
        <v>51</v>
      </c>
      <c r="H635" s="73"/>
      <c r="I635" s="74"/>
      <c r="J635" s="74"/>
      <c r="K635" s="35" t="s">
        <v>65</v>
      </c>
      <c r="L635" s="82">
        <v>635</v>
      </c>
      <c r="M635" s="82"/>
      <c r="N635" s="76"/>
      <c r="O635" s="84" t="s">
        <v>439</v>
      </c>
      <c r="P635" s="86">
        <v>44081.194756944446</v>
      </c>
      <c r="Q635" s="84" t="s">
        <v>445</v>
      </c>
      <c r="R635" s="87" t="str">
        <f>HYPERLINK("https://cdw.voicestorm.com/Article/Redirect/158f4944-0f02-4fb5-a69a-1b101981cbd5?uc=2409&amp;g=569113d9-95cf-4edd-a7b6-8cb126ac2f30&amp;f=414657")</f>
        <v>https://cdw.voicestorm.com/Article/Redirect/158f4944-0f02-4fb5-a69a-1b101981cbd5?uc=2409&amp;g=569113d9-95cf-4edd-a7b6-8cb126ac2f30&amp;f=414657</v>
      </c>
      <c r="S635" s="84" t="s">
        <v>530</v>
      </c>
      <c r="T635" s="84" t="s">
        <v>565</v>
      </c>
      <c r="U635" s="84"/>
      <c r="V635" s="87" t="str">
        <f>HYPERLINK("http://pbs.twimg.com/profile_images/1204131757534171136/Hdf5uixg_normal.png")</f>
        <v>http://pbs.twimg.com/profile_images/1204131757534171136/Hdf5uixg_normal.png</v>
      </c>
      <c r="W635" s="86">
        <v>44081.194756944446</v>
      </c>
      <c r="X635" s="90">
        <v>44081</v>
      </c>
      <c r="Y635" s="92" t="s">
        <v>1007</v>
      </c>
      <c r="Z635" s="87" t="str">
        <f>HYPERLINK("https://twitter.com/codedailybot/status/1302829058858852353")</f>
        <v>https://twitter.com/codedailybot/status/1302829058858852353</v>
      </c>
      <c r="AA635" s="84"/>
      <c r="AB635" s="84"/>
      <c r="AC635" s="92" t="s">
        <v>1424</v>
      </c>
      <c r="AD635" s="84"/>
      <c r="AE635" s="84" t="b">
        <v>0</v>
      </c>
      <c r="AF635" s="84">
        <v>0</v>
      </c>
      <c r="AG635" s="92" t="s">
        <v>1453</v>
      </c>
      <c r="AH635" s="84" t="b">
        <v>0</v>
      </c>
      <c r="AI635" s="84" t="s">
        <v>1456</v>
      </c>
      <c r="AJ635" s="84"/>
      <c r="AK635" s="92" t="s">
        <v>1453</v>
      </c>
      <c r="AL635" s="84" t="b">
        <v>0</v>
      </c>
      <c r="AM635" s="84">
        <v>23</v>
      </c>
      <c r="AN635" s="92" t="s">
        <v>1448</v>
      </c>
      <c r="AO635" s="84" t="s">
        <v>422</v>
      </c>
      <c r="AP635" s="84" t="b">
        <v>0</v>
      </c>
      <c r="AQ635" s="92" t="s">
        <v>1448</v>
      </c>
      <c r="AR635" s="84" t="s">
        <v>187</v>
      </c>
      <c r="AS635" s="84">
        <v>0</v>
      </c>
      <c r="AT635" s="84">
        <v>0</v>
      </c>
      <c r="AU635" s="84"/>
      <c r="AV635" s="84"/>
      <c r="AW635" s="84"/>
      <c r="AX635" s="84"/>
      <c r="AY635" s="84"/>
      <c r="AZ635" s="84"/>
      <c r="BA635" s="84"/>
      <c r="BB635" s="84"/>
      <c r="BC635">
        <v>1</v>
      </c>
      <c r="BD635" s="83" t="str">
        <f>REPLACE(INDEX(GroupVertices[Group],MATCH(Edges[[#This Row],[Vertex 1]],GroupVertices[Vertex],0)),1,1,"")</f>
        <v>8</v>
      </c>
      <c r="BE635" s="83" t="str">
        <f>REPLACE(INDEX(GroupVertices[Group],MATCH(Edges[[#This Row],[Vertex 2]],GroupVertices[Vertex],0)),1,1,"")</f>
        <v>8</v>
      </c>
      <c r="BF635" s="49">
        <v>0</v>
      </c>
      <c r="BG635" s="50">
        <v>0</v>
      </c>
      <c r="BH635" s="49">
        <v>0</v>
      </c>
      <c r="BI635" s="50">
        <v>0</v>
      </c>
      <c r="BJ635" s="49">
        <v>0</v>
      </c>
      <c r="BK635" s="50">
        <v>0</v>
      </c>
      <c r="BL635" s="49">
        <v>26</v>
      </c>
      <c r="BM635" s="50">
        <v>100</v>
      </c>
      <c r="BN635" s="49">
        <v>26</v>
      </c>
    </row>
    <row r="636" spans="1:66" ht="15">
      <c r="A636" s="68" t="s">
        <v>423</v>
      </c>
      <c r="B636" s="68" t="s">
        <v>423</v>
      </c>
      <c r="C636" s="69" t="s">
        <v>5210</v>
      </c>
      <c r="D636" s="70">
        <v>10</v>
      </c>
      <c r="E636" s="71" t="s">
        <v>132</v>
      </c>
      <c r="F636" s="72">
        <v>10</v>
      </c>
      <c r="G636" s="69" t="s">
        <v>51</v>
      </c>
      <c r="H636" s="73"/>
      <c r="I636" s="74"/>
      <c r="J636" s="74"/>
      <c r="K636" s="35" t="s">
        <v>65</v>
      </c>
      <c r="L636" s="82">
        <v>636</v>
      </c>
      <c r="M636" s="82"/>
      <c r="N636" s="76"/>
      <c r="O636" s="84" t="s">
        <v>187</v>
      </c>
      <c r="P636" s="86">
        <v>44076.49212962963</v>
      </c>
      <c r="Q636" s="84" t="s">
        <v>457</v>
      </c>
      <c r="R636" s="84"/>
      <c r="S636" s="84"/>
      <c r="T636" s="84" t="s">
        <v>576</v>
      </c>
      <c r="U636" s="87" t="str">
        <f>HYPERLINK("https://pbs.twimg.com/media/Eg6GGrgXgAIxG2X.jpg")</f>
        <v>https://pbs.twimg.com/media/Eg6GGrgXgAIxG2X.jpg</v>
      </c>
      <c r="V636" s="87" t="str">
        <f>HYPERLINK("https://pbs.twimg.com/media/Eg6GGrgXgAIxG2X.jpg")</f>
        <v>https://pbs.twimg.com/media/Eg6GGrgXgAIxG2X.jpg</v>
      </c>
      <c r="W636" s="86">
        <v>44076.49212962963</v>
      </c>
      <c r="X636" s="90">
        <v>44076</v>
      </c>
      <c r="Y636" s="92" t="s">
        <v>1008</v>
      </c>
      <c r="Z636" s="87" t="str">
        <f>HYPERLINK("https://twitter.com/grandparobot/status/1301124883393454081")</f>
        <v>https://twitter.com/grandparobot/status/1301124883393454081</v>
      </c>
      <c r="AA636" s="84"/>
      <c r="AB636" s="84"/>
      <c r="AC636" s="92" t="s">
        <v>1425</v>
      </c>
      <c r="AD636" s="84"/>
      <c r="AE636" s="84" t="b">
        <v>0</v>
      </c>
      <c r="AF636" s="84">
        <v>16</v>
      </c>
      <c r="AG636" s="92" t="s">
        <v>1453</v>
      </c>
      <c r="AH636" s="84" t="b">
        <v>0</v>
      </c>
      <c r="AI636" s="84" t="s">
        <v>1456</v>
      </c>
      <c r="AJ636" s="84"/>
      <c r="AK636" s="92" t="s">
        <v>1453</v>
      </c>
      <c r="AL636" s="84" t="b">
        <v>0</v>
      </c>
      <c r="AM636" s="84">
        <v>51</v>
      </c>
      <c r="AN636" s="92" t="s">
        <v>1453</v>
      </c>
      <c r="AO636" s="84" t="s">
        <v>1465</v>
      </c>
      <c r="AP636" s="84" t="b">
        <v>0</v>
      </c>
      <c r="AQ636" s="92" t="s">
        <v>1425</v>
      </c>
      <c r="AR636" s="84" t="s">
        <v>439</v>
      </c>
      <c r="AS636" s="84">
        <v>0</v>
      </c>
      <c r="AT636" s="84">
        <v>0</v>
      </c>
      <c r="AU636" s="84"/>
      <c r="AV636" s="84"/>
      <c r="AW636" s="84"/>
      <c r="AX636" s="84"/>
      <c r="AY636" s="84"/>
      <c r="AZ636" s="84"/>
      <c r="BA636" s="84"/>
      <c r="BB636" s="84"/>
      <c r="BC636">
        <v>4</v>
      </c>
      <c r="BD636" s="83" t="str">
        <f>REPLACE(INDEX(GroupVertices[Group],MATCH(Edges[[#This Row],[Vertex 1]],GroupVertices[Vertex],0)),1,1,"")</f>
        <v>1</v>
      </c>
      <c r="BE636" s="83" t="str">
        <f>REPLACE(INDEX(GroupVertices[Group],MATCH(Edges[[#This Row],[Vertex 2]],GroupVertices[Vertex],0)),1,1,"")</f>
        <v>1</v>
      </c>
      <c r="BF636" s="49">
        <v>0</v>
      </c>
      <c r="BG636" s="50">
        <v>0</v>
      </c>
      <c r="BH636" s="49">
        <v>0</v>
      </c>
      <c r="BI636" s="50">
        <v>0</v>
      </c>
      <c r="BJ636" s="49">
        <v>0</v>
      </c>
      <c r="BK636" s="50">
        <v>0</v>
      </c>
      <c r="BL636" s="49">
        <v>34</v>
      </c>
      <c r="BM636" s="50">
        <v>100</v>
      </c>
      <c r="BN636" s="49">
        <v>34</v>
      </c>
    </row>
    <row r="637" spans="1:66" ht="15">
      <c r="A637" s="68" t="s">
        <v>423</v>
      </c>
      <c r="B637" s="68" t="s">
        <v>423</v>
      </c>
      <c r="C637" s="69" t="s">
        <v>5210</v>
      </c>
      <c r="D637" s="70">
        <v>10</v>
      </c>
      <c r="E637" s="71" t="s">
        <v>132</v>
      </c>
      <c r="F637" s="72">
        <v>10</v>
      </c>
      <c r="G637" s="69" t="s">
        <v>51</v>
      </c>
      <c r="H637" s="73"/>
      <c r="I637" s="74"/>
      <c r="J637" s="74"/>
      <c r="K637" s="35" t="s">
        <v>65</v>
      </c>
      <c r="L637" s="82">
        <v>637</v>
      </c>
      <c r="M637" s="82"/>
      <c r="N637" s="76"/>
      <c r="O637" s="84" t="s">
        <v>187</v>
      </c>
      <c r="P637" s="86">
        <v>44080.371342592596</v>
      </c>
      <c r="Q637" s="84" t="s">
        <v>474</v>
      </c>
      <c r="R637" s="84"/>
      <c r="S637" s="84"/>
      <c r="T637" s="84" t="s">
        <v>591</v>
      </c>
      <c r="U637" s="87" t="str">
        <f>HYPERLINK("https://pbs.twimg.com/media/EhOErS9WAAUfUqQ.jpg")</f>
        <v>https://pbs.twimg.com/media/EhOErS9WAAUfUqQ.jpg</v>
      </c>
      <c r="V637" s="87" t="str">
        <f>HYPERLINK("https://pbs.twimg.com/media/EhOErS9WAAUfUqQ.jpg")</f>
        <v>https://pbs.twimg.com/media/EhOErS9WAAUfUqQ.jpg</v>
      </c>
      <c r="W637" s="86">
        <v>44080.371342592596</v>
      </c>
      <c r="X637" s="90">
        <v>44080</v>
      </c>
      <c r="Y637" s="92" t="s">
        <v>1009</v>
      </c>
      <c r="Z637" s="87" t="str">
        <f>HYPERLINK("https://twitter.com/grandparobot/status/1302530664613523457")</f>
        <v>https://twitter.com/grandparobot/status/1302530664613523457</v>
      </c>
      <c r="AA637" s="84"/>
      <c r="AB637" s="84"/>
      <c r="AC637" s="92" t="s">
        <v>1426</v>
      </c>
      <c r="AD637" s="84"/>
      <c r="AE637" s="84" t="b">
        <v>0</v>
      </c>
      <c r="AF637" s="84">
        <v>14</v>
      </c>
      <c r="AG637" s="92" t="s">
        <v>1453</v>
      </c>
      <c r="AH637" s="84" t="b">
        <v>0</v>
      </c>
      <c r="AI637" s="84" t="s">
        <v>1456</v>
      </c>
      <c r="AJ637" s="84"/>
      <c r="AK637" s="92" t="s">
        <v>1453</v>
      </c>
      <c r="AL637" s="84" t="b">
        <v>0</v>
      </c>
      <c r="AM637" s="84">
        <v>55</v>
      </c>
      <c r="AN637" s="92" t="s">
        <v>1453</v>
      </c>
      <c r="AO637" s="84" t="s">
        <v>1465</v>
      </c>
      <c r="AP637" s="84" t="b">
        <v>0</v>
      </c>
      <c r="AQ637" s="92" t="s">
        <v>1426</v>
      </c>
      <c r="AR637" s="84" t="s">
        <v>439</v>
      </c>
      <c r="AS637" s="84">
        <v>0</v>
      </c>
      <c r="AT637" s="84">
        <v>0</v>
      </c>
      <c r="AU637" s="84"/>
      <c r="AV637" s="84"/>
      <c r="AW637" s="84"/>
      <c r="AX637" s="84"/>
      <c r="AY637" s="84"/>
      <c r="AZ637" s="84"/>
      <c r="BA637" s="84"/>
      <c r="BB637" s="84"/>
      <c r="BC637">
        <v>4</v>
      </c>
      <c r="BD637" s="83" t="str">
        <f>REPLACE(INDEX(GroupVertices[Group],MATCH(Edges[[#This Row],[Vertex 1]],GroupVertices[Vertex],0)),1,1,"")</f>
        <v>1</v>
      </c>
      <c r="BE637" s="83" t="str">
        <f>REPLACE(INDEX(GroupVertices[Group],MATCH(Edges[[#This Row],[Vertex 2]],GroupVertices[Vertex],0)),1,1,"")</f>
        <v>1</v>
      </c>
      <c r="BF637" s="49">
        <v>0</v>
      </c>
      <c r="BG637" s="50">
        <v>0</v>
      </c>
      <c r="BH637" s="49">
        <v>0</v>
      </c>
      <c r="BI637" s="50">
        <v>0</v>
      </c>
      <c r="BJ637" s="49">
        <v>0</v>
      </c>
      <c r="BK637" s="50">
        <v>0</v>
      </c>
      <c r="BL637" s="49">
        <v>31</v>
      </c>
      <c r="BM637" s="50">
        <v>100</v>
      </c>
      <c r="BN637" s="49">
        <v>31</v>
      </c>
    </row>
    <row r="638" spans="1:66" ht="15">
      <c r="A638" s="68" t="s">
        <v>423</v>
      </c>
      <c r="B638" s="68" t="s">
        <v>423</v>
      </c>
      <c r="C638" s="69" t="s">
        <v>5210</v>
      </c>
      <c r="D638" s="70">
        <v>10</v>
      </c>
      <c r="E638" s="71" t="s">
        <v>132</v>
      </c>
      <c r="F638" s="72">
        <v>10</v>
      </c>
      <c r="G638" s="69" t="s">
        <v>51</v>
      </c>
      <c r="H638" s="73"/>
      <c r="I638" s="74"/>
      <c r="J638" s="74"/>
      <c r="K638" s="35" t="s">
        <v>65</v>
      </c>
      <c r="L638" s="82">
        <v>638</v>
      </c>
      <c r="M638" s="82"/>
      <c r="N638" s="76"/>
      <c r="O638" s="84" t="s">
        <v>187</v>
      </c>
      <c r="P638" s="86">
        <v>44057.54425925926</v>
      </c>
      <c r="Q638" s="84" t="s">
        <v>494</v>
      </c>
      <c r="R638" s="87" t="str">
        <f>HYPERLINK("https://twitter.com/RadioSilentplay/status/1294087895364636672")</f>
        <v>https://twitter.com/RadioSilentplay/status/1294087895364636672</v>
      </c>
      <c r="S638" s="84" t="s">
        <v>553</v>
      </c>
      <c r="T638" s="84" t="s">
        <v>576</v>
      </c>
      <c r="U638" s="87" t="str">
        <f>HYPERLINK("https://pbs.twimg.com/media/EfYggXsXYAEbRme.jpg")</f>
        <v>https://pbs.twimg.com/media/EfYggXsXYAEbRme.jpg</v>
      </c>
      <c r="V638" s="87" t="str">
        <f>HYPERLINK("https://pbs.twimg.com/media/EfYggXsXYAEbRme.jpg")</f>
        <v>https://pbs.twimg.com/media/EfYggXsXYAEbRme.jpg</v>
      </c>
      <c r="W638" s="86">
        <v>44057.54425925926</v>
      </c>
      <c r="X638" s="90">
        <v>44057</v>
      </c>
      <c r="Y638" s="92" t="s">
        <v>1010</v>
      </c>
      <c r="Z638" s="87" t="str">
        <f>HYPERLINK("https://twitter.com/grandparobot/status/1294258403624312833")</f>
        <v>https://twitter.com/grandparobot/status/1294258403624312833</v>
      </c>
      <c r="AA638" s="84"/>
      <c r="AB638" s="84"/>
      <c r="AC638" s="92" t="s">
        <v>1427</v>
      </c>
      <c r="AD638" s="84"/>
      <c r="AE638" s="84" t="b">
        <v>0</v>
      </c>
      <c r="AF638" s="84">
        <v>35</v>
      </c>
      <c r="AG638" s="92" t="s">
        <v>1453</v>
      </c>
      <c r="AH638" s="84" t="b">
        <v>1</v>
      </c>
      <c r="AI638" s="84" t="s">
        <v>1456</v>
      </c>
      <c r="AJ638" s="84"/>
      <c r="AK638" s="92" t="s">
        <v>1463</v>
      </c>
      <c r="AL638" s="84" t="b">
        <v>0</v>
      </c>
      <c r="AM638" s="84">
        <v>50</v>
      </c>
      <c r="AN638" s="92" t="s">
        <v>1453</v>
      </c>
      <c r="AO638" s="84" t="s">
        <v>1465</v>
      </c>
      <c r="AP638" s="84" t="b">
        <v>0</v>
      </c>
      <c r="AQ638" s="92" t="s">
        <v>1427</v>
      </c>
      <c r="AR638" s="84" t="s">
        <v>439</v>
      </c>
      <c r="AS638" s="84">
        <v>0</v>
      </c>
      <c r="AT638" s="84">
        <v>0</v>
      </c>
      <c r="AU638" s="84"/>
      <c r="AV638" s="84"/>
      <c r="AW638" s="84"/>
      <c r="AX638" s="84"/>
      <c r="AY638" s="84"/>
      <c r="AZ638" s="84"/>
      <c r="BA638" s="84"/>
      <c r="BB638" s="84"/>
      <c r="BC638">
        <v>4</v>
      </c>
      <c r="BD638" s="83" t="str">
        <f>REPLACE(INDEX(GroupVertices[Group],MATCH(Edges[[#This Row],[Vertex 1]],GroupVertices[Vertex],0)),1,1,"")</f>
        <v>1</v>
      </c>
      <c r="BE638" s="83" t="str">
        <f>REPLACE(INDEX(GroupVertices[Group],MATCH(Edges[[#This Row],[Vertex 2]],GroupVertices[Vertex],0)),1,1,"")</f>
        <v>1</v>
      </c>
      <c r="BF638" s="49">
        <v>0</v>
      </c>
      <c r="BG638" s="50">
        <v>0</v>
      </c>
      <c r="BH638" s="49">
        <v>0</v>
      </c>
      <c r="BI638" s="50">
        <v>0</v>
      </c>
      <c r="BJ638" s="49">
        <v>0</v>
      </c>
      <c r="BK638" s="50">
        <v>0</v>
      </c>
      <c r="BL638" s="49">
        <v>34</v>
      </c>
      <c r="BM638" s="50">
        <v>100</v>
      </c>
      <c r="BN638" s="49">
        <v>34</v>
      </c>
    </row>
    <row r="639" spans="1:66" ht="15">
      <c r="A639" s="68" t="s">
        <v>423</v>
      </c>
      <c r="B639" s="68" t="s">
        <v>423</v>
      </c>
      <c r="C639" s="69" t="s">
        <v>5210</v>
      </c>
      <c r="D639" s="70">
        <v>10</v>
      </c>
      <c r="E639" s="71" t="s">
        <v>132</v>
      </c>
      <c r="F639" s="72">
        <v>10</v>
      </c>
      <c r="G639" s="69" t="s">
        <v>51</v>
      </c>
      <c r="H639" s="73"/>
      <c r="I639" s="74"/>
      <c r="J639" s="74"/>
      <c r="K639" s="35" t="s">
        <v>65</v>
      </c>
      <c r="L639" s="82">
        <v>639</v>
      </c>
      <c r="M639" s="82"/>
      <c r="N639" s="76"/>
      <c r="O639" s="84" t="s">
        <v>187</v>
      </c>
      <c r="P639" s="86">
        <v>44082.58078703703</v>
      </c>
      <c r="Q639" s="84" t="s">
        <v>459</v>
      </c>
      <c r="R639" s="84"/>
      <c r="S639" s="84"/>
      <c r="T639" s="84" t="s">
        <v>578</v>
      </c>
      <c r="U639" s="87" t="str">
        <f>HYPERLINK("https://pbs.twimg.com/media/EhZc5KGWoAIz_Wo.jpg")</f>
        <v>https://pbs.twimg.com/media/EhZc5KGWoAIz_Wo.jpg</v>
      </c>
      <c r="V639" s="87" t="str">
        <f>HYPERLINK("https://pbs.twimg.com/media/EhZc5KGWoAIz_Wo.jpg")</f>
        <v>https://pbs.twimg.com/media/EhZc5KGWoAIz_Wo.jpg</v>
      </c>
      <c r="W639" s="86">
        <v>44082.58078703703</v>
      </c>
      <c r="X639" s="90">
        <v>44082</v>
      </c>
      <c r="Y639" s="92" t="s">
        <v>1011</v>
      </c>
      <c r="Z639" s="87" t="str">
        <f>HYPERLINK("https://twitter.com/grandparobot/status/1303331340524322817")</f>
        <v>https://twitter.com/grandparobot/status/1303331340524322817</v>
      </c>
      <c r="AA639" s="84"/>
      <c r="AB639" s="84"/>
      <c r="AC639" s="92" t="s">
        <v>1428</v>
      </c>
      <c r="AD639" s="84"/>
      <c r="AE639" s="84" t="b">
        <v>0</v>
      </c>
      <c r="AF639" s="84">
        <v>13</v>
      </c>
      <c r="AG639" s="92" t="s">
        <v>1453</v>
      </c>
      <c r="AH639" s="84" t="b">
        <v>0</v>
      </c>
      <c r="AI639" s="84" t="s">
        <v>1456</v>
      </c>
      <c r="AJ639" s="84"/>
      <c r="AK639" s="92" t="s">
        <v>1453</v>
      </c>
      <c r="AL639" s="84" t="b">
        <v>0</v>
      </c>
      <c r="AM639" s="84">
        <v>44</v>
      </c>
      <c r="AN639" s="92" t="s">
        <v>1453</v>
      </c>
      <c r="AO639" s="84" t="s">
        <v>1465</v>
      </c>
      <c r="AP639" s="84" t="b">
        <v>0</v>
      </c>
      <c r="AQ639" s="92" t="s">
        <v>1428</v>
      </c>
      <c r="AR639" s="84" t="s">
        <v>187</v>
      </c>
      <c r="AS639" s="84">
        <v>0</v>
      </c>
      <c r="AT639" s="84">
        <v>0</v>
      </c>
      <c r="AU639" s="84"/>
      <c r="AV639" s="84"/>
      <c r="AW639" s="84"/>
      <c r="AX639" s="84"/>
      <c r="AY639" s="84"/>
      <c r="AZ639" s="84"/>
      <c r="BA639" s="84"/>
      <c r="BB639" s="84"/>
      <c r="BC639">
        <v>4</v>
      </c>
      <c r="BD639" s="83" t="str">
        <f>REPLACE(INDEX(GroupVertices[Group],MATCH(Edges[[#This Row],[Vertex 1]],GroupVertices[Vertex],0)),1,1,"")</f>
        <v>1</v>
      </c>
      <c r="BE639" s="83" t="str">
        <f>REPLACE(INDEX(GroupVertices[Group],MATCH(Edges[[#This Row],[Vertex 2]],GroupVertices[Vertex],0)),1,1,"")</f>
        <v>1</v>
      </c>
      <c r="BF639" s="49">
        <v>0</v>
      </c>
      <c r="BG639" s="50">
        <v>0</v>
      </c>
      <c r="BH639" s="49">
        <v>0</v>
      </c>
      <c r="BI639" s="50">
        <v>0</v>
      </c>
      <c r="BJ639" s="49">
        <v>0</v>
      </c>
      <c r="BK639" s="50">
        <v>0</v>
      </c>
      <c r="BL639" s="49">
        <v>30</v>
      </c>
      <c r="BM639" s="50">
        <v>100</v>
      </c>
      <c r="BN639" s="49">
        <v>30</v>
      </c>
    </row>
    <row r="640" spans="1:66" ht="15">
      <c r="A640" s="68" t="s">
        <v>423</v>
      </c>
      <c r="B640" s="68" t="s">
        <v>423</v>
      </c>
      <c r="C640" s="69" t="s">
        <v>5208</v>
      </c>
      <c r="D640" s="70">
        <v>1</v>
      </c>
      <c r="E640" s="71" t="s">
        <v>132</v>
      </c>
      <c r="F640" s="72">
        <v>32</v>
      </c>
      <c r="G640" s="69" t="s">
        <v>51</v>
      </c>
      <c r="H640" s="73"/>
      <c r="I640" s="74"/>
      <c r="J640" s="74"/>
      <c r="K640" s="35" t="s">
        <v>65</v>
      </c>
      <c r="L640" s="82">
        <v>640</v>
      </c>
      <c r="M640" s="82"/>
      <c r="N640" s="76"/>
      <c r="O640" s="84" t="s">
        <v>439</v>
      </c>
      <c r="P640" s="86">
        <v>44083.46730324074</v>
      </c>
      <c r="Q640" s="84" t="s">
        <v>459</v>
      </c>
      <c r="R640" s="84"/>
      <c r="S640" s="84"/>
      <c r="T640" s="84" t="s">
        <v>578</v>
      </c>
      <c r="U640" s="87" t="str">
        <f>HYPERLINK("https://pbs.twimg.com/media/EhZc5KGWoAIz_Wo.jpg")</f>
        <v>https://pbs.twimg.com/media/EhZc5KGWoAIz_Wo.jpg</v>
      </c>
      <c r="V640" s="87" t="str">
        <f>HYPERLINK("https://pbs.twimg.com/media/EhZc5KGWoAIz_Wo.jpg")</f>
        <v>https://pbs.twimg.com/media/EhZc5KGWoAIz_Wo.jpg</v>
      </c>
      <c r="W640" s="86">
        <v>44083.46730324074</v>
      </c>
      <c r="X640" s="90">
        <v>44083</v>
      </c>
      <c r="Y640" s="92" t="s">
        <v>1012</v>
      </c>
      <c r="Z640" s="87" t="str">
        <f>HYPERLINK("https://twitter.com/grandparobot/status/1303652603084058625")</f>
        <v>https://twitter.com/grandparobot/status/1303652603084058625</v>
      </c>
      <c r="AA640" s="84"/>
      <c r="AB640" s="84"/>
      <c r="AC640" s="92" t="s">
        <v>1429</v>
      </c>
      <c r="AD640" s="84"/>
      <c r="AE640" s="84" t="b">
        <v>0</v>
      </c>
      <c r="AF640" s="84">
        <v>0</v>
      </c>
      <c r="AG640" s="92" t="s">
        <v>1453</v>
      </c>
      <c r="AH640" s="84" t="b">
        <v>0</v>
      </c>
      <c r="AI640" s="84" t="s">
        <v>1456</v>
      </c>
      <c r="AJ640" s="84"/>
      <c r="AK640" s="92" t="s">
        <v>1453</v>
      </c>
      <c r="AL640" s="84" t="b">
        <v>0</v>
      </c>
      <c r="AM640" s="84">
        <v>44</v>
      </c>
      <c r="AN640" s="92" t="s">
        <v>1428</v>
      </c>
      <c r="AO640" s="84" t="s">
        <v>1465</v>
      </c>
      <c r="AP640" s="84" t="b">
        <v>0</v>
      </c>
      <c r="AQ640" s="92" t="s">
        <v>1428</v>
      </c>
      <c r="AR640" s="84" t="s">
        <v>187</v>
      </c>
      <c r="AS640" s="84">
        <v>0</v>
      </c>
      <c r="AT640" s="84">
        <v>0</v>
      </c>
      <c r="AU640" s="84"/>
      <c r="AV640" s="84"/>
      <c r="AW640" s="84"/>
      <c r="AX640" s="84"/>
      <c r="AY640" s="84"/>
      <c r="AZ640" s="84"/>
      <c r="BA640" s="84"/>
      <c r="BB640" s="84"/>
      <c r="BC640">
        <v>1</v>
      </c>
      <c r="BD640" s="83" t="str">
        <f>REPLACE(INDEX(GroupVertices[Group],MATCH(Edges[[#This Row],[Vertex 1]],GroupVertices[Vertex],0)),1,1,"")</f>
        <v>1</v>
      </c>
      <c r="BE640" s="83" t="str">
        <f>REPLACE(INDEX(GroupVertices[Group],MATCH(Edges[[#This Row],[Vertex 2]],GroupVertices[Vertex],0)),1,1,"")</f>
        <v>1</v>
      </c>
      <c r="BF640" s="49">
        <v>0</v>
      </c>
      <c r="BG640" s="50">
        <v>0</v>
      </c>
      <c r="BH640" s="49">
        <v>0</v>
      </c>
      <c r="BI640" s="50">
        <v>0</v>
      </c>
      <c r="BJ640" s="49">
        <v>0</v>
      </c>
      <c r="BK640" s="50">
        <v>0</v>
      </c>
      <c r="BL640" s="49">
        <v>30</v>
      </c>
      <c r="BM640" s="50">
        <v>100</v>
      </c>
      <c r="BN640" s="49">
        <v>30</v>
      </c>
    </row>
    <row r="641" spans="1:66" ht="15">
      <c r="A641" s="68" t="s">
        <v>424</v>
      </c>
      <c r="B641" s="68" t="s">
        <v>423</v>
      </c>
      <c r="C641" s="69" t="s">
        <v>5208</v>
      </c>
      <c r="D641" s="70">
        <v>1</v>
      </c>
      <c r="E641" s="71" t="s">
        <v>132</v>
      </c>
      <c r="F641" s="72">
        <v>32</v>
      </c>
      <c r="G641" s="69" t="s">
        <v>51</v>
      </c>
      <c r="H641" s="73"/>
      <c r="I641" s="74"/>
      <c r="J641" s="74"/>
      <c r="K641" s="35" t="s">
        <v>65</v>
      </c>
      <c r="L641" s="82">
        <v>641</v>
      </c>
      <c r="M641" s="82"/>
      <c r="N641" s="76"/>
      <c r="O641" s="84" t="s">
        <v>439</v>
      </c>
      <c r="P641" s="86">
        <v>44081.625231481485</v>
      </c>
      <c r="Q641" s="84" t="s">
        <v>457</v>
      </c>
      <c r="R641" s="84"/>
      <c r="S641" s="84"/>
      <c r="T641" s="84" t="s">
        <v>576</v>
      </c>
      <c r="U641" s="87" t="str">
        <f>HYPERLINK("https://pbs.twimg.com/media/Eg6GGrgXgAIxG2X.jpg")</f>
        <v>https://pbs.twimg.com/media/Eg6GGrgXgAIxG2X.jpg</v>
      </c>
      <c r="V641" s="87" t="str">
        <f>HYPERLINK("https://pbs.twimg.com/media/Eg6GGrgXgAIxG2X.jpg")</f>
        <v>https://pbs.twimg.com/media/Eg6GGrgXgAIxG2X.jpg</v>
      </c>
      <c r="W641" s="86">
        <v>44081.625231481485</v>
      </c>
      <c r="X641" s="90">
        <v>44081</v>
      </c>
      <c r="Y641" s="92" t="s">
        <v>1013</v>
      </c>
      <c r="Z641" s="87" t="str">
        <f>HYPERLINK("https://twitter.com/fullnam35087976/status/1302985056693092354")</f>
        <v>https://twitter.com/fullnam35087976/status/1302985056693092354</v>
      </c>
      <c r="AA641" s="84"/>
      <c r="AB641" s="84"/>
      <c r="AC641" s="92" t="s">
        <v>1430</v>
      </c>
      <c r="AD641" s="84"/>
      <c r="AE641" s="84" t="b">
        <v>0</v>
      </c>
      <c r="AF641" s="84">
        <v>0</v>
      </c>
      <c r="AG641" s="92" t="s">
        <v>1453</v>
      </c>
      <c r="AH641" s="84" t="b">
        <v>0</v>
      </c>
      <c r="AI641" s="84" t="s">
        <v>1456</v>
      </c>
      <c r="AJ641" s="84"/>
      <c r="AK641" s="92" t="s">
        <v>1453</v>
      </c>
      <c r="AL641" s="84" t="b">
        <v>0</v>
      </c>
      <c r="AM641" s="84">
        <v>51</v>
      </c>
      <c r="AN641" s="92" t="s">
        <v>1425</v>
      </c>
      <c r="AO641" s="84" t="s">
        <v>1530</v>
      </c>
      <c r="AP641" s="84" t="b">
        <v>0</v>
      </c>
      <c r="AQ641" s="92" t="s">
        <v>1425</v>
      </c>
      <c r="AR641" s="84" t="s">
        <v>187</v>
      </c>
      <c r="AS641" s="84">
        <v>0</v>
      </c>
      <c r="AT641" s="84">
        <v>0</v>
      </c>
      <c r="AU641" s="84"/>
      <c r="AV641" s="84"/>
      <c r="AW641" s="84"/>
      <c r="AX641" s="84"/>
      <c r="AY641" s="84"/>
      <c r="AZ641" s="84"/>
      <c r="BA641" s="84"/>
      <c r="BB641" s="84"/>
      <c r="BC641">
        <v>1</v>
      </c>
      <c r="BD641" s="83" t="str">
        <f>REPLACE(INDEX(GroupVertices[Group],MATCH(Edges[[#This Row],[Vertex 1]],GroupVertices[Vertex],0)),1,1,"")</f>
        <v>7</v>
      </c>
      <c r="BE641" s="83" t="str">
        <f>REPLACE(INDEX(GroupVertices[Group],MATCH(Edges[[#This Row],[Vertex 2]],GroupVertices[Vertex],0)),1,1,"")</f>
        <v>1</v>
      </c>
      <c r="BF641" s="49">
        <v>0</v>
      </c>
      <c r="BG641" s="50">
        <v>0</v>
      </c>
      <c r="BH641" s="49">
        <v>0</v>
      </c>
      <c r="BI641" s="50">
        <v>0</v>
      </c>
      <c r="BJ641" s="49">
        <v>0</v>
      </c>
      <c r="BK641" s="50">
        <v>0</v>
      </c>
      <c r="BL641" s="49">
        <v>34</v>
      </c>
      <c r="BM641" s="50">
        <v>100</v>
      </c>
      <c r="BN641" s="49">
        <v>34</v>
      </c>
    </row>
    <row r="642" spans="1:66" ht="15">
      <c r="A642" s="68" t="s">
        <v>425</v>
      </c>
      <c r="B642" s="68" t="s">
        <v>425</v>
      </c>
      <c r="C642" s="69" t="s">
        <v>5208</v>
      </c>
      <c r="D642" s="70">
        <v>1</v>
      </c>
      <c r="E642" s="71" t="s">
        <v>132</v>
      </c>
      <c r="F642" s="72">
        <v>32</v>
      </c>
      <c r="G642" s="69" t="s">
        <v>51</v>
      </c>
      <c r="H642" s="73"/>
      <c r="I642" s="74"/>
      <c r="J642" s="74"/>
      <c r="K642" s="35" t="s">
        <v>65</v>
      </c>
      <c r="L642" s="82">
        <v>642</v>
      </c>
      <c r="M642" s="82"/>
      <c r="N642" s="76"/>
      <c r="O642" s="84" t="s">
        <v>187</v>
      </c>
      <c r="P642" s="86">
        <v>44083.37501157408</v>
      </c>
      <c r="Q642" s="84" t="s">
        <v>472</v>
      </c>
      <c r="R642" s="87" t="str">
        <f>HYPERLINK("https://techairesearch.com/comparative-study-of-best-time-series-models-for-urgent-pandemic-management-2/")</f>
        <v>https://techairesearch.com/comparative-study-of-best-time-series-models-for-urgent-pandemic-management-2/</v>
      </c>
      <c r="S642" s="84" t="s">
        <v>544</v>
      </c>
      <c r="T642" s="84" t="s">
        <v>636</v>
      </c>
      <c r="U642" s="84"/>
      <c r="V642" s="87" t="str">
        <f>HYPERLINK("http://pbs.twimg.com/profile_images/1295999110630092802/YGfeoCgQ_normal.jpg")</f>
        <v>http://pbs.twimg.com/profile_images/1295999110630092802/YGfeoCgQ_normal.jpg</v>
      </c>
      <c r="W642" s="86">
        <v>44083.37501157408</v>
      </c>
      <c r="X642" s="90">
        <v>44083</v>
      </c>
      <c r="Y642" s="92" t="s">
        <v>1014</v>
      </c>
      <c r="Z642" s="87" t="str">
        <f>HYPERLINK("https://twitter.com/sharmichat82/status/1303619156508459009")</f>
        <v>https://twitter.com/sharmichat82/status/1303619156508459009</v>
      </c>
      <c r="AA642" s="84"/>
      <c r="AB642" s="84"/>
      <c r="AC642" s="92" t="s">
        <v>1431</v>
      </c>
      <c r="AD642" s="84"/>
      <c r="AE642" s="84" t="b">
        <v>0</v>
      </c>
      <c r="AF642" s="84">
        <v>7</v>
      </c>
      <c r="AG642" s="92" t="s">
        <v>1453</v>
      </c>
      <c r="AH642" s="84" t="b">
        <v>0</v>
      </c>
      <c r="AI642" s="84" t="s">
        <v>1456</v>
      </c>
      <c r="AJ642" s="84"/>
      <c r="AK642" s="92" t="s">
        <v>1453</v>
      </c>
      <c r="AL642" s="84" t="b">
        <v>0</v>
      </c>
      <c r="AM642" s="84">
        <v>12</v>
      </c>
      <c r="AN642" s="92" t="s">
        <v>1453</v>
      </c>
      <c r="AO642" s="84" t="s">
        <v>1465</v>
      </c>
      <c r="AP642" s="84" t="b">
        <v>0</v>
      </c>
      <c r="AQ642" s="92" t="s">
        <v>1431</v>
      </c>
      <c r="AR642" s="84" t="s">
        <v>187</v>
      </c>
      <c r="AS642" s="84">
        <v>0</v>
      </c>
      <c r="AT642" s="84">
        <v>0</v>
      </c>
      <c r="AU642" s="84"/>
      <c r="AV642" s="84"/>
      <c r="AW642" s="84"/>
      <c r="AX642" s="84"/>
      <c r="AY642" s="84"/>
      <c r="AZ642" s="84"/>
      <c r="BA642" s="84"/>
      <c r="BB642" s="84"/>
      <c r="BC642">
        <v>1</v>
      </c>
      <c r="BD642" s="83" t="str">
        <f>REPLACE(INDEX(GroupVertices[Group],MATCH(Edges[[#This Row],[Vertex 1]],GroupVertices[Vertex],0)),1,1,"")</f>
        <v>5</v>
      </c>
      <c r="BE642" s="83" t="str">
        <f>REPLACE(INDEX(GroupVertices[Group],MATCH(Edges[[#This Row],[Vertex 2]],GroupVertices[Vertex],0)),1,1,"")</f>
        <v>5</v>
      </c>
      <c r="BF642" s="49">
        <v>0</v>
      </c>
      <c r="BG642" s="50">
        <v>0</v>
      </c>
      <c r="BH642" s="49">
        <v>0</v>
      </c>
      <c r="BI642" s="50">
        <v>0</v>
      </c>
      <c r="BJ642" s="49">
        <v>0</v>
      </c>
      <c r="BK642" s="50">
        <v>0</v>
      </c>
      <c r="BL642" s="49">
        <v>26</v>
      </c>
      <c r="BM642" s="50">
        <v>100</v>
      </c>
      <c r="BN642" s="49">
        <v>26</v>
      </c>
    </row>
    <row r="643" spans="1:66" ht="15">
      <c r="A643" s="68" t="s">
        <v>424</v>
      </c>
      <c r="B643" s="68" t="s">
        <v>425</v>
      </c>
      <c r="C643" s="69" t="s">
        <v>5208</v>
      </c>
      <c r="D643" s="70">
        <v>1</v>
      </c>
      <c r="E643" s="71" t="s">
        <v>132</v>
      </c>
      <c r="F643" s="72">
        <v>32</v>
      </c>
      <c r="G643" s="69" t="s">
        <v>51</v>
      </c>
      <c r="H643" s="73"/>
      <c r="I643" s="74"/>
      <c r="J643" s="74"/>
      <c r="K643" s="35" t="s">
        <v>65</v>
      </c>
      <c r="L643" s="82">
        <v>643</v>
      </c>
      <c r="M643" s="82"/>
      <c r="N643" s="76"/>
      <c r="O643" s="84" t="s">
        <v>439</v>
      </c>
      <c r="P643" s="86">
        <v>44083.375185185185</v>
      </c>
      <c r="Q643" s="84" t="s">
        <v>472</v>
      </c>
      <c r="R643" s="87" t="str">
        <f>HYPERLINK("https://techairesearch.com/comparative-study-of-best-time-series-models-for-urgent-pandemic-management-2/")</f>
        <v>https://techairesearch.com/comparative-study-of-best-time-series-models-for-urgent-pandemic-management-2/</v>
      </c>
      <c r="S643" s="84" t="s">
        <v>544</v>
      </c>
      <c r="T643" s="84" t="s">
        <v>589</v>
      </c>
      <c r="U643" s="84"/>
      <c r="V643" s="87" t="str">
        <f>HYPERLINK("http://pbs.twimg.com/profile_images/1127117772490625024/7oz54mHz_normal.png")</f>
        <v>http://pbs.twimg.com/profile_images/1127117772490625024/7oz54mHz_normal.png</v>
      </c>
      <c r="W643" s="86">
        <v>44083.375185185185</v>
      </c>
      <c r="X643" s="90">
        <v>44083</v>
      </c>
      <c r="Y643" s="92" t="s">
        <v>1015</v>
      </c>
      <c r="Z643" s="87" t="str">
        <f>HYPERLINK("https://twitter.com/fullnam35087976/status/1303619217137098752")</f>
        <v>https://twitter.com/fullnam35087976/status/1303619217137098752</v>
      </c>
      <c r="AA643" s="84"/>
      <c r="AB643" s="84"/>
      <c r="AC643" s="92" t="s">
        <v>1432</v>
      </c>
      <c r="AD643" s="84"/>
      <c r="AE643" s="84" t="b">
        <v>0</v>
      </c>
      <c r="AF643" s="84">
        <v>0</v>
      </c>
      <c r="AG643" s="92" t="s">
        <v>1453</v>
      </c>
      <c r="AH643" s="84" t="b">
        <v>0</v>
      </c>
      <c r="AI643" s="84" t="s">
        <v>1456</v>
      </c>
      <c r="AJ643" s="84"/>
      <c r="AK643" s="92" t="s">
        <v>1453</v>
      </c>
      <c r="AL643" s="84" t="b">
        <v>0</v>
      </c>
      <c r="AM643" s="84">
        <v>12</v>
      </c>
      <c r="AN643" s="92" t="s">
        <v>1431</v>
      </c>
      <c r="AO643" s="84" t="s">
        <v>1530</v>
      </c>
      <c r="AP643" s="84" t="b">
        <v>0</v>
      </c>
      <c r="AQ643" s="92" t="s">
        <v>1431</v>
      </c>
      <c r="AR643" s="84" t="s">
        <v>187</v>
      </c>
      <c r="AS643" s="84">
        <v>0</v>
      </c>
      <c r="AT643" s="84">
        <v>0</v>
      </c>
      <c r="AU643" s="84"/>
      <c r="AV643" s="84"/>
      <c r="AW643" s="84"/>
      <c r="AX643" s="84"/>
      <c r="AY643" s="84"/>
      <c r="AZ643" s="84"/>
      <c r="BA643" s="84"/>
      <c r="BB643" s="84"/>
      <c r="BC643">
        <v>1</v>
      </c>
      <c r="BD643" s="83" t="str">
        <f>REPLACE(INDEX(GroupVertices[Group],MATCH(Edges[[#This Row],[Vertex 1]],GroupVertices[Vertex],0)),1,1,"")</f>
        <v>7</v>
      </c>
      <c r="BE643" s="83" t="str">
        <f>REPLACE(INDEX(GroupVertices[Group],MATCH(Edges[[#This Row],[Vertex 2]],GroupVertices[Vertex],0)),1,1,"")</f>
        <v>5</v>
      </c>
      <c r="BF643" s="49">
        <v>0</v>
      </c>
      <c r="BG643" s="50">
        <v>0</v>
      </c>
      <c r="BH643" s="49">
        <v>0</v>
      </c>
      <c r="BI643" s="50">
        <v>0</v>
      </c>
      <c r="BJ643" s="49">
        <v>0</v>
      </c>
      <c r="BK643" s="50">
        <v>0</v>
      </c>
      <c r="BL643" s="49">
        <v>26</v>
      </c>
      <c r="BM643" s="50">
        <v>100</v>
      </c>
      <c r="BN643" s="49">
        <v>26</v>
      </c>
    </row>
    <row r="644" spans="1:66" ht="15">
      <c r="A644" s="68" t="s">
        <v>426</v>
      </c>
      <c r="B644" s="68" t="s">
        <v>426</v>
      </c>
      <c r="C644" s="69" t="s">
        <v>5210</v>
      </c>
      <c r="D644" s="70">
        <v>10</v>
      </c>
      <c r="E644" s="71" t="s">
        <v>136</v>
      </c>
      <c r="F644" s="72">
        <v>10</v>
      </c>
      <c r="G644" s="69" t="s">
        <v>51</v>
      </c>
      <c r="H644" s="73"/>
      <c r="I644" s="74"/>
      <c r="J644" s="74"/>
      <c r="K644" s="35" t="s">
        <v>65</v>
      </c>
      <c r="L644" s="82">
        <v>644</v>
      </c>
      <c r="M644" s="82"/>
      <c r="N644" s="76"/>
      <c r="O644" s="84" t="s">
        <v>187</v>
      </c>
      <c r="P644" s="86">
        <v>44081.63552083333</v>
      </c>
      <c r="Q644" s="84" t="s">
        <v>446</v>
      </c>
      <c r="R644" s="84"/>
      <c r="S644" s="84"/>
      <c r="T644" s="84" t="s">
        <v>566</v>
      </c>
      <c r="U644" s="87" t="str">
        <f>HYPERLINK("https://pbs.twimg.com/media/EhUlZY6WoAEc1jo.png")</f>
        <v>https://pbs.twimg.com/media/EhUlZY6WoAEc1jo.png</v>
      </c>
      <c r="V644" s="87" t="str">
        <f>HYPERLINK("https://pbs.twimg.com/media/EhUlZY6WoAEc1jo.png")</f>
        <v>https://pbs.twimg.com/media/EhUlZY6WoAEc1jo.png</v>
      </c>
      <c r="W644" s="86">
        <v>44081.63552083333</v>
      </c>
      <c r="X644" s="90">
        <v>44081</v>
      </c>
      <c r="Y644" s="92" t="s">
        <v>1016</v>
      </c>
      <c r="Z644" s="87" t="str">
        <f>HYPERLINK("https://twitter.com/ushills_couk/status/1302988787337789441")</f>
        <v>https://twitter.com/ushills_couk/status/1302988787337789441</v>
      </c>
      <c r="AA644" s="84"/>
      <c r="AB644" s="84"/>
      <c r="AC644" s="92" t="s">
        <v>1433</v>
      </c>
      <c r="AD644" s="84"/>
      <c r="AE644" s="84" t="b">
        <v>0</v>
      </c>
      <c r="AF644" s="84">
        <v>5</v>
      </c>
      <c r="AG644" s="92" t="s">
        <v>1453</v>
      </c>
      <c r="AH644" s="84" t="b">
        <v>0</v>
      </c>
      <c r="AI644" s="84" t="s">
        <v>1456</v>
      </c>
      <c r="AJ644" s="84"/>
      <c r="AK644" s="92" t="s">
        <v>1453</v>
      </c>
      <c r="AL644" s="84" t="b">
        <v>0</v>
      </c>
      <c r="AM644" s="84">
        <v>3</v>
      </c>
      <c r="AN644" s="92" t="s">
        <v>1453</v>
      </c>
      <c r="AO644" s="84"/>
      <c r="AP644" s="84" t="b">
        <v>0</v>
      </c>
      <c r="AQ644" s="92" t="s">
        <v>1433</v>
      </c>
      <c r="AR644" s="84" t="s">
        <v>187</v>
      </c>
      <c r="AS644" s="84">
        <v>0</v>
      </c>
      <c r="AT644" s="84">
        <v>0</v>
      </c>
      <c r="AU644" s="84"/>
      <c r="AV644" s="84"/>
      <c r="AW644" s="84"/>
      <c r="AX644" s="84"/>
      <c r="AY644" s="84"/>
      <c r="AZ644" s="84"/>
      <c r="BA644" s="84"/>
      <c r="BB644" s="84"/>
      <c r="BC644">
        <v>12</v>
      </c>
      <c r="BD644" s="83" t="str">
        <f>REPLACE(INDEX(GroupVertices[Group],MATCH(Edges[[#This Row],[Vertex 1]],GroupVertices[Vertex],0)),1,1,"")</f>
        <v>7</v>
      </c>
      <c r="BE644" s="83" t="str">
        <f>REPLACE(INDEX(GroupVertices[Group],MATCH(Edges[[#This Row],[Vertex 2]],GroupVertices[Vertex],0)),1,1,"")</f>
        <v>7</v>
      </c>
      <c r="BF644" s="49">
        <v>0</v>
      </c>
      <c r="BG644" s="50">
        <v>0</v>
      </c>
      <c r="BH644" s="49">
        <v>0</v>
      </c>
      <c r="BI644" s="50">
        <v>0</v>
      </c>
      <c r="BJ644" s="49">
        <v>0</v>
      </c>
      <c r="BK644" s="50">
        <v>0</v>
      </c>
      <c r="BL644" s="49">
        <v>13</v>
      </c>
      <c r="BM644" s="50">
        <v>100</v>
      </c>
      <c r="BN644" s="49">
        <v>13</v>
      </c>
    </row>
    <row r="645" spans="1:66" ht="15">
      <c r="A645" s="68" t="s">
        <v>426</v>
      </c>
      <c r="B645" s="68" t="s">
        <v>426</v>
      </c>
      <c r="C645" s="69" t="s">
        <v>5210</v>
      </c>
      <c r="D645" s="70">
        <v>10</v>
      </c>
      <c r="E645" s="71" t="s">
        <v>136</v>
      </c>
      <c r="F645" s="72">
        <v>10</v>
      </c>
      <c r="G645" s="69" t="s">
        <v>51</v>
      </c>
      <c r="H645" s="73"/>
      <c r="I645" s="74"/>
      <c r="J645" s="74"/>
      <c r="K645" s="35" t="s">
        <v>65</v>
      </c>
      <c r="L645" s="82">
        <v>645</v>
      </c>
      <c r="M645" s="82"/>
      <c r="N645" s="76"/>
      <c r="O645" s="84" t="s">
        <v>187</v>
      </c>
      <c r="P645" s="86">
        <v>44081.666817129626</v>
      </c>
      <c r="Q645" s="84" t="s">
        <v>461</v>
      </c>
      <c r="R645" s="84"/>
      <c r="S645" s="84"/>
      <c r="T645" s="84" t="s">
        <v>566</v>
      </c>
      <c r="U645" s="87" t="str">
        <f>HYPERLINK("https://pbs.twimg.com/media/EhUvtbLWoAABTi7.png")</f>
        <v>https://pbs.twimg.com/media/EhUvtbLWoAABTi7.png</v>
      </c>
      <c r="V645" s="87" t="str">
        <f>HYPERLINK("https://pbs.twimg.com/media/EhUvtbLWoAABTi7.png")</f>
        <v>https://pbs.twimg.com/media/EhUvtbLWoAABTi7.png</v>
      </c>
      <c r="W645" s="86">
        <v>44081.666817129626</v>
      </c>
      <c r="X645" s="90">
        <v>44081</v>
      </c>
      <c r="Y645" s="92" t="s">
        <v>1017</v>
      </c>
      <c r="Z645" s="87" t="str">
        <f>HYPERLINK("https://twitter.com/ushills_couk/status/1303000126735241216")</f>
        <v>https://twitter.com/ushills_couk/status/1303000126735241216</v>
      </c>
      <c r="AA645" s="84"/>
      <c r="AB645" s="84"/>
      <c r="AC645" s="92" t="s">
        <v>1434</v>
      </c>
      <c r="AD645" s="84"/>
      <c r="AE645" s="84" t="b">
        <v>0</v>
      </c>
      <c r="AF645" s="84">
        <v>2</v>
      </c>
      <c r="AG645" s="92" t="s">
        <v>1453</v>
      </c>
      <c r="AH645" s="84" t="b">
        <v>0</v>
      </c>
      <c r="AI645" s="84" t="s">
        <v>1456</v>
      </c>
      <c r="AJ645" s="84"/>
      <c r="AK645" s="92" t="s">
        <v>1453</v>
      </c>
      <c r="AL645" s="84" t="b">
        <v>0</v>
      </c>
      <c r="AM645" s="84">
        <v>2</v>
      </c>
      <c r="AN645" s="92" t="s">
        <v>1453</v>
      </c>
      <c r="AO645" s="84"/>
      <c r="AP645" s="84" t="b">
        <v>0</v>
      </c>
      <c r="AQ645" s="92" t="s">
        <v>1434</v>
      </c>
      <c r="AR645" s="84" t="s">
        <v>187</v>
      </c>
      <c r="AS645" s="84">
        <v>0</v>
      </c>
      <c r="AT645" s="84">
        <v>0</v>
      </c>
      <c r="AU645" s="84"/>
      <c r="AV645" s="84"/>
      <c r="AW645" s="84"/>
      <c r="AX645" s="84"/>
      <c r="AY645" s="84"/>
      <c r="AZ645" s="84"/>
      <c r="BA645" s="84"/>
      <c r="BB645" s="84"/>
      <c r="BC645">
        <v>12</v>
      </c>
      <c r="BD645" s="83" t="str">
        <f>REPLACE(INDEX(GroupVertices[Group],MATCH(Edges[[#This Row],[Vertex 1]],GroupVertices[Vertex],0)),1,1,"")</f>
        <v>7</v>
      </c>
      <c r="BE645" s="83" t="str">
        <f>REPLACE(INDEX(GroupVertices[Group],MATCH(Edges[[#This Row],[Vertex 2]],GroupVertices[Vertex],0)),1,1,"")</f>
        <v>7</v>
      </c>
      <c r="BF645" s="49">
        <v>0</v>
      </c>
      <c r="BG645" s="50">
        <v>0</v>
      </c>
      <c r="BH645" s="49">
        <v>0</v>
      </c>
      <c r="BI645" s="50">
        <v>0</v>
      </c>
      <c r="BJ645" s="49">
        <v>0</v>
      </c>
      <c r="BK645" s="50">
        <v>0</v>
      </c>
      <c r="BL645" s="49">
        <v>13</v>
      </c>
      <c r="BM645" s="50">
        <v>100</v>
      </c>
      <c r="BN645" s="49">
        <v>13</v>
      </c>
    </row>
    <row r="646" spans="1:66" ht="15">
      <c r="A646" s="68" t="s">
        <v>426</v>
      </c>
      <c r="B646" s="68" t="s">
        <v>426</v>
      </c>
      <c r="C646" s="69" t="s">
        <v>5210</v>
      </c>
      <c r="D646" s="70">
        <v>10</v>
      </c>
      <c r="E646" s="71" t="s">
        <v>136</v>
      </c>
      <c r="F646" s="72">
        <v>10</v>
      </c>
      <c r="G646" s="69" t="s">
        <v>51</v>
      </c>
      <c r="H646" s="73"/>
      <c r="I646" s="74"/>
      <c r="J646" s="74"/>
      <c r="K646" s="35" t="s">
        <v>65</v>
      </c>
      <c r="L646" s="82">
        <v>646</v>
      </c>
      <c r="M646" s="82"/>
      <c r="N646" s="76"/>
      <c r="O646" s="84" t="s">
        <v>187</v>
      </c>
      <c r="P646" s="86">
        <v>44082.718877314815</v>
      </c>
      <c r="Q646" s="84" t="s">
        <v>515</v>
      </c>
      <c r="R646" s="84"/>
      <c r="S646" s="84"/>
      <c r="T646" s="84" t="s">
        <v>566</v>
      </c>
      <c r="U646" s="87" t="str">
        <f>HYPERLINK("https://pbs.twimg.com/media/EhaKdQsXkAk0Z7T.png")</f>
        <v>https://pbs.twimg.com/media/EhaKdQsXkAk0Z7T.png</v>
      </c>
      <c r="V646" s="87" t="str">
        <f>HYPERLINK("https://pbs.twimg.com/media/EhaKdQsXkAk0Z7T.png")</f>
        <v>https://pbs.twimg.com/media/EhaKdQsXkAk0Z7T.png</v>
      </c>
      <c r="W646" s="86">
        <v>44082.718877314815</v>
      </c>
      <c r="X646" s="90">
        <v>44082</v>
      </c>
      <c r="Y646" s="92" t="s">
        <v>1018</v>
      </c>
      <c r="Z646" s="87" t="str">
        <f>HYPERLINK("https://twitter.com/ushills_couk/status/1303381379036721153")</f>
        <v>https://twitter.com/ushills_couk/status/1303381379036721153</v>
      </c>
      <c r="AA646" s="84"/>
      <c r="AB646" s="84"/>
      <c r="AC646" s="92" t="s">
        <v>1435</v>
      </c>
      <c r="AD646" s="84"/>
      <c r="AE646" s="84" t="b">
        <v>0</v>
      </c>
      <c r="AF646" s="84">
        <v>2</v>
      </c>
      <c r="AG646" s="92" t="s">
        <v>1453</v>
      </c>
      <c r="AH646" s="84" t="b">
        <v>0</v>
      </c>
      <c r="AI646" s="84" t="s">
        <v>1456</v>
      </c>
      <c r="AJ646" s="84"/>
      <c r="AK646" s="92" t="s">
        <v>1453</v>
      </c>
      <c r="AL646" s="84" t="b">
        <v>0</v>
      </c>
      <c r="AM646" s="84">
        <v>1</v>
      </c>
      <c r="AN646" s="92" t="s">
        <v>1453</v>
      </c>
      <c r="AO646" s="84"/>
      <c r="AP646" s="84" t="b">
        <v>0</v>
      </c>
      <c r="AQ646" s="92" t="s">
        <v>1435</v>
      </c>
      <c r="AR646" s="84" t="s">
        <v>187</v>
      </c>
      <c r="AS646" s="84">
        <v>0</v>
      </c>
      <c r="AT646" s="84">
        <v>0</v>
      </c>
      <c r="AU646" s="84"/>
      <c r="AV646" s="84"/>
      <c r="AW646" s="84"/>
      <c r="AX646" s="84"/>
      <c r="AY646" s="84"/>
      <c r="AZ646" s="84"/>
      <c r="BA646" s="84"/>
      <c r="BB646" s="84"/>
      <c r="BC646">
        <v>12</v>
      </c>
      <c r="BD646" s="83" t="str">
        <f>REPLACE(INDEX(GroupVertices[Group],MATCH(Edges[[#This Row],[Vertex 1]],GroupVertices[Vertex],0)),1,1,"")</f>
        <v>7</v>
      </c>
      <c r="BE646" s="83" t="str">
        <f>REPLACE(INDEX(GroupVertices[Group],MATCH(Edges[[#This Row],[Vertex 2]],GroupVertices[Vertex],0)),1,1,"")</f>
        <v>7</v>
      </c>
      <c r="BF646" s="49">
        <v>0</v>
      </c>
      <c r="BG646" s="50">
        <v>0</v>
      </c>
      <c r="BH646" s="49">
        <v>0</v>
      </c>
      <c r="BI646" s="50">
        <v>0</v>
      </c>
      <c r="BJ646" s="49">
        <v>0</v>
      </c>
      <c r="BK646" s="50">
        <v>0</v>
      </c>
      <c r="BL646" s="49">
        <v>13</v>
      </c>
      <c r="BM646" s="50">
        <v>100</v>
      </c>
      <c r="BN646" s="49">
        <v>13</v>
      </c>
    </row>
    <row r="647" spans="1:66" ht="15">
      <c r="A647" s="68" t="s">
        <v>426</v>
      </c>
      <c r="B647" s="68" t="s">
        <v>426</v>
      </c>
      <c r="C647" s="69" t="s">
        <v>5210</v>
      </c>
      <c r="D647" s="70">
        <v>10</v>
      </c>
      <c r="E647" s="71" t="s">
        <v>136</v>
      </c>
      <c r="F647" s="72">
        <v>10</v>
      </c>
      <c r="G647" s="69" t="s">
        <v>51</v>
      </c>
      <c r="H647" s="73"/>
      <c r="I647" s="74"/>
      <c r="J647" s="74"/>
      <c r="K647" s="35" t="s">
        <v>65</v>
      </c>
      <c r="L647" s="82">
        <v>647</v>
      </c>
      <c r="M647" s="82"/>
      <c r="N647" s="76"/>
      <c r="O647" s="84" t="s">
        <v>187</v>
      </c>
      <c r="P647" s="86">
        <v>44083.625069444446</v>
      </c>
      <c r="Q647" s="84" t="s">
        <v>516</v>
      </c>
      <c r="R647" s="84"/>
      <c r="S647" s="84"/>
      <c r="T647" s="84" t="s">
        <v>566</v>
      </c>
      <c r="U647" s="87" t="str">
        <f>HYPERLINK("https://pbs.twimg.com/media/Ehe1IX9XcAAi7Pq.png")</f>
        <v>https://pbs.twimg.com/media/Ehe1IX9XcAAi7Pq.png</v>
      </c>
      <c r="V647" s="87" t="str">
        <f>HYPERLINK("https://pbs.twimg.com/media/Ehe1IX9XcAAi7Pq.png")</f>
        <v>https://pbs.twimg.com/media/Ehe1IX9XcAAi7Pq.png</v>
      </c>
      <c r="W647" s="86">
        <v>44083.625069444446</v>
      </c>
      <c r="X647" s="90">
        <v>44083</v>
      </c>
      <c r="Y647" s="92" t="s">
        <v>1019</v>
      </c>
      <c r="Z647" s="87" t="str">
        <f>HYPERLINK("https://twitter.com/ushills_couk/status/1303709774807216135")</f>
        <v>https://twitter.com/ushills_couk/status/1303709774807216135</v>
      </c>
      <c r="AA647" s="84"/>
      <c r="AB647" s="84"/>
      <c r="AC647" s="92" t="s">
        <v>1436</v>
      </c>
      <c r="AD647" s="84"/>
      <c r="AE647" s="84" t="b">
        <v>0</v>
      </c>
      <c r="AF647" s="84">
        <v>3</v>
      </c>
      <c r="AG647" s="92" t="s">
        <v>1453</v>
      </c>
      <c r="AH647" s="84" t="b">
        <v>0</v>
      </c>
      <c r="AI647" s="84" t="s">
        <v>1456</v>
      </c>
      <c r="AJ647" s="84"/>
      <c r="AK647" s="92" t="s">
        <v>1453</v>
      </c>
      <c r="AL647" s="84" t="b">
        <v>0</v>
      </c>
      <c r="AM647" s="84">
        <v>2</v>
      </c>
      <c r="AN647" s="92" t="s">
        <v>1453</v>
      </c>
      <c r="AO647" s="84"/>
      <c r="AP647" s="84" t="b">
        <v>0</v>
      </c>
      <c r="AQ647" s="92" t="s">
        <v>1436</v>
      </c>
      <c r="AR647" s="84" t="s">
        <v>187</v>
      </c>
      <c r="AS647" s="84">
        <v>0</v>
      </c>
      <c r="AT647" s="84">
        <v>0</v>
      </c>
      <c r="AU647" s="84"/>
      <c r="AV647" s="84"/>
      <c r="AW647" s="84"/>
      <c r="AX647" s="84"/>
      <c r="AY647" s="84"/>
      <c r="AZ647" s="84"/>
      <c r="BA647" s="84"/>
      <c r="BB647" s="84"/>
      <c r="BC647">
        <v>12</v>
      </c>
      <c r="BD647" s="83" t="str">
        <f>REPLACE(INDEX(GroupVertices[Group],MATCH(Edges[[#This Row],[Vertex 1]],GroupVertices[Vertex],0)),1,1,"")</f>
        <v>7</v>
      </c>
      <c r="BE647" s="83" t="str">
        <f>REPLACE(INDEX(GroupVertices[Group],MATCH(Edges[[#This Row],[Vertex 2]],GroupVertices[Vertex],0)),1,1,"")</f>
        <v>7</v>
      </c>
      <c r="BF647" s="49">
        <v>0</v>
      </c>
      <c r="BG647" s="50">
        <v>0</v>
      </c>
      <c r="BH647" s="49">
        <v>0</v>
      </c>
      <c r="BI647" s="50">
        <v>0</v>
      </c>
      <c r="BJ647" s="49">
        <v>0</v>
      </c>
      <c r="BK647" s="50">
        <v>0</v>
      </c>
      <c r="BL647" s="49">
        <v>13</v>
      </c>
      <c r="BM647" s="50">
        <v>100</v>
      </c>
      <c r="BN647" s="49">
        <v>13</v>
      </c>
    </row>
    <row r="648" spans="1:66" ht="15">
      <c r="A648" s="68" t="s">
        <v>426</v>
      </c>
      <c r="B648" s="68" t="s">
        <v>426</v>
      </c>
      <c r="C648" s="69" t="s">
        <v>5210</v>
      </c>
      <c r="D648" s="70">
        <v>10</v>
      </c>
      <c r="E648" s="71" t="s">
        <v>136</v>
      </c>
      <c r="F648" s="72">
        <v>10</v>
      </c>
      <c r="G648" s="69" t="s">
        <v>51</v>
      </c>
      <c r="H648" s="73"/>
      <c r="I648" s="74"/>
      <c r="J648" s="74"/>
      <c r="K648" s="35" t="s">
        <v>65</v>
      </c>
      <c r="L648" s="82">
        <v>648</v>
      </c>
      <c r="M648" s="82"/>
      <c r="N648" s="76"/>
      <c r="O648" s="84" t="s">
        <v>187</v>
      </c>
      <c r="P648" s="86">
        <v>44084.63548611111</v>
      </c>
      <c r="Q648" s="84" t="s">
        <v>517</v>
      </c>
      <c r="R648" s="84"/>
      <c r="S648" s="84"/>
      <c r="T648" s="84" t="s">
        <v>566</v>
      </c>
      <c r="U648" s="87" t="str">
        <f>HYPERLINK("https://pbs.twimg.com/media/EhkCJ0HWkAAoSIf.png")</f>
        <v>https://pbs.twimg.com/media/EhkCJ0HWkAAoSIf.png</v>
      </c>
      <c r="V648" s="87" t="str">
        <f>HYPERLINK("https://pbs.twimg.com/media/EhkCJ0HWkAAoSIf.png")</f>
        <v>https://pbs.twimg.com/media/EhkCJ0HWkAAoSIf.png</v>
      </c>
      <c r="W648" s="86">
        <v>44084.63548611111</v>
      </c>
      <c r="X648" s="90">
        <v>44084</v>
      </c>
      <c r="Y648" s="92" t="s">
        <v>1020</v>
      </c>
      <c r="Z648" s="87" t="str">
        <f>HYPERLINK("https://twitter.com/ushills_couk/status/1304075936489451526")</f>
        <v>https://twitter.com/ushills_couk/status/1304075936489451526</v>
      </c>
      <c r="AA648" s="84"/>
      <c r="AB648" s="84"/>
      <c r="AC648" s="92" t="s">
        <v>1437</v>
      </c>
      <c r="AD648" s="84"/>
      <c r="AE648" s="84" t="b">
        <v>0</v>
      </c>
      <c r="AF648" s="84">
        <v>2</v>
      </c>
      <c r="AG648" s="92" t="s">
        <v>1453</v>
      </c>
      <c r="AH648" s="84" t="b">
        <v>0</v>
      </c>
      <c r="AI648" s="84" t="s">
        <v>1456</v>
      </c>
      <c r="AJ648" s="84"/>
      <c r="AK648" s="92" t="s">
        <v>1453</v>
      </c>
      <c r="AL648" s="84" t="b">
        <v>0</v>
      </c>
      <c r="AM648" s="84">
        <v>1</v>
      </c>
      <c r="AN648" s="92" t="s">
        <v>1453</v>
      </c>
      <c r="AO648" s="84"/>
      <c r="AP648" s="84" t="b">
        <v>0</v>
      </c>
      <c r="AQ648" s="92" t="s">
        <v>1437</v>
      </c>
      <c r="AR648" s="84" t="s">
        <v>187</v>
      </c>
      <c r="AS648" s="84">
        <v>0</v>
      </c>
      <c r="AT648" s="84">
        <v>0</v>
      </c>
      <c r="AU648" s="84"/>
      <c r="AV648" s="84"/>
      <c r="AW648" s="84"/>
      <c r="AX648" s="84"/>
      <c r="AY648" s="84"/>
      <c r="AZ648" s="84"/>
      <c r="BA648" s="84"/>
      <c r="BB648" s="84"/>
      <c r="BC648">
        <v>12</v>
      </c>
      <c r="BD648" s="83" t="str">
        <f>REPLACE(INDEX(GroupVertices[Group],MATCH(Edges[[#This Row],[Vertex 1]],GroupVertices[Vertex],0)),1,1,"")</f>
        <v>7</v>
      </c>
      <c r="BE648" s="83" t="str">
        <f>REPLACE(INDEX(GroupVertices[Group],MATCH(Edges[[#This Row],[Vertex 2]],GroupVertices[Vertex],0)),1,1,"")</f>
        <v>7</v>
      </c>
      <c r="BF648" s="49">
        <v>0</v>
      </c>
      <c r="BG648" s="50">
        <v>0</v>
      </c>
      <c r="BH648" s="49">
        <v>0</v>
      </c>
      <c r="BI648" s="50">
        <v>0</v>
      </c>
      <c r="BJ648" s="49">
        <v>0</v>
      </c>
      <c r="BK648" s="50">
        <v>0</v>
      </c>
      <c r="BL648" s="49">
        <v>13</v>
      </c>
      <c r="BM648" s="50">
        <v>100</v>
      </c>
      <c r="BN648" s="49">
        <v>13</v>
      </c>
    </row>
    <row r="649" spans="1:66" ht="15">
      <c r="A649" s="68" t="s">
        <v>426</v>
      </c>
      <c r="B649" s="68" t="s">
        <v>426</v>
      </c>
      <c r="C649" s="69" t="s">
        <v>5210</v>
      </c>
      <c r="D649" s="70">
        <v>10</v>
      </c>
      <c r="E649" s="71" t="s">
        <v>136</v>
      </c>
      <c r="F649" s="72">
        <v>10</v>
      </c>
      <c r="G649" s="69" t="s">
        <v>51</v>
      </c>
      <c r="H649" s="73"/>
      <c r="I649" s="74"/>
      <c r="J649" s="74"/>
      <c r="K649" s="35" t="s">
        <v>65</v>
      </c>
      <c r="L649" s="82">
        <v>649</v>
      </c>
      <c r="M649" s="82"/>
      <c r="N649" s="76"/>
      <c r="O649" s="84" t="s">
        <v>187</v>
      </c>
      <c r="P649" s="86">
        <v>44085.656319444446</v>
      </c>
      <c r="Q649" s="84" t="s">
        <v>518</v>
      </c>
      <c r="R649" s="84"/>
      <c r="S649" s="84"/>
      <c r="T649" s="84" t="s">
        <v>566</v>
      </c>
      <c r="U649" s="87" t="str">
        <f>HYPERLINK("https://pbs.twimg.com/media/EhpSm8IXYAEeSBo.png")</f>
        <v>https://pbs.twimg.com/media/EhpSm8IXYAEeSBo.png</v>
      </c>
      <c r="V649" s="87" t="str">
        <f>HYPERLINK("https://pbs.twimg.com/media/EhpSm8IXYAEeSBo.png")</f>
        <v>https://pbs.twimg.com/media/EhpSm8IXYAEeSBo.png</v>
      </c>
      <c r="W649" s="86">
        <v>44085.656319444446</v>
      </c>
      <c r="X649" s="90">
        <v>44085</v>
      </c>
      <c r="Y649" s="92" t="s">
        <v>1021</v>
      </c>
      <c r="Z649" s="87" t="str">
        <f>HYPERLINK("https://twitter.com/ushills_couk/status/1304445873192140802")</f>
        <v>https://twitter.com/ushills_couk/status/1304445873192140802</v>
      </c>
      <c r="AA649" s="84"/>
      <c r="AB649" s="84"/>
      <c r="AC649" s="92" t="s">
        <v>1438</v>
      </c>
      <c r="AD649" s="84"/>
      <c r="AE649" s="84" t="b">
        <v>0</v>
      </c>
      <c r="AF649" s="84">
        <v>3</v>
      </c>
      <c r="AG649" s="92" t="s">
        <v>1453</v>
      </c>
      <c r="AH649" s="84" t="b">
        <v>0</v>
      </c>
      <c r="AI649" s="84" t="s">
        <v>1456</v>
      </c>
      <c r="AJ649" s="84"/>
      <c r="AK649" s="92" t="s">
        <v>1453</v>
      </c>
      <c r="AL649" s="84" t="b">
        <v>0</v>
      </c>
      <c r="AM649" s="84">
        <v>2</v>
      </c>
      <c r="AN649" s="92" t="s">
        <v>1453</v>
      </c>
      <c r="AO649" s="84"/>
      <c r="AP649" s="84" t="b">
        <v>0</v>
      </c>
      <c r="AQ649" s="92" t="s">
        <v>1438</v>
      </c>
      <c r="AR649" s="84" t="s">
        <v>187</v>
      </c>
      <c r="AS649" s="84">
        <v>0</v>
      </c>
      <c r="AT649" s="84">
        <v>0</v>
      </c>
      <c r="AU649" s="84"/>
      <c r="AV649" s="84"/>
      <c r="AW649" s="84"/>
      <c r="AX649" s="84"/>
      <c r="AY649" s="84"/>
      <c r="AZ649" s="84"/>
      <c r="BA649" s="84"/>
      <c r="BB649" s="84"/>
      <c r="BC649">
        <v>12</v>
      </c>
      <c r="BD649" s="83" t="str">
        <f>REPLACE(INDEX(GroupVertices[Group],MATCH(Edges[[#This Row],[Vertex 1]],GroupVertices[Vertex],0)),1,1,"")</f>
        <v>7</v>
      </c>
      <c r="BE649" s="83" t="str">
        <f>REPLACE(INDEX(GroupVertices[Group],MATCH(Edges[[#This Row],[Vertex 2]],GroupVertices[Vertex],0)),1,1,"")</f>
        <v>7</v>
      </c>
      <c r="BF649" s="49">
        <v>0</v>
      </c>
      <c r="BG649" s="50">
        <v>0</v>
      </c>
      <c r="BH649" s="49">
        <v>0</v>
      </c>
      <c r="BI649" s="50">
        <v>0</v>
      </c>
      <c r="BJ649" s="49">
        <v>0</v>
      </c>
      <c r="BK649" s="50">
        <v>0</v>
      </c>
      <c r="BL649" s="49">
        <v>13</v>
      </c>
      <c r="BM649" s="50">
        <v>100</v>
      </c>
      <c r="BN649" s="49">
        <v>13</v>
      </c>
    </row>
    <row r="650" spans="1:66" ht="15">
      <c r="A650" s="68" t="s">
        <v>426</v>
      </c>
      <c r="B650" s="68" t="s">
        <v>426</v>
      </c>
      <c r="C650" s="69" t="s">
        <v>5210</v>
      </c>
      <c r="D650" s="70">
        <v>10</v>
      </c>
      <c r="E650" s="71" t="s">
        <v>136</v>
      </c>
      <c r="F650" s="72">
        <v>10</v>
      </c>
      <c r="G650" s="69" t="s">
        <v>51</v>
      </c>
      <c r="H650" s="73"/>
      <c r="I650" s="74"/>
      <c r="J650" s="74"/>
      <c r="K650" s="35" t="s">
        <v>65</v>
      </c>
      <c r="L650" s="82">
        <v>650</v>
      </c>
      <c r="M650" s="82"/>
      <c r="N650" s="76"/>
      <c r="O650" s="84" t="s">
        <v>187</v>
      </c>
      <c r="P650" s="86">
        <v>44086.63547453703</v>
      </c>
      <c r="Q650" s="84" t="s">
        <v>519</v>
      </c>
      <c r="R650" s="84"/>
      <c r="S650" s="84"/>
      <c r="T650" s="84" t="s">
        <v>566</v>
      </c>
      <c r="U650" s="87" t="str">
        <f>HYPERLINK("https://pbs.twimg.com/media/EhuVVAzWsAEeiwa.png")</f>
        <v>https://pbs.twimg.com/media/EhuVVAzWsAEeiwa.png</v>
      </c>
      <c r="V650" s="87" t="str">
        <f>HYPERLINK("https://pbs.twimg.com/media/EhuVVAzWsAEeiwa.png")</f>
        <v>https://pbs.twimg.com/media/EhuVVAzWsAEeiwa.png</v>
      </c>
      <c r="W650" s="86">
        <v>44086.63547453703</v>
      </c>
      <c r="X650" s="90">
        <v>44086</v>
      </c>
      <c r="Y650" s="92" t="s">
        <v>1022</v>
      </c>
      <c r="Z650" s="87" t="str">
        <f>HYPERLINK("https://twitter.com/ushills_couk/status/1304800707422367746")</f>
        <v>https://twitter.com/ushills_couk/status/1304800707422367746</v>
      </c>
      <c r="AA650" s="84"/>
      <c r="AB650" s="84"/>
      <c r="AC650" s="92" t="s">
        <v>1439</v>
      </c>
      <c r="AD650" s="84"/>
      <c r="AE650" s="84" t="b">
        <v>0</v>
      </c>
      <c r="AF650" s="84">
        <v>1</v>
      </c>
      <c r="AG650" s="92" t="s">
        <v>1453</v>
      </c>
      <c r="AH650" s="84" t="b">
        <v>0</v>
      </c>
      <c r="AI650" s="84" t="s">
        <v>1456</v>
      </c>
      <c r="AJ650" s="84"/>
      <c r="AK650" s="92" t="s">
        <v>1453</v>
      </c>
      <c r="AL650" s="84" t="b">
        <v>0</v>
      </c>
      <c r="AM650" s="84">
        <v>1</v>
      </c>
      <c r="AN650" s="92" t="s">
        <v>1453</v>
      </c>
      <c r="AO650" s="84"/>
      <c r="AP650" s="84" t="b">
        <v>0</v>
      </c>
      <c r="AQ650" s="92" t="s">
        <v>1439</v>
      </c>
      <c r="AR650" s="84" t="s">
        <v>187</v>
      </c>
      <c r="AS650" s="84">
        <v>0</v>
      </c>
      <c r="AT650" s="84">
        <v>0</v>
      </c>
      <c r="AU650" s="84"/>
      <c r="AV650" s="84"/>
      <c r="AW650" s="84"/>
      <c r="AX650" s="84"/>
      <c r="AY650" s="84"/>
      <c r="AZ650" s="84"/>
      <c r="BA650" s="84"/>
      <c r="BB650" s="84"/>
      <c r="BC650">
        <v>12</v>
      </c>
      <c r="BD650" s="83" t="str">
        <f>REPLACE(INDEX(GroupVertices[Group],MATCH(Edges[[#This Row],[Vertex 1]],GroupVertices[Vertex],0)),1,1,"")</f>
        <v>7</v>
      </c>
      <c r="BE650" s="83" t="str">
        <f>REPLACE(INDEX(GroupVertices[Group],MATCH(Edges[[#This Row],[Vertex 2]],GroupVertices[Vertex],0)),1,1,"")</f>
        <v>7</v>
      </c>
      <c r="BF650" s="49">
        <v>0</v>
      </c>
      <c r="BG650" s="50">
        <v>0</v>
      </c>
      <c r="BH650" s="49">
        <v>0</v>
      </c>
      <c r="BI650" s="50">
        <v>0</v>
      </c>
      <c r="BJ650" s="49">
        <v>0</v>
      </c>
      <c r="BK650" s="50">
        <v>0</v>
      </c>
      <c r="BL650" s="49">
        <v>13</v>
      </c>
      <c r="BM650" s="50">
        <v>100</v>
      </c>
      <c r="BN650" s="49">
        <v>13</v>
      </c>
    </row>
    <row r="651" spans="1:66" ht="15">
      <c r="A651" s="68" t="s">
        <v>426</v>
      </c>
      <c r="B651" s="68" t="s">
        <v>426</v>
      </c>
      <c r="C651" s="69" t="s">
        <v>5210</v>
      </c>
      <c r="D651" s="70">
        <v>10</v>
      </c>
      <c r="E651" s="71" t="s">
        <v>136</v>
      </c>
      <c r="F651" s="72">
        <v>10</v>
      </c>
      <c r="G651" s="69" t="s">
        <v>51</v>
      </c>
      <c r="H651" s="73"/>
      <c r="I651" s="74"/>
      <c r="J651" s="74"/>
      <c r="K651" s="35" t="s">
        <v>65</v>
      </c>
      <c r="L651" s="82">
        <v>651</v>
      </c>
      <c r="M651" s="82"/>
      <c r="N651" s="76"/>
      <c r="O651" s="84" t="s">
        <v>187</v>
      </c>
      <c r="P651" s="86">
        <v>44087.63548611111</v>
      </c>
      <c r="Q651" s="84" t="s">
        <v>520</v>
      </c>
      <c r="R651" s="84"/>
      <c r="S651" s="84"/>
      <c r="T651" s="84" t="s">
        <v>566</v>
      </c>
      <c r="U651" s="87" t="str">
        <f>HYPERLINK("https://pbs.twimg.com/media/Ehze69xWkAA-Ima.png")</f>
        <v>https://pbs.twimg.com/media/Ehze69xWkAA-Ima.png</v>
      </c>
      <c r="V651" s="87" t="str">
        <f>HYPERLINK("https://pbs.twimg.com/media/Ehze69xWkAA-Ima.png")</f>
        <v>https://pbs.twimg.com/media/Ehze69xWkAA-Ima.png</v>
      </c>
      <c r="W651" s="86">
        <v>44087.63548611111</v>
      </c>
      <c r="X651" s="90">
        <v>44087</v>
      </c>
      <c r="Y651" s="92" t="s">
        <v>1020</v>
      </c>
      <c r="Z651" s="87" t="str">
        <f>HYPERLINK("https://twitter.com/ushills_couk/status/1305163098500849667")</f>
        <v>https://twitter.com/ushills_couk/status/1305163098500849667</v>
      </c>
      <c r="AA651" s="84"/>
      <c r="AB651" s="84"/>
      <c r="AC651" s="92" t="s">
        <v>1440</v>
      </c>
      <c r="AD651" s="84"/>
      <c r="AE651" s="84" t="b">
        <v>0</v>
      </c>
      <c r="AF651" s="84">
        <v>2</v>
      </c>
      <c r="AG651" s="92" t="s">
        <v>1453</v>
      </c>
      <c r="AH651" s="84" t="b">
        <v>0</v>
      </c>
      <c r="AI651" s="84" t="s">
        <v>1456</v>
      </c>
      <c r="AJ651" s="84"/>
      <c r="AK651" s="92" t="s">
        <v>1453</v>
      </c>
      <c r="AL651" s="84" t="b">
        <v>0</v>
      </c>
      <c r="AM651" s="84">
        <v>2</v>
      </c>
      <c r="AN651" s="92" t="s">
        <v>1453</v>
      </c>
      <c r="AO651" s="84"/>
      <c r="AP651" s="84" t="b">
        <v>0</v>
      </c>
      <c r="AQ651" s="92" t="s">
        <v>1440</v>
      </c>
      <c r="AR651" s="84" t="s">
        <v>187</v>
      </c>
      <c r="AS651" s="84">
        <v>0</v>
      </c>
      <c r="AT651" s="84">
        <v>0</v>
      </c>
      <c r="AU651" s="84"/>
      <c r="AV651" s="84"/>
      <c r="AW651" s="84"/>
      <c r="AX651" s="84"/>
      <c r="AY651" s="84"/>
      <c r="AZ651" s="84"/>
      <c r="BA651" s="84"/>
      <c r="BB651" s="84"/>
      <c r="BC651">
        <v>12</v>
      </c>
      <c r="BD651" s="83" t="str">
        <f>REPLACE(INDEX(GroupVertices[Group],MATCH(Edges[[#This Row],[Vertex 1]],GroupVertices[Vertex],0)),1,1,"")</f>
        <v>7</v>
      </c>
      <c r="BE651" s="83" t="str">
        <f>REPLACE(INDEX(GroupVertices[Group],MATCH(Edges[[#This Row],[Vertex 2]],GroupVertices[Vertex],0)),1,1,"")</f>
        <v>7</v>
      </c>
      <c r="BF651" s="49">
        <v>0</v>
      </c>
      <c r="BG651" s="50">
        <v>0</v>
      </c>
      <c r="BH651" s="49">
        <v>0</v>
      </c>
      <c r="BI651" s="50">
        <v>0</v>
      </c>
      <c r="BJ651" s="49">
        <v>0</v>
      </c>
      <c r="BK651" s="50">
        <v>0</v>
      </c>
      <c r="BL651" s="49">
        <v>13</v>
      </c>
      <c r="BM651" s="50">
        <v>100</v>
      </c>
      <c r="BN651" s="49">
        <v>13</v>
      </c>
    </row>
    <row r="652" spans="1:66" ht="15">
      <c r="A652" s="68" t="s">
        <v>426</v>
      </c>
      <c r="B652" s="68" t="s">
        <v>426</v>
      </c>
      <c r="C652" s="69" t="s">
        <v>5210</v>
      </c>
      <c r="D652" s="70">
        <v>10</v>
      </c>
      <c r="E652" s="71" t="s">
        <v>136</v>
      </c>
      <c r="F652" s="72">
        <v>10</v>
      </c>
      <c r="G652" s="69" t="s">
        <v>51</v>
      </c>
      <c r="H652" s="73"/>
      <c r="I652" s="74"/>
      <c r="J652" s="74"/>
      <c r="K652" s="35" t="s">
        <v>65</v>
      </c>
      <c r="L652" s="82">
        <v>652</v>
      </c>
      <c r="M652" s="82"/>
      <c r="N652" s="76"/>
      <c r="O652" s="84" t="s">
        <v>187</v>
      </c>
      <c r="P652" s="86">
        <v>44088.708402777775</v>
      </c>
      <c r="Q652" s="84" t="s">
        <v>521</v>
      </c>
      <c r="R652" s="84"/>
      <c r="S652" s="84"/>
      <c r="T652" s="84" t="s">
        <v>566</v>
      </c>
      <c r="U652" s="87" t="str">
        <f>HYPERLINK("https://pbs.twimg.com/media/Eh5Ai7zX0AA1Pht.png")</f>
        <v>https://pbs.twimg.com/media/Eh5Ai7zX0AA1Pht.png</v>
      </c>
      <c r="V652" s="87" t="str">
        <f>HYPERLINK("https://pbs.twimg.com/media/Eh5Ai7zX0AA1Pht.png")</f>
        <v>https://pbs.twimg.com/media/Eh5Ai7zX0AA1Pht.png</v>
      </c>
      <c r="W652" s="86">
        <v>44088.708402777775</v>
      </c>
      <c r="X652" s="90">
        <v>44088</v>
      </c>
      <c r="Y652" s="92" t="s">
        <v>1023</v>
      </c>
      <c r="Z652" s="87" t="str">
        <f>HYPERLINK("https://twitter.com/ushills_couk/status/1305551913073733639")</f>
        <v>https://twitter.com/ushills_couk/status/1305551913073733639</v>
      </c>
      <c r="AA652" s="84"/>
      <c r="AB652" s="84"/>
      <c r="AC652" s="92" t="s">
        <v>1441</v>
      </c>
      <c r="AD652" s="84"/>
      <c r="AE652" s="84" t="b">
        <v>0</v>
      </c>
      <c r="AF652" s="84">
        <v>2</v>
      </c>
      <c r="AG652" s="92" t="s">
        <v>1453</v>
      </c>
      <c r="AH652" s="84" t="b">
        <v>0</v>
      </c>
      <c r="AI652" s="84" t="s">
        <v>1456</v>
      </c>
      <c r="AJ652" s="84"/>
      <c r="AK652" s="92" t="s">
        <v>1453</v>
      </c>
      <c r="AL652" s="84" t="b">
        <v>0</v>
      </c>
      <c r="AM652" s="84">
        <v>2</v>
      </c>
      <c r="AN652" s="92" t="s">
        <v>1453</v>
      </c>
      <c r="AO652" s="84"/>
      <c r="AP652" s="84" t="b">
        <v>0</v>
      </c>
      <c r="AQ652" s="92" t="s">
        <v>1441</v>
      </c>
      <c r="AR652" s="84" t="s">
        <v>187</v>
      </c>
      <c r="AS652" s="84">
        <v>0</v>
      </c>
      <c r="AT652" s="84">
        <v>0</v>
      </c>
      <c r="AU652" s="84"/>
      <c r="AV652" s="84"/>
      <c r="AW652" s="84"/>
      <c r="AX652" s="84"/>
      <c r="AY652" s="84"/>
      <c r="AZ652" s="84"/>
      <c r="BA652" s="84"/>
      <c r="BB652" s="84"/>
      <c r="BC652">
        <v>12</v>
      </c>
      <c r="BD652" s="83" t="str">
        <f>REPLACE(INDEX(GroupVertices[Group],MATCH(Edges[[#This Row],[Vertex 1]],GroupVertices[Vertex],0)),1,1,"")</f>
        <v>7</v>
      </c>
      <c r="BE652" s="83" t="str">
        <f>REPLACE(INDEX(GroupVertices[Group],MATCH(Edges[[#This Row],[Vertex 2]],GroupVertices[Vertex],0)),1,1,"")</f>
        <v>7</v>
      </c>
      <c r="BF652" s="49">
        <v>0</v>
      </c>
      <c r="BG652" s="50">
        <v>0</v>
      </c>
      <c r="BH652" s="49">
        <v>0</v>
      </c>
      <c r="BI652" s="50">
        <v>0</v>
      </c>
      <c r="BJ652" s="49">
        <v>0</v>
      </c>
      <c r="BK652" s="50">
        <v>0</v>
      </c>
      <c r="BL652" s="49">
        <v>13</v>
      </c>
      <c r="BM652" s="50">
        <v>100</v>
      </c>
      <c r="BN652" s="49">
        <v>13</v>
      </c>
    </row>
    <row r="653" spans="1:66" ht="15">
      <c r="A653" s="68" t="s">
        <v>426</v>
      </c>
      <c r="B653" s="68" t="s">
        <v>426</v>
      </c>
      <c r="C653" s="69" t="s">
        <v>5210</v>
      </c>
      <c r="D653" s="70">
        <v>10</v>
      </c>
      <c r="E653" s="71" t="s">
        <v>136</v>
      </c>
      <c r="F653" s="72">
        <v>10</v>
      </c>
      <c r="G653" s="69" t="s">
        <v>51</v>
      </c>
      <c r="H653" s="73"/>
      <c r="I653" s="74"/>
      <c r="J653" s="74"/>
      <c r="K653" s="35" t="s">
        <v>65</v>
      </c>
      <c r="L653" s="82">
        <v>653</v>
      </c>
      <c r="M653" s="82"/>
      <c r="N653" s="76"/>
      <c r="O653" s="84" t="s">
        <v>187</v>
      </c>
      <c r="P653" s="86">
        <v>44088.97922453703</v>
      </c>
      <c r="Q653" s="84" t="s">
        <v>522</v>
      </c>
      <c r="R653" s="84"/>
      <c r="S653" s="84"/>
      <c r="T653" s="84" t="s">
        <v>566</v>
      </c>
      <c r="U653" s="87" t="str">
        <f>HYPERLINK("https://pbs.twimg.com/media/Eh6ZznyX0AAuq3e.png")</f>
        <v>https://pbs.twimg.com/media/Eh6ZznyX0AAuq3e.png</v>
      </c>
      <c r="V653" s="87" t="str">
        <f>HYPERLINK("https://pbs.twimg.com/media/Eh6ZznyX0AAuq3e.png")</f>
        <v>https://pbs.twimg.com/media/Eh6ZznyX0AAuq3e.png</v>
      </c>
      <c r="W653" s="86">
        <v>44088.97922453703</v>
      </c>
      <c r="X653" s="90">
        <v>44088</v>
      </c>
      <c r="Y653" s="92" t="s">
        <v>1024</v>
      </c>
      <c r="Z653" s="87" t="str">
        <f>HYPERLINK("https://twitter.com/ushills_couk/status/1305650056142389249")</f>
        <v>https://twitter.com/ushills_couk/status/1305650056142389249</v>
      </c>
      <c r="AA653" s="84"/>
      <c r="AB653" s="84"/>
      <c r="AC653" s="92" t="s">
        <v>1442</v>
      </c>
      <c r="AD653" s="84"/>
      <c r="AE653" s="84" t="b">
        <v>0</v>
      </c>
      <c r="AF653" s="84">
        <v>1</v>
      </c>
      <c r="AG653" s="92" t="s">
        <v>1453</v>
      </c>
      <c r="AH653" s="84" t="b">
        <v>0</v>
      </c>
      <c r="AI653" s="84" t="s">
        <v>1456</v>
      </c>
      <c r="AJ653" s="84"/>
      <c r="AK653" s="92" t="s">
        <v>1453</v>
      </c>
      <c r="AL653" s="84" t="b">
        <v>0</v>
      </c>
      <c r="AM653" s="84">
        <v>3</v>
      </c>
      <c r="AN653" s="92" t="s">
        <v>1453</v>
      </c>
      <c r="AO653" s="84"/>
      <c r="AP653" s="84" t="b">
        <v>0</v>
      </c>
      <c r="AQ653" s="92" t="s">
        <v>1442</v>
      </c>
      <c r="AR653" s="84" t="s">
        <v>187</v>
      </c>
      <c r="AS653" s="84">
        <v>0</v>
      </c>
      <c r="AT653" s="84">
        <v>0</v>
      </c>
      <c r="AU653" s="84"/>
      <c r="AV653" s="84"/>
      <c r="AW653" s="84"/>
      <c r="AX653" s="84"/>
      <c r="AY653" s="84"/>
      <c r="AZ653" s="84"/>
      <c r="BA653" s="84"/>
      <c r="BB653" s="84"/>
      <c r="BC653">
        <v>12</v>
      </c>
      <c r="BD653" s="83" t="str">
        <f>REPLACE(INDEX(GroupVertices[Group],MATCH(Edges[[#This Row],[Vertex 1]],GroupVertices[Vertex],0)),1,1,"")</f>
        <v>7</v>
      </c>
      <c r="BE653" s="83" t="str">
        <f>REPLACE(INDEX(GroupVertices[Group],MATCH(Edges[[#This Row],[Vertex 2]],GroupVertices[Vertex],0)),1,1,"")</f>
        <v>7</v>
      </c>
      <c r="BF653" s="49">
        <v>0</v>
      </c>
      <c r="BG653" s="50">
        <v>0</v>
      </c>
      <c r="BH653" s="49">
        <v>0</v>
      </c>
      <c r="BI653" s="50">
        <v>0</v>
      </c>
      <c r="BJ653" s="49">
        <v>0</v>
      </c>
      <c r="BK653" s="50">
        <v>0</v>
      </c>
      <c r="BL653" s="49">
        <v>13</v>
      </c>
      <c r="BM653" s="50">
        <v>100</v>
      </c>
      <c r="BN653" s="49">
        <v>13</v>
      </c>
    </row>
    <row r="654" spans="1:66" ht="15">
      <c r="A654" s="68" t="s">
        <v>426</v>
      </c>
      <c r="B654" s="68" t="s">
        <v>426</v>
      </c>
      <c r="C654" s="69" t="s">
        <v>5210</v>
      </c>
      <c r="D654" s="70">
        <v>10</v>
      </c>
      <c r="E654" s="71" t="s">
        <v>136</v>
      </c>
      <c r="F654" s="72">
        <v>10</v>
      </c>
      <c r="G654" s="69" t="s">
        <v>51</v>
      </c>
      <c r="H654" s="73"/>
      <c r="I654" s="74"/>
      <c r="J654" s="74"/>
      <c r="K654" s="35" t="s">
        <v>65</v>
      </c>
      <c r="L654" s="82">
        <v>654</v>
      </c>
      <c r="M654" s="82"/>
      <c r="N654" s="76"/>
      <c r="O654" s="84" t="s">
        <v>187</v>
      </c>
      <c r="P654" s="86">
        <v>44089.302141203705</v>
      </c>
      <c r="Q654" s="84" t="s">
        <v>523</v>
      </c>
      <c r="R654" s="84"/>
      <c r="S654" s="84"/>
      <c r="T654" s="84" t="s">
        <v>566</v>
      </c>
      <c r="U654" s="87" t="str">
        <f>HYPERLINK("https://pbs.twimg.com/media/Eh8EPBHWAAAp7B9.png")</f>
        <v>https://pbs.twimg.com/media/Eh8EPBHWAAAp7B9.png</v>
      </c>
      <c r="V654" s="87" t="str">
        <f>HYPERLINK("https://pbs.twimg.com/media/Eh8EPBHWAAAp7B9.png")</f>
        <v>https://pbs.twimg.com/media/Eh8EPBHWAAAp7B9.png</v>
      </c>
      <c r="W654" s="86">
        <v>44089.302141203705</v>
      </c>
      <c r="X654" s="90">
        <v>44089</v>
      </c>
      <c r="Y654" s="92" t="s">
        <v>1025</v>
      </c>
      <c r="Z654" s="87" t="str">
        <f>HYPERLINK("https://twitter.com/ushills_couk/status/1305767074778755072")</f>
        <v>https://twitter.com/ushills_couk/status/1305767074778755072</v>
      </c>
      <c r="AA654" s="84"/>
      <c r="AB654" s="84"/>
      <c r="AC654" s="92" t="s">
        <v>1443</v>
      </c>
      <c r="AD654" s="84"/>
      <c r="AE654" s="84" t="b">
        <v>0</v>
      </c>
      <c r="AF654" s="84">
        <v>1</v>
      </c>
      <c r="AG654" s="92" t="s">
        <v>1453</v>
      </c>
      <c r="AH654" s="84" t="b">
        <v>0</v>
      </c>
      <c r="AI654" s="84" t="s">
        <v>1456</v>
      </c>
      <c r="AJ654" s="84"/>
      <c r="AK654" s="92" t="s">
        <v>1453</v>
      </c>
      <c r="AL654" s="84" t="b">
        <v>0</v>
      </c>
      <c r="AM654" s="84">
        <v>1</v>
      </c>
      <c r="AN654" s="92" t="s">
        <v>1453</v>
      </c>
      <c r="AO654" s="84"/>
      <c r="AP654" s="84" t="b">
        <v>0</v>
      </c>
      <c r="AQ654" s="92" t="s">
        <v>1443</v>
      </c>
      <c r="AR654" s="84" t="s">
        <v>187</v>
      </c>
      <c r="AS654" s="84">
        <v>0</v>
      </c>
      <c r="AT654" s="84">
        <v>0</v>
      </c>
      <c r="AU654" s="84"/>
      <c r="AV654" s="84"/>
      <c r="AW654" s="84"/>
      <c r="AX654" s="84"/>
      <c r="AY654" s="84"/>
      <c r="AZ654" s="84"/>
      <c r="BA654" s="84"/>
      <c r="BB654" s="84"/>
      <c r="BC654">
        <v>12</v>
      </c>
      <c r="BD654" s="83" t="str">
        <f>REPLACE(INDEX(GroupVertices[Group],MATCH(Edges[[#This Row],[Vertex 1]],GroupVertices[Vertex],0)),1,1,"")</f>
        <v>7</v>
      </c>
      <c r="BE654" s="83" t="str">
        <f>REPLACE(INDEX(GroupVertices[Group],MATCH(Edges[[#This Row],[Vertex 2]],GroupVertices[Vertex],0)),1,1,"")</f>
        <v>7</v>
      </c>
      <c r="BF654" s="49">
        <v>0</v>
      </c>
      <c r="BG654" s="50">
        <v>0</v>
      </c>
      <c r="BH654" s="49">
        <v>0</v>
      </c>
      <c r="BI654" s="50">
        <v>0</v>
      </c>
      <c r="BJ654" s="49">
        <v>0</v>
      </c>
      <c r="BK654" s="50">
        <v>0</v>
      </c>
      <c r="BL654" s="49">
        <v>13</v>
      </c>
      <c r="BM654" s="50">
        <v>100</v>
      </c>
      <c r="BN654" s="49">
        <v>13</v>
      </c>
    </row>
    <row r="655" spans="1:66" ht="15">
      <c r="A655" s="68" t="s">
        <v>426</v>
      </c>
      <c r="B655" s="68" t="s">
        <v>426</v>
      </c>
      <c r="C655" s="69" t="s">
        <v>5210</v>
      </c>
      <c r="D655" s="70">
        <v>10</v>
      </c>
      <c r="E655" s="71" t="s">
        <v>136</v>
      </c>
      <c r="F655" s="72">
        <v>10</v>
      </c>
      <c r="G655" s="69" t="s">
        <v>51</v>
      </c>
      <c r="H655" s="73"/>
      <c r="I655" s="74"/>
      <c r="J655" s="74"/>
      <c r="K655" s="35" t="s">
        <v>65</v>
      </c>
      <c r="L655" s="82">
        <v>655</v>
      </c>
      <c r="M655" s="82"/>
      <c r="N655" s="76"/>
      <c r="O655" s="84" t="s">
        <v>187</v>
      </c>
      <c r="P655" s="86">
        <v>44089.62505787037</v>
      </c>
      <c r="Q655" s="84" t="s">
        <v>524</v>
      </c>
      <c r="R655" s="84"/>
      <c r="S655" s="84"/>
      <c r="T655" s="84" t="s">
        <v>566</v>
      </c>
      <c r="U655" s="87" t="str">
        <f>HYPERLINK("https://pbs.twimg.com/media/Eh9uqnZWoAAkvbU.png")</f>
        <v>https://pbs.twimg.com/media/Eh9uqnZWoAAkvbU.png</v>
      </c>
      <c r="V655" s="87" t="str">
        <f>HYPERLINK("https://pbs.twimg.com/media/Eh9uqnZWoAAkvbU.png")</f>
        <v>https://pbs.twimg.com/media/Eh9uqnZWoAAkvbU.png</v>
      </c>
      <c r="W655" s="86">
        <v>44089.62505787037</v>
      </c>
      <c r="X655" s="90">
        <v>44089</v>
      </c>
      <c r="Y655" s="92" t="s">
        <v>1026</v>
      </c>
      <c r="Z655" s="87" t="str">
        <f>HYPERLINK("https://twitter.com/ushills_couk/status/1305884097424875521")</f>
        <v>https://twitter.com/ushills_couk/status/1305884097424875521</v>
      </c>
      <c r="AA655" s="84"/>
      <c r="AB655" s="84"/>
      <c r="AC655" s="92" t="s">
        <v>1444</v>
      </c>
      <c r="AD655" s="84"/>
      <c r="AE655" s="84" t="b">
        <v>0</v>
      </c>
      <c r="AF655" s="84">
        <v>2</v>
      </c>
      <c r="AG655" s="92" t="s">
        <v>1453</v>
      </c>
      <c r="AH655" s="84" t="b">
        <v>0</v>
      </c>
      <c r="AI655" s="84" t="s">
        <v>1456</v>
      </c>
      <c r="AJ655" s="84"/>
      <c r="AK655" s="92" t="s">
        <v>1453</v>
      </c>
      <c r="AL655" s="84" t="b">
        <v>0</v>
      </c>
      <c r="AM655" s="84">
        <v>3</v>
      </c>
      <c r="AN655" s="92" t="s">
        <v>1453</v>
      </c>
      <c r="AO655" s="84"/>
      <c r="AP655" s="84" t="b">
        <v>0</v>
      </c>
      <c r="AQ655" s="92" t="s">
        <v>1444</v>
      </c>
      <c r="AR655" s="84" t="s">
        <v>187</v>
      </c>
      <c r="AS655" s="84">
        <v>0</v>
      </c>
      <c r="AT655" s="84">
        <v>0</v>
      </c>
      <c r="AU655" s="84"/>
      <c r="AV655" s="84"/>
      <c r="AW655" s="84"/>
      <c r="AX655" s="84"/>
      <c r="AY655" s="84"/>
      <c r="AZ655" s="84"/>
      <c r="BA655" s="84"/>
      <c r="BB655" s="84"/>
      <c r="BC655">
        <v>12</v>
      </c>
      <c r="BD655" s="83" t="str">
        <f>REPLACE(INDEX(GroupVertices[Group],MATCH(Edges[[#This Row],[Vertex 1]],GroupVertices[Vertex],0)),1,1,"")</f>
        <v>7</v>
      </c>
      <c r="BE655" s="83" t="str">
        <f>REPLACE(INDEX(GroupVertices[Group],MATCH(Edges[[#This Row],[Vertex 2]],GroupVertices[Vertex],0)),1,1,"")</f>
        <v>7</v>
      </c>
      <c r="BF655" s="49">
        <v>0</v>
      </c>
      <c r="BG655" s="50">
        <v>0</v>
      </c>
      <c r="BH655" s="49">
        <v>0</v>
      </c>
      <c r="BI655" s="50">
        <v>0</v>
      </c>
      <c r="BJ655" s="49">
        <v>0</v>
      </c>
      <c r="BK655" s="50">
        <v>0</v>
      </c>
      <c r="BL655" s="49">
        <v>13</v>
      </c>
      <c r="BM655" s="50">
        <v>100</v>
      </c>
      <c r="BN655" s="49">
        <v>13</v>
      </c>
    </row>
    <row r="656" spans="1:66" ht="15">
      <c r="A656" s="68" t="s">
        <v>424</v>
      </c>
      <c r="B656" s="68" t="s">
        <v>426</v>
      </c>
      <c r="C656" s="69" t="s">
        <v>5210</v>
      </c>
      <c r="D656" s="70">
        <v>10</v>
      </c>
      <c r="E656" s="71" t="s">
        <v>132</v>
      </c>
      <c r="F656" s="72">
        <v>10</v>
      </c>
      <c r="G656" s="69" t="s">
        <v>51</v>
      </c>
      <c r="H656" s="73"/>
      <c r="I656" s="74"/>
      <c r="J656" s="74"/>
      <c r="K656" s="35" t="s">
        <v>65</v>
      </c>
      <c r="L656" s="82">
        <v>656</v>
      </c>
      <c r="M656" s="82"/>
      <c r="N656" s="76"/>
      <c r="O656" s="84" t="s">
        <v>439</v>
      </c>
      <c r="P656" s="86">
        <v>44083.625231481485</v>
      </c>
      <c r="Q656" s="84" t="s">
        <v>516</v>
      </c>
      <c r="R656" s="84"/>
      <c r="S656" s="84"/>
      <c r="T656" s="84" t="s">
        <v>566</v>
      </c>
      <c r="U656" s="87" t="str">
        <f>HYPERLINK("https://pbs.twimg.com/media/Ehe1IX9XcAAi7Pq.png")</f>
        <v>https://pbs.twimg.com/media/Ehe1IX9XcAAi7Pq.png</v>
      </c>
      <c r="V656" s="87" t="str">
        <f>HYPERLINK("https://pbs.twimg.com/media/Ehe1IX9XcAAi7Pq.png")</f>
        <v>https://pbs.twimg.com/media/Ehe1IX9XcAAi7Pq.png</v>
      </c>
      <c r="W656" s="86">
        <v>44083.625231481485</v>
      </c>
      <c r="X656" s="90">
        <v>44083</v>
      </c>
      <c r="Y656" s="92" t="s">
        <v>1013</v>
      </c>
      <c r="Z656" s="87" t="str">
        <f>HYPERLINK("https://twitter.com/fullnam35087976/status/1303709834143870976")</f>
        <v>https://twitter.com/fullnam35087976/status/1303709834143870976</v>
      </c>
      <c r="AA656" s="84"/>
      <c r="AB656" s="84"/>
      <c r="AC656" s="92" t="s">
        <v>1445</v>
      </c>
      <c r="AD656" s="84"/>
      <c r="AE656" s="84" t="b">
        <v>0</v>
      </c>
      <c r="AF656" s="84">
        <v>0</v>
      </c>
      <c r="AG656" s="92" t="s">
        <v>1453</v>
      </c>
      <c r="AH656" s="84" t="b">
        <v>0</v>
      </c>
      <c r="AI656" s="84" t="s">
        <v>1456</v>
      </c>
      <c r="AJ656" s="84"/>
      <c r="AK656" s="92" t="s">
        <v>1453</v>
      </c>
      <c r="AL656" s="84" t="b">
        <v>0</v>
      </c>
      <c r="AM656" s="84">
        <v>2</v>
      </c>
      <c r="AN656" s="92" t="s">
        <v>1436</v>
      </c>
      <c r="AO656" s="84" t="s">
        <v>1530</v>
      </c>
      <c r="AP656" s="84" t="b">
        <v>0</v>
      </c>
      <c r="AQ656" s="92" t="s">
        <v>1436</v>
      </c>
      <c r="AR656" s="84" t="s">
        <v>187</v>
      </c>
      <c r="AS656" s="84">
        <v>0</v>
      </c>
      <c r="AT656" s="84">
        <v>0</v>
      </c>
      <c r="AU656" s="84"/>
      <c r="AV656" s="84"/>
      <c r="AW656" s="84"/>
      <c r="AX656" s="84"/>
      <c r="AY656" s="84"/>
      <c r="AZ656" s="84"/>
      <c r="BA656" s="84"/>
      <c r="BB656" s="84"/>
      <c r="BC656">
        <v>3</v>
      </c>
      <c r="BD656" s="83" t="str">
        <f>REPLACE(INDEX(GroupVertices[Group],MATCH(Edges[[#This Row],[Vertex 1]],GroupVertices[Vertex],0)),1,1,"")</f>
        <v>7</v>
      </c>
      <c r="BE656" s="83" t="str">
        <f>REPLACE(INDEX(GroupVertices[Group],MATCH(Edges[[#This Row],[Vertex 2]],GroupVertices[Vertex],0)),1,1,"")</f>
        <v>7</v>
      </c>
      <c r="BF656" s="49">
        <v>0</v>
      </c>
      <c r="BG656" s="50">
        <v>0</v>
      </c>
      <c r="BH656" s="49">
        <v>0</v>
      </c>
      <c r="BI656" s="50">
        <v>0</v>
      </c>
      <c r="BJ656" s="49">
        <v>0</v>
      </c>
      <c r="BK656" s="50">
        <v>0</v>
      </c>
      <c r="BL656" s="49">
        <v>13</v>
      </c>
      <c r="BM656" s="50">
        <v>100</v>
      </c>
      <c r="BN656" s="49">
        <v>13</v>
      </c>
    </row>
    <row r="657" spans="1:66" ht="15">
      <c r="A657" s="68" t="s">
        <v>424</v>
      </c>
      <c r="B657" s="68" t="s">
        <v>426</v>
      </c>
      <c r="C657" s="69" t="s">
        <v>5210</v>
      </c>
      <c r="D657" s="70">
        <v>10</v>
      </c>
      <c r="E657" s="71" t="s">
        <v>132</v>
      </c>
      <c r="F657" s="72">
        <v>10</v>
      </c>
      <c r="G657" s="69" t="s">
        <v>51</v>
      </c>
      <c r="H657" s="73"/>
      <c r="I657" s="74"/>
      <c r="J657" s="74"/>
      <c r="K657" s="35" t="s">
        <v>65</v>
      </c>
      <c r="L657" s="82">
        <v>657</v>
      </c>
      <c r="M657" s="82"/>
      <c r="N657" s="76"/>
      <c r="O657" s="84" t="s">
        <v>439</v>
      </c>
      <c r="P657" s="86">
        <v>44088.70869212963</v>
      </c>
      <c r="Q657" s="84" t="s">
        <v>521</v>
      </c>
      <c r="R657" s="84"/>
      <c r="S657" s="84"/>
      <c r="T657" s="84" t="s">
        <v>566</v>
      </c>
      <c r="U657" s="87" t="str">
        <f>HYPERLINK("https://pbs.twimg.com/media/Eh5Ai7zX0AA1Pht.png")</f>
        <v>https://pbs.twimg.com/media/Eh5Ai7zX0AA1Pht.png</v>
      </c>
      <c r="V657" s="87" t="str">
        <f>HYPERLINK("https://pbs.twimg.com/media/Eh5Ai7zX0AA1Pht.png")</f>
        <v>https://pbs.twimg.com/media/Eh5Ai7zX0AA1Pht.png</v>
      </c>
      <c r="W657" s="86">
        <v>44088.70869212963</v>
      </c>
      <c r="X657" s="90">
        <v>44088</v>
      </c>
      <c r="Y657" s="92" t="s">
        <v>1027</v>
      </c>
      <c r="Z657" s="87" t="str">
        <f>HYPERLINK("https://twitter.com/fullnam35087976/status/1305552016303747073")</f>
        <v>https://twitter.com/fullnam35087976/status/1305552016303747073</v>
      </c>
      <c r="AA657" s="84"/>
      <c r="AB657" s="84"/>
      <c r="AC657" s="92" t="s">
        <v>1446</v>
      </c>
      <c r="AD657" s="84"/>
      <c r="AE657" s="84" t="b">
        <v>0</v>
      </c>
      <c r="AF657" s="84">
        <v>0</v>
      </c>
      <c r="AG657" s="92" t="s">
        <v>1453</v>
      </c>
      <c r="AH657" s="84" t="b">
        <v>0</v>
      </c>
      <c r="AI657" s="84" t="s">
        <v>1456</v>
      </c>
      <c r="AJ657" s="84"/>
      <c r="AK657" s="92" t="s">
        <v>1453</v>
      </c>
      <c r="AL657" s="84" t="b">
        <v>0</v>
      </c>
      <c r="AM657" s="84">
        <v>2</v>
      </c>
      <c r="AN657" s="92" t="s">
        <v>1441</v>
      </c>
      <c r="AO657" s="84" t="s">
        <v>1530</v>
      </c>
      <c r="AP657" s="84" t="b">
        <v>0</v>
      </c>
      <c r="AQ657" s="92" t="s">
        <v>1441</v>
      </c>
      <c r="AR657" s="84" t="s">
        <v>187</v>
      </c>
      <c r="AS657" s="84">
        <v>0</v>
      </c>
      <c r="AT657" s="84">
        <v>0</v>
      </c>
      <c r="AU657" s="84"/>
      <c r="AV657" s="84"/>
      <c r="AW657" s="84"/>
      <c r="AX657" s="84"/>
      <c r="AY657" s="84"/>
      <c r="AZ657" s="84"/>
      <c r="BA657" s="84"/>
      <c r="BB657" s="84"/>
      <c r="BC657">
        <v>3</v>
      </c>
      <c r="BD657" s="83" t="str">
        <f>REPLACE(INDEX(GroupVertices[Group],MATCH(Edges[[#This Row],[Vertex 1]],GroupVertices[Vertex],0)),1,1,"")</f>
        <v>7</v>
      </c>
      <c r="BE657" s="83" t="str">
        <f>REPLACE(INDEX(GroupVertices[Group],MATCH(Edges[[#This Row],[Vertex 2]],GroupVertices[Vertex],0)),1,1,"")</f>
        <v>7</v>
      </c>
      <c r="BF657" s="49">
        <v>0</v>
      </c>
      <c r="BG657" s="50">
        <v>0</v>
      </c>
      <c r="BH657" s="49">
        <v>0</v>
      </c>
      <c r="BI657" s="50">
        <v>0</v>
      </c>
      <c r="BJ657" s="49">
        <v>0</v>
      </c>
      <c r="BK657" s="50">
        <v>0</v>
      </c>
      <c r="BL657" s="49">
        <v>13</v>
      </c>
      <c r="BM657" s="50">
        <v>100</v>
      </c>
      <c r="BN657" s="49">
        <v>13</v>
      </c>
    </row>
    <row r="658" spans="1:66" ht="15">
      <c r="A658" s="68" t="s">
        <v>424</v>
      </c>
      <c r="B658" s="68" t="s">
        <v>426</v>
      </c>
      <c r="C658" s="69" t="s">
        <v>5210</v>
      </c>
      <c r="D658" s="70">
        <v>10</v>
      </c>
      <c r="E658" s="71" t="s">
        <v>132</v>
      </c>
      <c r="F658" s="72">
        <v>10</v>
      </c>
      <c r="G658" s="69" t="s">
        <v>51</v>
      </c>
      <c r="H658" s="73"/>
      <c r="I658" s="74"/>
      <c r="J658" s="74"/>
      <c r="K658" s="35" t="s">
        <v>65</v>
      </c>
      <c r="L658" s="82">
        <v>658</v>
      </c>
      <c r="M658" s="82"/>
      <c r="N658" s="76"/>
      <c r="O658" s="84" t="s">
        <v>439</v>
      </c>
      <c r="P658" s="86">
        <v>44089.625243055554</v>
      </c>
      <c r="Q658" s="84" t="s">
        <v>524</v>
      </c>
      <c r="R658" s="84"/>
      <c r="S658" s="84"/>
      <c r="T658" s="84" t="s">
        <v>566</v>
      </c>
      <c r="U658" s="87" t="str">
        <f>HYPERLINK("https://pbs.twimg.com/media/Eh9uqnZWoAAkvbU.png")</f>
        <v>https://pbs.twimg.com/media/Eh9uqnZWoAAkvbU.png</v>
      </c>
      <c r="V658" s="87" t="str">
        <f>HYPERLINK("https://pbs.twimg.com/media/Eh9uqnZWoAAkvbU.png")</f>
        <v>https://pbs.twimg.com/media/Eh9uqnZWoAAkvbU.png</v>
      </c>
      <c r="W658" s="86">
        <v>44089.625243055554</v>
      </c>
      <c r="X658" s="90">
        <v>44089</v>
      </c>
      <c r="Y658" s="92" t="s">
        <v>1028</v>
      </c>
      <c r="Z658" s="87" t="str">
        <f>HYPERLINK("https://twitter.com/fullnam35087976/status/1305884165749923840")</f>
        <v>https://twitter.com/fullnam35087976/status/1305884165749923840</v>
      </c>
      <c r="AA658" s="84"/>
      <c r="AB658" s="84"/>
      <c r="AC658" s="92" t="s">
        <v>1447</v>
      </c>
      <c r="AD658" s="84"/>
      <c r="AE658" s="84" t="b">
        <v>0</v>
      </c>
      <c r="AF658" s="84">
        <v>0</v>
      </c>
      <c r="AG658" s="92" t="s">
        <v>1453</v>
      </c>
      <c r="AH658" s="84" t="b">
        <v>0</v>
      </c>
      <c r="AI658" s="84" t="s">
        <v>1456</v>
      </c>
      <c r="AJ658" s="84"/>
      <c r="AK658" s="92" t="s">
        <v>1453</v>
      </c>
      <c r="AL658" s="84" t="b">
        <v>0</v>
      </c>
      <c r="AM658" s="84">
        <v>3</v>
      </c>
      <c r="AN658" s="92" t="s">
        <v>1444</v>
      </c>
      <c r="AO658" s="84" t="s">
        <v>1530</v>
      </c>
      <c r="AP658" s="84" t="b">
        <v>0</v>
      </c>
      <c r="AQ658" s="92" t="s">
        <v>1444</v>
      </c>
      <c r="AR658" s="84" t="s">
        <v>187</v>
      </c>
      <c r="AS658" s="84">
        <v>0</v>
      </c>
      <c r="AT658" s="84">
        <v>0</v>
      </c>
      <c r="AU658" s="84"/>
      <c r="AV658" s="84"/>
      <c r="AW658" s="84"/>
      <c r="AX658" s="84"/>
      <c r="AY658" s="84"/>
      <c r="AZ658" s="84"/>
      <c r="BA658" s="84"/>
      <c r="BB658" s="84"/>
      <c r="BC658">
        <v>3</v>
      </c>
      <c r="BD658" s="83" t="str">
        <f>REPLACE(INDEX(GroupVertices[Group],MATCH(Edges[[#This Row],[Vertex 1]],GroupVertices[Vertex],0)),1,1,"")</f>
        <v>7</v>
      </c>
      <c r="BE658" s="83" t="str">
        <f>REPLACE(INDEX(GroupVertices[Group],MATCH(Edges[[#This Row],[Vertex 2]],GroupVertices[Vertex],0)),1,1,"")</f>
        <v>7</v>
      </c>
      <c r="BF658" s="49">
        <v>0</v>
      </c>
      <c r="BG658" s="50">
        <v>0</v>
      </c>
      <c r="BH658" s="49">
        <v>0</v>
      </c>
      <c r="BI658" s="50">
        <v>0</v>
      </c>
      <c r="BJ658" s="49">
        <v>0</v>
      </c>
      <c r="BK658" s="50">
        <v>0</v>
      </c>
      <c r="BL658" s="49">
        <v>13</v>
      </c>
      <c r="BM658" s="50">
        <v>100</v>
      </c>
      <c r="BN658" s="49">
        <v>13</v>
      </c>
    </row>
    <row r="659" spans="1:66" ht="15">
      <c r="A659" s="68" t="s">
        <v>427</v>
      </c>
      <c r="B659" s="68" t="s">
        <v>427</v>
      </c>
      <c r="C659" s="69" t="s">
        <v>5209</v>
      </c>
      <c r="D659" s="70">
        <v>6.678367782143116</v>
      </c>
      <c r="E659" s="71" t="s">
        <v>132</v>
      </c>
      <c r="F659" s="72">
        <v>21</v>
      </c>
      <c r="G659" s="69" t="s">
        <v>51</v>
      </c>
      <c r="H659" s="73"/>
      <c r="I659" s="74"/>
      <c r="J659" s="74"/>
      <c r="K659" s="35" t="s">
        <v>65</v>
      </c>
      <c r="L659" s="82">
        <v>659</v>
      </c>
      <c r="M659" s="82"/>
      <c r="N659" s="76"/>
      <c r="O659" s="84" t="s">
        <v>187</v>
      </c>
      <c r="P659" s="86">
        <v>44080.9325</v>
      </c>
      <c r="Q659" s="84" t="s">
        <v>445</v>
      </c>
      <c r="R659" s="87" t="str">
        <f>HYPERLINK("https://cdw.voicestorm.com/Article/Redirect/158f4944-0f02-4fb5-a69a-1b101981cbd5?uc=2409&amp;g=630fbc4e-9cb1-4b67-8898-5bb567f6a1e7&amp;f=414657")</f>
        <v>https://cdw.voicestorm.com/Article/Redirect/158f4944-0f02-4fb5-a69a-1b101981cbd5?uc=2409&amp;g=630fbc4e-9cb1-4b67-8898-5bb567f6a1e7&amp;f=414657</v>
      </c>
      <c r="S659" s="84" t="s">
        <v>530</v>
      </c>
      <c r="T659" s="84" t="s">
        <v>565</v>
      </c>
      <c r="U659" s="84"/>
      <c r="V659" s="87" t="str">
        <f>HYPERLINK("http://pbs.twimg.com/profile_images/982851565475082241/sV75X7aU_normal.jpg")</f>
        <v>http://pbs.twimg.com/profile_images/982851565475082241/sV75X7aU_normal.jpg</v>
      </c>
      <c r="W659" s="86">
        <v>44080.9325</v>
      </c>
      <c r="X659" s="90">
        <v>44080</v>
      </c>
      <c r="Y659" s="92" t="s">
        <v>1029</v>
      </c>
      <c r="Z659" s="87" t="str">
        <f>HYPERLINK("https://twitter.com/cdwgwagov/status/1302734020808040448")</f>
        <v>https://twitter.com/cdwgwagov/status/1302734020808040448</v>
      </c>
      <c r="AA659" s="84"/>
      <c r="AB659" s="84"/>
      <c r="AC659" s="92" t="s">
        <v>1448</v>
      </c>
      <c r="AD659" s="84"/>
      <c r="AE659" s="84" t="b">
        <v>0</v>
      </c>
      <c r="AF659" s="84">
        <v>8</v>
      </c>
      <c r="AG659" s="92" t="s">
        <v>1453</v>
      </c>
      <c r="AH659" s="84" t="b">
        <v>0</v>
      </c>
      <c r="AI659" s="84" t="s">
        <v>1456</v>
      </c>
      <c r="AJ659" s="84"/>
      <c r="AK659" s="92" t="s">
        <v>1453</v>
      </c>
      <c r="AL659" s="84" t="b">
        <v>0</v>
      </c>
      <c r="AM659" s="84">
        <v>23</v>
      </c>
      <c r="AN659" s="92" t="s">
        <v>1453</v>
      </c>
      <c r="AO659" s="84" t="s">
        <v>1531</v>
      </c>
      <c r="AP659" s="84" t="b">
        <v>0</v>
      </c>
      <c r="AQ659" s="92" t="s">
        <v>1448</v>
      </c>
      <c r="AR659" s="84" t="s">
        <v>439</v>
      </c>
      <c r="AS659" s="84">
        <v>0</v>
      </c>
      <c r="AT659" s="84">
        <v>0</v>
      </c>
      <c r="AU659" s="84"/>
      <c r="AV659" s="84"/>
      <c r="AW659" s="84"/>
      <c r="AX659" s="84"/>
      <c r="AY659" s="84"/>
      <c r="AZ659" s="84"/>
      <c r="BA659" s="84"/>
      <c r="BB659" s="84"/>
      <c r="BC659">
        <v>2</v>
      </c>
      <c r="BD659" s="83" t="str">
        <f>REPLACE(INDEX(GroupVertices[Group],MATCH(Edges[[#This Row],[Vertex 1]],GroupVertices[Vertex],0)),1,1,"")</f>
        <v>8</v>
      </c>
      <c r="BE659" s="83" t="str">
        <f>REPLACE(INDEX(GroupVertices[Group],MATCH(Edges[[#This Row],[Vertex 2]],GroupVertices[Vertex],0)),1,1,"")</f>
        <v>8</v>
      </c>
      <c r="BF659" s="49">
        <v>0</v>
      </c>
      <c r="BG659" s="50">
        <v>0</v>
      </c>
      <c r="BH659" s="49">
        <v>0</v>
      </c>
      <c r="BI659" s="50">
        <v>0</v>
      </c>
      <c r="BJ659" s="49">
        <v>0</v>
      </c>
      <c r="BK659" s="50">
        <v>0</v>
      </c>
      <c r="BL659" s="49">
        <v>26</v>
      </c>
      <c r="BM659" s="50">
        <v>100</v>
      </c>
      <c r="BN659" s="49">
        <v>26</v>
      </c>
    </row>
    <row r="660" spans="1:66" ht="15">
      <c r="A660" s="68" t="s">
        <v>427</v>
      </c>
      <c r="B660" s="68" t="s">
        <v>427</v>
      </c>
      <c r="C660" s="69" t="s">
        <v>5209</v>
      </c>
      <c r="D660" s="70">
        <v>6.678367782143116</v>
      </c>
      <c r="E660" s="71" t="s">
        <v>132</v>
      </c>
      <c r="F660" s="72">
        <v>21</v>
      </c>
      <c r="G660" s="69" t="s">
        <v>51</v>
      </c>
      <c r="H660" s="73"/>
      <c r="I660" s="74"/>
      <c r="J660" s="74"/>
      <c r="K660" s="35" t="s">
        <v>65</v>
      </c>
      <c r="L660" s="82">
        <v>660</v>
      </c>
      <c r="M660" s="82"/>
      <c r="N660" s="76"/>
      <c r="O660" s="84" t="s">
        <v>187</v>
      </c>
      <c r="P660" s="86">
        <v>44089.66851851852</v>
      </c>
      <c r="Q660" s="84" t="s">
        <v>525</v>
      </c>
      <c r="R660" s="87" t="str">
        <f>HYPERLINK("https://cdw.voicestorm.com/Article/Redirect/c2178f9f-84ee-4131-bc8d-106c9621721e?uc=2409&amp;g=d6970e04-ae67-42fc-b899-04f46a8bdc46&amp;f=419948")</f>
        <v>https://cdw.voicestorm.com/Article/Redirect/c2178f9f-84ee-4131-bc8d-106c9621721e?uc=2409&amp;g=d6970e04-ae67-42fc-b899-04f46a8bdc46&amp;f=419948</v>
      </c>
      <c r="S660" s="84" t="s">
        <v>530</v>
      </c>
      <c r="T660" s="84" t="s">
        <v>637</v>
      </c>
      <c r="U660" s="84"/>
      <c r="V660" s="87" t="str">
        <f>HYPERLINK("http://pbs.twimg.com/profile_images/982851565475082241/sV75X7aU_normal.jpg")</f>
        <v>http://pbs.twimg.com/profile_images/982851565475082241/sV75X7aU_normal.jpg</v>
      </c>
      <c r="W660" s="86">
        <v>44089.66851851852</v>
      </c>
      <c r="X660" s="90">
        <v>44089</v>
      </c>
      <c r="Y660" s="92" t="s">
        <v>1030</v>
      </c>
      <c r="Z660" s="87" t="str">
        <f>HYPERLINK("https://twitter.com/cdwgwagov/status/1305899845324922882")</f>
        <v>https://twitter.com/cdwgwagov/status/1305899845324922882</v>
      </c>
      <c r="AA660" s="84"/>
      <c r="AB660" s="84"/>
      <c r="AC660" s="92" t="s">
        <v>1449</v>
      </c>
      <c r="AD660" s="84"/>
      <c r="AE660" s="84" t="b">
        <v>0</v>
      </c>
      <c r="AF660" s="84">
        <v>0</v>
      </c>
      <c r="AG660" s="92" t="s">
        <v>1453</v>
      </c>
      <c r="AH660" s="84" t="b">
        <v>0</v>
      </c>
      <c r="AI660" s="84" t="s">
        <v>1456</v>
      </c>
      <c r="AJ660" s="84"/>
      <c r="AK660" s="92" t="s">
        <v>1453</v>
      </c>
      <c r="AL660" s="84" t="b">
        <v>0</v>
      </c>
      <c r="AM660" s="84">
        <v>0</v>
      </c>
      <c r="AN660" s="92" t="s">
        <v>1453</v>
      </c>
      <c r="AO660" s="84" t="s">
        <v>1531</v>
      </c>
      <c r="AP660" s="84" t="b">
        <v>0</v>
      </c>
      <c r="AQ660" s="92" t="s">
        <v>1449</v>
      </c>
      <c r="AR660" s="84" t="s">
        <v>187</v>
      </c>
      <c r="AS660" s="84">
        <v>0</v>
      </c>
      <c r="AT660" s="84">
        <v>0</v>
      </c>
      <c r="AU660" s="84"/>
      <c r="AV660" s="84"/>
      <c r="AW660" s="84"/>
      <c r="AX660" s="84"/>
      <c r="AY660" s="84"/>
      <c r="AZ660" s="84"/>
      <c r="BA660" s="84"/>
      <c r="BB660" s="84"/>
      <c r="BC660">
        <v>2</v>
      </c>
      <c r="BD660" s="83" t="str">
        <f>REPLACE(INDEX(GroupVertices[Group],MATCH(Edges[[#This Row],[Vertex 1]],GroupVertices[Vertex],0)),1,1,"")</f>
        <v>8</v>
      </c>
      <c r="BE660" s="83" t="str">
        <f>REPLACE(INDEX(GroupVertices[Group],MATCH(Edges[[#This Row],[Vertex 2]],GroupVertices[Vertex],0)),1,1,"")</f>
        <v>8</v>
      </c>
      <c r="BF660" s="49">
        <v>0</v>
      </c>
      <c r="BG660" s="50">
        <v>0</v>
      </c>
      <c r="BH660" s="49">
        <v>0</v>
      </c>
      <c r="BI660" s="50">
        <v>0</v>
      </c>
      <c r="BJ660" s="49">
        <v>0</v>
      </c>
      <c r="BK660" s="50">
        <v>0</v>
      </c>
      <c r="BL660" s="49">
        <v>18</v>
      </c>
      <c r="BM660" s="50">
        <v>100</v>
      </c>
      <c r="BN660" s="49">
        <v>18</v>
      </c>
    </row>
    <row r="661" spans="1:66" ht="15">
      <c r="A661" s="68" t="s">
        <v>428</v>
      </c>
      <c r="B661" s="68" t="s">
        <v>428</v>
      </c>
      <c r="C661" s="69" t="s">
        <v>5208</v>
      </c>
      <c r="D661" s="70">
        <v>1</v>
      </c>
      <c r="E661" s="71" t="s">
        <v>132</v>
      </c>
      <c r="F661" s="72">
        <v>32</v>
      </c>
      <c r="G661" s="69" t="s">
        <v>51</v>
      </c>
      <c r="H661" s="73"/>
      <c r="I661" s="74"/>
      <c r="J661" s="74"/>
      <c r="K661" s="35" t="s">
        <v>65</v>
      </c>
      <c r="L661" s="82">
        <v>661</v>
      </c>
      <c r="M661" s="82"/>
      <c r="N661" s="76"/>
      <c r="O661" s="84" t="s">
        <v>187</v>
      </c>
      <c r="P661" s="86">
        <v>44089.670127314814</v>
      </c>
      <c r="Q661" s="84" t="s">
        <v>526</v>
      </c>
      <c r="R661" s="87" t="str">
        <f>HYPERLINK("https://technonikhil1.blogspot.com/2020/09/highest-paying-data-science-jobs.html")</f>
        <v>https://technonikhil1.blogspot.com/2020/09/highest-paying-data-science-jobs.html</v>
      </c>
      <c r="S661" s="84" t="s">
        <v>562</v>
      </c>
      <c r="T661" s="84" t="s">
        <v>638</v>
      </c>
      <c r="U661" s="87" t="str">
        <f>HYPERLINK("https://pbs.twimg.com/media/Eh99MFiXsAAUnLJ.jpg")</f>
        <v>https://pbs.twimg.com/media/Eh99MFiXsAAUnLJ.jpg</v>
      </c>
      <c r="V661" s="87" t="str">
        <f>HYPERLINK("https://pbs.twimg.com/media/Eh99MFiXsAAUnLJ.jpg")</f>
        <v>https://pbs.twimg.com/media/Eh99MFiXsAAUnLJ.jpg</v>
      </c>
      <c r="W661" s="86">
        <v>44089.670127314814</v>
      </c>
      <c r="X661" s="90">
        <v>44089</v>
      </c>
      <c r="Y661" s="92" t="s">
        <v>1031</v>
      </c>
      <c r="Z661" s="87" t="str">
        <f>HYPERLINK("https://twitter.com/nikhilmaheswar3/status/1305900431483326464")</f>
        <v>https://twitter.com/nikhilmaheswar3/status/1305900431483326464</v>
      </c>
      <c r="AA661" s="84"/>
      <c r="AB661" s="84"/>
      <c r="AC661" s="92" t="s">
        <v>1450</v>
      </c>
      <c r="AD661" s="84"/>
      <c r="AE661" s="84" t="b">
        <v>0</v>
      </c>
      <c r="AF661" s="84">
        <v>2</v>
      </c>
      <c r="AG661" s="92" t="s">
        <v>1453</v>
      </c>
      <c r="AH661" s="84" t="b">
        <v>0</v>
      </c>
      <c r="AI661" s="84" t="s">
        <v>1456</v>
      </c>
      <c r="AJ661" s="84"/>
      <c r="AK661" s="92" t="s">
        <v>1453</v>
      </c>
      <c r="AL661" s="84" t="b">
        <v>0</v>
      </c>
      <c r="AM661" s="84">
        <v>1</v>
      </c>
      <c r="AN661" s="92" t="s">
        <v>1453</v>
      </c>
      <c r="AO661" s="84" t="s">
        <v>1465</v>
      </c>
      <c r="AP661" s="84" t="b">
        <v>0</v>
      </c>
      <c r="AQ661" s="92" t="s">
        <v>1450</v>
      </c>
      <c r="AR661" s="84" t="s">
        <v>187</v>
      </c>
      <c r="AS661" s="84">
        <v>0</v>
      </c>
      <c r="AT661" s="84">
        <v>0</v>
      </c>
      <c r="AU661" s="84"/>
      <c r="AV661" s="84"/>
      <c r="AW661" s="84"/>
      <c r="AX661" s="84"/>
      <c r="AY661" s="84"/>
      <c r="AZ661" s="84"/>
      <c r="BA661" s="84"/>
      <c r="BB661" s="84"/>
      <c r="BC661">
        <v>1</v>
      </c>
      <c r="BD661" s="83" t="str">
        <f>REPLACE(INDEX(GroupVertices[Group],MATCH(Edges[[#This Row],[Vertex 1]],GroupVertices[Vertex],0)),1,1,"")</f>
        <v>6</v>
      </c>
      <c r="BE661" s="83" t="str">
        <f>REPLACE(INDEX(GroupVertices[Group],MATCH(Edges[[#This Row],[Vertex 2]],GroupVertices[Vertex],0)),1,1,"")</f>
        <v>6</v>
      </c>
      <c r="BF661" s="49">
        <v>0</v>
      </c>
      <c r="BG661" s="50">
        <v>0</v>
      </c>
      <c r="BH661" s="49">
        <v>0</v>
      </c>
      <c r="BI661" s="50">
        <v>0</v>
      </c>
      <c r="BJ661" s="49">
        <v>0</v>
      </c>
      <c r="BK661" s="50">
        <v>0</v>
      </c>
      <c r="BL661" s="49">
        <v>24</v>
      </c>
      <c r="BM661" s="50">
        <v>100</v>
      </c>
      <c r="BN661"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1"/>
    <dataValidation allowBlank="1" showErrorMessage="1" sqref="N2:N6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1"/>
    <dataValidation allowBlank="1" showInputMessage="1" promptTitle="Edge Color" prompt="To select an optional edge color, right-click and select Select Color on the right-click menu." sqref="C3:C661"/>
    <dataValidation allowBlank="1" showInputMessage="1" promptTitle="Edge Width" prompt="Enter an optional edge width between 1 and 10." errorTitle="Invalid Edge Width" error="The optional edge width must be a whole number between 1 and 10." sqref="D3:D661"/>
    <dataValidation allowBlank="1" showInputMessage="1" promptTitle="Edge Opacity" prompt="Enter an optional edge opacity between 0 (transparent) and 100 (opaque)." errorTitle="Invalid Edge Opacity" error="The optional edge opacity must be a whole number between 0 and 10." sqref="F3:F6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1">
      <formula1>ValidEdgeVisibilities</formula1>
    </dataValidation>
    <dataValidation allowBlank="1" showInputMessage="1" showErrorMessage="1" promptTitle="Vertex 1 Name" prompt="Enter the name of the edge's first vertex." sqref="A3:A661"/>
    <dataValidation allowBlank="1" showInputMessage="1" showErrorMessage="1" promptTitle="Vertex 2 Name" prompt="Enter the name of the edge's second vertex." sqref="B3:B661"/>
    <dataValidation allowBlank="1" showInputMessage="1" showErrorMessage="1" promptTitle="Edge Label" prompt="Enter an optional edge label." errorTitle="Invalid Edge Visibility" error="You have entered an unrecognized edge visibility.  Try selecting from the drop-down list instead." sqref="H3:H6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E6763-86F6-459D-A2A5-F33DF182D0B8}">
  <dimension ref="A1:C1160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3183</v>
      </c>
      <c r="B1" s="13" t="s">
        <v>2555</v>
      </c>
      <c r="C1" s="13" t="s">
        <v>199</v>
      </c>
    </row>
    <row r="2" spans="1:3" ht="15">
      <c r="A2" s="83" t="s">
        <v>428</v>
      </c>
      <c r="B2" s="83" t="s">
        <v>3184</v>
      </c>
      <c r="C2" s="91" t="s">
        <v>1450</v>
      </c>
    </row>
    <row r="3" spans="1:3" ht="15">
      <c r="A3" s="84" t="s">
        <v>428</v>
      </c>
      <c r="B3" s="83" t="s">
        <v>3073</v>
      </c>
      <c r="C3" s="91" t="s">
        <v>1450</v>
      </c>
    </row>
    <row r="4" spans="1:3" ht="15">
      <c r="A4" s="84" t="s">
        <v>428</v>
      </c>
      <c r="B4" s="83" t="s">
        <v>2589</v>
      </c>
      <c r="C4" s="91" t="s">
        <v>1450</v>
      </c>
    </row>
    <row r="5" spans="1:3" ht="15">
      <c r="A5" s="84" t="s">
        <v>428</v>
      </c>
      <c r="B5" s="83" t="s">
        <v>3185</v>
      </c>
      <c r="C5" s="91" t="s">
        <v>1450</v>
      </c>
    </row>
    <row r="6" spans="1:3" ht="15">
      <c r="A6" s="84" t="s">
        <v>428</v>
      </c>
      <c r="B6" s="83" t="s">
        <v>3186</v>
      </c>
      <c r="C6" s="91" t="s">
        <v>1450</v>
      </c>
    </row>
    <row r="7" spans="1:3" ht="15">
      <c r="A7" s="84" t="s">
        <v>428</v>
      </c>
      <c r="B7" s="83" t="s">
        <v>2591</v>
      </c>
      <c r="C7" s="91" t="s">
        <v>1450</v>
      </c>
    </row>
    <row r="8" spans="1:3" ht="15">
      <c r="A8" s="84" t="s">
        <v>428</v>
      </c>
      <c r="B8" s="83" t="s">
        <v>2778</v>
      </c>
      <c r="C8" s="91" t="s">
        <v>1450</v>
      </c>
    </row>
    <row r="9" spans="1:3" ht="15">
      <c r="A9" s="84" t="s">
        <v>428</v>
      </c>
      <c r="B9" s="83" t="s">
        <v>3187</v>
      </c>
      <c r="C9" s="91" t="s">
        <v>1450</v>
      </c>
    </row>
    <row r="10" spans="1:3" ht="15">
      <c r="A10" s="84" t="s">
        <v>428</v>
      </c>
      <c r="B10" s="83" t="s">
        <v>3188</v>
      </c>
      <c r="C10" s="91" t="s">
        <v>1450</v>
      </c>
    </row>
    <row r="11" spans="1:3" ht="15">
      <c r="A11" s="84" t="s">
        <v>428</v>
      </c>
      <c r="B11" s="83" t="s">
        <v>3189</v>
      </c>
      <c r="C11" s="91" t="s">
        <v>1450</v>
      </c>
    </row>
    <row r="12" spans="1:3" ht="15">
      <c r="A12" s="84" t="s">
        <v>428</v>
      </c>
      <c r="B12" s="83" t="s">
        <v>3190</v>
      </c>
      <c r="C12" s="91" t="s">
        <v>1450</v>
      </c>
    </row>
    <row r="13" spans="1:3" ht="15">
      <c r="A13" s="84" t="s">
        <v>428</v>
      </c>
      <c r="B13" s="83" t="s">
        <v>3191</v>
      </c>
      <c r="C13" s="91" t="s">
        <v>1450</v>
      </c>
    </row>
    <row r="14" spans="1:3" ht="15">
      <c r="A14" s="84" t="s">
        <v>428</v>
      </c>
      <c r="B14" s="83" t="s">
        <v>3192</v>
      </c>
      <c r="C14" s="91" t="s">
        <v>1450</v>
      </c>
    </row>
    <row r="15" spans="1:3" ht="15">
      <c r="A15" s="84" t="s">
        <v>428</v>
      </c>
      <c r="B15" s="83" t="s">
        <v>3193</v>
      </c>
      <c r="C15" s="91" t="s">
        <v>1450</v>
      </c>
    </row>
    <row r="16" spans="1:3" ht="15">
      <c r="A16" s="84" t="s">
        <v>428</v>
      </c>
      <c r="B16" s="83" t="s">
        <v>3194</v>
      </c>
      <c r="C16" s="91" t="s">
        <v>1450</v>
      </c>
    </row>
    <row r="17" spans="1:3" ht="15">
      <c r="A17" s="84" t="s">
        <v>428</v>
      </c>
      <c r="B17" s="83" t="s">
        <v>3195</v>
      </c>
      <c r="C17" s="91" t="s">
        <v>1450</v>
      </c>
    </row>
    <row r="18" spans="1:3" ht="15">
      <c r="A18" s="84" t="s">
        <v>428</v>
      </c>
      <c r="B18" s="83" t="s">
        <v>3196</v>
      </c>
      <c r="C18" s="91" t="s">
        <v>1450</v>
      </c>
    </row>
    <row r="19" spans="1:3" ht="15">
      <c r="A19" s="84" t="s">
        <v>428</v>
      </c>
      <c r="B19" s="83" t="s">
        <v>3197</v>
      </c>
      <c r="C19" s="91" t="s">
        <v>1450</v>
      </c>
    </row>
    <row r="20" spans="1:3" ht="15">
      <c r="A20" s="84" t="s">
        <v>428</v>
      </c>
      <c r="B20" s="83" t="s">
        <v>3198</v>
      </c>
      <c r="C20" s="91" t="s">
        <v>1450</v>
      </c>
    </row>
    <row r="21" spans="1:3" ht="15">
      <c r="A21" s="84" t="s">
        <v>428</v>
      </c>
      <c r="B21" s="83" t="s">
        <v>3119</v>
      </c>
      <c r="C21" s="91" t="s">
        <v>1450</v>
      </c>
    </row>
    <row r="22" spans="1:3" ht="15">
      <c r="A22" s="84" t="s">
        <v>428</v>
      </c>
      <c r="B22" s="83" t="s">
        <v>3199</v>
      </c>
      <c r="C22" s="91" t="s">
        <v>1450</v>
      </c>
    </row>
    <row r="23" spans="1:3" ht="15">
      <c r="A23" s="84" t="s">
        <v>428</v>
      </c>
      <c r="B23" s="83" t="s">
        <v>3200</v>
      </c>
      <c r="C23" s="91" t="s">
        <v>1450</v>
      </c>
    </row>
    <row r="24" spans="1:3" ht="15">
      <c r="A24" s="84" t="s">
        <v>428</v>
      </c>
      <c r="B24" s="83" t="s">
        <v>3090</v>
      </c>
      <c r="C24" s="91" t="s">
        <v>1450</v>
      </c>
    </row>
    <row r="25" spans="1:3" ht="15">
      <c r="A25" s="84" t="s">
        <v>428</v>
      </c>
      <c r="B25" s="83" t="s">
        <v>3201</v>
      </c>
      <c r="C25" s="91" t="s">
        <v>1450</v>
      </c>
    </row>
    <row r="26" spans="1:3" ht="15">
      <c r="A26" s="84" t="s">
        <v>424</v>
      </c>
      <c r="B26" s="83" t="s">
        <v>3202</v>
      </c>
      <c r="C26" s="91" t="s">
        <v>1447</v>
      </c>
    </row>
    <row r="27" spans="1:3" ht="15">
      <c r="A27" s="84" t="s">
        <v>424</v>
      </c>
      <c r="B27" s="83">
        <v>7</v>
      </c>
      <c r="C27" s="91" t="s">
        <v>1447</v>
      </c>
    </row>
    <row r="28" spans="1:3" ht="15">
      <c r="A28" s="84" t="s">
        <v>424</v>
      </c>
      <c r="B28" s="83" t="s">
        <v>2650</v>
      </c>
      <c r="C28" s="91" t="s">
        <v>1447</v>
      </c>
    </row>
    <row r="29" spans="1:3" ht="15">
      <c r="A29" s="84" t="s">
        <v>424</v>
      </c>
      <c r="B29" s="83" t="s">
        <v>2693</v>
      </c>
      <c r="C29" s="91" t="s">
        <v>1447</v>
      </c>
    </row>
    <row r="30" spans="1:3" ht="15">
      <c r="A30" s="84" t="s">
        <v>424</v>
      </c>
      <c r="B30" s="83" t="s">
        <v>2576</v>
      </c>
      <c r="C30" s="91" t="s">
        <v>1447</v>
      </c>
    </row>
    <row r="31" spans="1:3" ht="15">
      <c r="A31" s="84" t="s">
        <v>424</v>
      </c>
      <c r="B31" s="83" t="s">
        <v>3203</v>
      </c>
      <c r="C31" s="91" t="s">
        <v>1447</v>
      </c>
    </row>
    <row r="32" spans="1:3" ht="15">
      <c r="A32" s="84" t="s">
        <v>424</v>
      </c>
      <c r="B32" s="83">
        <v>19</v>
      </c>
      <c r="C32" s="91" t="s">
        <v>1447</v>
      </c>
    </row>
    <row r="33" spans="1:3" ht="15">
      <c r="A33" s="84" t="s">
        <v>424</v>
      </c>
      <c r="B33" s="83" t="s">
        <v>2582</v>
      </c>
      <c r="C33" s="91" t="s">
        <v>1447</v>
      </c>
    </row>
    <row r="34" spans="1:3" ht="15">
      <c r="A34" s="84" t="s">
        <v>424</v>
      </c>
      <c r="B34" s="83" t="s">
        <v>3204</v>
      </c>
      <c r="C34" s="91" t="s">
        <v>1447</v>
      </c>
    </row>
    <row r="35" spans="1:3" ht="15">
      <c r="A35" s="84" t="s">
        <v>424</v>
      </c>
      <c r="B35" s="83">
        <v>2680</v>
      </c>
      <c r="C35" s="91" t="s">
        <v>1447</v>
      </c>
    </row>
    <row r="36" spans="1:3" ht="15">
      <c r="A36" s="84" t="s">
        <v>424</v>
      </c>
      <c r="B36" s="83" t="s">
        <v>3205</v>
      </c>
      <c r="C36" s="91" t="s">
        <v>1447</v>
      </c>
    </row>
    <row r="37" spans="1:3" ht="15">
      <c r="A37" s="84" t="s">
        <v>424</v>
      </c>
      <c r="B37" s="83" t="s">
        <v>586</v>
      </c>
      <c r="C37" s="91" t="s">
        <v>1447</v>
      </c>
    </row>
    <row r="38" spans="1:3" ht="15">
      <c r="A38" s="84" t="s">
        <v>424</v>
      </c>
      <c r="B38" s="83" t="s">
        <v>2742</v>
      </c>
      <c r="C38" s="91" t="s">
        <v>1447</v>
      </c>
    </row>
    <row r="39" spans="1:3" ht="15">
      <c r="A39" s="84" t="s">
        <v>424</v>
      </c>
      <c r="B39" s="83" t="s">
        <v>3202</v>
      </c>
      <c r="C39" s="91" t="s">
        <v>1446</v>
      </c>
    </row>
    <row r="40" spans="1:3" ht="15">
      <c r="A40" s="84" t="s">
        <v>424</v>
      </c>
      <c r="B40" s="83">
        <v>7</v>
      </c>
      <c r="C40" s="91" t="s">
        <v>1446</v>
      </c>
    </row>
    <row r="41" spans="1:3" ht="15">
      <c r="A41" s="84" t="s">
        <v>424</v>
      </c>
      <c r="B41" s="83" t="s">
        <v>2650</v>
      </c>
      <c r="C41" s="91" t="s">
        <v>1446</v>
      </c>
    </row>
    <row r="42" spans="1:3" ht="15">
      <c r="A42" s="84" t="s">
        <v>424</v>
      </c>
      <c r="B42" s="83" t="s">
        <v>2693</v>
      </c>
      <c r="C42" s="91" t="s">
        <v>1446</v>
      </c>
    </row>
    <row r="43" spans="1:3" ht="15">
      <c r="A43" s="84" t="s">
        <v>424</v>
      </c>
      <c r="B43" s="83" t="s">
        <v>2576</v>
      </c>
      <c r="C43" s="91" t="s">
        <v>1446</v>
      </c>
    </row>
    <row r="44" spans="1:3" ht="15">
      <c r="A44" s="84" t="s">
        <v>424</v>
      </c>
      <c r="B44" s="83" t="s">
        <v>3203</v>
      </c>
      <c r="C44" s="91" t="s">
        <v>1446</v>
      </c>
    </row>
    <row r="45" spans="1:3" ht="15">
      <c r="A45" s="84" t="s">
        <v>424</v>
      </c>
      <c r="B45" s="83">
        <v>19</v>
      </c>
      <c r="C45" s="91" t="s">
        <v>1446</v>
      </c>
    </row>
    <row r="46" spans="1:3" ht="15">
      <c r="A46" s="84" t="s">
        <v>424</v>
      </c>
      <c r="B46" s="83" t="s">
        <v>2582</v>
      </c>
      <c r="C46" s="91" t="s">
        <v>1446</v>
      </c>
    </row>
    <row r="47" spans="1:3" ht="15">
      <c r="A47" s="84" t="s">
        <v>424</v>
      </c>
      <c r="B47" s="83" t="s">
        <v>3204</v>
      </c>
      <c r="C47" s="91" t="s">
        <v>1446</v>
      </c>
    </row>
    <row r="48" spans="1:3" ht="15">
      <c r="A48" s="84" t="s">
        <v>424</v>
      </c>
      <c r="B48" s="83">
        <v>2600</v>
      </c>
      <c r="C48" s="91" t="s">
        <v>1446</v>
      </c>
    </row>
    <row r="49" spans="1:3" ht="15">
      <c r="A49" s="84" t="s">
        <v>424</v>
      </c>
      <c r="B49" s="83" t="s">
        <v>3205</v>
      </c>
      <c r="C49" s="91" t="s">
        <v>1446</v>
      </c>
    </row>
    <row r="50" spans="1:3" ht="15">
      <c r="A50" s="84" t="s">
        <v>424</v>
      </c>
      <c r="B50" s="83" t="s">
        <v>586</v>
      </c>
      <c r="C50" s="91" t="s">
        <v>1446</v>
      </c>
    </row>
    <row r="51" spans="1:3" ht="15">
      <c r="A51" s="84" t="s">
        <v>424</v>
      </c>
      <c r="B51" s="83" t="s">
        <v>2742</v>
      </c>
      <c r="C51" s="91" t="s">
        <v>1446</v>
      </c>
    </row>
    <row r="52" spans="1:3" ht="15">
      <c r="A52" s="84" t="s">
        <v>424</v>
      </c>
      <c r="B52" s="83" t="s">
        <v>3202</v>
      </c>
      <c r="C52" s="91" t="s">
        <v>1445</v>
      </c>
    </row>
    <row r="53" spans="1:3" ht="15">
      <c r="A53" s="84" t="s">
        <v>424</v>
      </c>
      <c r="B53" s="83">
        <v>7</v>
      </c>
      <c r="C53" s="91" t="s">
        <v>1445</v>
      </c>
    </row>
    <row r="54" spans="1:3" ht="15">
      <c r="A54" s="84" t="s">
        <v>424</v>
      </c>
      <c r="B54" s="83" t="s">
        <v>2650</v>
      </c>
      <c r="C54" s="91" t="s">
        <v>1445</v>
      </c>
    </row>
    <row r="55" spans="1:3" ht="15">
      <c r="A55" s="84" t="s">
        <v>424</v>
      </c>
      <c r="B55" s="83" t="s">
        <v>2693</v>
      </c>
      <c r="C55" s="91" t="s">
        <v>1445</v>
      </c>
    </row>
    <row r="56" spans="1:3" ht="15">
      <c r="A56" s="84" t="s">
        <v>424</v>
      </c>
      <c r="B56" s="83" t="s">
        <v>2576</v>
      </c>
      <c r="C56" s="91" t="s">
        <v>1445</v>
      </c>
    </row>
    <row r="57" spans="1:3" ht="15">
      <c r="A57" s="84" t="s">
        <v>424</v>
      </c>
      <c r="B57" s="83" t="s">
        <v>3203</v>
      </c>
      <c r="C57" s="91" t="s">
        <v>1445</v>
      </c>
    </row>
    <row r="58" spans="1:3" ht="15">
      <c r="A58" s="84" t="s">
        <v>424</v>
      </c>
      <c r="B58" s="83">
        <v>19</v>
      </c>
      <c r="C58" s="91" t="s">
        <v>1445</v>
      </c>
    </row>
    <row r="59" spans="1:3" ht="15">
      <c r="A59" s="84" t="s">
        <v>424</v>
      </c>
      <c r="B59" s="83" t="s">
        <v>2582</v>
      </c>
      <c r="C59" s="91" t="s">
        <v>1445</v>
      </c>
    </row>
    <row r="60" spans="1:3" ht="15">
      <c r="A60" s="84" t="s">
        <v>424</v>
      </c>
      <c r="B60" s="83" t="s">
        <v>3204</v>
      </c>
      <c r="C60" s="91" t="s">
        <v>1445</v>
      </c>
    </row>
    <row r="61" spans="1:3" ht="15">
      <c r="A61" s="84" t="s">
        <v>424</v>
      </c>
      <c r="B61" s="83">
        <v>2019</v>
      </c>
      <c r="C61" s="91" t="s">
        <v>1445</v>
      </c>
    </row>
    <row r="62" spans="1:3" ht="15">
      <c r="A62" s="84" t="s">
        <v>424</v>
      </c>
      <c r="B62" s="83" t="s">
        <v>3205</v>
      </c>
      <c r="C62" s="91" t="s">
        <v>1445</v>
      </c>
    </row>
    <row r="63" spans="1:3" ht="15">
      <c r="A63" s="84" t="s">
        <v>424</v>
      </c>
      <c r="B63" s="83" t="s">
        <v>586</v>
      </c>
      <c r="C63" s="91" t="s">
        <v>1445</v>
      </c>
    </row>
    <row r="64" spans="1:3" ht="15">
      <c r="A64" s="84" t="s">
        <v>424</v>
      </c>
      <c r="B64" s="83" t="s">
        <v>2742</v>
      </c>
      <c r="C64" s="91" t="s">
        <v>1445</v>
      </c>
    </row>
    <row r="65" spans="1:3" ht="15">
      <c r="A65" s="84" t="s">
        <v>424</v>
      </c>
      <c r="B65" s="83" t="s">
        <v>3206</v>
      </c>
      <c r="C65" s="91" t="s">
        <v>1432</v>
      </c>
    </row>
    <row r="66" spans="1:3" ht="15">
      <c r="A66" s="84" t="s">
        <v>424</v>
      </c>
      <c r="B66" s="83" t="s">
        <v>3207</v>
      </c>
      <c r="C66" s="91" t="s">
        <v>1432</v>
      </c>
    </row>
    <row r="67" spans="1:3" ht="15">
      <c r="A67" s="84" t="s">
        <v>424</v>
      </c>
      <c r="B67" s="83" t="s">
        <v>3208</v>
      </c>
      <c r="C67" s="91" t="s">
        <v>1432</v>
      </c>
    </row>
    <row r="68" spans="1:3" ht="15">
      <c r="A68" s="84" t="s">
        <v>424</v>
      </c>
      <c r="B68" s="83" t="s">
        <v>195</v>
      </c>
      <c r="C68" s="91" t="s">
        <v>1432</v>
      </c>
    </row>
    <row r="69" spans="1:3" ht="15">
      <c r="A69" s="84" t="s">
        <v>424</v>
      </c>
      <c r="B69" s="83" t="s">
        <v>3209</v>
      </c>
      <c r="C69" s="91" t="s">
        <v>1432</v>
      </c>
    </row>
    <row r="70" spans="1:3" ht="15">
      <c r="A70" s="84" t="s">
        <v>424</v>
      </c>
      <c r="B70" s="83" t="s">
        <v>2576</v>
      </c>
      <c r="C70" s="91" t="s">
        <v>1432</v>
      </c>
    </row>
    <row r="71" spans="1:3" ht="15">
      <c r="A71" s="84" t="s">
        <v>424</v>
      </c>
      <c r="B71" s="83" t="s">
        <v>3210</v>
      </c>
      <c r="C71" s="91" t="s">
        <v>1432</v>
      </c>
    </row>
    <row r="72" spans="1:3" ht="15">
      <c r="A72" s="84" t="s">
        <v>424</v>
      </c>
      <c r="B72" s="83">
        <v>19</v>
      </c>
      <c r="C72" s="91" t="s">
        <v>1432</v>
      </c>
    </row>
    <row r="73" spans="1:3" ht="15">
      <c r="A73" s="84" t="s">
        <v>424</v>
      </c>
      <c r="B73" s="83" t="s">
        <v>3211</v>
      </c>
      <c r="C73" s="91" t="s">
        <v>1432</v>
      </c>
    </row>
    <row r="74" spans="1:3" ht="15">
      <c r="A74" s="84" t="s">
        <v>424</v>
      </c>
      <c r="B74" s="83" t="s">
        <v>3212</v>
      </c>
      <c r="C74" s="91" t="s">
        <v>1432</v>
      </c>
    </row>
    <row r="75" spans="1:3" ht="15">
      <c r="A75" s="84" t="s">
        <v>424</v>
      </c>
      <c r="B75" s="83" t="s">
        <v>3198</v>
      </c>
      <c r="C75" s="91" t="s">
        <v>1432</v>
      </c>
    </row>
    <row r="76" spans="1:3" ht="15">
      <c r="A76" s="84" t="s">
        <v>424</v>
      </c>
      <c r="B76" s="83" t="s">
        <v>3213</v>
      </c>
      <c r="C76" s="91" t="s">
        <v>1432</v>
      </c>
    </row>
    <row r="77" spans="1:3" ht="15">
      <c r="A77" s="84" t="s">
        <v>424</v>
      </c>
      <c r="B77" s="83" t="s">
        <v>3214</v>
      </c>
      <c r="C77" s="91" t="s">
        <v>1432</v>
      </c>
    </row>
    <row r="78" spans="1:3" ht="15">
      <c r="A78" s="84" t="s">
        <v>424</v>
      </c>
      <c r="B78" s="83" t="s">
        <v>3215</v>
      </c>
      <c r="C78" s="91" t="s">
        <v>1432</v>
      </c>
    </row>
    <row r="79" spans="1:3" ht="15">
      <c r="A79" s="84" t="s">
        <v>424</v>
      </c>
      <c r="B79" s="83" t="s">
        <v>3216</v>
      </c>
      <c r="C79" s="91" t="s">
        <v>1432</v>
      </c>
    </row>
    <row r="80" spans="1:3" ht="15">
      <c r="A80" s="84" t="s">
        <v>424</v>
      </c>
      <c r="B80" s="83" t="s">
        <v>3217</v>
      </c>
      <c r="C80" s="91" t="s">
        <v>1432</v>
      </c>
    </row>
    <row r="81" spans="1:3" ht="15">
      <c r="A81" s="84" t="s">
        <v>424</v>
      </c>
      <c r="B81" s="83" t="s">
        <v>3199</v>
      </c>
      <c r="C81" s="91" t="s">
        <v>1432</v>
      </c>
    </row>
    <row r="82" spans="1:3" ht="15">
      <c r="A82" s="84" t="s">
        <v>424</v>
      </c>
      <c r="B82" s="83" t="s">
        <v>3218</v>
      </c>
      <c r="C82" s="91" t="s">
        <v>1432</v>
      </c>
    </row>
    <row r="83" spans="1:3" ht="15">
      <c r="A83" s="84" t="s">
        <v>424</v>
      </c>
      <c r="B83" s="83" t="s">
        <v>3219</v>
      </c>
      <c r="C83" s="91" t="s">
        <v>1432</v>
      </c>
    </row>
    <row r="84" spans="1:3" ht="15">
      <c r="A84" s="84" t="s">
        <v>424</v>
      </c>
      <c r="B84" s="83" t="s">
        <v>3220</v>
      </c>
      <c r="C84" s="91" t="s">
        <v>1432</v>
      </c>
    </row>
    <row r="85" spans="1:3" ht="15">
      <c r="A85" s="84" t="s">
        <v>424</v>
      </c>
      <c r="B85" s="83" t="s">
        <v>3221</v>
      </c>
      <c r="C85" s="91" t="s">
        <v>1432</v>
      </c>
    </row>
    <row r="86" spans="1:3" ht="15">
      <c r="A86" s="84" t="s">
        <v>424</v>
      </c>
      <c r="B86" s="83" t="s">
        <v>3222</v>
      </c>
      <c r="C86" s="91" t="s">
        <v>1432</v>
      </c>
    </row>
    <row r="87" spans="1:3" ht="15">
      <c r="A87" s="84" t="s">
        <v>424</v>
      </c>
      <c r="B87" s="83" t="s">
        <v>3223</v>
      </c>
      <c r="C87" s="91" t="s">
        <v>1432</v>
      </c>
    </row>
    <row r="88" spans="1:3" ht="15">
      <c r="A88" s="84" t="s">
        <v>424</v>
      </c>
      <c r="B88" s="83" t="s">
        <v>3224</v>
      </c>
      <c r="C88" s="91" t="s">
        <v>1432</v>
      </c>
    </row>
    <row r="89" spans="1:3" ht="15">
      <c r="A89" s="84" t="s">
        <v>424</v>
      </c>
      <c r="B89" s="83" t="s">
        <v>3225</v>
      </c>
      <c r="C89" s="91" t="s">
        <v>1432</v>
      </c>
    </row>
    <row r="90" spans="1:3" ht="15">
      <c r="A90" s="84" t="s">
        <v>424</v>
      </c>
      <c r="B90" s="83" t="s">
        <v>3226</v>
      </c>
      <c r="C90" s="91" t="s">
        <v>1430</v>
      </c>
    </row>
    <row r="91" spans="1:3" ht="15">
      <c r="A91" s="84" t="s">
        <v>424</v>
      </c>
      <c r="B91" s="83" t="s">
        <v>3227</v>
      </c>
      <c r="C91" s="91" t="s">
        <v>1430</v>
      </c>
    </row>
    <row r="92" spans="1:3" ht="15">
      <c r="A92" s="84" t="s">
        <v>424</v>
      </c>
      <c r="B92" s="83" t="s">
        <v>2607</v>
      </c>
      <c r="C92" s="91" t="s">
        <v>1430</v>
      </c>
    </row>
    <row r="93" spans="1:3" ht="15">
      <c r="A93" s="84" t="s">
        <v>424</v>
      </c>
      <c r="B93" s="83" t="s">
        <v>2698</v>
      </c>
      <c r="C93" s="91" t="s">
        <v>1430</v>
      </c>
    </row>
    <row r="94" spans="1:3" ht="15">
      <c r="A94" s="84" t="s">
        <v>424</v>
      </c>
      <c r="B94" s="83" t="s">
        <v>2699</v>
      </c>
      <c r="C94" s="91" t="s">
        <v>1430</v>
      </c>
    </row>
    <row r="95" spans="1:3" ht="15">
      <c r="A95" s="84" t="s">
        <v>424</v>
      </c>
      <c r="B95" s="83" t="s">
        <v>3228</v>
      </c>
      <c r="C95" s="91" t="s">
        <v>1430</v>
      </c>
    </row>
    <row r="96" spans="1:3" ht="15">
      <c r="A96" s="84" t="s">
        <v>424</v>
      </c>
      <c r="B96" s="83" t="s">
        <v>2581</v>
      </c>
      <c r="C96" s="91" t="s">
        <v>1430</v>
      </c>
    </row>
    <row r="97" spans="1:3" ht="15">
      <c r="A97" s="84" t="s">
        <v>424</v>
      </c>
      <c r="B97" s="83" t="s">
        <v>2586</v>
      </c>
      <c r="C97" s="91" t="s">
        <v>1430</v>
      </c>
    </row>
    <row r="98" spans="1:3" ht="15">
      <c r="A98" s="84" t="s">
        <v>424</v>
      </c>
      <c r="B98" s="83" t="s">
        <v>2595</v>
      </c>
      <c r="C98" s="91" t="s">
        <v>1430</v>
      </c>
    </row>
    <row r="99" spans="1:3" ht="15">
      <c r="A99" s="84" t="s">
        <v>424</v>
      </c>
      <c r="B99" s="83" t="s">
        <v>2568</v>
      </c>
      <c r="C99" s="91" t="s">
        <v>1430</v>
      </c>
    </row>
    <row r="100" spans="1:3" ht="15">
      <c r="A100" s="84" t="s">
        <v>424</v>
      </c>
      <c r="B100" s="83" t="s">
        <v>2592</v>
      </c>
      <c r="C100" s="91" t="s">
        <v>1430</v>
      </c>
    </row>
    <row r="101" spans="1:3" ht="15">
      <c r="A101" s="84" t="s">
        <v>424</v>
      </c>
      <c r="B101" s="83" t="s">
        <v>3213</v>
      </c>
      <c r="C101" s="91" t="s">
        <v>1430</v>
      </c>
    </row>
    <row r="102" spans="1:3" ht="15">
      <c r="A102" s="84" t="s">
        <v>424</v>
      </c>
      <c r="B102" s="83" t="s">
        <v>2576</v>
      </c>
      <c r="C102" s="91" t="s">
        <v>1430</v>
      </c>
    </row>
    <row r="103" spans="1:3" ht="15">
      <c r="A103" s="84" t="s">
        <v>424</v>
      </c>
      <c r="B103" s="83" t="s">
        <v>3229</v>
      </c>
      <c r="C103" s="91" t="s">
        <v>1430</v>
      </c>
    </row>
    <row r="104" spans="1:3" ht="15">
      <c r="A104" s="84" t="s">
        <v>424</v>
      </c>
      <c r="B104" s="83" t="s">
        <v>3230</v>
      </c>
      <c r="C104" s="91" t="s">
        <v>1430</v>
      </c>
    </row>
    <row r="105" spans="1:3" ht="15">
      <c r="A105" s="84" t="s">
        <v>424</v>
      </c>
      <c r="B105" s="83" t="s">
        <v>2598</v>
      </c>
      <c r="C105" s="91" t="s">
        <v>1430</v>
      </c>
    </row>
    <row r="106" spans="1:3" ht="15">
      <c r="A106" s="84" t="s">
        <v>424</v>
      </c>
      <c r="B106" s="83" t="s">
        <v>3231</v>
      </c>
      <c r="C106" s="91" t="s">
        <v>1430</v>
      </c>
    </row>
    <row r="107" spans="1:3" ht="15">
      <c r="A107" s="84" t="s">
        <v>424</v>
      </c>
      <c r="B107" s="83" t="s">
        <v>3232</v>
      </c>
      <c r="C107" s="91" t="s">
        <v>1430</v>
      </c>
    </row>
    <row r="108" spans="1:3" ht="15">
      <c r="A108" s="84" t="s">
        <v>424</v>
      </c>
      <c r="B108" s="83" t="s">
        <v>3233</v>
      </c>
      <c r="C108" s="91" t="s">
        <v>1430</v>
      </c>
    </row>
    <row r="109" spans="1:3" ht="15">
      <c r="A109" s="84" t="s">
        <v>424</v>
      </c>
      <c r="B109" s="83" t="s">
        <v>3211</v>
      </c>
      <c r="C109" s="91" t="s">
        <v>1430</v>
      </c>
    </row>
    <row r="110" spans="1:3" ht="15">
      <c r="A110" s="84" t="s">
        <v>424</v>
      </c>
      <c r="B110" s="83" t="s">
        <v>3199</v>
      </c>
      <c r="C110" s="91" t="s">
        <v>1430</v>
      </c>
    </row>
    <row r="111" spans="1:3" ht="15">
      <c r="A111" s="84" t="s">
        <v>424</v>
      </c>
      <c r="B111" s="83" t="s">
        <v>3218</v>
      </c>
      <c r="C111" s="91" t="s">
        <v>1430</v>
      </c>
    </row>
    <row r="112" spans="1:3" ht="15">
      <c r="A112" s="84" t="s">
        <v>424</v>
      </c>
      <c r="B112" s="83" t="s">
        <v>3234</v>
      </c>
      <c r="C112" s="91" t="s">
        <v>1430</v>
      </c>
    </row>
    <row r="113" spans="1:3" ht="15">
      <c r="A113" s="84" t="s">
        <v>424</v>
      </c>
      <c r="B113" s="83" t="s">
        <v>3235</v>
      </c>
      <c r="C113" s="91" t="s">
        <v>1430</v>
      </c>
    </row>
    <row r="114" spans="1:3" ht="15">
      <c r="A114" s="84" t="s">
        <v>424</v>
      </c>
      <c r="B114" s="83" t="s">
        <v>3236</v>
      </c>
      <c r="C114" s="91" t="s">
        <v>1430</v>
      </c>
    </row>
    <row r="115" spans="1:3" ht="15">
      <c r="A115" s="84" t="s">
        <v>424</v>
      </c>
      <c r="B115" s="83" t="s">
        <v>3237</v>
      </c>
      <c r="C115" s="91" t="s">
        <v>1430</v>
      </c>
    </row>
    <row r="116" spans="1:3" ht="15">
      <c r="A116" s="84" t="s">
        <v>424</v>
      </c>
      <c r="B116" s="83" t="s">
        <v>3238</v>
      </c>
      <c r="C116" s="91" t="s">
        <v>1430</v>
      </c>
    </row>
    <row r="117" spans="1:3" ht="15">
      <c r="A117" s="84" t="s">
        <v>424</v>
      </c>
      <c r="B117" s="83" t="s">
        <v>3239</v>
      </c>
      <c r="C117" s="91" t="s">
        <v>1430</v>
      </c>
    </row>
    <row r="118" spans="1:3" ht="15">
      <c r="A118" s="84" t="s">
        <v>424</v>
      </c>
      <c r="B118" s="83" t="s">
        <v>3240</v>
      </c>
      <c r="C118" s="91" t="s">
        <v>1430</v>
      </c>
    </row>
    <row r="119" spans="1:3" ht="15">
      <c r="A119" s="84" t="s">
        <v>424</v>
      </c>
      <c r="B119" s="83" t="s">
        <v>3241</v>
      </c>
      <c r="C119" s="91" t="s">
        <v>1430</v>
      </c>
    </row>
    <row r="120" spans="1:3" ht="15">
      <c r="A120" s="84" t="s">
        <v>424</v>
      </c>
      <c r="B120" s="83" t="s">
        <v>3242</v>
      </c>
      <c r="C120" s="91" t="s">
        <v>1430</v>
      </c>
    </row>
    <row r="121" spans="1:3" ht="15">
      <c r="A121" s="84" t="s">
        <v>424</v>
      </c>
      <c r="B121" s="83" t="s">
        <v>2767</v>
      </c>
      <c r="C121" s="91" t="s">
        <v>1430</v>
      </c>
    </row>
    <row r="122" spans="1:3" ht="15">
      <c r="A122" s="84" t="s">
        <v>424</v>
      </c>
      <c r="B122" s="83" t="s">
        <v>3243</v>
      </c>
      <c r="C122" s="91" t="s">
        <v>1430</v>
      </c>
    </row>
    <row r="123" spans="1:3" ht="15">
      <c r="A123" s="84" t="s">
        <v>424</v>
      </c>
      <c r="B123" s="83" t="s">
        <v>3244</v>
      </c>
      <c r="C123" s="91" t="s">
        <v>1430</v>
      </c>
    </row>
    <row r="124" spans="1:3" ht="15">
      <c r="A124" s="84" t="s">
        <v>422</v>
      </c>
      <c r="B124" s="83" t="s">
        <v>3245</v>
      </c>
      <c r="C124" s="91" t="s">
        <v>1424</v>
      </c>
    </row>
    <row r="125" spans="1:3" ht="15">
      <c r="A125" s="84" t="s">
        <v>422</v>
      </c>
      <c r="B125" s="83" t="s">
        <v>3246</v>
      </c>
      <c r="C125" s="91" t="s">
        <v>1424</v>
      </c>
    </row>
    <row r="126" spans="1:3" ht="15">
      <c r="A126" s="84" t="s">
        <v>422</v>
      </c>
      <c r="B126" s="83" t="s">
        <v>2580</v>
      </c>
      <c r="C126" s="91" t="s">
        <v>1424</v>
      </c>
    </row>
    <row r="127" spans="1:3" ht="15">
      <c r="A127" s="84" t="s">
        <v>422</v>
      </c>
      <c r="B127" s="83" t="s">
        <v>2589</v>
      </c>
      <c r="C127" s="91" t="s">
        <v>1424</v>
      </c>
    </row>
    <row r="128" spans="1:3" ht="15">
      <c r="A128" s="84" t="s">
        <v>422</v>
      </c>
      <c r="B128" s="83" t="s">
        <v>3247</v>
      </c>
      <c r="C128" s="91" t="s">
        <v>1424</v>
      </c>
    </row>
    <row r="129" spans="1:3" ht="15">
      <c r="A129" s="84" t="s">
        <v>422</v>
      </c>
      <c r="B129" s="83" t="s">
        <v>3248</v>
      </c>
      <c r="C129" s="91" t="s">
        <v>1424</v>
      </c>
    </row>
    <row r="130" spans="1:3" ht="15">
      <c r="A130" s="84" t="s">
        <v>422</v>
      </c>
      <c r="B130" s="83" t="s">
        <v>3249</v>
      </c>
      <c r="C130" s="91" t="s">
        <v>1424</v>
      </c>
    </row>
    <row r="131" spans="1:3" ht="15">
      <c r="A131" s="84" t="s">
        <v>422</v>
      </c>
      <c r="B131" s="83" t="s">
        <v>3250</v>
      </c>
      <c r="C131" s="91" t="s">
        <v>1424</v>
      </c>
    </row>
    <row r="132" spans="1:3" ht="15">
      <c r="A132" s="84" t="s">
        <v>422</v>
      </c>
      <c r="B132" s="83" t="s">
        <v>3251</v>
      </c>
      <c r="C132" s="91" t="s">
        <v>1424</v>
      </c>
    </row>
    <row r="133" spans="1:3" ht="15">
      <c r="A133" s="84" t="s">
        <v>422</v>
      </c>
      <c r="B133" s="83" t="s">
        <v>3252</v>
      </c>
      <c r="C133" s="91" t="s">
        <v>1424</v>
      </c>
    </row>
    <row r="134" spans="1:3" ht="15">
      <c r="A134" s="84" t="s">
        <v>422</v>
      </c>
      <c r="B134" s="83" t="s">
        <v>2568</v>
      </c>
      <c r="C134" s="91" t="s">
        <v>1424</v>
      </c>
    </row>
    <row r="135" spans="1:3" ht="15">
      <c r="A135" s="84" t="s">
        <v>422</v>
      </c>
      <c r="B135" s="83" t="s">
        <v>3253</v>
      </c>
      <c r="C135" s="91" t="s">
        <v>1424</v>
      </c>
    </row>
    <row r="136" spans="1:3" ht="15">
      <c r="A136" s="84" t="s">
        <v>422</v>
      </c>
      <c r="B136" s="83" t="s">
        <v>3254</v>
      </c>
      <c r="C136" s="91" t="s">
        <v>1424</v>
      </c>
    </row>
    <row r="137" spans="1:3" ht="15">
      <c r="A137" s="84" t="s">
        <v>422</v>
      </c>
      <c r="B137" s="83" t="s">
        <v>3215</v>
      </c>
      <c r="C137" s="91" t="s">
        <v>1424</v>
      </c>
    </row>
    <row r="138" spans="1:3" ht="15">
      <c r="A138" s="84" t="s">
        <v>422</v>
      </c>
      <c r="B138" s="83" t="s">
        <v>3199</v>
      </c>
      <c r="C138" s="91" t="s">
        <v>1424</v>
      </c>
    </row>
    <row r="139" spans="1:3" ht="15">
      <c r="A139" s="84" t="s">
        <v>422</v>
      </c>
      <c r="B139" s="83" t="s">
        <v>3238</v>
      </c>
      <c r="C139" s="91" t="s">
        <v>1424</v>
      </c>
    </row>
    <row r="140" spans="1:3" ht="15">
      <c r="A140" s="84" t="s">
        <v>422</v>
      </c>
      <c r="B140" s="83" t="s">
        <v>3255</v>
      </c>
      <c r="C140" s="91" t="s">
        <v>1424</v>
      </c>
    </row>
    <row r="141" spans="1:3" ht="15">
      <c r="A141" s="84" t="s">
        <v>422</v>
      </c>
      <c r="B141" s="83" t="s">
        <v>3198</v>
      </c>
      <c r="C141" s="91" t="s">
        <v>1424</v>
      </c>
    </row>
    <row r="142" spans="1:3" ht="15">
      <c r="A142" s="84" t="s">
        <v>422</v>
      </c>
      <c r="B142" s="83" t="s">
        <v>3256</v>
      </c>
      <c r="C142" s="91" t="s">
        <v>1424</v>
      </c>
    </row>
    <row r="143" spans="1:3" ht="15">
      <c r="A143" s="84" t="s">
        <v>422</v>
      </c>
      <c r="B143" s="83" t="s">
        <v>3211</v>
      </c>
      <c r="C143" s="91" t="s">
        <v>1424</v>
      </c>
    </row>
    <row r="144" spans="1:3" ht="15">
      <c r="A144" s="84" t="s">
        <v>422</v>
      </c>
      <c r="B144" s="83" t="s">
        <v>3205</v>
      </c>
      <c r="C144" s="91" t="s">
        <v>1424</v>
      </c>
    </row>
    <row r="145" spans="1:3" ht="15">
      <c r="A145" s="84" t="s">
        <v>422</v>
      </c>
      <c r="B145" s="83" t="s">
        <v>3214</v>
      </c>
      <c r="C145" s="91" t="s">
        <v>1424</v>
      </c>
    </row>
    <row r="146" spans="1:3" ht="15">
      <c r="A146" s="84" t="s">
        <v>422</v>
      </c>
      <c r="B146" s="83" t="s">
        <v>3257</v>
      </c>
      <c r="C146" s="91" t="s">
        <v>1424</v>
      </c>
    </row>
    <row r="147" spans="1:3" ht="15">
      <c r="A147" s="84" t="s">
        <v>422</v>
      </c>
      <c r="B147" s="83" t="s">
        <v>3258</v>
      </c>
      <c r="C147" s="91" t="s">
        <v>1424</v>
      </c>
    </row>
    <row r="148" spans="1:3" ht="15">
      <c r="A148" s="84" t="s">
        <v>422</v>
      </c>
      <c r="B148" s="83" t="s">
        <v>3259</v>
      </c>
      <c r="C148" s="91" t="s">
        <v>1424</v>
      </c>
    </row>
    <row r="149" spans="1:3" ht="15">
      <c r="A149" s="84" t="s">
        <v>422</v>
      </c>
      <c r="B149" s="83" t="s">
        <v>3260</v>
      </c>
      <c r="C149" s="91" t="s">
        <v>1424</v>
      </c>
    </row>
    <row r="150" spans="1:3" ht="15">
      <c r="A150" s="84" t="s">
        <v>422</v>
      </c>
      <c r="B150" s="83" t="s">
        <v>3261</v>
      </c>
      <c r="C150" s="91" t="s">
        <v>1423</v>
      </c>
    </row>
    <row r="151" spans="1:3" ht="15">
      <c r="A151" s="84" t="s">
        <v>422</v>
      </c>
      <c r="B151" s="83" t="s">
        <v>2581</v>
      </c>
      <c r="C151" s="91" t="s">
        <v>1423</v>
      </c>
    </row>
    <row r="152" spans="1:3" ht="15">
      <c r="A152" s="84" t="s">
        <v>422</v>
      </c>
      <c r="B152" s="83" t="s">
        <v>2586</v>
      </c>
      <c r="C152" s="91" t="s">
        <v>1423</v>
      </c>
    </row>
    <row r="153" spans="1:3" ht="15">
      <c r="A153" s="84" t="s">
        <v>422</v>
      </c>
      <c r="B153" s="83" t="s">
        <v>2670</v>
      </c>
      <c r="C153" s="91" t="s">
        <v>1423</v>
      </c>
    </row>
    <row r="154" spans="1:3" ht="15">
      <c r="A154" s="84" t="s">
        <v>422</v>
      </c>
      <c r="B154" s="83" t="s">
        <v>2655</v>
      </c>
      <c r="C154" s="91" t="s">
        <v>1423</v>
      </c>
    </row>
    <row r="155" spans="1:3" ht="15">
      <c r="A155" s="84" t="s">
        <v>422</v>
      </c>
      <c r="B155" s="83" t="s">
        <v>2580</v>
      </c>
      <c r="C155" s="91" t="s">
        <v>1423</v>
      </c>
    </row>
    <row r="156" spans="1:3" ht="15">
      <c r="A156" s="84" t="s">
        <v>422</v>
      </c>
      <c r="B156" s="83" t="s">
        <v>2661</v>
      </c>
      <c r="C156" s="91" t="s">
        <v>1423</v>
      </c>
    </row>
    <row r="157" spans="1:3" ht="15">
      <c r="A157" s="84" t="s">
        <v>422</v>
      </c>
      <c r="B157" s="83" t="s">
        <v>2656</v>
      </c>
      <c r="C157" s="91" t="s">
        <v>1423</v>
      </c>
    </row>
    <row r="158" spans="1:3" ht="15">
      <c r="A158" s="84" t="s">
        <v>422</v>
      </c>
      <c r="B158" s="83" t="s">
        <v>3199</v>
      </c>
      <c r="C158" s="91" t="s">
        <v>1423</v>
      </c>
    </row>
    <row r="159" spans="1:3" ht="15">
      <c r="A159" s="84" t="s">
        <v>422</v>
      </c>
      <c r="B159" s="83" t="s">
        <v>133</v>
      </c>
      <c r="C159" s="91" t="s">
        <v>1423</v>
      </c>
    </row>
    <row r="160" spans="1:3" ht="15">
      <c r="A160" s="84" t="s">
        <v>422</v>
      </c>
      <c r="B160" s="83" t="s">
        <v>2657</v>
      </c>
      <c r="C160" s="91" t="s">
        <v>1423</v>
      </c>
    </row>
    <row r="161" spans="1:3" ht="15">
      <c r="A161" s="84" t="s">
        <v>422</v>
      </c>
      <c r="B161" s="83" t="s">
        <v>2576</v>
      </c>
      <c r="C161" s="91" t="s">
        <v>1423</v>
      </c>
    </row>
    <row r="162" spans="1:3" ht="15">
      <c r="A162" s="84" t="s">
        <v>422</v>
      </c>
      <c r="B162" s="83" t="s">
        <v>2569</v>
      </c>
      <c r="C162" s="91" t="s">
        <v>1423</v>
      </c>
    </row>
    <row r="163" spans="1:3" ht="15">
      <c r="A163" s="84" t="s">
        <v>422</v>
      </c>
      <c r="B163" s="83">
        <v>19</v>
      </c>
      <c r="C163" s="91" t="s">
        <v>1423</v>
      </c>
    </row>
    <row r="164" spans="1:3" ht="15">
      <c r="A164" s="84" t="s">
        <v>422</v>
      </c>
      <c r="B164" s="83" t="s">
        <v>2629</v>
      </c>
      <c r="C164" s="91" t="s">
        <v>1423</v>
      </c>
    </row>
    <row r="165" spans="1:3" ht="15">
      <c r="A165" s="84" t="s">
        <v>422</v>
      </c>
      <c r="B165" s="83" t="s">
        <v>3262</v>
      </c>
      <c r="C165" s="91" t="s">
        <v>1423</v>
      </c>
    </row>
    <row r="166" spans="1:3" ht="15">
      <c r="A166" s="84" t="s">
        <v>422</v>
      </c>
      <c r="B166" s="83" t="s">
        <v>2702</v>
      </c>
      <c r="C166" s="91" t="s">
        <v>1423</v>
      </c>
    </row>
    <row r="167" spans="1:3" ht="15">
      <c r="A167" s="84" t="s">
        <v>422</v>
      </c>
      <c r="B167" s="83" t="s">
        <v>2652</v>
      </c>
      <c r="C167" s="91" t="s">
        <v>1423</v>
      </c>
    </row>
    <row r="168" spans="1:3" ht="15">
      <c r="A168" s="84" t="s">
        <v>422</v>
      </c>
      <c r="B168" s="83" t="s">
        <v>2703</v>
      </c>
      <c r="C168" s="91" t="s">
        <v>1423</v>
      </c>
    </row>
    <row r="169" spans="1:3" ht="15">
      <c r="A169" s="84" t="s">
        <v>422</v>
      </c>
      <c r="B169" s="83" t="s">
        <v>2704</v>
      </c>
      <c r="C169" s="91" t="s">
        <v>1423</v>
      </c>
    </row>
    <row r="170" spans="1:3" ht="15">
      <c r="A170" s="84" t="s">
        <v>422</v>
      </c>
      <c r="B170" s="83" t="s">
        <v>2577</v>
      </c>
      <c r="C170" s="91" t="s">
        <v>1423</v>
      </c>
    </row>
    <row r="171" spans="1:3" ht="15">
      <c r="A171" s="84" t="s">
        <v>422</v>
      </c>
      <c r="B171" s="83" t="s">
        <v>2630</v>
      </c>
      <c r="C171" s="91" t="s">
        <v>1423</v>
      </c>
    </row>
    <row r="172" spans="1:3" ht="15">
      <c r="A172" s="84" t="s">
        <v>422</v>
      </c>
      <c r="B172" s="83" t="s">
        <v>3263</v>
      </c>
      <c r="C172" s="91" t="s">
        <v>1423</v>
      </c>
    </row>
    <row r="173" spans="1:3" ht="15">
      <c r="A173" s="84" t="s">
        <v>422</v>
      </c>
      <c r="B173" s="83" t="s">
        <v>2705</v>
      </c>
      <c r="C173" s="91" t="s">
        <v>1423</v>
      </c>
    </row>
    <row r="174" spans="1:3" ht="15">
      <c r="A174" s="84" t="s">
        <v>422</v>
      </c>
      <c r="B174" s="83" t="s">
        <v>2671</v>
      </c>
      <c r="C174" s="91" t="s">
        <v>1423</v>
      </c>
    </row>
    <row r="175" spans="1:3" ht="15">
      <c r="A175" s="84" t="s">
        <v>422</v>
      </c>
      <c r="B175" s="83" t="s">
        <v>3264</v>
      </c>
      <c r="C175" s="91" t="s">
        <v>1423</v>
      </c>
    </row>
    <row r="176" spans="1:3" ht="15">
      <c r="A176" s="84" t="s">
        <v>422</v>
      </c>
      <c r="B176" s="83" t="s">
        <v>2706</v>
      </c>
      <c r="C176" s="91" t="s">
        <v>1423</v>
      </c>
    </row>
    <row r="177" spans="1:3" ht="15">
      <c r="A177" s="84" t="s">
        <v>422</v>
      </c>
      <c r="B177" s="83" t="s">
        <v>2707</v>
      </c>
      <c r="C177" s="91" t="s">
        <v>1423</v>
      </c>
    </row>
    <row r="178" spans="1:3" ht="15">
      <c r="A178" s="84" t="s">
        <v>422</v>
      </c>
      <c r="B178" s="83" t="s">
        <v>2568</v>
      </c>
      <c r="C178" s="91" t="s">
        <v>1423</v>
      </c>
    </row>
    <row r="179" spans="1:3" ht="15">
      <c r="A179" s="84" t="s">
        <v>422</v>
      </c>
      <c r="B179" s="83" t="s">
        <v>2662</v>
      </c>
      <c r="C179" s="91" t="s">
        <v>1423</v>
      </c>
    </row>
    <row r="180" spans="1:3" ht="15">
      <c r="A180" s="84" t="s">
        <v>422</v>
      </c>
      <c r="B180" s="83" t="s">
        <v>2708</v>
      </c>
      <c r="C180" s="91" t="s">
        <v>1423</v>
      </c>
    </row>
    <row r="181" spans="1:3" ht="15">
      <c r="A181" s="84" t="s">
        <v>422</v>
      </c>
      <c r="B181" s="83" t="s">
        <v>2709</v>
      </c>
      <c r="C181" s="91" t="s">
        <v>1423</v>
      </c>
    </row>
    <row r="182" spans="1:3" ht="15">
      <c r="A182" s="84" t="s">
        <v>422</v>
      </c>
      <c r="B182" s="83" t="s">
        <v>3265</v>
      </c>
      <c r="C182" s="91" t="s">
        <v>1423</v>
      </c>
    </row>
    <row r="183" spans="1:3" ht="15">
      <c r="A183" s="84" t="s">
        <v>422</v>
      </c>
      <c r="B183" s="83" t="s">
        <v>2578</v>
      </c>
      <c r="C183" s="91" t="s">
        <v>1423</v>
      </c>
    </row>
    <row r="184" spans="1:3" ht="15">
      <c r="A184" s="84" t="s">
        <v>422</v>
      </c>
      <c r="B184" s="83" t="s">
        <v>2710</v>
      </c>
      <c r="C184" s="91" t="s">
        <v>1423</v>
      </c>
    </row>
    <row r="185" spans="1:3" ht="15">
      <c r="A185" s="84" t="s">
        <v>422</v>
      </c>
      <c r="B185" s="83" t="s">
        <v>3238</v>
      </c>
      <c r="C185" s="91" t="s">
        <v>1423</v>
      </c>
    </row>
    <row r="186" spans="1:3" ht="15">
      <c r="A186" s="84" t="s">
        <v>422</v>
      </c>
      <c r="B186" s="83" t="s">
        <v>586</v>
      </c>
      <c r="C186" s="91" t="s">
        <v>1423</v>
      </c>
    </row>
    <row r="187" spans="1:3" ht="15">
      <c r="A187" s="84" t="s">
        <v>422</v>
      </c>
      <c r="B187" s="83" t="s">
        <v>3258</v>
      </c>
      <c r="C187" s="91" t="s">
        <v>1423</v>
      </c>
    </row>
    <row r="188" spans="1:3" ht="15">
      <c r="A188" s="84" t="s">
        <v>422</v>
      </c>
      <c r="B188" s="83" t="s">
        <v>3109</v>
      </c>
      <c r="C188" s="91" t="s">
        <v>1423</v>
      </c>
    </row>
    <row r="189" spans="1:3" ht="15">
      <c r="A189" s="84" t="s">
        <v>422</v>
      </c>
      <c r="B189" s="83" t="s">
        <v>3261</v>
      </c>
      <c r="C189" s="91" t="s">
        <v>1422</v>
      </c>
    </row>
    <row r="190" spans="1:3" ht="15">
      <c r="A190" s="84" t="s">
        <v>422</v>
      </c>
      <c r="B190" s="83" t="s">
        <v>2581</v>
      </c>
      <c r="C190" s="91" t="s">
        <v>1422</v>
      </c>
    </row>
    <row r="191" spans="1:3" ht="15">
      <c r="A191" s="84" t="s">
        <v>422</v>
      </c>
      <c r="B191" s="83" t="s">
        <v>2586</v>
      </c>
      <c r="C191" s="91" t="s">
        <v>1422</v>
      </c>
    </row>
    <row r="192" spans="1:3" ht="15">
      <c r="A192" s="84" t="s">
        <v>422</v>
      </c>
      <c r="B192" s="83" t="s">
        <v>2670</v>
      </c>
      <c r="C192" s="91" t="s">
        <v>1422</v>
      </c>
    </row>
    <row r="193" spans="1:3" ht="15">
      <c r="A193" s="84" t="s">
        <v>422</v>
      </c>
      <c r="B193" s="83" t="s">
        <v>2655</v>
      </c>
      <c r="C193" s="91" t="s">
        <v>1422</v>
      </c>
    </row>
    <row r="194" spans="1:3" ht="15">
      <c r="A194" s="84" t="s">
        <v>422</v>
      </c>
      <c r="B194" s="83" t="s">
        <v>2580</v>
      </c>
      <c r="C194" s="91" t="s">
        <v>1422</v>
      </c>
    </row>
    <row r="195" spans="1:3" ht="15">
      <c r="A195" s="84" t="s">
        <v>422</v>
      </c>
      <c r="B195" s="83" t="s">
        <v>2661</v>
      </c>
      <c r="C195" s="91" t="s">
        <v>1422</v>
      </c>
    </row>
    <row r="196" spans="1:3" ht="15">
      <c r="A196" s="84" t="s">
        <v>422</v>
      </c>
      <c r="B196" s="83" t="s">
        <v>2656</v>
      </c>
      <c r="C196" s="91" t="s">
        <v>1422</v>
      </c>
    </row>
    <row r="197" spans="1:3" ht="15">
      <c r="A197" s="84" t="s">
        <v>422</v>
      </c>
      <c r="B197" s="83" t="s">
        <v>3199</v>
      </c>
      <c r="C197" s="91" t="s">
        <v>1422</v>
      </c>
    </row>
    <row r="198" spans="1:3" ht="15">
      <c r="A198" s="84" t="s">
        <v>422</v>
      </c>
      <c r="B198" s="83" t="s">
        <v>133</v>
      </c>
      <c r="C198" s="91" t="s">
        <v>1422</v>
      </c>
    </row>
    <row r="199" spans="1:3" ht="15">
      <c r="A199" s="84" t="s">
        <v>422</v>
      </c>
      <c r="B199" s="83" t="s">
        <v>2657</v>
      </c>
      <c r="C199" s="91" t="s">
        <v>1422</v>
      </c>
    </row>
    <row r="200" spans="1:3" ht="15">
      <c r="A200" s="84" t="s">
        <v>422</v>
      </c>
      <c r="B200" s="83" t="s">
        <v>2576</v>
      </c>
      <c r="C200" s="91" t="s">
        <v>1422</v>
      </c>
    </row>
    <row r="201" spans="1:3" ht="15">
      <c r="A201" s="84" t="s">
        <v>422</v>
      </c>
      <c r="B201" s="83" t="s">
        <v>2569</v>
      </c>
      <c r="C201" s="91" t="s">
        <v>1422</v>
      </c>
    </row>
    <row r="202" spans="1:3" ht="15">
      <c r="A202" s="84" t="s">
        <v>422</v>
      </c>
      <c r="B202" s="83">
        <v>19</v>
      </c>
      <c r="C202" s="91" t="s">
        <v>1422</v>
      </c>
    </row>
    <row r="203" spans="1:3" ht="15">
      <c r="A203" s="84" t="s">
        <v>422</v>
      </c>
      <c r="B203" s="83" t="s">
        <v>2629</v>
      </c>
      <c r="C203" s="91" t="s">
        <v>1422</v>
      </c>
    </row>
    <row r="204" spans="1:3" ht="15">
      <c r="A204" s="84" t="s">
        <v>422</v>
      </c>
      <c r="B204" s="83" t="s">
        <v>3262</v>
      </c>
      <c r="C204" s="91" t="s">
        <v>1422</v>
      </c>
    </row>
    <row r="205" spans="1:3" ht="15">
      <c r="A205" s="84" t="s">
        <v>422</v>
      </c>
      <c r="B205" s="83" t="s">
        <v>2702</v>
      </c>
      <c r="C205" s="91" t="s">
        <v>1422</v>
      </c>
    </row>
    <row r="206" spans="1:3" ht="15">
      <c r="A206" s="84" t="s">
        <v>422</v>
      </c>
      <c r="B206" s="83" t="s">
        <v>2652</v>
      </c>
      <c r="C206" s="91" t="s">
        <v>1422</v>
      </c>
    </row>
    <row r="207" spans="1:3" ht="15">
      <c r="A207" s="84" t="s">
        <v>422</v>
      </c>
      <c r="B207" s="83" t="s">
        <v>2703</v>
      </c>
      <c r="C207" s="91" t="s">
        <v>1422</v>
      </c>
    </row>
    <row r="208" spans="1:3" ht="15">
      <c r="A208" s="84" t="s">
        <v>422</v>
      </c>
      <c r="B208" s="83" t="s">
        <v>2704</v>
      </c>
      <c r="C208" s="91" t="s">
        <v>1422</v>
      </c>
    </row>
    <row r="209" spans="1:3" ht="15">
      <c r="A209" s="84" t="s">
        <v>422</v>
      </c>
      <c r="B209" s="83" t="s">
        <v>2577</v>
      </c>
      <c r="C209" s="91" t="s">
        <v>1422</v>
      </c>
    </row>
    <row r="210" spans="1:3" ht="15">
      <c r="A210" s="84" t="s">
        <v>422</v>
      </c>
      <c r="B210" s="83" t="s">
        <v>2630</v>
      </c>
      <c r="C210" s="91" t="s">
        <v>1422</v>
      </c>
    </row>
    <row r="211" spans="1:3" ht="15">
      <c r="A211" s="84" t="s">
        <v>422</v>
      </c>
      <c r="B211" s="83" t="s">
        <v>3263</v>
      </c>
      <c r="C211" s="91" t="s">
        <v>1422</v>
      </c>
    </row>
    <row r="212" spans="1:3" ht="15">
      <c r="A212" s="84" t="s">
        <v>422</v>
      </c>
      <c r="B212" s="83" t="s">
        <v>2705</v>
      </c>
      <c r="C212" s="91" t="s">
        <v>1422</v>
      </c>
    </row>
    <row r="213" spans="1:3" ht="15">
      <c r="A213" s="84" t="s">
        <v>422</v>
      </c>
      <c r="B213" s="83" t="s">
        <v>2671</v>
      </c>
      <c r="C213" s="91" t="s">
        <v>1422</v>
      </c>
    </row>
    <row r="214" spans="1:3" ht="15">
      <c r="A214" s="84" t="s">
        <v>422</v>
      </c>
      <c r="B214" s="83" t="s">
        <v>3264</v>
      </c>
      <c r="C214" s="91" t="s">
        <v>1422</v>
      </c>
    </row>
    <row r="215" spans="1:3" ht="15">
      <c r="A215" s="84" t="s">
        <v>422</v>
      </c>
      <c r="B215" s="83" t="s">
        <v>2706</v>
      </c>
      <c r="C215" s="91" t="s">
        <v>1422</v>
      </c>
    </row>
    <row r="216" spans="1:3" ht="15">
      <c r="A216" s="84" t="s">
        <v>422</v>
      </c>
      <c r="B216" s="83" t="s">
        <v>2707</v>
      </c>
      <c r="C216" s="91" t="s">
        <v>1422</v>
      </c>
    </row>
    <row r="217" spans="1:3" ht="15">
      <c r="A217" s="84" t="s">
        <v>422</v>
      </c>
      <c r="B217" s="83" t="s">
        <v>2568</v>
      </c>
      <c r="C217" s="91" t="s">
        <v>1422</v>
      </c>
    </row>
    <row r="218" spans="1:3" ht="15">
      <c r="A218" s="84" t="s">
        <v>422</v>
      </c>
      <c r="B218" s="83" t="s">
        <v>2662</v>
      </c>
      <c r="C218" s="91" t="s">
        <v>1422</v>
      </c>
    </row>
    <row r="219" spans="1:3" ht="15">
      <c r="A219" s="84" t="s">
        <v>422</v>
      </c>
      <c r="B219" s="83" t="s">
        <v>2708</v>
      </c>
      <c r="C219" s="91" t="s">
        <v>1422</v>
      </c>
    </row>
    <row r="220" spans="1:3" ht="15">
      <c r="A220" s="84" t="s">
        <v>422</v>
      </c>
      <c r="B220" s="83" t="s">
        <v>2709</v>
      </c>
      <c r="C220" s="91" t="s">
        <v>1422</v>
      </c>
    </row>
    <row r="221" spans="1:3" ht="15">
      <c r="A221" s="84" t="s">
        <v>422</v>
      </c>
      <c r="B221" s="83" t="s">
        <v>3265</v>
      </c>
      <c r="C221" s="91" t="s">
        <v>1422</v>
      </c>
    </row>
    <row r="222" spans="1:3" ht="15">
      <c r="A222" s="84" t="s">
        <v>422</v>
      </c>
      <c r="B222" s="83" t="s">
        <v>2578</v>
      </c>
      <c r="C222" s="91" t="s">
        <v>1422</v>
      </c>
    </row>
    <row r="223" spans="1:3" ht="15">
      <c r="A223" s="84" t="s">
        <v>422</v>
      </c>
      <c r="B223" s="83" t="s">
        <v>2710</v>
      </c>
      <c r="C223" s="91" t="s">
        <v>1422</v>
      </c>
    </row>
    <row r="224" spans="1:3" ht="15">
      <c r="A224" s="84" t="s">
        <v>422</v>
      </c>
      <c r="B224" s="83" t="s">
        <v>3238</v>
      </c>
      <c r="C224" s="91" t="s">
        <v>1422</v>
      </c>
    </row>
    <row r="225" spans="1:3" ht="15">
      <c r="A225" s="84" t="s">
        <v>422</v>
      </c>
      <c r="B225" s="83" t="s">
        <v>586</v>
      </c>
      <c r="C225" s="91" t="s">
        <v>1422</v>
      </c>
    </row>
    <row r="226" spans="1:3" ht="15">
      <c r="A226" s="84" t="s">
        <v>422</v>
      </c>
      <c r="B226" s="83" t="s">
        <v>3258</v>
      </c>
      <c r="C226" s="91" t="s">
        <v>1422</v>
      </c>
    </row>
    <row r="227" spans="1:3" ht="15">
      <c r="A227" s="84" t="s">
        <v>422</v>
      </c>
      <c r="B227" s="83" t="s">
        <v>3109</v>
      </c>
      <c r="C227" s="91" t="s">
        <v>1422</v>
      </c>
    </row>
    <row r="228" spans="1:3" ht="15">
      <c r="A228" s="84" t="s">
        <v>422</v>
      </c>
      <c r="B228" s="83" t="s">
        <v>3261</v>
      </c>
      <c r="C228" s="91" t="s">
        <v>1421</v>
      </c>
    </row>
    <row r="229" spans="1:3" ht="15">
      <c r="A229" s="84" t="s">
        <v>422</v>
      </c>
      <c r="B229" s="83" t="s">
        <v>2581</v>
      </c>
      <c r="C229" s="91" t="s">
        <v>1421</v>
      </c>
    </row>
    <row r="230" spans="1:3" ht="15">
      <c r="A230" s="84" t="s">
        <v>422</v>
      </c>
      <c r="B230" s="83" t="s">
        <v>2586</v>
      </c>
      <c r="C230" s="91" t="s">
        <v>1421</v>
      </c>
    </row>
    <row r="231" spans="1:3" ht="15">
      <c r="A231" s="84" t="s">
        <v>422</v>
      </c>
      <c r="B231" s="83" t="s">
        <v>2670</v>
      </c>
      <c r="C231" s="91" t="s">
        <v>1421</v>
      </c>
    </row>
    <row r="232" spans="1:3" ht="15">
      <c r="A232" s="84" t="s">
        <v>422</v>
      </c>
      <c r="B232" s="83" t="s">
        <v>2655</v>
      </c>
      <c r="C232" s="91" t="s">
        <v>1421</v>
      </c>
    </row>
    <row r="233" spans="1:3" ht="15">
      <c r="A233" s="84" t="s">
        <v>422</v>
      </c>
      <c r="B233" s="83" t="s">
        <v>2580</v>
      </c>
      <c r="C233" s="91" t="s">
        <v>1421</v>
      </c>
    </row>
    <row r="234" spans="1:3" ht="15">
      <c r="A234" s="84" t="s">
        <v>422</v>
      </c>
      <c r="B234" s="83" t="s">
        <v>2661</v>
      </c>
      <c r="C234" s="91" t="s">
        <v>1421</v>
      </c>
    </row>
    <row r="235" spans="1:3" ht="15">
      <c r="A235" s="84" t="s">
        <v>422</v>
      </c>
      <c r="B235" s="83" t="s">
        <v>2656</v>
      </c>
      <c r="C235" s="91" t="s">
        <v>1421</v>
      </c>
    </row>
    <row r="236" spans="1:3" ht="15">
      <c r="A236" s="84" t="s">
        <v>422</v>
      </c>
      <c r="B236" s="83" t="s">
        <v>3199</v>
      </c>
      <c r="C236" s="91" t="s">
        <v>1421</v>
      </c>
    </row>
    <row r="237" spans="1:3" ht="15">
      <c r="A237" s="84" t="s">
        <v>422</v>
      </c>
      <c r="B237" s="83" t="s">
        <v>133</v>
      </c>
      <c r="C237" s="91" t="s">
        <v>1421</v>
      </c>
    </row>
    <row r="238" spans="1:3" ht="15">
      <c r="A238" s="84" t="s">
        <v>422</v>
      </c>
      <c r="B238" s="83" t="s">
        <v>2657</v>
      </c>
      <c r="C238" s="91" t="s">
        <v>1421</v>
      </c>
    </row>
    <row r="239" spans="1:3" ht="15">
      <c r="A239" s="84" t="s">
        <v>422</v>
      </c>
      <c r="B239" s="83" t="s">
        <v>2576</v>
      </c>
      <c r="C239" s="91" t="s">
        <v>1421</v>
      </c>
    </row>
    <row r="240" spans="1:3" ht="15">
      <c r="A240" s="84" t="s">
        <v>422</v>
      </c>
      <c r="B240" s="83" t="s">
        <v>2569</v>
      </c>
      <c r="C240" s="91" t="s">
        <v>1421</v>
      </c>
    </row>
    <row r="241" spans="1:3" ht="15">
      <c r="A241" s="84" t="s">
        <v>422</v>
      </c>
      <c r="B241" s="83">
        <v>19</v>
      </c>
      <c r="C241" s="91" t="s">
        <v>1421</v>
      </c>
    </row>
    <row r="242" spans="1:3" ht="15">
      <c r="A242" s="84" t="s">
        <v>422</v>
      </c>
      <c r="B242" s="83" t="s">
        <v>2629</v>
      </c>
      <c r="C242" s="91" t="s">
        <v>1421</v>
      </c>
    </row>
    <row r="243" spans="1:3" ht="15">
      <c r="A243" s="84" t="s">
        <v>422</v>
      </c>
      <c r="B243" s="83" t="s">
        <v>3262</v>
      </c>
      <c r="C243" s="91" t="s">
        <v>1421</v>
      </c>
    </row>
    <row r="244" spans="1:3" ht="15">
      <c r="A244" s="84" t="s">
        <v>422</v>
      </c>
      <c r="B244" s="83" t="s">
        <v>2702</v>
      </c>
      <c r="C244" s="91" t="s">
        <v>1421</v>
      </c>
    </row>
    <row r="245" spans="1:3" ht="15">
      <c r="A245" s="84" t="s">
        <v>422</v>
      </c>
      <c r="B245" s="83" t="s">
        <v>2652</v>
      </c>
      <c r="C245" s="91" t="s">
        <v>1421</v>
      </c>
    </row>
    <row r="246" spans="1:3" ht="15">
      <c r="A246" s="84" t="s">
        <v>422</v>
      </c>
      <c r="B246" s="83" t="s">
        <v>2703</v>
      </c>
      <c r="C246" s="91" t="s">
        <v>1421</v>
      </c>
    </row>
    <row r="247" spans="1:3" ht="15">
      <c r="A247" s="84" t="s">
        <v>422</v>
      </c>
      <c r="B247" s="83" t="s">
        <v>2704</v>
      </c>
      <c r="C247" s="91" t="s">
        <v>1421</v>
      </c>
    </row>
    <row r="248" spans="1:3" ht="15">
      <c r="A248" s="84" t="s">
        <v>422</v>
      </c>
      <c r="B248" s="83" t="s">
        <v>2577</v>
      </c>
      <c r="C248" s="91" t="s">
        <v>1421</v>
      </c>
    </row>
    <row r="249" spans="1:3" ht="15">
      <c r="A249" s="84" t="s">
        <v>422</v>
      </c>
      <c r="B249" s="83" t="s">
        <v>2630</v>
      </c>
      <c r="C249" s="91" t="s">
        <v>1421</v>
      </c>
    </row>
    <row r="250" spans="1:3" ht="15">
      <c r="A250" s="84" t="s">
        <v>422</v>
      </c>
      <c r="B250" s="83" t="s">
        <v>3263</v>
      </c>
      <c r="C250" s="91" t="s">
        <v>1421</v>
      </c>
    </row>
    <row r="251" spans="1:3" ht="15">
      <c r="A251" s="84" t="s">
        <v>422</v>
      </c>
      <c r="B251" s="83" t="s">
        <v>2705</v>
      </c>
      <c r="C251" s="91" t="s">
        <v>1421</v>
      </c>
    </row>
    <row r="252" spans="1:3" ht="15">
      <c r="A252" s="84" t="s">
        <v>422</v>
      </c>
      <c r="B252" s="83" t="s">
        <v>2671</v>
      </c>
      <c r="C252" s="91" t="s">
        <v>1421</v>
      </c>
    </row>
    <row r="253" spans="1:3" ht="15">
      <c r="A253" s="84" t="s">
        <v>422</v>
      </c>
      <c r="B253" s="83" t="s">
        <v>3264</v>
      </c>
      <c r="C253" s="91" t="s">
        <v>1421</v>
      </c>
    </row>
    <row r="254" spans="1:3" ht="15">
      <c r="A254" s="84" t="s">
        <v>422</v>
      </c>
      <c r="B254" s="83" t="s">
        <v>2706</v>
      </c>
      <c r="C254" s="91" t="s">
        <v>1421</v>
      </c>
    </row>
    <row r="255" spans="1:3" ht="15">
      <c r="A255" s="84" t="s">
        <v>422</v>
      </c>
      <c r="B255" s="83" t="s">
        <v>2707</v>
      </c>
      <c r="C255" s="91" t="s">
        <v>1421</v>
      </c>
    </row>
    <row r="256" spans="1:3" ht="15">
      <c r="A256" s="84" t="s">
        <v>422</v>
      </c>
      <c r="B256" s="83" t="s">
        <v>2568</v>
      </c>
      <c r="C256" s="91" t="s">
        <v>1421</v>
      </c>
    </row>
    <row r="257" spans="1:3" ht="15">
      <c r="A257" s="84" t="s">
        <v>422</v>
      </c>
      <c r="B257" s="83" t="s">
        <v>2662</v>
      </c>
      <c r="C257" s="91" t="s">
        <v>1421</v>
      </c>
    </row>
    <row r="258" spans="1:3" ht="15">
      <c r="A258" s="84" t="s">
        <v>422</v>
      </c>
      <c r="B258" s="83" t="s">
        <v>2708</v>
      </c>
      <c r="C258" s="91" t="s">
        <v>1421</v>
      </c>
    </row>
    <row r="259" spans="1:3" ht="15">
      <c r="A259" s="84" t="s">
        <v>422</v>
      </c>
      <c r="B259" s="83" t="s">
        <v>2709</v>
      </c>
      <c r="C259" s="91" t="s">
        <v>1421</v>
      </c>
    </row>
    <row r="260" spans="1:3" ht="15">
      <c r="A260" s="84" t="s">
        <v>422</v>
      </c>
      <c r="B260" s="83" t="s">
        <v>3265</v>
      </c>
      <c r="C260" s="91" t="s">
        <v>1421</v>
      </c>
    </row>
    <row r="261" spans="1:3" ht="15">
      <c r="A261" s="84" t="s">
        <v>422</v>
      </c>
      <c r="B261" s="83" t="s">
        <v>2578</v>
      </c>
      <c r="C261" s="91" t="s">
        <v>1421</v>
      </c>
    </row>
    <row r="262" spans="1:3" ht="15">
      <c r="A262" s="84" t="s">
        <v>422</v>
      </c>
      <c r="B262" s="83" t="s">
        <v>2710</v>
      </c>
      <c r="C262" s="91" t="s">
        <v>1421</v>
      </c>
    </row>
    <row r="263" spans="1:3" ht="15">
      <c r="A263" s="84" t="s">
        <v>422</v>
      </c>
      <c r="B263" s="83" t="s">
        <v>3238</v>
      </c>
      <c r="C263" s="91" t="s">
        <v>1421</v>
      </c>
    </row>
    <row r="264" spans="1:3" ht="15">
      <c r="A264" s="84" t="s">
        <v>422</v>
      </c>
      <c r="B264" s="83" t="s">
        <v>586</v>
      </c>
      <c r="C264" s="91" t="s">
        <v>1421</v>
      </c>
    </row>
    <row r="265" spans="1:3" ht="15">
      <c r="A265" s="84" t="s">
        <v>422</v>
      </c>
      <c r="B265" s="83" t="s">
        <v>3258</v>
      </c>
      <c r="C265" s="91" t="s">
        <v>1421</v>
      </c>
    </row>
    <row r="266" spans="1:3" ht="15">
      <c r="A266" s="84" t="s">
        <v>422</v>
      </c>
      <c r="B266" s="83" t="s">
        <v>3109</v>
      </c>
      <c r="C266" s="91" t="s">
        <v>1421</v>
      </c>
    </row>
    <row r="267" spans="1:3" ht="15">
      <c r="A267" s="84" t="s">
        <v>422</v>
      </c>
      <c r="B267" s="83" t="s">
        <v>3261</v>
      </c>
      <c r="C267" s="91" t="s">
        <v>1420</v>
      </c>
    </row>
    <row r="268" spans="1:3" ht="15">
      <c r="A268" s="84" t="s">
        <v>422</v>
      </c>
      <c r="B268" s="83" t="s">
        <v>2581</v>
      </c>
      <c r="C268" s="91" t="s">
        <v>1420</v>
      </c>
    </row>
    <row r="269" spans="1:3" ht="15">
      <c r="A269" s="84" t="s">
        <v>422</v>
      </c>
      <c r="B269" s="83" t="s">
        <v>2586</v>
      </c>
      <c r="C269" s="91" t="s">
        <v>1420</v>
      </c>
    </row>
    <row r="270" spans="1:3" ht="15">
      <c r="A270" s="84" t="s">
        <v>422</v>
      </c>
      <c r="B270" s="83" t="s">
        <v>2670</v>
      </c>
      <c r="C270" s="91" t="s">
        <v>1420</v>
      </c>
    </row>
    <row r="271" spans="1:3" ht="15">
      <c r="A271" s="84" t="s">
        <v>422</v>
      </c>
      <c r="B271" s="83" t="s">
        <v>2655</v>
      </c>
      <c r="C271" s="91" t="s">
        <v>1420</v>
      </c>
    </row>
    <row r="272" spans="1:3" ht="15">
      <c r="A272" s="84" t="s">
        <v>422</v>
      </c>
      <c r="B272" s="83" t="s">
        <v>2580</v>
      </c>
      <c r="C272" s="91" t="s">
        <v>1420</v>
      </c>
    </row>
    <row r="273" spans="1:3" ht="15">
      <c r="A273" s="84" t="s">
        <v>422</v>
      </c>
      <c r="B273" s="83" t="s">
        <v>2661</v>
      </c>
      <c r="C273" s="91" t="s">
        <v>1420</v>
      </c>
    </row>
    <row r="274" spans="1:3" ht="15">
      <c r="A274" s="84" t="s">
        <v>422</v>
      </c>
      <c r="B274" s="83" t="s">
        <v>2656</v>
      </c>
      <c r="C274" s="91" t="s">
        <v>1420</v>
      </c>
    </row>
    <row r="275" spans="1:3" ht="15">
      <c r="A275" s="84" t="s">
        <v>422</v>
      </c>
      <c r="B275" s="83" t="s">
        <v>3199</v>
      </c>
      <c r="C275" s="91" t="s">
        <v>1420</v>
      </c>
    </row>
    <row r="276" spans="1:3" ht="15">
      <c r="A276" s="84" t="s">
        <v>422</v>
      </c>
      <c r="B276" s="83" t="s">
        <v>133</v>
      </c>
      <c r="C276" s="91" t="s">
        <v>1420</v>
      </c>
    </row>
    <row r="277" spans="1:3" ht="15">
      <c r="A277" s="84" t="s">
        <v>422</v>
      </c>
      <c r="B277" s="83" t="s">
        <v>2657</v>
      </c>
      <c r="C277" s="91" t="s">
        <v>1420</v>
      </c>
    </row>
    <row r="278" spans="1:3" ht="15">
      <c r="A278" s="84" t="s">
        <v>422</v>
      </c>
      <c r="B278" s="83" t="s">
        <v>2576</v>
      </c>
      <c r="C278" s="91" t="s">
        <v>1420</v>
      </c>
    </row>
    <row r="279" spans="1:3" ht="15">
      <c r="A279" s="84" t="s">
        <v>422</v>
      </c>
      <c r="B279" s="83" t="s">
        <v>2569</v>
      </c>
      <c r="C279" s="91" t="s">
        <v>1420</v>
      </c>
    </row>
    <row r="280" spans="1:3" ht="15">
      <c r="A280" s="84" t="s">
        <v>422</v>
      </c>
      <c r="B280" s="83">
        <v>19</v>
      </c>
      <c r="C280" s="91" t="s">
        <v>1420</v>
      </c>
    </row>
    <row r="281" spans="1:3" ht="15">
      <c r="A281" s="84" t="s">
        <v>422</v>
      </c>
      <c r="B281" s="83" t="s">
        <v>2629</v>
      </c>
      <c r="C281" s="91" t="s">
        <v>1420</v>
      </c>
    </row>
    <row r="282" spans="1:3" ht="15">
      <c r="A282" s="84" t="s">
        <v>422</v>
      </c>
      <c r="B282" s="83" t="s">
        <v>3262</v>
      </c>
      <c r="C282" s="91" t="s">
        <v>1420</v>
      </c>
    </row>
    <row r="283" spans="1:3" ht="15">
      <c r="A283" s="84" t="s">
        <v>422</v>
      </c>
      <c r="B283" s="83" t="s">
        <v>2702</v>
      </c>
      <c r="C283" s="91" t="s">
        <v>1420</v>
      </c>
    </row>
    <row r="284" spans="1:3" ht="15">
      <c r="A284" s="84" t="s">
        <v>422</v>
      </c>
      <c r="B284" s="83" t="s">
        <v>2652</v>
      </c>
      <c r="C284" s="91" t="s">
        <v>1420</v>
      </c>
    </row>
    <row r="285" spans="1:3" ht="15">
      <c r="A285" s="84" t="s">
        <v>422</v>
      </c>
      <c r="B285" s="83" t="s">
        <v>2703</v>
      </c>
      <c r="C285" s="91" t="s">
        <v>1420</v>
      </c>
    </row>
    <row r="286" spans="1:3" ht="15">
      <c r="A286" s="84" t="s">
        <v>422</v>
      </c>
      <c r="B286" s="83" t="s">
        <v>2704</v>
      </c>
      <c r="C286" s="91" t="s">
        <v>1420</v>
      </c>
    </row>
    <row r="287" spans="1:3" ht="15">
      <c r="A287" s="84" t="s">
        <v>422</v>
      </c>
      <c r="B287" s="83" t="s">
        <v>2577</v>
      </c>
      <c r="C287" s="91" t="s">
        <v>1420</v>
      </c>
    </row>
    <row r="288" spans="1:3" ht="15">
      <c r="A288" s="84" t="s">
        <v>422</v>
      </c>
      <c r="B288" s="83" t="s">
        <v>2630</v>
      </c>
      <c r="C288" s="91" t="s">
        <v>1420</v>
      </c>
    </row>
    <row r="289" spans="1:3" ht="15">
      <c r="A289" s="84" t="s">
        <v>422</v>
      </c>
      <c r="B289" s="83" t="s">
        <v>3263</v>
      </c>
      <c r="C289" s="91" t="s">
        <v>1420</v>
      </c>
    </row>
    <row r="290" spans="1:3" ht="15">
      <c r="A290" s="84" t="s">
        <v>422</v>
      </c>
      <c r="B290" s="83" t="s">
        <v>2705</v>
      </c>
      <c r="C290" s="91" t="s">
        <v>1420</v>
      </c>
    </row>
    <row r="291" spans="1:3" ht="15">
      <c r="A291" s="84" t="s">
        <v>422</v>
      </c>
      <c r="B291" s="83" t="s">
        <v>2671</v>
      </c>
      <c r="C291" s="91" t="s">
        <v>1420</v>
      </c>
    </row>
    <row r="292" spans="1:3" ht="15">
      <c r="A292" s="84" t="s">
        <v>422</v>
      </c>
      <c r="B292" s="83" t="s">
        <v>3264</v>
      </c>
      <c r="C292" s="91" t="s">
        <v>1420</v>
      </c>
    </row>
    <row r="293" spans="1:3" ht="15">
      <c r="A293" s="84" t="s">
        <v>422</v>
      </c>
      <c r="B293" s="83" t="s">
        <v>2706</v>
      </c>
      <c r="C293" s="91" t="s">
        <v>1420</v>
      </c>
    </row>
    <row r="294" spans="1:3" ht="15">
      <c r="A294" s="84" t="s">
        <v>422</v>
      </c>
      <c r="B294" s="83" t="s">
        <v>2707</v>
      </c>
      <c r="C294" s="91" t="s">
        <v>1420</v>
      </c>
    </row>
    <row r="295" spans="1:3" ht="15">
      <c r="A295" s="84" t="s">
        <v>422</v>
      </c>
      <c r="B295" s="83" t="s">
        <v>2568</v>
      </c>
      <c r="C295" s="91" t="s">
        <v>1420</v>
      </c>
    </row>
    <row r="296" spans="1:3" ht="15">
      <c r="A296" s="84" t="s">
        <v>422</v>
      </c>
      <c r="B296" s="83" t="s">
        <v>2662</v>
      </c>
      <c r="C296" s="91" t="s">
        <v>1420</v>
      </c>
    </row>
    <row r="297" spans="1:3" ht="15">
      <c r="A297" s="84" t="s">
        <v>422</v>
      </c>
      <c r="B297" s="83" t="s">
        <v>2708</v>
      </c>
      <c r="C297" s="91" t="s">
        <v>1420</v>
      </c>
    </row>
    <row r="298" spans="1:3" ht="15">
      <c r="A298" s="84" t="s">
        <v>422</v>
      </c>
      <c r="B298" s="83" t="s">
        <v>2709</v>
      </c>
      <c r="C298" s="91" t="s">
        <v>1420</v>
      </c>
    </row>
    <row r="299" spans="1:3" ht="15">
      <c r="A299" s="84" t="s">
        <v>422</v>
      </c>
      <c r="B299" s="83" t="s">
        <v>3265</v>
      </c>
      <c r="C299" s="91" t="s">
        <v>1420</v>
      </c>
    </row>
    <row r="300" spans="1:3" ht="15">
      <c r="A300" s="84" t="s">
        <v>422</v>
      </c>
      <c r="B300" s="83" t="s">
        <v>2578</v>
      </c>
      <c r="C300" s="91" t="s">
        <v>1420</v>
      </c>
    </row>
    <row r="301" spans="1:3" ht="15">
      <c r="A301" s="84" t="s">
        <v>422</v>
      </c>
      <c r="B301" s="83" t="s">
        <v>2710</v>
      </c>
      <c r="C301" s="91" t="s">
        <v>1420</v>
      </c>
    </row>
    <row r="302" spans="1:3" ht="15">
      <c r="A302" s="84" t="s">
        <v>422</v>
      </c>
      <c r="B302" s="83" t="s">
        <v>3238</v>
      </c>
      <c r="C302" s="91" t="s">
        <v>1420</v>
      </c>
    </row>
    <row r="303" spans="1:3" ht="15">
      <c r="A303" s="84" t="s">
        <v>422</v>
      </c>
      <c r="B303" s="83" t="s">
        <v>586</v>
      </c>
      <c r="C303" s="91" t="s">
        <v>1420</v>
      </c>
    </row>
    <row r="304" spans="1:3" ht="15">
      <c r="A304" s="84" t="s">
        <v>422</v>
      </c>
      <c r="B304" s="83" t="s">
        <v>3258</v>
      </c>
      <c r="C304" s="91" t="s">
        <v>1420</v>
      </c>
    </row>
    <row r="305" spans="1:3" ht="15">
      <c r="A305" s="84" t="s">
        <v>422</v>
      </c>
      <c r="B305" s="83" t="s">
        <v>3109</v>
      </c>
      <c r="C305" s="91" t="s">
        <v>1420</v>
      </c>
    </row>
    <row r="306" spans="1:3" ht="15">
      <c r="A306" s="84" t="s">
        <v>422</v>
      </c>
      <c r="B306" s="83" t="s">
        <v>3261</v>
      </c>
      <c r="C306" s="91" t="s">
        <v>1419</v>
      </c>
    </row>
    <row r="307" spans="1:3" ht="15">
      <c r="A307" s="84" t="s">
        <v>422</v>
      </c>
      <c r="B307" s="83" t="s">
        <v>2581</v>
      </c>
      <c r="C307" s="91" t="s">
        <v>1419</v>
      </c>
    </row>
    <row r="308" spans="1:3" ht="15">
      <c r="A308" s="84" t="s">
        <v>422</v>
      </c>
      <c r="B308" s="83" t="s">
        <v>2586</v>
      </c>
      <c r="C308" s="91" t="s">
        <v>1419</v>
      </c>
    </row>
    <row r="309" spans="1:3" ht="15">
      <c r="A309" s="84" t="s">
        <v>422</v>
      </c>
      <c r="B309" s="83" t="s">
        <v>2670</v>
      </c>
      <c r="C309" s="91" t="s">
        <v>1419</v>
      </c>
    </row>
    <row r="310" spans="1:3" ht="15">
      <c r="A310" s="84" t="s">
        <v>422</v>
      </c>
      <c r="B310" s="83" t="s">
        <v>2655</v>
      </c>
      <c r="C310" s="91" t="s">
        <v>1419</v>
      </c>
    </row>
    <row r="311" spans="1:3" ht="15">
      <c r="A311" s="84" t="s">
        <v>422</v>
      </c>
      <c r="B311" s="83" t="s">
        <v>2580</v>
      </c>
      <c r="C311" s="91" t="s">
        <v>1419</v>
      </c>
    </row>
    <row r="312" spans="1:3" ht="15">
      <c r="A312" s="84" t="s">
        <v>422</v>
      </c>
      <c r="B312" s="83" t="s">
        <v>2661</v>
      </c>
      <c r="C312" s="91" t="s">
        <v>1419</v>
      </c>
    </row>
    <row r="313" spans="1:3" ht="15">
      <c r="A313" s="84" t="s">
        <v>422</v>
      </c>
      <c r="B313" s="83" t="s">
        <v>2656</v>
      </c>
      <c r="C313" s="91" t="s">
        <v>1419</v>
      </c>
    </row>
    <row r="314" spans="1:3" ht="15">
      <c r="A314" s="84" t="s">
        <v>422</v>
      </c>
      <c r="B314" s="83" t="s">
        <v>3199</v>
      </c>
      <c r="C314" s="91" t="s">
        <v>1419</v>
      </c>
    </row>
    <row r="315" spans="1:3" ht="15">
      <c r="A315" s="84" t="s">
        <v>422</v>
      </c>
      <c r="B315" s="83" t="s">
        <v>133</v>
      </c>
      <c r="C315" s="91" t="s">
        <v>1419</v>
      </c>
    </row>
    <row r="316" spans="1:3" ht="15">
      <c r="A316" s="84" t="s">
        <v>422</v>
      </c>
      <c r="B316" s="83" t="s">
        <v>2657</v>
      </c>
      <c r="C316" s="91" t="s">
        <v>1419</v>
      </c>
    </row>
    <row r="317" spans="1:3" ht="15">
      <c r="A317" s="84" t="s">
        <v>422</v>
      </c>
      <c r="B317" s="83" t="s">
        <v>2576</v>
      </c>
      <c r="C317" s="91" t="s">
        <v>1419</v>
      </c>
    </row>
    <row r="318" spans="1:3" ht="15">
      <c r="A318" s="84" t="s">
        <v>422</v>
      </c>
      <c r="B318" s="83" t="s">
        <v>2569</v>
      </c>
      <c r="C318" s="91" t="s">
        <v>1419</v>
      </c>
    </row>
    <row r="319" spans="1:3" ht="15">
      <c r="A319" s="84" t="s">
        <v>422</v>
      </c>
      <c r="B319" s="83">
        <v>19</v>
      </c>
      <c r="C319" s="91" t="s">
        <v>1419</v>
      </c>
    </row>
    <row r="320" spans="1:3" ht="15">
      <c r="A320" s="84" t="s">
        <v>422</v>
      </c>
      <c r="B320" s="83" t="s">
        <v>2629</v>
      </c>
      <c r="C320" s="91" t="s">
        <v>1419</v>
      </c>
    </row>
    <row r="321" spans="1:3" ht="15">
      <c r="A321" s="84" t="s">
        <v>422</v>
      </c>
      <c r="B321" s="83" t="s">
        <v>3262</v>
      </c>
      <c r="C321" s="91" t="s">
        <v>1419</v>
      </c>
    </row>
    <row r="322" spans="1:3" ht="15">
      <c r="A322" s="84" t="s">
        <v>422</v>
      </c>
      <c r="B322" s="83" t="s">
        <v>2702</v>
      </c>
      <c r="C322" s="91" t="s">
        <v>1419</v>
      </c>
    </row>
    <row r="323" spans="1:3" ht="15">
      <c r="A323" s="84" t="s">
        <v>422</v>
      </c>
      <c r="B323" s="83" t="s">
        <v>2652</v>
      </c>
      <c r="C323" s="91" t="s">
        <v>1419</v>
      </c>
    </row>
    <row r="324" spans="1:3" ht="15">
      <c r="A324" s="84" t="s">
        <v>422</v>
      </c>
      <c r="B324" s="83" t="s">
        <v>2703</v>
      </c>
      <c r="C324" s="91" t="s">
        <v>1419</v>
      </c>
    </row>
    <row r="325" spans="1:3" ht="15">
      <c r="A325" s="84" t="s">
        <v>422</v>
      </c>
      <c r="B325" s="83" t="s">
        <v>2704</v>
      </c>
      <c r="C325" s="91" t="s">
        <v>1419</v>
      </c>
    </row>
    <row r="326" spans="1:3" ht="15">
      <c r="A326" s="84" t="s">
        <v>422</v>
      </c>
      <c r="B326" s="83" t="s">
        <v>2577</v>
      </c>
      <c r="C326" s="91" t="s">
        <v>1419</v>
      </c>
    </row>
    <row r="327" spans="1:3" ht="15">
      <c r="A327" s="84" t="s">
        <v>422</v>
      </c>
      <c r="B327" s="83" t="s">
        <v>2630</v>
      </c>
      <c r="C327" s="91" t="s">
        <v>1419</v>
      </c>
    </row>
    <row r="328" spans="1:3" ht="15">
      <c r="A328" s="84" t="s">
        <v>422</v>
      </c>
      <c r="B328" s="83" t="s">
        <v>3263</v>
      </c>
      <c r="C328" s="91" t="s">
        <v>1419</v>
      </c>
    </row>
    <row r="329" spans="1:3" ht="15">
      <c r="A329" s="84" t="s">
        <v>422</v>
      </c>
      <c r="B329" s="83" t="s">
        <v>2705</v>
      </c>
      <c r="C329" s="91" t="s">
        <v>1419</v>
      </c>
    </row>
    <row r="330" spans="1:3" ht="15">
      <c r="A330" s="84" t="s">
        <v>422</v>
      </c>
      <c r="B330" s="83" t="s">
        <v>2671</v>
      </c>
      <c r="C330" s="91" t="s">
        <v>1419</v>
      </c>
    </row>
    <row r="331" spans="1:3" ht="15">
      <c r="A331" s="84" t="s">
        <v>422</v>
      </c>
      <c r="B331" s="83" t="s">
        <v>3264</v>
      </c>
      <c r="C331" s="91" t="s">
        <v>1419</v>
      </c>
    </row>
    <row r="332" spans="1:3" ht="15">
      <c r="A332" s="84" t="s">
        <v>422</v>
      </c>
      <c r="B332" s="83" t="s">
        <v>2706</v>
      </c>
      <c r="C332" s="91" t="s">
        <v>1419</v>
      </c>
    </row>
    <row r="333" spans="1:3" ht="15">
      <c r="A333" s="84" t="s">
        <v>422</v>
      </c>
      <c r="B333" s="83" t="s">
        <v>2707</v>
      </c>
      <c r="C333" s="91" t="s">
        <v>1419</v>
      </c>
    </row>
    <row r="334" spans="1:3" ht="15">
      <c r="A334" s="84" t="s">
        <v>422</v>
      </c>
      <c r="B334" s="83" t="s">
        <v>2568</v>
      </c>
      <c r="C334" s="91" t="s">
        <v>1419</v>
      </c>
    </row>
    <row r="335" spans="1:3" ht="15">
      <c r="A335" s="84" t="s">
        <v>422</v>
      </c>
      <c r="B335" s="83" t="s">
        <v>2662</v>
      </c>
      <c r="C335" s="91" t="s">
        <v>1419</v>
      </c>
    </row>
    <row r="336" spans="1:3" ht="15">
      <c r="A336" s="84" t="s">
        <v>422</v>
      </c>
      <c r="B336" s="83" t="s">
        <v>2708</v>
      </c>
      <c r="C336" s="91" t="s">
        <v>1419</v>
      </c>
    </row>
    <row r="337" spans="1:3" ht="15">
      <c r="A337" s="84" t="s">
        <v>422</v>
      </c>
      <c r="B337" s="83" t="s">
        <v>2709</v>
      </c>
      <c r="C337" s="91" t="s">
        <v>1419</v>
      </c>
    </row>
    <row r="338" spans="1:3" ht="15">
      <c r="A338" s="84" t="s">
        <v>422</v>
      </c>
      <c r="B338" s="83" t="s">
        <v>3265</v>
      </c>
      <c r="C338" s="91" t="s">
        <v>1419</v>
      </c>
    </row>
    <row r="339" spans="1:3" ht="15">
      <c r="A339" s="84" t="s">
        <v>422</v>
      </c>
      <c r="B339" s="83" t="s">
        <v>2578</v>
      </c>
      <c r="C339" s="91" t="s">
        <v>1419</v>
      </c>
    </row>
    <row r="340" spans="1:3" ht="15">
      <c r="A340" s="84" t="s">
        <v>422</v>
      </c>
      <c r="B340" s="83" t="s">
        <v>2710</v>
      </c>
      <c r="C340" s="91" t="s">
        <v>1419</v>
      </c>
    </row>
    <row r="341" spans="1:3" ht="15">
      <c r="A341" s="84" t="s">
        <v>422</v>
      </c>
      <c r="B341" s="83" t="s">
        <v>3238</v>
      </c>
      <c r="C341" s="91" t="s">
        <v>1419</v>
      </c>
    </row>
    <row r="342" spans="1:3" ht="15">
      <c r="A342" s="84" t="s">
        <v>422</v>
      </c>
      <c r="B342" s="83" t="s">
        <v>586</v>
      </c>
      <c r="C342" s="91" t="s">
        <v>1419</v>
      </c>
    </row>
    <row r="343" spans="1:3" ht="15">
      <c r="A343" s="84" t="s">
        <v>422</v>
      </c>
      <c r="B343" s="83" t="s">
        <v>3258</v>
      </c>
      <c r="C343" s="91" t="s">
        <v>1419</v>
      </c>
    </row>
    <row r="344" spans="1:3" ht="15">
      <c r="A344" s="84" t="s">
        <v>422</v>
      </c>
      <c r="B344" s="83" t="s">
        <v>3109</v>
      </c>
      <c r="C344" s="91" t="s">
        <v>1419</v>
      </c>
    </row>
    <row r="345" spans="1:3" ht="15">
      <c r="A345" s="84" t="s">
        <v>416</v>
      </c>
      <c r="B345" s="83" t="s">
        <v>3261</v>
      </c>
      <c r="C345" s="91" t="s">
        <v>1417</v>
      </c>
    </row>
    <row r="346" spans="1:3" ht="15">
      <c r="A346" s="84" t="s">
        <v>416</v>
      </c>
      <c r="B346" s="83" t="s">
        <v>2581</v>
      </c>
      <c r="C346" s="91" t="s">
        <v>1417</v>
      </c>
    </row>
    <row r="347" spans="1:3" ht="15">
      <c r="A347" s="84" t="s">
        <v>416</v>
      </c>
      <c r="B347" s="83" t="s">
        <v>2586</v>
      </c>
      <c r="C347" s="91" t="s">
        <v>1417</v>
      </c>
    </row>
    <row r="348" spans="1:3" ht="15">
      <c r="A348" s="84" t="s">
        <v>416</v>
      </c>
      <c r="B348" s="83" t="s">
        <v>2670</v>
      </c>
      <c r="C348" s="91" t="s">
        <v>1417</v>
      </c>
    </row>
    <row r="349" spans="1:3" ht="15">
      <c r="A349" s="84" t="s">
        <v>416</v>
      </c>
      <c r="B349" s="83" t="s">
        <v>2655</v>
      </c>
      <c r="C349" s="91" t="s">
        <v>1417</v>
      </c>
    </row>
    <row r="350" spans="1:3" ht="15">
      <c r="A350" s="84" t="s">
        <v>416</v>
      </c>
      <c r="B350" s="83" t="s">
        <v>2580</v>
      </c>
      <c r="C350" s="91" t="s">
        <v>1417</v>
      </c>
    </row>
    <row r="351" spans="1:3" ht="15">
      <c r="A351" s="84" t="s">
        <v>416</v>
      </c>
      <c r="B351" s="83" t="s">
        <v>2661</v>
      </c>
      <c r="C351" s="91" t="s">
        <v>1417</v>
      </c>
    </row>
    <row r="352" spans="1:3" ht="15">
      <c r="A352" s="84" t="s">
        <v>416</v>
      </c>
      <c r="B352" s="83" t="s">
        <v>2656</v>
      </c>
      <c r="C352" s="91" t="s">
        <v>1417</v>
      </c>
    </row>
    <row r="353" spans="1:3" ht="15">
      <c r="A353" s="84" t="s">
        <v>416</v>
      </c>
      <c r="B353" s="83" t="s">
        <v>3199</v>
      </c>
      <c r="C353" s="91" t="s">
        <v>1417</v>
      </c>
    </row>
    <row r="354" spans="1:3" ht="15">
      <c r="A354" s="84" t="s">
        <v>416</v>
      </c>
      <c r="B354" s="83" t="s">
        <v>133</v>
      </c>
      <c r="C354" s="91" t="s">
        <v>1417</v>
      </c>
    </row>
    <row r="355" spans="1:3" ht="15">
      <c r="A355" s="84" t="s">
        <v>416</v>
      </c>
      <c r="B355" s="83" t="s">
        <v>2657</v>
      </c>
      <c r="C355" s="91" t="s">
        <v>1417</v>
      </c>
    </row>
    <row r="356" spans="1:3" ht="15">
      <c r="A356" s="84" t="s">
        <v>416</v>
      </c>
      <c r="B356" s="83" t="s">
        <v>2576</v>
      </c>
      <c r="C356" s="91" t="s">
        <v>1417</v>
      </c>
    </row>
    <row r="357" spans="1:3" ht="15">
      <c r="A357" s="84" t="s">
        <v>416</v>
      </c>
      <c r="B357" s="83" t="s">
        <v>2569</v>
      </c>
      <c r="C357" s="91" t="s">
        <v>1417</v>
      </c>
    </row>
    <row r="358" spans="1:3" ht="15">
      <c r="A358" s="84" t="s">
        <v>416</v>
      </c>
      <c r="B358" s="83">
        <v>19</v>
      </c>
      <c r="C358" s="91" t="s">
        <v>1417</v>
      </c>
    </row>
    <row r="359" spans="1:3" ht="15">
      <c r="A359" s="84" t="s">
        <v>416</v>
      </c>
      <c r="B359" s="83" t="s">
        <v>2629</v>
      </c>
      <c r="C359" s="91" t="s">
        <v>1417</v>
      </c>
    </row>
    <row r="360" spans="1:3" ht="15">
      <c r="A360" s="84" t="s">
        <v>416</v>
      </c>
      <c r="B360" s="83" t="s">
        <v>3262</v>
      </c>
      <c r="C360" s="91" t="s">
        <v>1417</v>
      </c>
    </row>
    <row r="361" spans="1:3" ht="15">
      <c r="A361" s="84" t="s">
        <v>416</v>
      </c>
      <c r="B361" s="83" t="s">
        <v>2702</v>
      </c>
      <c r="C361" s="91" t="s">
        <v>1417</v>
      </c>
    </row>
    <row r="362" spans="1:3" ht="15">
      <c r="A362" s="84" t="s">
        <v>416</v>
      </c>
      <c r="B362" s="83" t="s">
        <v>2652</v>
      </c>
      <c r="C362" s="91" t="s">
        <v>1417</v>
      </c>
    </row>
    <row r="363" spans="1:3" ht="15">
      <c r="A363" s="84" t="s">
        <v>416</v>
      </c>
      <c r="B363" s="83" t="s">
        <v>2703</v>
      </c>
      <c r="C363" s="91" t="s">
        <v>1417</v>
      </c>
    </row>
    <row r="364" spans="1:3" ht="15">
      <c r="A364" s="84" t="s">
        <v>416</v>
      </c>
      <c r="B364" s="83" t="s">
        <v>2704</v>
      </c>
      <c r="C364" s="91" t="s">
        <v>1417</v>
      </c>
    </row>
    <row r="365" spans="1:3" ht="15">
      <c r="A365" s="84" t="s">
        <v>416</v>
      </c>
      <c r="B365" s="83" t="s">
        <v>2577</v>
      </c>
      <c r="C365" s="91" t="s">
        <v>1417</v>
      </c>
    </row>
    <row r="366" spans="1:3" ht="15">
      <c r="A366" s="84" t="s">
        <v>416</v>
      </c>
      <c r="B366" s="83" t="s">
        <v>2630</v>
      </c>
      <c r="C366" s="91" t="s">
        <v>1417</v>
      </c>
    </row>
    <row r="367" spans="1:3" ht="15">
      <c r="A367" s="84" t="s">
        <v>416</v>
      </c>
      <c r="B367" s="83" t="s">
        <v>3263</v>
      </c>
      <c r="C367" s="91" t="s">
        <v>1417</v>
      </c>
    </row>
    <row r="368" spans="1:3" ht="15">
      <c r="A368" s="84" t="s">
        <v>416</v>
      </c>
      <c r="B368" s="83" t="s">
        <v>2705</v>
      </c>
      <c r="C368" s="91" t="s">
        <v>1417</v>
      </c>
    </row>
    <row r="369" spans="1:3" ht="15">
      <c r="A369" s="84" t="s">
        <v>416</v>
      </c>
      <c r="B369" s="83" t="s">
        <v>2671</v>
      </c>
      <c r="C369" s="91" t="s">
        <v>1417</v>
      </c>
    </row>
    <row r="370" spans="1:3" ht="15">
      <c r="A370" s="84" t="s">
        <v>416</v>
      </c>
      <c r="B370" s="83" t="s">
        <v>3264</v>
      </c>
      <c r="C370" s="91" t="s">
        <v>1417</v>
      </c>
    </row>
    <row r="371" spans="1:3" ht="15">
      <c r="A371" s="84" t="s">
        <v>416</v>
      </c>
      <c r="B371" s="83" t="s">
        <v>2706</v>
      </c>
      <c r="C371" s="91" t="s">
        <v>1417</v>
      </c>
    </row>
    <row r="372" spans="1:3" ht="15">
      <c r="A372" s="84" t="s">
        <v>416</v>
      </c>
      <c r="B372" s="83" t="s">
        <v>2707</v>
      </c>
      <c r="C372" s="91" t="s">
        <v>1417</v>
      </c>
    </row>
    <row r="373" spans="1:3" ht="15">
      <c r="A373" s="84" t="s">
        <v>416</v>
      </c>
      <c r="B373" s="83" t="s">
        <v>2568</v>
      </c>
      <c r="C373" s="91" t="s">
        <v>1417</v>
      </c>
    </row>
    <row r="374" spans="1:3" ht="15">
      <c r="A374" s="84" t="s">
        <v>416</v>
      </c>
      <c r="B374" s="83" t="s">
        <v>2662</v>
      </c>
      <c r="C374" s="91" t="s">
        <v>1417</v>
      </c>
    </row>
    <row r="375" spans="1:3" ht="15">
      <c r="A375" s="84" t="s">
        <v>416</v>
      </c>
      <c r="B375" s="83" t="s">
        <v>2708</v>
      </c>
      <c r="C375" s="91" t="s">
        <v>1417</v>
      </c>
    </row>
    <row r="376" spans="1:3" ht="15">
      <c r="A376" s="84" t="s">
        <v>416</v>
      </c>
      <c r="B376" s="83" t="s">
        <v>2709</v>
      </c>
      <c r="C376" s="91" t="s">
        <v>1417</v>
      </c>
    </row>
    <row r="377" spans="1:3" ht="15">
      <c r="A377" s="84" t="s">
        <v>416</v>
      </c>
      <c r="B377" s="83" t="s">
        <v>3265</v>
      </c>
      <c r="C377" s="91" t="s">
        <v>1417</v>
      </c>
    </row>
    <row r="378" spans="1:3" ht="15">
      <c r="A378" s="84" t="s">
        <v>416</v>
      </c>
      <c r="B378" s="83" t="s">
        <v>2578</v>
      </c>
      <c r="C378" s="91" t="s">
        <v>1417</v>
      </c>
    </row>
    <row r="379" spans="1:3" ht="15">
      <c r="A379" s="84" t="s">
        <v>416</v>
      </c>
      <c r="B379" s="83" t="s">
        <v>2710</v>
      </c>
      <c r="C379" s="91" t="s">
        <v>1417</v>
      </c>
    </row>
    <row r="380" spans="1:3" ht="15">
      <c r="A380" s="84" t="s">
        <v>416</v>
      </c>
      <c r="B380" s="83" t="s">
        <v>3238</v>
      </c>
      <c r="C380" s="91" t="s">
        <v>1417</v>
      </c>
    </row>
    <row r="381" spans="1:3" ht="15">
      <c r="A381" s="84" t="s">
        <v>416</v>
      </c>
      <c r="B381" s="83" t="s">
        <v>586</v>
      </c>
      <c r="C381" s="91" t="s">
        <v>1417</v>
      </c>
    </row>
    <row r="382" spans="1:3" ht="15">
      <c r="A382" s="84" t="s">
        <v>416</v>
      </c>
      <c r="B382" s="83" t="s">
        <v>3258</v>
      </c>
      <c r="C382" s="91" t="s">
        <v>1417</v>
      </c>
    </row>
    <row r="383" spans="1:3" ht="15">
      <c r="A383" s="84" t="s">
        <v>416</v>
      </c>
      <c r="B383" s="83" t="s">
        <v>3109</v>
      </c>
      <c r="C383" s="91" t="s">
        <v>1417</v>
      </c>
    </row>
    <row r="384" spans="1:3" ht="15">
      <c r="A384" s="84" t="s">
        <v>416</v>
      </c>
      <c r="B384" s="83" t="s">
        <v>3228</v>
      </c>
      <c r="C384" s="91" t="s">
        <v>1416</v>
      </c>
    </row>
    <row r="385" spans="1:3" ht="15">
      <c r="A385" s="84" t="s">
        <v>416</v>
      </c>
      <c r="B385" s="83" t="s">
        <v>2581</v>
      </c>
      <c r="C385" s="91" t="s">
        <v>1416</v>
      </c>
    </row>
    <row r="386" spans="1:3" ht="15">
      <c r="A386" s="84" t="s">
        <v>416</v>
      </c>
      <c r="B386" s="83" t="s">
        <v>2586</v>
      </c>
      <c r="C386" s="91" t="s">
        <v>1416</v>
      </c>
    </row>
    <row r="387" spans="1:3" ht="15">
      <c r="A387" s="84" t="s">
        <v>416</v>
      </c>
      <c r="B387" s="83" t="s">
        <v>2595</v>
      </c>
      <c r="C387" s="91" t="s">
        <v>1416</v>
      </c>
    </row>
    <row r="388" spans="1:3" ht="15">
      <c r="A388" s="84" t="s">
        <v>416</v>
      </c>
      <c r="B388" s="83" t="s">
        <v>2568</v>
      </c>
      <c r="C388" s="91" t="s">
        <v>1416</v>
      </c>
    </row>
    <row r="389" spans="1:3" ht="15">
      <c r="A389" s="84" t="s">
        <v>416</v>
      </c>
      <c r="B389" s="83" t="s">
        <v>2592</v>
      </c>
      <c r="C389" s="91" t="s">
        <v>1416</v>
      </c>
    </row>
    <row r="390" spans="1:3" ht="15">
      <c r="A390" s="84" t="s">
        <v>416</v>
      </c>
      <c r="B390" s="83" t="s">
        <v>3213</v>
      </c>
      <c r="C390" s="91" t="s">
        <v>1416</v>
      </c>
    </row>
    <row r="391" spans="1:3" ht="15">
      <c r="A391" s="84" t="s">
        <v>416</v>
      </c>
      <c r="B391" s="83" t="s">
        <v>2576</v>
      </c>
      <c r="C391" s="91" t="s">
        <v>1416</v>
      </c>
    </row>
    <row r="392" spans="1:3" ht="15">
      <c r="A392" s="84" t="s">
        <v>416</v>
      </c>
      <c r="B392" s="83" t="s">
        <v>3229</v>
      </c>
      <c r="C392" s="91" t="s">
        <v>1416</v>
      </c>
    </row>
    <row r="393" spans="1:3" ht="15">
      <c r="A393" s="84" t="s">
        <v>416</v>
      </c>
      <c r="B393" s="83" t="s">
        <v>3230</v>
      </c>
      <c r="C393" s="91" t="s">
        <v>1416</v>
      </c>
    </row>
    <row r="394" spans="1:3" ht="15">
      <c r="A394" s="84" t="s">
        <v>416</v>
      </c>
      <c r="B394" s="83" t="s">
        <v>2598</v>
      </c>
      <c r="C394" s="91" t="s">
        <v>1416</v>
      </c>
    </row>
    <row r="395" spans="1:3" ht="15">
      <c r="A395" s="84" t="s">
        <v>416</v>
      </c>
      <c r="B395" s="83" t="s">
        <v>3231</v>
      </c>
      <c r="C395" s="91" t="s">
        <v>1416</v>
      </c>
    </row>
    <row r="396" spans="1:3" ht="15">
      <c r="A396" s="84" t="s">
        <v>416</v>
      </c>
      <c r="B396" s="83" t="s">
        <v>3232</v>
      </c>
      <c r="C396" s="91" t="s">
        <v>1416</v>
      </c>
    </row>
    <row r="397" spans="1:3" ht="15">
      <c r="A397" s="84" t="s">
        <v>416</v>
      </c>
      <c r="B397" s="83" t="s">
        <v>3233</v>
      </c>
      <c r="C397" s="91" t="s">
        <v>1416</v>
      </c>
    </row>
    <row r="398" spans="1:3" ht="15">
      <c r="A398" s="84" t="s">
        <v>416</v>
      </c>
      <c r="B398" s="83" t="s">
        <v>3211</v>
      </c>
      <c r="C398" s="91" t="s">
        <v>1416</v>
      </c>
    </row>
    <row r="399" spans="1:3" ht="15">
      <c r="A399" s="84" t="s">
        <v>416</v>
      </c>
      <c r="B399" s="83" t="s">
        <v>3199</v>
      </c>
      <c r="C399" s="91" t="s">
        <v>1416</v>
      </c>
    </row>
    <row r="400" spans="1:3" ht="15">
      <c r="A400" s="84" t="s">
        <v>416</v>
      </c>
      <c r="B400" s="83" t="s">
        <v>3218</v>
      </c>
      <c r="C400" s="91" t="s">
        <v>1416</v>
      </c>
    </row>
    <row r="401" spans="1:3" ht="15">
      <c r="A401" s="84" t="s">
        <v>416</v>
      </c>
      <c r="B401" s="83" t="s">
        <v>3234</v>
      </c>
      <c r="C401" s="91" t="s">
        <v>1416</v>
      </c>
    </row>
    <row r="402" spans="1:3" ht="15">
      <c r="A402" s="84" t="s">
        <v>416</v>
      </c>
      <c r="B402" s="83" t="s">
        <v>3235</v>
      </c>
      <c r="C402" s="91" t="s">
        <v>1416</v>
      </c>
    </row>
    <row r="403" spans="1:3" ht="15">
      <c r="A403" s="84" t="s">
        <v>416</v>
      </c>
      <c r="B403" s="83" t="s">
        <v>3236</v>
      </c>
      <c r="C403" s="91" t="s">
        <v>1416</v>
      </c>
    </row>
    <row r="404" spans="1:3" ht="15">
      <c r="A404" s="84" t="s">
        <v>416</v>
      </c>
      <c r="B404" s="83" t="s">
        <v>3237</v>
      </c>
      <c r="C404" s="91" t="s">
        <v>1416</v>
      </c>
    </row>
    <row r="405" spans="1:3" ht="15">
      <c r="A405" s="84" t="s">
        <v>416</v>
      </c>
      <c r="B405" s="83" t="s">
        <v>3238</v>
      </c>
      <c r="C405" s="91" t="s">
        <v>1416</v>
      </c>
    </row>
    <row r="406" spans="1:3" ht="15">
      <c r="A406" s="84" t="s">
        <v>416</v>
      </c>
      <c r="B406" s="83" t="s">
        <v>3239</v>
      </c>
      <c r="C406" s="91" t="s">
        <v>1416</v>
      </c>
    </row>
    <row r="407" spans="1:3" ht="15">
      <c r="A407" s="84" t="s">
        <v>416</v>
      </c>
      <c r="B407" s="83" t="s">
        <v>3240</v>
      </c>
      <c r="C407" s="91" t="s">
        <v>1416</v>
      </c>
    </row>
    <row r="408" spans="1:3" ht="15">
      <c r="A408" s="84" t="s">
        <v>416</v>
      </c>
      <c r="B408" s="83" t="s">
        <v>3241</v>
      </c>
      <c r="C408" s="91" t="s">
        <v>1416</v>
      </c>
    </row>
    <row r="409" spans="1:3" ht="15">
      <c r="A409" s="84" t="s">
        <v>416</v>
      </c>
      <c r="B409" s="83" t="s">
        <v>3242</v>
      </c>
      <c r="C409" s="91" t="s">
        <v>1416</v>
      </c>
    </row>
    <row r="410" spans="1:3" ht="15">
      <c r="A410" s="84" t="s">
        <v>416</v>
      </c>
      <c r="B410" s="83" t="s">
        <v>2767</v>
      </c>
      <c r="C410" s="91" t="s">
        <v>1416</v>
      </c>
    </row>
    <row r="411" spans="1:3" ht="15">
      <c r="A411" s="84" t="s">
        <v>416</v>
      </c>
      <c r="B411" s="83" t="s">
        <v>3243</v>
      </c>
      <c r="C411" s="91" t="s">
        <v>1416</v>
      </c>
    </row>
    <row r="412" spans="1:3" ht="15">
      <c r="A412" s="84" t="s">
        <v>416</v>
      </c>
      <c r="B412" s="83" t="s">
        <v>3244</v>
      </c>
      <c r="C412" s="91" t="s">
        <v>1416</v>
      </c>
    </row>
    <row r="413" spans="1:3" ht="15">
      <c r="A413" s="84" t="s">
        <v>416</v>
      </c>
      <c r="B413" s="83" t="s">
        <v>3223</v>
      </c>
      <c r="C413" s="91" t="s">
        <v>1416</v>
      </c>
    </row>
    <row r="414" spans="1:3" ht="15">
      <c r="A414" s="84" t="s">
        <v>416</v>
      </c>
      <c r="B414" s="83" t="s">
        <v>3266</v>
      </c>
      <c r="C414" s="91" t="s">
        <v>1416</v>
      </c>
    </row>
    <row r="415" spans="1:3" ht="15">
      <c r="A415" s="84" t="s">
        <v>416</v>
      </c>
      <c r="B415" s="83" t="s">
        <v>3267</v>
      </c>
      <c r="C415" s="91" t="s">
        <v>1415</v>
      </c>
    </row>
    <row r="416" spans="1:3" ht="15">
      <c r="A416" s="84" t="s">
        <v>416</v>
      </c>
      <c r="B416" s="83" t="s">
        <v>2581</v>
      </c>
      <c r="C416" s="91" t="s">
        <v>1415</v>
      </c>
    </row>
    <row r="417" spans="1:3" ht="15">
      <c r="A417" s="84" t="s">
        <v>416</v>
      </c>
      <c r="B417" s="83" t="s">
        <v>2586</v>
      </c>
      <c r="C417" s="91" t="s">
        <v>1415</v>
      </c>
    </row>
    <row r="418" spans="1:3" ht="15">
      <c r="A418" s="84" t="s">
        <v>416</v>
      </c>
      <c r="B418" s="83" t="s">
        <v>2595</v>
      </c>
      <c r="C418" s="91" t="s">
        <v>1415</v>
      </c>
    </row>
    <row r="419" spans="1:3" ht="15">
      <c r="A419" s="84" t="s">
        <v>416</v>
      </c>
      <c r="B419" s="83" t="s">
        <v>2568</v>
      </c>
      <c r="C419" s="91" t="s">
        <v>1415</v>
      </c>
    </row>
    <row r="420" spans="1:3" ht="15">
      <c r="A420" s="84" t="s">
        <v>416</v>
      </c>
      <c r="B420" s="83" t="s">
        <v>2592</v>
      </c>
      <c r="C420" s="91" t="s">
        <v>1415</v>
      </c>
    </row>
    <row r="421" spans="1:3" ht="15">
      <c r="A421" s="84" t="s">
        <v>416</v>
      </c>
      <c r="B421" s="83" t="s">
        <v>3213</v>
      </c>
      <c r="C421" s="91" t="s">
        <v>1415</v>
      </c>
    </row>
    <row r="422" spans="1:3" ht="15">
      <c r="A422" s="84" t="s">
        <v>416</v>
      </c>
      <c r="B422" s="83" t="s">
        <v>2576</v>
      </c>
      <c r="C422" s="91" t="s">
        <v>1415</v>
      </c>
    </row>
    <row r="423" spans="1:3" ht="15">
      <c r="A423" s="84" t="s">
        <v>416</v>
      </c>
      <c r="B423" s="83" t="s">
        <v>3229</v>
      </c>
      <c r="C423" s="91" t="s">
        <v>1415</v>
      </c>
    </row>
    <row r="424" spans="1:3" ht="15">
      <c r="A424" s="84" t="s">
        <v>416</v>
      </c>
      <c r="B424" s="83" t="s">
        <v>3230</v>
      </c>
      <c r="C424" s="91" t="s">
        <v>1415</v>
      </c>
    </row>
    <row r="425" spans="1:3" ht="15">
      <c r="A425" s="84" t="s">
        <v>416</v>
      </c>
      <c r="B425" s="83" t="s">
        <v>2598</v>
      </c>
      <c r="C425" s="91" t="s">
        <v>1415</v>
      </c>
    </row>
    <row r="426" spans="1:3" ht="15">
      <c r="A426" s="84" t="s">
        <v>416</v>
      </c>
      <c r="B426" s="83" t="s">
        <v>3231</v>
      </c>
      <c r="C426" s="91" t="s">
        <v>1415</v>
      </c>
    </row>
    <row r="427" spans="1:3" ht="15">
      <c r="A427" s="84" t="s">
        <v>416</v>
      </c>
      <c r="B427" s="83" t="s">
        <v>3232</v>
      </c>
      <c r="C427" s="91" t="s">
        <v>1415</v>
      </c>
    </row>
    <row r="428" spans="1:3" ht="15">
      <c r="A428" s="84" t="s">
        <v>416</v>
      </c>
      <c r="B428" s="83" t="s">
        <v>3233</v>
      </c>
      <c r="C428" s="91" t="s">
        <v>1415</v>
      </c>
    </row>
    <row r="429" spans="1:3" ht="15">
      <c r="A429" s="84" t="s">
        <v>416</v>
      </c>
      <c r="B429" s="83" t="s">
        <v>3211</v>
      </c>
      <c r="C429" s="91" t="s">
        <v>1415</v>
      </c>
    </row>
    <row r="430" spans="1:3" ht="15">
      <c r="A430" s="84" t="s">
        <v>416</v>
      </c>
      <c r="B430" s="83" t="s">
        <v>3199</v>
      </c>
      <c r="C430" s="91" t="s">
        <v>1415</v>
      </c>
    </row>
    <row r="431" spans="1:3" ht="15">
      <c r="A431" s="84" t="s">
        <v>416</v>
      </c>
      <c r="B431" s="83" t="s">
        <v>3218</v>
      </c>
      <c r="C431" s="91" t="s">
        <v>1415</v>
      </c>
    </row>
    <row r="432" spans="1:3" ht="15">
      <c r="A432" s="84" t="s">
        <v>416</v>
      </c>
      <c r="B432" s="83" t="s">
        <v>3234</v>
      </c>
      <c r="C432" s="91" t="s">
        <v>1415</v>
      </c>
    </row>
    <row r="433" spans="1:3" ht="15">
      <c r="A433" s="84" t="s">
        <v>416</v>
      </c>
      <c r="B433" s="83" t="s">
        <v>3235</v>
      </c>
      <c r="C433" s="91" t="s">
        <v>1415</v>
      </c>
    </row>
    <row r="434" spans="1:3" ht="15">
      <c r="A434" s="84" t="s">
        <v>416</v>
      </c>
      <c r="B434" s="83" t="s">
        <v>3236</v>
      </c>
      <c r="C434" s="91" t="s">
        <v>1415</v>
      </c>
    </row>
    <row r="435" spans="1:3" ht="15">
      <c r="A435" s="84" t="s">
        <v>416</v>
      </c>
      <c r="B435" s="83" t="s">
        <v>3237</v>
      </c>
      <c r="C435" s="91" t="s">
        <v>1415</v>
      </c>
    </row>
    <row r="436" spans="1:3" ht="15">
      <c r="A436" s="84" t="s">
        <v>416</v>
      </c>
      <c r="B436" s="83" t="s">
        <v>3238</v>
      </c>
      <c r="C436" s="91" t="s">
        <v>1415</v>
      </c>
    </row>
    <row r="437" spans="1:3" ht="15">
      <c r="A437" s="84" t="s">
        <v>416</v>
      </c>
      <c r="B437" s="83" t="s">
        <v>3239</v>
      </c>
      <c r="C437" s="91" t="s">
        <v>1415</v>
      </c>
    </row>
    <row r="438" spans="1:3" ht="15">
      <c r="A438" s="84" t="s">
        <v>416</v>
      </c>
      <c r="B438" s="83" t="s">
        <v>3240</v>
      </c>
      <c r="C438" s="91" t="s">
        <v>1415</v>
      </c>
    </row>
    <row r="439" spans="1:3" ht="15">
      <c r="A439" s="84" t="s">
        <v>416</v>
      </c>
      <c r="B439" s="83" t="s">
        <v>3241</v>
      </c>
      <c r="C439" s="91" t="s">
        <v>1415</v>
      </c>
    </row>
    <row r="440" spans="1:3" ht="15">
      <c r="A440" s="84" t="s">
        <v>416</v>
      </c>
      <c r="B440" s="83" t="s">
        <v>3242</v>
      </c>
      <c r="C440" s="91" t="s">
        <v>1415</v>
      </c>
    </row>
    <row r="441" spans="1:3" ht="15">
      <c r="A441" s="84" t="s">
        <v>416</v>
      </c>
      <c r="B441" s="83" t="s">
        <v>2767</v>
      </c>
      <c r="C441" s="91" t="s">
        <v>1415</v>
      </c>
    </row>
    <row r="442" spans="1:3" ht="15">
      <c r="A442" s="84" t="s">
        <v>416</v>
      </c>
      <c r="B442" s="83" t="s">
        <v>3243</v>
      </c>
      <c r="C442" s="91" t="s">
        <v>1415</v>
      </c>
    </row>
    <row r="443" spans="1:3" ht="15">
      <c r="A443" s="84" t="s">
        <v>416</v>
      </c>
      <c r="B443" s="83" t="s">
        <v>3244</v>
      </c>
      <c r="C443" s="91" t="s">
        <v>1415</v>
      </c>
    </row>
    <row r="444" spans="1:3" ht="15">
      <c r="A444" s="84" t="s">
        <v>416</v>
      </c>
      <c r="B444" s="83" t="s">
        <v>3223</v>
      </c>
      <c r="C444" s="91" t="s">
        <v>1415</v>
      </c>
    </row>
    <row r="445" spans="1:3" ht="15">
      <c r="A445" s="84" t="s">
        <v>416</v>
      </c>
      <c r="B445" s="83" t="s">
        <v>3228</v>
      </c>
      <c r="C445" s="91" t="s">
        <v>1414</v>
      </c>
    </row>
    <row r="446" spans="1:3" ht="15">
      <c r="A446" s="84" t="s">
        <v>416</v>
      </c>
      <c r="B446" s="83" t="s">
        <v>2581</v>
      </c>
      <c r="C446" s="91" t="s">
        <v>1414</v>
      </c>
    </row>
    <row r="447" spans="1:3" ht="15">
      <c r="A447" s="84" t="s">
        <v>416</v>
      </c>
      <c r="B447" s="83" t="s">
        <v>2586</v>
      </c>
      <c r="C447" s="91" t="s">
        <v>1414</v>
      </c>
    </row>
    <row r="448" spans="1:3" ht="15">
      <c r="A448" s="84" t="s">
        <v>416</v>
      </c>
      <c r="B448" s="83" t="s">
        <v>2595</v>
      </c>
      <c r="C448" s="91" t="s">
        <v>1414</v>
      </c>
    </row>
    <row r="449" spans="1:3" ht="15">
      <c r="A449" s="84" t="s">
        <v>416</v>
      </c>
      <c r="B449" s="83" t="s">
        <v>2568</v>
      </c>
      <c r="C449" s="91" t="s">
        <v>1414</v>
      </c>
    </row>
    <row r="450" spans="1:3" ht="15">
      <c r="A450" s="84" t="s">
        <v>416</v>
      </c>
      <c r="B450" s="83" t="s">
        <v>2592</v>
      </c>
      <c r="C450" s="91" t="s">
        <v>1414</v>
      </c>
    </row>
    <row r="451" spans="1:3" ht="15">
      <c r="A451" s="84" t="s">
        <v>416</v>
      </c>
      <c r="B451" s="83" t="s">
        <v>3213</v>
      </c>
      <c r="C451" s="91" t="s">
        <v>1414</v>
      </c>
    </row>
    <row r="452" spans="1:3" ht="15">
      <c r="A452" s="84" t="s">
        <v>416</v>
      </c>
      <c r="B452" s="83" t="s">
        <v>2576</v>
      </c>
      <c r="C452" s="91" t="s">
        <v>1414</v>
      </c>
    </row>
    <row r="453" spans="1:3" ht="15">
      <c r="A453" s="84" t="s">
        <v>416</v>
      </c>
      <c r="B453" s="83" t="s">
        <v>3229</v>
      </c>
      <c r="C453" s="91" t="s">
        <v>1414</v>
      </c>
    </row>
    <row r="454" spans="1:3" ht="15">
      <c r="A454" s="84" t="s">
        <v>416</v>
      </c>
      <c r="B454" s="83" t="s">
        <v>3230</v>
      </c>
      <c r="C454" s="91" t="s">
        <v>1414</v>
      </c>
    </row>
    <row r="455" spans="1:3" ht="15">
      <c r="A455" s="84" t="s">
        <v>416</v>
      </c>
      <c r="B455" s="83" t="s">
        <v>2598</v>
      </c>
      <c r="C455" s="91" t="s">
        <v>1414</v>
      </c>
    </row>
    <row r="456" spans="1:3" ht="15">
      <c r="A456" s="84" t="s">
        <v>416</v>
      </c>
      <c r="B456" s="83" t="s">
        <v>3231</v>
      </c>
      <c r="C456" s="91" t="s">
        <v>1414</v>
      </c>
    </row>
    <row r="457" spans="1:3" ht="15">
      <c r="A457" s="84" t="s">
        <v>416</v>
      </c>
      <c r="B457" s="83" t="s">
        <v>3232</v>
      </c>
      <c r="C457" s="91" t="s">
        <v>1414</v>
      </c>
    </row>
    <row r="458" spans="1:3" ht="15">
      <c r="A458" s="84" t="s">
        <v>416</v>
      </c>
      <c r="B458" s="83" t="s">
        <v>3233</v>
      </c>
      <c r="C458" s="91" t="s">
        <v>1414</v>
      </c>
    </row>
    <row r="459" spans="1:3" ht="15">
      <c r="A459" s="84" t="s">
        <v>416</v>
      </c>
      <c r="B459" s="83" t="s">
        <v>3211</v>
      </c>
      <c r="C459" s="91" t="s">
        <v>1414</v>
      </c>
    </row>
    <row r="460" spans="1:3" ht="15">
      <c r="A460" s="84" t="s">
        <v>416</v>
      </c>
      <c r="B460" s="83" t="s">
        <v>3199</v>
      </c>
      <c r="C460" s="91" t="s">
        <v>1414</v>
      </c>
    </row>
    <row r="461" spans="1:3" ht="15">
      <c r="A461" s="84" t="s">
        <v>416</v>
      </c>
      <c r="B461" s="83" t="s">
        <v>3218</v>
      </c>
      <c r="C461" s="91" t="s">
        <v>1414</v>
      </c>
    </row>
    <row r="462" spans="1:3" ht="15">
      <c r="A462" s="84" t="s">
        <v>416</v>
      </c>
      <c r="B462" s="83" t="s">
        <v>3234</v>
      </c>
      <c r="C462" s="91" t="s">
        <v>1414</v>
      </c>
    </row>
    <row r="463" spans="1:3" ht="15">
      <c r="A463" s="84" t="s">
        <v>416</v>
      </c>
      <c r="B463" s="83" t="s">
        <v>3235</v>
      </c>
      <c r="C463" s="91" t="s">
        <v>1414</v>
      </c>
    </row>
    <row r="464" spans="1:3" ht="15">
      <c r="A464" s="84" t="s">
        <v>416</v>
      </c>
      <c r="B464" s="83" t="s">
        <v>3236</v>
      </c>
      <c r="C464" s="91" t="s">
        <v>1414</v>
      </c>
    </row>
    <row r="465" spans="1:3" ht="15">
      <c r="A465" s="84" t="s">
        <v>416</v>
      </c>
      <c r="B465" s="83" t="s">
        <v>3237</v>
      </c>
      <c r="C465" s="91" t="s">
        <v>1414</v>
      </c>
    </row>
    <row r="466" spans="1:3" ht="15">
      <c r="A466" s="84" t="s">
        <v>416</v>
      </c>
      <c r="B466" s="83" t="s">
        <v>3238</v>
      </c>
      <c r="C466" s="91" t="s">
        <v>1414</v>
      </c>
    </row>
    <row r="467" spans="1:3" ht="15">
      <c r="A467" s="84" t="s">
        <v>416</v>
      </c>
      <c r="B467" s="83" t="s">
        <v>3239</v>
      </c>
      <c r="C467" s="91" t="s">
        <v>1414</v>
      </c>
    </row>
    <row r="468" spans="1:3" ht="15">
      <c r="A468" s="84" t="s">
        <v>416</v>
      </c>
      <c r="B468" s="83" t="s">
        <v>3240</v>
      </c>
      <c r="C468" s="91" t="s">
        <v>1414</v>
      </c>
    </row>
    <row r="469" spans="1:3" ht="15">
      <c r="A469" s="84" t="s">
        <v>416</v>
      </c>
      <c r="B469" s="83" t="s">
        <v>3241</v>
      </c>
      <c r="C469" s="91" t="s">
        <v>1414</v>
      </c>
    </row>
    <row r="470" spans="1:3" ht="15">
      <c r="A470" s="84" t="s">
        <v>416</v>
      </c>
      <c r="B470" s="83" t="s">
        <v>3242</v>
      </c>
      <c r="C470" s="91" t="s">
        <v>1414</v>
      </c>
    </row>
    <row r="471" spans="1:3" ht="15">
      <c r="A471" s="84" t="s">
        <v>416</v>
      </c>
      <c r="B471" s="83" t="s">
        <v>2767</v>
      </c>
      <c r="C471" s="91" t="s">
        <v>1414</v>
      </c>
    </row>
    <row r="472" spans="1:3" ht="15">
      <c r="A472" s="84" t="s">
        <v>416</v>
      </c>
      <c r="B472" s="83" t="s">
        <v>3243</v>
      </c>
      <c r="C472" s="91" t="s">
        <v>1414</v>
      </c>
    </row>
    <row r="473" spans="1:3" ht="15">
      <c r="A473" s="84" t="s">
        <v>416</v>
      </c>
      <c r="B473" s="83" t="s">
        <v>3244</v>
      </c>
      <c r="C473" s="91" t="s">
        <v>1414</v>
      </c>
    </row>
    <row r="474" spans="1:3" ht="15">
      <c r="A474" s="84" t="s">
        <v>416</v>
      </c>
      <c r="B474" s="83" t="s">
        <v>3223</v>
      </c>
      <c r="C474" s="91" t="s">
        <v>1414</v>
      </c>
    </row>
    <row r="475" spans="1:3" ht="15">
      <c r="A475" s="84" t="s">
        <v>416</v>
      </c>
      <c r="B475" s="83" t="s">
        <v>3266</v>
      </c>
      <c r="C475" s="91" t="s">
        <v>1414</v>
      </c>
    </row>
    <row r="476" spans="1:3" ht="15">
      <c r="A476" s="84" t="s">
        <v>416</v>
      </c>
      <c r="B476" s="83" t="s">
        <v>3267</v>
      </c>
      <c r="C476" s="91" t="s">
        <v>1413</v>
      </c>
    </row>
    <row r="477" spans="1:3" ht="15">
      <c r="A477" s="84" t="s">
        <v>416</v>
      </c>
      <c r="B477" s="83" t="s">
        <v>2581</v>
      </c>
      <c r="C477" s="91" t="s">
        <v>1413</v>
      </c>
    </row>
    <row r="478" spans="1:3" ht="15">
      <c r="A478" s="84" t="s">
        <v>416</v>
      </c>
      <c r="B478" s="83" t="s">
        <v>2586</v>
      </c>
      <c r="C478" s="91" t="s">
        <v>1413</v>
      </c>
    </row>
    <row r="479" spans="1:3" ht="15">
      <c r="A479" s="84" t="s">
        <v>416</v>
      </c>
      <c r="B479" s="83" t="s">
        <v>2595</v>
      </c>
      <c r="C479" s="91" t="s">
        <v>1413</v>
      </c>
    </row>
    <row r="480" spans="1:3" ht="15">
      <c r="A480" s="84" t="s">
        <v>416</v>
      </c>
      <c r="B480" s="83" t="s">
        <v>2568</v>
      </c>
      <c r="C480" s="91" t="s">
        <v>1413</v>
      </c>
    </row>
    <row r="481" spans="1:3" ht="15">
      <c r="A481" s="84" t="s">
        <v>416</v>
      </c>
      <c r="B481" s="83" t="s">
        <v>2592</v>
      </c>
      <c r="C481" s="91" t="s">
        <v>1413</v>
      </c>
    </row>
    <row r="482" spans="1:3" ht="15">
      <c r="A482" s="84" t="s">
        <v>416</v>
      </c>
      <c r="B482" s="83" t="s">
        <v>3213</v>
      </c>
      <c r="C482" s="91" t="s">
        <v>1413</v>
      </c>
    </row>
    <row r="483" spans="1:3" ht="15">
      <c r="A483" s="84" t="s">
        <v>416</v>
      </c>
      <c r="B483" s="83" t="s">
        <v>2576</v>
      </c>
      <c r="C483" s="91" t="s">
        <v>1413</v>
      </c>
    </row>
    <row r="484" spans="1:3" ht="15">
      <c r="A484" s="84" t="s">
        <v>416</v>
      </c>
      <c r="B484" s="83" t="s">
        <v>3229</v>
      </c>
      <c r="C484" s="91" t="s">
        <v>1413</v>
      </c>
    </row>
    <row r="485" spans="1:3" ht="15">
      <c r="A485" s="84" t="s">
        <v>416</v>
      </c>
      <c r="B485" s="83" t="s">
        <v>3230</v>
      </c>
      <c r="C485" s="91" t="s">
        <v>1413</v>
      </c>
    </row>
    <row r="486" spans="1:3" ht="15">
      <c r="A486" s="84" t="s">
        <v>416</v>
      </c>
      <c r="B486" s="83" t="s">
        <v>2598</v>
      </c>
      <c r="C486" s="91" t="s">
        <v>1413</v>
      </c>
    </row>
    <row r="487" spans="1:3" ht="15">
      <c r="A487" s="84" t="s">
        <v>416</v>
      </c>
      <c r="B487" s="83" t="s">
        <v>3231</v>
      </c>
      <c r="C487" s="91" t="s">
        <v>1413</v>
      </c>
    </row>
    <row r="488" spans="1:3" ht="15">
      <c r="A488" s="84" t="s">
        <v>416</v>
      </c>
      <c r="B488" s="83" t="s">
        <v>3232</v>
      </c>
      <c r="C488" s="91" t="s">
        <v>1413</v>
      </c>
    </row>
    <row r="489" spans="1:3" ht="15">
      <c r="A489" s="84" t="s">
        <v>416</v>
      </c>
      <c r="B489" s="83" t="s">
        <v>3233</v>
      </c>
      <c r="C489" s="91" t="s">
        <v>1413</v>
      </c>
    </row>
    <row r="490" spans="1:3" ht="15">
      <c r="A490" s="84" t="s">
        <v>416</v>
      </c>
      <c r="B490" s="83" t="s">
        <v>3211</v>
      </c>
      <c r="C490" s="91" t="s">
        <v>1413</v>
      </c>
    </row>
    <row r="491" spans="1:3" ht="15">
      <c r="A491" s="84" t="s">
        <v>416</v>
      </c>
      <c r="B491" s="83" t="s">
        <v>3199</v>
      </c>
      <c r="C491" s="91" t="s">
        <v>1413</v>
      </c>
    </row>
    <row r="492" spans="1:3" ht="15">
      <c r="A492" s="84" t="s">
        <v>416</v>
      </c>
      <c r="B492" s="83" t="s">
        <v>3218</v>
      </c>
      <c r="C492" s="91" t="s">
        <v>1413</v>
      </c>
    </row>
    <row r="493" spans="1:3" ht="15">
      <c r="A493" s="84" t="s">
        <v>416</v>
      </c>
      <c r="B493" s="83" t="s">
        <v>3234</v>
      </c>
      <c r="C493" s="91" t="s">
        <v>1413</v>
      </c>
    </row>
    <row r="494" spans="1:3" ht="15">
      <c r="A494" s="84" t="s">
        <v>416</v>
      </c>
      <c r="B494" s="83" t="s">
        <v>3235</v>
      </c>
      <c r="C494" s="91" t="s">
        <v>1413</v>
      </c>
    </row>
    <row r="495" spans="1:3" ht="15">
      <c r="A495" s="84" t="s">
        <v>416</v>
      </c>
      <c r="B495" s="83" t="s">
        <v>3236</v>
      </c>
      <c r="C495" s="91" t="s">
        <v>1413</v>
      </c>
    </row>
    <row r="496" spans="1:3" ht="15">
      <c r="A496" s="84" t="s">
        <v>416</v>
      </c>
      <c r="B496" s="83" t="s">
        <v>3237</v>
      </c>
      <c r="C496" s="91" t="s">
        <v>1413</v>
      </c>
    </row>
    <row r="497" spans="1:3" ht="15">
      <c r="A497" s="84" t="s">
        <v>416</v>
      </c>
      <c r="B497" s="83" t="s">
        <v>3238</v>
      </c>
      <c r="C497" s="91" t="s">
        <v>1413</v>
      </c>
    </row>
    <row r="498" spans="1:3" ht="15">
      <c r="A498" s="84" t="s">
        <v>416</v>
      </c>
      <c r="B498" s="83" t="s">
        <v>3239</v>
      </c>
      <c r="C498" s="91" t="s">
        <v>1413</v>
      </c>
    </row>
    <row r="499" spans="1:3" ht="15">
      <c r="A499" s="84" t="s">
        <v>416</v>
      </c>
      <c r="B499" s="83" t="s">
        <v>3240</v>
      </c>
      <c r="C499" s="91" t="s">
        <v>1413</v>
      </c>
    </row>
    <row r="500" spans="1:3" ht="15">
      <c r="A500" s="84" t="s">
        <v>416</v>
      </c>
      <c r="B500" s="83" t="s">
        <v>3241</v>
      </c>
      <c r="C500" s="91" t="s">
        <v>1413</v>
      </c>
    </row>
    <row r="501" spans="1:3" ht="15">
      <c r="A501" s="84" t="s">
        <v>416</v>
      </c>
      <c r="B501" s="83" t="s">
        <v>3242</v>
      </c>
      <c r="C501" s="91" t="s">
        <v>1413</v>
      </c>
    </row>
    <row r="502" spans="1:3" ht="15">
      <c r="A502" s="84" t="s">
        <v>416</v>
      </c>
      <c r="B502" s="83" t="s">
        <v>2767</v>
      </c>
      <c r="C502" s="91" t="s">
        <v>1413</v>
      </c>
    </row>
    <row r="503" spans="1:3" ht="15">
      <c r="A503" s="84" t="s">
        <v>416</v>
      </c>
      <c r="B503" s="83" t="s">
        <v>3243</v>
      </c>
      <c r="C503" s="91" t="s">
        <v>1413</v>
      </c>
    </row>
    <row r="504" spans="1:3" ht="15">
      <c r="A504" s="84" t="s">
        <v>416</v>
      </c>
      <c r="B504" s="83" t="s">
        <v>3244</v>
      </c>
      <c r="C504" s="91" t="s">
        <v>1413</v>
      </c>
    </row>
    <row r="505" spans="1:3" ht="15">
      <c r="A505" s="84" t="s">
        <v>416</v>
      </c>
      <c r="B505" s="83" t="s">
        <v>3223</v>
      </c>
      <c r="C505" s="91" t="s">
        <v>1413</v>
      </c>
    </row>
    <row r="506" spans="1:3" ht="15">
      <c r="A506" s="84" t="s">
        <v>416</v>
      </c>
      <c r="B506" s="83" t="s">
        <v>3268</v>
      </c>
      <c r="C506" s="91" t="s">
        <v>1412</v>
      </c>
    </row>
    <row r="507" spans="1:3" ht="15">
      <c r="A507" s="84" t="s">
        <v>416</v>
      </c>
      <c r="B507" s="83" t="s">
        <v>3269</v>
      </c>
      <c r="C507" s="91" t="s">
        <v>1412</v>
      </c>
    </row>
    <row r="508" spans="1:3" ht="15">
      <c r="A508" s="84" t="s">
        <v>416</v>
      </c>
      <c r="B508" s="83" t="s">
        <v>3203</v>
      </c>
      <c r="C508" s="91" t="s">
        <v>1412</v>
      </c>
    </row>
    <row r="509" spans="1:3" ht="15">
      <c r="A509" s="84" t="s">
        <v>416</v>
      </c>
      <c r="B509" s="83">
        <v>19</v>
      </c>
      <c r="C509" s="91" t="s">
        <v>1412</v>
      </c>
    </row>
    <row r="510" spans="1:3" ht="15">
      <c r="A510" s="84" t="s">
        <v>416</v>
      </c>
      <c r="B510" s="83" t="s">
        <v>3270</v>
      </c>
      <c r="C510" s="91" t="s">
        <v>1412</v>
      </c>
    </row>
    <row r="511" spans="1:3" ht="15">
      <c r="A511" s="84" t="s">
        <v>416</v>
      </c>
      <c r="B511" s="83" t="s">
        <v>3271</v>
      </c>
      <c r="C511" s="91" t="s">
        <v>1412</v>
      </c>
    </row>
    <row r="512" spans="1:3" ht="15">
      <c r="A512" s="84" t="s">
        <v>416</v>
      </c>
      <c r="B512" s="83" t="s">
        <v>3272</v>
      </c>
      <c r="C512" s="91" t="s">
        <v>1412</v>
      </c>
    </row>
    <row r="513" spans="1:3" ht="15">
      <c r="A513" s="84" t="s">
        <v>416</v>
      </c>
      <c r="B513" s="83" t="s">
        <v>195</v>
      </c>
      <c r="C513" s="91" t="s">
        <v>1412</v>
      </c>
    </row>
    <row r="514" spans="1:3" ht="15">
      <c r="A514" s="84" t="s">
        <v>416</v>
      </c>
      <c r="B514" s="83" t="s">
        <v>3273</v>
      </c>
      <c r="C514" s="91" t="s">
        <v>1412</v>
      </c>
    </row>
    <row r="515" spans="1:3" ht="15">
      <c r="A515" s="84" t="s">
        <v>416</v>
      </c>
      <c r="B515" s="83" t="s">
        <v>3199</v>
      </c>
      <c r="C515" s="91" t="s">
        <v>1412</v>
      </c>
    </row>
    <row r="516" spans="1:3" ht="15">
      <c r="A516" s="84" t="s">
        <v>416</v>
      </c>
      <c r="B516" s="83" t="s">
        <v>3258</v>
      </c>
      <c r="C516" s="91" t="s">
        <v>1412</v>
      </c>
    </row>
    <row r="517" spans="1:3" ht="15">
      <c r="A517" s="84" t="s">
        <v>416</v>
      </c>
      <c r="B517" s="83" t="s">
        <v>3238</v>
      </c>
      <c r="C517" s="91" t="s">
        <v>1412</v>
      </c>
    </row>
    <row r="518" spans="1:3" ht="15">
      <c r="A518" s="84" t="s">
        <v>416</v>
      </c>
      <c r="B518" s="83" t="s">
        <v>3274</v>
      </c>
      <c r="C518" s="91" t="s">
        <v>1412</v>
      </c>
    </row>
    <row r="519" spans="1:3" ht="15">
      <c r="A519" s="84" t="s">
        <v>416</v>
      </c>
      <c r="B519" s="83" t="s">
        <v>3275</v>
      </c>
      <c r="C519" s="91" t="s">
        <v>1412</v>
      </c>
    </row>
    <row r="520" spans="1:3" ht="15">
      <c r="A520" s="84" t="s">
        <v>416</v>
      </c>
      <c r="B520" s="83" t="s">
        <v>3276</v>
      </c>
      <c r="C520" s="91" t="s">
        <v>1412</v>
      </c>
    </row>
    <row r="521" spans="1:3" ht="15">
      <c r="A521" s="84" t="s">
        <v>416</v>
      </c>
      <c r="B521" s="83" t="s">
        <v>3277</v>
      </c>
      <c r="C521" s="91" t="s">
        <v>1412</v>
      </c>
    </row>
    <row r="522" spans="1:3" ht="15">
      <c r="A522" s="84" t="s">
        <v>416</v>
      </c>
      <c r="B522" s="83" t="s">
        <v>3198</v>
      </c>
      <c r="C522" s="91" t="s">
        <v>1412</v>
      </c>
    </row>
    <row r="523" spans="1:3" ht="15">
      <c r="A523" s="84" t="s">
        <v>416</v>
      </c>
      <c r="B523" s="83" t="s">
        <v>3278</v>
      </c>
      <c r="C523" s="91" t="s">
        <v>1412</v>
      </c>
    </row>
    <row r="524" spans="1:3" ht="15">
      <c r="A524" s="84" t="s">
        <v>416</v>
      </c>
      <c r="B524" s="83" t="s">
        <v>420</v>
      </c>
      <c r="C524" s="91" t="s">
        <v>1412</v>
      </c>
    </row>
    <row r="525" spans="1:3" ht="15">
      <c r="A525" s="84" t="s">
        <v>416</v>
      </c>
      <c r="B525" s="83" t="s">
        <v>3279</v>
      </c>
      <c r="C525" s="91" t="s">
        <v>1409</v>
      </c>
    </row>
    <row r="526" spans="1:3" ht="15">
      <c r="A526" s="84" t="s">
        <v>416</v>
      </c>
      <c r="B526" s="83" t="s">
        <v>3280</v>
      </c>
      <c r="C526" s="91" t="s">
        <v>1409</v>
      </c>
    </row>
    <row r="527" spans="1:3" ht="15">
      <c r="A527" s="84" t="s">
        <v>416</v>
      </c>
      <c r="B527" s="83" t="s">
        <v>2581</v>
      </c>
      <c r="C527" s="91" t="s">
        <v>1409</v>
      </c>
    </row>
    <row r="528" spans="1:3" ht="15">
      <c r="A528" s="84" t="s">
        <v>416</v>
      </c>
      <c r="B528" s="83" t="s">
        <v>2675</v>
      </c>
      <c r="C528" s="91" t="s">
        <v>1409</v>
      </c>
    </row>
    <row r="529" spans="1:3" ht="15">
      <c r="A529" s="84" t="s">
        <v>416</v>
      </c>
      <c r="B529" s="83" t="s">
        <v>3281</v>
      </c>
      <c r="C529" s="91" t="s">
        <v>1409</v>
      </c>
    </row>
    <row r="530" spans="1:3" ht="15">
      <c r="A530" s="84" t="s">
        <v>416</v>
      </c>
      <c r="B530" s="83" t="s">
        <v>3213</v>
      </c>
      <c r="C530" s="91" t="s">
        <v>1409</v>
      </c>
    </row>
    <row r="531" spans="1:3" ht="15">
      <c r="A531" s="84" t="s">
        <v>416</v>
      </c>
      <c r="B531" s="83" t="s">
        <v>3266</v>
      </c>
      <c r="C531" s="91" t="s">
        <v>1409</v>
      </c>
    </row>
    <row r="532" spans="1:3" ht="15">
      <c r="A532" s="84" t="s">
        <v>416</v>
      </c>
      <c r="B532" s="83" t="s">
        <v>2577</v>
      </c>
      <c r="C532" s="91" t="s">
        <v>1409</v>
      </c>
    </row>
    <row r="533" spans="1:3" ht="15">
      <c r="A533" s="84" t="s">
        <v>416</v>
      </c>
      <c r="B533" s="83" t="s">
        <v>3198</v>
      </c>
      <c r="C533" s="91" t="s">
        <v>1409</v>
      </c>
    </row>
    <row r="534" spans="1:3" ht="15">
      <c r="A534" s="84" t="s">
        <v>416</v>
      </c>
      <c r="B534" s="83" t="s">
        <v>3282</v>
      </c>
      <c r="C534" s="91" t="s">
        <v>1409</v>
      </c>
    </row>
    <row r="535" spans="1:3" ht="15">
      <c r="A535" s="84" t="s">
        <v>416</v>
      </c>
      <c r="B535" s="83" t="s">
        <v>3283</v>
      </c>
      <c r="C535" s="91" t="s">
        <v>1409</v>
      </c>
    </row>
    <row r="536" spans="1:3" ht="15">
      <c r="A536" s="84" t="s">
        <v>416</v>
      </c>
      <c r="B536" s="83" t="s">
        <v>3214</v>
      </c>
      <c r="C536" s="91" t="s">
        <v>1409</v>
      </c>
    </row>
    <row r="537" spans="1:3" ht="15">
      <c r="A537" s="84" t="s">
        <v>416</v>
      </c>
      <c r="B537" s="83" t="s">
        <v>3211</v>
      </c>
      <c r="C537" s="91" t="s">
        <v>1409</v>
      </c>
    </row>
    <row r="538" spans="1:3" ht="15">
      <c r="A538" s="84" t="s">
        <v>416</v>
      </c>
      <c r="B538" s="83" t="s">
        <v>3215</v>
      </c>
      <c r="C538" s="91" t="s">
        <v>1409</v>
      </c>
    </row>
    <row r="539" spans="1:3" ht="15">
      <c r="A539" s="84" t="s">
        <v>416</v>
      </c>
      <c r="B539" s="83" t="s">
        <v>3199</v>
      </c>
      <c r="C539" s="91" t="s">
        <v>1409</v>
      </c>
    </row>
    <row r="540" spans="1:3" ht="15">
      <c r="A540" s="84" t="s">
        <v>416</v>
      </c>
      <c r="B540" s="83" t="s">
        <v>3218</v>
      </c>
      <c r="C540" s="91" t="s">
        <v>1409</v>
      </c>
    </row>
    <row r="541" spans="1:3" ht="15">
      <c r="A541" s="84" t="s">
        <v>416</v>
      </c>
      <c r="B541" s="83" t="s">
        <v>3235</v>
      </c>
      <c r="C541" s="91" t="s">
        <v>1409</v>
      </c>
    </row>
    <row r="542" spans="1:3" ht="15">
      <c r="A542" s="84" t="s">
        <v>416</v>
      </c>
      <c r="B542" s="83" t="s">
        <v>3236</v>
      </c>
      <c r="C542" s="91" t="s">
        <v>1409</v>
      </c>
    </row>
    <row r="543" spans="1:3" ht="15">
      <c r="A543" s="84" t="s">
        <v>416</v>
      </c>
      <c r="B543" s="83" t="s">
        <v>3220</v>
      </c>
      <c r="C543" s="91" t="s">
        <v>1409</v>
      </c>
    </row>
    <row r="544" spans="1:3" ht="15">
      <c r="A544" s="84" t="s">
        <v>416</v>
      </c>
      <c r="B544" s="83" t="s">
        <v>3221</v>
      </c>
      <c r="C544" s="91" t="s">
        <v>1409</v>
      </c>
    </row>
    <row r="545" spans="1:3" ht="15">
      <c r="A545" s="84" t="s">
        <v>416</v>
      </c>
      <c r="B545" s="83" t="s">
        <v>3237</v>
      </c>
      <c r="C545" s="91" t="s">
        <v>1409</v>
      </c>
    </row>
    <row r="546" spans="1:3" ht="15">
      <c r="A546" s="84" t="s">
        <v>416</v>
      </c>
      <c r="B546" s="83" t="s">
        <v>3284</v>
      </c>
      <c r="C546" s="91" t="s">
        <v>1409</v>
      </c>
    </row>
    <row r="547" spans="1:3" ht="15">
      <c r="A547" s="84" t="s">
        <v>416</v>
      </c>
      <c r="B547" s="83" t="s">
        <v>3285</v>
      </c>
      <c r="C547" s="91" t="s">
        <v>1409</v>
      </c>
    </row>
    <row r="548" spans="1:3" ht="15">
      <c r="A548" s="84" t="s">
        <v>416</v>
      </c>
      <c r="B548" s="83" t="s">
        <v>2632</v>
      </c>
      <c r="C548" s="91" t="s">
        <v>1409</v>
      </c>
    </row>
    <row r="549" spans="1:3" ht="15">
      <c r="A549" s="84" t="s">
        <v>416</v>
      </c>
      <c r="B549" s="83" t="s">
        <v>3286</v>
      </c>
      <c r="C549" s="91" t="s">
        <v>1409</v>
      </c>
    </row>
    <row r="550" spans="1:3" ht="15">
      <c r="A550" s="84" t="s">
        <v>416</v>
      </c>
      <c r="B550" s="83" t="s">
        <v>3279</v>
      </c>
      <c r="C550" s="91" t="s">
        <v>1408</v>
      </c>
    </row>
    <row r="551" spans="1:3" ht="15">
      <c r="A551" s="84" t="s">
        <v>416</v>
      </c>
      <c r="B551" s="83" t="s">
        <v>3280</v>
      </c>
      <c r="C551" s="91" t="s">
        <v>1408</v>
      </c>
    </row>
    <row r="552" spans="1:3" ht="15">
      <c r="A552" s="84" t="s">
        <v>416</v>
      </c>
      <c r="B552" s="83" t="s">
        <v>2581</v>
      </c>
      <c r="C552" s="91" t="s">
        <v>1408</v>
      </c>
    </row>
    <row r="553" spans="1:3" ht="15">
      <c r="A553" s="84" t="s">
        <v>416</v>
      </c>
      <c r="B553" s="83" t="s">
        <v>2675</v>
      </c>
      <c r="C553" s="91" t="s">
        <v>1408</v>
      </c>
    </row>
    <row r="554" spans="1:3" ht="15">
      <c r="A554" s="84" t="s">
        <v>416</v>
      </c>
      <c r="B554" s="83" t="s">
        <v>3281</v>
      </c>
      <c r="C554" s="91" t="s">
        <v>1408</v>
      </c>
    </row>
    <row r="555" spans="1:3" ht="15">
      <c r="A555" s="84" t="s">
        <v>416</v>
      </c>
      <c r="B555" s="83" t="s">
        <v>3213</v>
      </c>
      <c r="C555" s="91" t="s">
        <v>1408</v>
      </c>
    </row>
    <row r="556" spans="1:3" ht="15">
      <c r="A556" s="84" t="s">
        <v>416</v>
      </c>
      <c r="B556" s="83" t="s">
        <v>3266</v>
      </c>
      <c r="C556" s="91" t="s">
        <v>1408</v>
      </c>
    </row>
    <row r="557" spans="1:3" ht="15">
      <c r="A557" s="84" t="s">
        <v>416</v>
      </c>
      <c r="B557" s="83" t="s">
        <v>2577</v>
      </c>
      <c r="C557" s="91" t="s">
        <v>1408</v>
      </c>
    </row>
    <row r="558" spans="1:3" ht="15">
      <c r="A558" s="84" t="s">
        <v>416</v>
      </c>
      <c r="B558" s="83" t="s">
        <v>3198</v>
      </c>
      <c r="C558" s="91" t="s">
        <v>1408</v>
      </c>
    </row>
    <row r="559" spans="1:3" ht="15">
      <c r="A559" s="84" t="s">
        <v>416</v>
      </c>
      <c r="B559" s="83" t="s">
        <v>3282</v>
      </c>
      <c r="C559" s="91" t="s">
        <v>1408</v>
      </c>
    </row>
    <row r="560" spans="1:3" ht="15">
      <c r="A560" s="84" t="s">
        <v>416</v>
      </c>
      <c r="B560" s="83" t="s">
        <v>3283</v>
      </c>
      <c r="C560" s="91" t="s">
        <v>1408</v>
      </c>
    </row>
    <row r="561" spans="1:3" ht="15">
      <c r="A561" s="84" t="s">
        <v>416</v>
      </c>
      <c r="B561" s="83" t="s">
        <v>3214</v>
      </c>
      <c r="C561" s="91" t="s">
        <v>1408</v>
      </c>
    </row>
    <row r="562" spans="1:3" ht="15">
      <c r="A562" s="84" t="s">
        <v>416</v>
      </c>
      <c r="B562" s="83" t="s">
        <v>3211</v>
      </c>
      <c r="C562" s="91" t="s">
        <v>1408</v>
      </c>
    </row>
    <row r="563" spans="1:3" ht="15">
      <c r="A563" s="84" t="s">
        <v>416</v>
      </c>
      <c r="B563" s="83" t="s">
        <v>3215</v>
      </c>
      <c r="C563" s="91" t="s">
        <v>1408</v>
      </c>
    </row>
    <row r="564" spans="1:3" ht="15">
      <c r="A564" s="84" t="s">
        <v>416</v>
      </c>
      <c r="B564" s="83" t="s">
        <v>3199</v>
      </c>
      <c r="C564" s="91" t="s">
        <v>1408</v>
      </c>
    </row>
    <row r="565" spans="1:3" ht="15">
      <c r="A565" s="84" t="s">
        <v>416</v>
      </c>
      <c r="B565" s="83" t="s">
        <v>3218</v>
      </c>
      <c r="C565" s="91" t="s">
        <v>1408</v>
      </c>
    </row>
    <row r="566" spans="1:3" ht="15">
      <c r="A566" s="84" t="s">
        <v>416</v>
      </c>
      <c r="B566" s="83" t="s">
        <v>3235</v>
      </c>
      <c r="C566" s="91" t="s">
        <v>1408</v>
      </c>
    </row>
    <row r="567" spans="1:3" ht="15">
      <c r="A567" s="84" t="s">
        <v>416</v>
      </c>
      <c r="B567" s="83" t="s">
        <v>3236</v>
      </c>
      <c r="C567" s="91" t="s">
        <v>1408</v>
      </c>
    </row>
    <row r="568" spans="1:3" ht="15">
      <c r="A568" s="84" t="s">
        <v>416</v>
      </c>
      <c r="B568" s="83" t="s">
        <v>3220</v>
      </c>
      <c r="C568" s="91" t="s">
        <v>1408</v>
      </c>
    </row>
    <row r="569" spans="1:3" ht="15">
      <c r="A569" s="84" t="s">
        <v>416</v>
      </c>
      <c r="B569" s="83" t="s">
        <v>3221</v>
      </c>
      <c r="C569" s="91" t="s">
        <v>1408</v>
      </c>
    </row>
    <row r="570" spans="1:3" ht="15">
      <c r="A570" s="84" t="s">
        <v>416</v>
      </c>
      <c r="B570" s="83" t="s">
        <v>3237</v>
      </c>
      <c r="C570" s="91" t="s">
        <v>1408</v>
      </c>
    </row>
    <row r="571" spans="1:3" ht="15">
      <c r="A571" s="84" t="s">
        <v>416</v>
      </c>
      <c r="B571" s="83" t="s">
        <v>3284</v>
      </c>
      <c r="C571" s="91" t="s">
        <v>1408</v>
      </c>
    </row>
    <row r="572" spans="1:3" ht="15">
      <c r="A572" s="84" t="s">
        <v>416</v>
      </c>
      <c r="B572" s="83" t="s">
        <v>3285</v>
      </c>
      <c r="C572" s="91" t="s">
        <v>1408</v>
      </c>
    </row>
    <row r="573" spans="1:3" ht="15">
      <c r="A573" s="84" t="s">
        <v>416</v>
      </c>
      <c r="B573" s="83" t="s">
        <v>2632</v>
      </c>
      <c r="C573" s="91" t="s">
        <v>1408</v>
      </c>
    </row>
    <row r="574" spans="1:3" ht="15">
      <c r="A574" s="84" t="s">
        <v>416</v>
      </c>
      <c r="B574" s="83" t="s">
        <v>3286</v>
      </c>
      <c r="C574" s="91" t="s">
        <v>1408</v>
      </c>
    </row>
    <row r="575" spans="1:3" ht="15">
      <c r="A575" s="84" t="s">
        <v>416</v>
      </c>
      <c r="B575" s="83" t="s">
        <v>3250</v>
      </c>
      <c r="C575" s="91" t="s">
        <v>1403</v>
      </c>
    </row>
    <row r="576" spans="1:3" ht="15">
      <c r="A576" s="84" t="s">
        <v>416</v>
      </c>
      <c r="B576" s="83" t="s">
        <v>2692</v>
      </c>
      <c r="C576" s="91" t="s">
        <v>1403</v>
      </c>
    </row>
    <row r="577" spans="1:3" ht="15">
      <c r="A577" s="84" t="s">
        <v>416</v>
      </c>
      <c r="B577" s="83" t="s">
        <v>2712</v>
      </c>
      <c r="C577" s="91" t="s">
        <v>1403</v>
      </c>
    </row>
    <row r="578" spans="1:3" ht="15">
      <c r="A578" s="84" t="s">
        <v>416</v>
      </c>
      <c r="B578" s="83" t="s">
        <v>2578</v>
      </c>
      <c r="C578" s="91" t="s">
        <v>1403</v>
      </c>
    </row>
    <row r="579" spans="1:3" ht="15">
      <c r="A579" s="84" t="s">
        <v>416</v>
      </c>
      <c r="B579" s="83" t="s">
        <v>2637</v>
      </c>
      <c r="C579" s="91" t="s">
        <v>1403</v>
      </c>
    </row>
    <row r="580" spans="1:3" ht="15">
      <c r="A580" s="84" t="s">
        <v>416</v>
      </c>
      <c r="B580" s="83" t="s">
        <v>3203</v>
      </c>
      <c r="C580" s="91" t="s">
        <v>1403</v>
      </c>
    </row>
    <row r="581" spans="1:3" ht="15">
      <c r="A581" s="84" t="s">
        <v>416</v>
      </c>
      <c r="B581" s="91" t="s">
        <v>3287</v>
      </c>
      <c r="C581" s="91" t="s">
        <v>1403</v>
      </c>
    </row>
    <row r="582" spans="1:3" ht="15">
      <c r="A582" s="84" t="s">
        <v>416</v>
      </c>
      <c r="B582" s="83" t="s">
        <v>3288</v>
      </c>
      <c r="C582" s="91" t="s">
        <v>1403</v>
      </c>
    </row>
    <row r="583" spans="1:3" ht="15">
      <c r="A583" s="84" t="s">
        <v>416</v>
      </c>
      <c r="B583" s="83" t="s">
        <v>3289</v>
      </c>
      <c r="C583" s="91" t="s">
        <v>1403</v>
      </c>
    </row>
    <row r="584" spans="1:3" ht="15">
      <c r="A584" s="84" t="s">
        <v>416</v>
      </c>
      <c r="B584" s="83" t="s">
        <v>2632</v>
      </c>
      <c r="C584" s="91" t="s">
        <v>1403</v>
      </c>
    </row>
    <row r="585" spans="1:3" ht="15">
      <c r="A585" s="84" t="s">
        <v>416</v>
      </c>
      <c r="B585" s="83" t="s">
        <v>435</v>
      </c>
      <c r="C585" s="91" t="s">
        <v>1403</v>
      </c>
    </row>
    <row r="586" spans="1:3" ht="15">
      <c r="A586" s="84" t="s">
        <v>416</v>
      </c>
      <c r="B586" s="83" t="s">
        <v>3290</v>
      </c>
      <c r="C586" s="91" t="s">
        <v>1403</v>
      </c>
    </row>
    <row r="587" spans="1:3" ht="15">
      <c r="A587" s="84" t="s">
        <v>416</v>
      </c>
      <c r="B587" s="83" t="s">
        <v>3213</v>
      </c>
      <c r="C587" s="91" t="s">
        <v>1403</v>
      </c>
    </row>
    <row r="588" spans="1:3" ht="15">
      <c r="A588" s="84" t="s">
        <v>416</v>
      </c>
      <c r="B588" s="83" t="s">
        <v>3291</v>
      </c>
      <c r="C588" s="91" t="s">
        <v>1403</v>
      </c>
    </row>
    <row r="589" spans="1:3" ht="15">
      <c r="A589" s="84" t="s">
        <v>416</v>
      </c>
      <c r="B589" s="83" t="s">
        <v>3292</v>
      </c>
      <c r="C589" s="91" t="s">
        <v>1403</v>
      </c>
    </row>
    <row r="590" spans="1:3" ht="15">
      <c r="A590" s="84" t="s">
        <v>416</v>
      </c>
      <c r="B590" s="83" t="s">
        <v>3293</v>
      </c>
      <c r="C590" s="91" t="s">
        <v>1403</v>
      </c>
    </row>
    <row r="591" spans="1:3" ht="15">
      <c r="A591" s="84" t="s">
        <v>416</v>
      </c>
      <c r="B591" s="83" t="s">
        <v>3294</v>
      </c>
      <c r="C591" s="91" t="s">
        <v>1403</v>
      </c>
    </row>
    <row r="592" spans="1:3" ht="15">
      <c r="A592" s="84" t="s">
        <v>416</v>
      </c>
      <c r="B592" s="83" t="s">
        <v>3295</v>
      </c>
      <c r="C592" s="91" t="s">
        <v>1403</v>
      </c>
    </row>
    <row r="593" spans="1:3" ht="15">
      <c r="A593" s="84" t="s">
        <v>416</v>
      </c>
      <c r="B593" s="83" t="s">
        <v>3237</v>
      </c>
      <c r="C593" s="91" t="s">
        <v>1403</v>
      </c>
    </row>
    <row r="594" spans="1:3" ht="15">
      <c r="A594" s="84" t="s">
        <v>416</v>
      </c>
      <c r="B594" s="83" t="s">
        <v>3296</v>
      </c>
      <c r="C594" s="91" t="s">
        <v>1403</v>
      </c>
    </row>
    <row r="595" spans="1:3" ht="15">
      <c r="A595" s="84" t="s">
        <v>416</v>
      </c>
      <c r="B595" s="83" t="s">
        <v>3297</v>
      </c>
      <c r="C595" s="91" t="s">
        <v>1403</v>
      </c>
    </row>
    <row r="596" spans="1:3" ht="15">
      <c r="A596" s="84" t="s">
        <v>416</v>
      </c>
      <c r="B596" s="83" t="s">
        <v>3218</v>
      </c>
      <c r="C596" s="91" t="s">
        <v>1403</v>
      </c>
    </row>
    <row r="597" spans="1:3" ht="15">
      <c r="A597" s="84" t="s">
        <v>416</v>
      </c>
      <c r="B597" s="83" t="s">
        <v>3298</v>
      </c>
      <c r="C597" s="91" t="s">
        <v>1403</v>
      </c>
    </row>
    <row r="598" spans="1:3" ht="15">
      <c r="A598" s="84" t="s">
        <v>416</v>
      </c>
      <c r="B598" s="83" t="s">
        <v>3299</v>
      </c>
      <c r="C598" s="91" t="s">
        <v>1403</v>
      </c>
    </row>
    <row r="599" spans="1:3" ht="15">
      <c r="A599" s="84" t="s">
        <v>416</v>
      </c>
      <c r="B599" s="83" t="s">
        <v>2179</v>
      </c>
      <c r="C599" s="91" t="s">
        <v>1403</v>
      </c>
    </row>
    <row r="600" spans="1:3" ht="15">
      <c r="A600" s="84" t="s">
        <v>416</v>
      </c>
      <c r="B600" s="83" t="s">
        <v>3300</v>
      </c>
      <c r="C600" s="91" t="s">
        <v>1403</v>
      </c>
    </row>
    <row r="601" spans="1:3" ht="15">
      <c r="A601" s="84" t="s">
        <v>416</v>
      </c>
      <c r="B601" s="83" t="s">
        <v>3301</v>
      </c>
      <c r="C601" s="91" t="s">
        <v>1403</v>
      </c>
    </row>
    <row r="602" spans="1:3" ht="15">
      <c r="A602" s="84" t="s">
        <v>416</v>
      </c>
      <c r="B602" s="83" t="s">
        <v>3199</v>
      </c>
      <c r="C602" s="91" t="s">
        <v>1403</v>
      </c>
    </row>
    <row r="603" spans="1:3" ht="15">
      <c r="A603" s="84" t="s">
        <v>416</v>
      </c>
      <c r="B603" s="83" t="s">
        <v>3214</v>
      </c>
      <c r="C603" s="91" t="s">
        <v>1403</v>
      </c>
    </row>
    <row r="604" spans="1:3" ht="15">
      <c r="A604" s="84" t="s">
        <v>416</v>
      </c>
      <c r="B604" s="83" t="s">
        <v>3302</v>
      </c>
      <c r="C604" s="91" t="s">
        <v>1403</v>
      </c>
    </row>
    <row r="605" spans="1:3" ht="15">
      <c r="A605" s="84" t="s">
        <v>416</v>
      </c>
      <c r="B605" s="83" t="s">
        <v>3303</v>
      </c>
      <c r="C605" s="91" t="s">
        <v>1403</v>
      </c>
    </row>
    <row r="606" spans="1:3" ht="15">
      <c r="A606" s="84" t="s">
        <v>416</v>
      </c>
      <c r="B606" s="83" t="s">
        <v>3304</v>
      </c>
      <c r="C606" s="91" t="s">
        <v>1400</v>
      </c>
    </row>
    <row r="607" spans="1:3" ht="15">
      <c r="A607" s="84" t="s">
        <v>416</v>
      </c>
      <c r="B607" s="83" t="s">
        <v>2716</v>
      </c>
      <c r="C607" s="91" t="s">
        <v>1400</v>
      </c>
    </row>
    <row r="608" spans="1:3" ht="15">
      <c r="A608" s="84" t="s">
        <v>416</v>
      </c>
      <c r="B608" s="83" t="s">
        <v>3205</v>
      </c>
      <c r="C608" s="91" t="s">
        <v>1400</v>
      </c>
    </row>
    <row r="609" spans="1:3" ht="15">
      <c r="A609" s="84" t="s">
        <v>416</v>
      </c>
      <c r="B609" s="83" t="s">
        <v>2672</v>
      </c>
      <c r="C609" s="91" t="s">
        <v>1400</v>
      </c>
    </row>
    <row r="610" spans="1:3" ht="15">
      <c r="A610" s="84" t="s">
        <v>416</v>
      </c>
      <c r="B610" s="83" t="s">
        <v>2809</v>
      </c>
      <c r="C610" s="91" t="s">
        <v>1400</v>
      </c>
    </row>
    <row r="611" spans="1:3" ht="15">
      <c r="A611" s="84" t="s">
        <v>416</v>
      </c>
      <c r="B611" s="83" t="s">
        <v>2810</v>
      </c>
      <c r="C611" s="91" t="s">
        <v>1400</v>
      </c>
    </row>
    <row r="612" spans="1:3" ht="15">
      <c r="A612" s="84" t="s">
        <v>416</v>
      </c>
      <c r="B612" s="83" t="s">
        <v>2811</v>
      </c>
      <c r="C612" s="91" t="s">
        <v>1400</v>
      </c>
    </row>
    <row r="613" spans="1:3" ht="15">
      <c r="A613" s="84" t="s">
        <v>416</v>
      </c>
      <c r="B613" s="83" t="s">
        <v>2576</v>
      </c>
      <c r="C613" s="91" t="s">
        <v>1400</v>
      </c>
    </row>
    <row r="614" spans="1:3" ht="15">
      <c r="A614" s="84" t="s">
        <v>416</v>
      </c>
      <c r="B614" s="83" t="s">
        <v>2589</v>
      </c>
      <c r="C614" s="91" t="s">
        <v>1400</v>
      </c>
    </row>
    <row r="615" spans="1:3" ht="15">
      <c r="A615" s="84" t="s">
        <v>416</v>
      </c>
      <c r="B615" s="83" t="s">
        <v>2812</v>
      </c>
      <c r="C615" s="91" t="s">
        <v>1400</v>
      </c>
    </row>
    <row r="616" spans="1:3" ht="15">
      <c r="A616" s="84" t="s">
        <v>416</v>
      </c>
      <c r="B616" s="83" t="s">
        <v>2668</v>
      </c>
      <c r="C616" s="91" t="s">
        <v>1400</v>
      </c>
    </row>
    <row r="617" spans="1:3" ht="15">
      <c r="A617" s="84" t="s">
        <v>416</v>
      </c>
      <c r="B617" s="83" t="s">
        <v>2814</v>
      </c>
      <c r="C617" s="91" t="s">
        <v>1400</v>
      </c>
    </row>
    <row r="618" spans="1:3" ht="15">
      <c r="A618" s="84" t="s">
        <v>416</v>
      </c>
      <c r="B618" s="83" t="s">
        <v>3305</v>
      </c>
      <c r="C618" s="91" t="s">
        <v>1400</v>
      </c>
    </row>
    <row r="619" spans="1:3" ht="15">
      <c r="A619" s="84" t="s">
        <v>416</v>
      </c>
      <c r="B619" s="83" t="s">
        <v>3306</v>
      </c>
      <c r="C619" s="91" t="s">
        <v>1400</v>
      </c>
    </row>
    <row r="620" spans="1:3" ht="15">
      <c r="A620" s="84" t="s">
        <v>416</v>
      </c>
      <c r="B620" s="83" t="s">
        <v>3290</v>
      </c>
      <c r="C620" s="91" t="s">
        <v>1400</v>
      </c>
    </row>
    <row r="621" spans="1:3" ht="15">
      <c r="A621" s="84" t="s">
        <v>416</v>
      </c>
      <c r="B621" s="83" t="s">
        <v>3213</v>
      </c>
      <c r="C621" s="91" t="s">
        <v>1400</v>
      </c>
    </row>
    <row r="622" spans="1:3" ht="15">
      <c r="A622" s="84" t="s">
        <v>416</v>
      </c>
      <c r="B622" s="83" t="s">
        <v>3291</v>
      </c>
      <c r="C622" s="91" t="s">
        <v>1400</v>
      </c>
    </row>
    <row r="623" spans="1:3" ht="15">
      <c r="A623" s="84" t="s">
        <v>416</v>
      </c>
      <c r="B623" s="83" t="s">
        <v>3292</v>
      </c>
      <c r="C623" s="91" t="s">
        <v>1400</v>
      </c>
    </row>
    <row r="624" spans="1:3" ht="15">
      <c r="A624" s="84" t="s">
        <v>416</v>
      </c>
      <c r="B624" s="83" t="s">
        <v>3307</v>
      </c>
      <c r="C624" s="91" t="s">
        <v>1400</v>
      </c>
    </row>
    <row r="625" spans="1:3" ht="15">
      <c r="A625" s="84" t="s">
        <v>416</v>
      </c>
      <c r="B625" s="83" t="s">
        <v>2179</v>
      </c>
      <c r="C625" s="91" t="s">
        <v>1400</v>
      </c>
    </row>
    <row r="626" spans="1:3" ht="15">
      <c r="A626" s="84" t="s">
        <v>416</v>
      </c>
      <c r="B626" s="83" t="s">
        <v>3301</v>
      </c>
      <c r="C626" s="91" t="s">
        <v>1400</v>
      </c>
    </row>
    <row r="627" spans="1:3" ht="15">
      <c r="A627" s="84" t="s">
        <v>416</v>
      </c>
      <c r="B627" s="83" t="s">
        <v>3302</v>
      </c>
      <c r="C627" s="91" t="s">
        <v>1400</v>
      </c>
    </row>
    <row r="628" spans="1:3" ht="15">
      <c r="A628" s="84" t="s">
        <v>416</v>
      </c>
      <c r="B628" s="83" t="s">
        <v>3303</v>
      </c>
      <c r="C628" s="91" t="s">
        <v>1400</v>
      </c>
    </row>
    <row r="629" spans="1:3" ht="15">
      <c r="A629" s="84" t="s">
        <v>416</v>
      </c>
      <c r="B629" s="83" t="s">
        <v>3199</v>
      </c>
      <c r="C629" s="91" t="s">
        <v>1400</v>
      </c>
    </row>
    <row r="630" spans="1:3" ht="15">
      <c r="A630" s="84" t="s">
        <v>416</v>
      </c>
      <c r="B630" s="83" t="s">
        <v>3294</v>
      </c>
      <c r="C630" s="91" t="s">
        <v>1400</v>
      </c>
    </row>
    <row r="631" spans="1:3" ht="15">
      <c r="A631" s="84" t="s">
        <v>416</v>
      </c>
      <c r="B631" s="83" t="s">
        <v>3295</v>
      </c>
      <c r="C631" s="91" t="s">
        <v>1400</v>
      </c>
    </row>
    <row r="632" spans="1:3" ht="15">
      <c r="A632" s="84" t="s">
        <v>416</v>
      </c>
      <c r="B632" s="83" t="s">
        <v>3237</v>
      </c>
      <c r="C632" s="91" t="s">
        <v>1400</v>
      </c>
    </row>
    <row r="633" spans="1:3" ht="15">
      <c r="A633" s="84" t="s">
        <v>416</v>
      </c>
      <c r="B633" s="83" t="s">
        <v>3296</v>
      </c>
      <c r="C633" s="91" t="s">
        <v>1400</v>
      </c>
    </row>
    <row r="634" spans="1:3" ht="15">
      <c r="A634" s="84" t="s">
        <v>416</v>
      </c>
      <c r="B634" s="83" t="s">
        <v>3297</v>
      </c>
      <c r="C634" s="91" t="s">
        <v>1400</v>
      </c>
    </row>
    <row r="635" spans="1:3" ht="15">
      <c r="A635" s="84" t="s">
        <v>416</v>
      </c>
      <c r="B635" s="83" t="s">
        <v>3218</v>
      </c>
      <c r="C635" s="91" t="s">
        <v>1400</v>
      </c>
    </row>
    <row r="636" spans="1:3" ht="15">
      <c r="A636" s="84" t="s">
        <v>416</v>
      </c>
      <c r="B636" s="83" t="s">
        <v>3293</v>
      </c>
      <c r="C636" s="91" t="s">
        <v>1400</v>
      </c>
    </row>
    <row r="637" spans="1:3" ht="15">
      <c r="A637" s="84" t="s">
        <v>416</v>
      </c>
      <c r="B637" s="83" t="s">
        <v>3298</v>
      </c>
      <c r="C637" s="91" t="s">
        <v>1400</v>
      </c>
    </row>
    <row r="638" spans="1:3" ht="15">
      <c r="A638" s="84" t="s">
        <v>416</v>
      </c>
      <c r="B638" s="83" t="s">
        <v>3299</v>
      </c>
      <c r="C638" s="91" t="s">
        <v>1400</v>
      </c>
    </row>
    <row r="639" spans="1:3" ht="15">
      <c r="A639" s="84" t="s">
        <v>416</v>
      </c>
      <c r="B639" s="83" t="s">
        <v>3308</v>
      </c>
      <c r="C639" s="91" t="s">
        <v>1397</v>
      </c>
    </row>
    <row r="640" spans="1:3" ht="15">
      <c r="A640" s="84" t="s">
        <v>416</v>
      </c>
      <c r="B640" s="83" t="s">
        <v>2568</v>
      </c>
      <c r="C640" s="91" t="s">
        <v>1397</v>
      </c>
    </row>
    <row r="641" spans="1:3" ht="15">
      <c r="A641" s="84" t="s">
        <v>416</v>
      </c>
      <c r="B641" s="83" t="s">
        <v>3203</v>
      </c>
      <c r="C641" s="91" t="s">
        <v>1397</v>
      </c>
    </row>
    <row r="642" spans="1:3" ht="15">
      <c r="A642" s="84" t="s">
        <v>416</v>
      </c>
      <c r="B642" s="83">
        <v>19</v>
      </c>
      <c r="C642" s="91" t="s">
        <v>1397</v>
      </c>
    </row>
    <row r="643" spans="1:3" ht="15">
      <c r="A643" s="84" t="s">
        <v>416</v>
      </c>
      <c r="B643" s="83" t="s">
        <v>3309</v>
      </c>
      <c r="C643" s="91" t="s">
        <v>1397</v>
      </c>
    </row>
    <row r="644" spans="1:3" ht="15">
      <c r="A644" s="84" t="s">
        <v>416</v>
      </c>
      <c r="B644" s="83" t="s">
        <v>2666</v>
      </c>
      <c r="C644" s="91" t="s">
        <v>1397</v>
      </c>
    </row>
    <row r="645" spans="1:3" ht="15">
      <c r="A645" s="84" t="s">
        <v>416</v>
      </c>
      <c r="B645" s="83" t="s">
        <v>2630</v>
      </c>
      <c r="C645" s="91" t="s">
        <v>1397</v>
      </c>
    </row>
    <row r="646" spans="1:3" ht="15">
      <c r="A646" s="84" t="s">
        <v>416</v>
      </c>
      <c r="B646" s="83" t="s">
        <v>2676</v>
      </c>
      <c r="C646" s="91" t="s">
        <v>1397</v>
      </c>
    </row>
    <row r="647" spans="1:3" ht="15">
      <c r="A647" s="84" t="s">
        <v>416</v>
      </c>
      <c r="B647" s="83" t="s">
        <v>2580</v>
      </c>
      <c r="C647" s="91" t="s">
        <v>1397</v>
      </c>
    </row>
    <row r="648" spans="1:3" ht="15">
      <c r="A648" s="84" t="s">
        <v>416</v>
      </c>
      <c r="B648" s="83" t="s">
        <v>2677</v>
      </c>
      <c r="C648" s="91" t="s">
        <v>1397</v>
      </c>
    </row>
    <row r="649" spans="1:3" ht="15">
      <c r="A649" s="84" t="s">
        <v>416</v>
      </c>
      <c r="B649" s="83" t="s">
        <v>3310</v>
      </c>
      <c r="C649" s="91" t="s">
        <v>1397</v>
      </c>
    </row>
    <row r="650" spans="1:3" ht="15">
      <c r="A650" s="84" t="s">
        <v>416</v>
      </c>
      <c r="B650" s="83" t="s">
        <v>3282</v>
      </c>
      <c r="C650" s="91" t="s">
        <v>1397</v>
      </c>
    </row>
    <row r="651" spans="1:3" ht="15">
      <c r="A651" s="84" t="s">
        <v>416</v>
      </c>
      <c r="B651" s="83" t="s">
        <v>3311</v>
      </c>
      <c r="C651" s="91" t="s">
        <v>1397</v>
      </c>
    </row>
    <row r="652" spans="1:3" ht="15">
      <c r="A652" s="84" t="s">
        <v>416</v>
      </c>
      <c r="B652" s="83" t="s">
        <v>2577</v>
      </c>
      <c r="C652" s="91" t="s">
        <v>1397</v>
      </c>
    </row>
    <row r="653" spans="1:3" ht="15">
      <c r="A653" s="84" t="s">
        <v>416</v>
      </c>
      <c r="B653" s="83" t="s">
        <v>2658</v>
      </c>
      <c r="C653" s="91" t="s">
        <v>1397</v>
      </c>
    </row>
    <row r="654" spans="1:3" ht="15">
      <c r="A654" s="84" t="s">
        <v>416</v>
      </c>
      <c r="B654" s="83" t="s">
        <v>2653</v>
      </c>
      <c r="C654" s="91" t="s">
        <v>1397</v>
      </c>
    </row>
    <row r="655" spans="1:3" ht="15">
      <c r="A655" s="84" t="s">
        <v>416</v>
      </c>
      <c r="B655" s="83" t="s">
        <v>2667</v>
      </c>
      <c r="C655" s="91" t="s">
        <v>1397</v>
      </c>
    </row>
    <row r="656" spans="1:3" ht="15">
      <c r="A656" s="84" t="s">
        <v>416</v>
      </c>
      <c r="B656" s="83" t="s">
        <v>2578</v>
      </c>
      <c r="C656" s="91" t="s">
        <v>1397</v>
      </c>
    </row>
    <row r="657" spans="1:3" ht="15">
      <c r="A657" s="84" t="s">
        <v>416</v>
      </c>
      <c r="B657" s="83" t="s">
        <v>2678</v>
      </c>
      <c r="C657" s="91" t="s">
        <v>1397</v>
      </c>
    </row>
    <row r="658" spans="1:3" ht="15">
      <c r="A658" s="84" t="s">
        <v>416</v>
      </c>
      <c r="B658" s="83" t="s">
        <v>3312</v>
      </c>
      <c r="C658" s="91" t="s">
        <v>1397</v>
      </c>
    </row>
    <row r="659" spans="1:3" ht="15">
      <c r="A659" s="84" t="s">
        <v>416</v>
      </c>
      <c r="B659" s="83" t="s">
        <v>3290</v>
      </c>
      <c r="C659" s="91" t="s">
        <v>1397</v>
      </c>
    </row>
    <row r="660" spans="1:3" ht="15">
      <c r="A660" s="84" t="s">
        <v>416</v>
      </c>
      <c r="B660" s="83" t="s">
        <v>3313</v>
      </c>
      <c r="C660" s="91" t="s">
        <v>1397</v>
      </c>
    </row>
    <row r="661" spans="1:3" ht="15">
      <c r="A661" s="84" t="s">
        <v>416</v>
      </c>
      <c r="B661" s="83" t="s">
        <v>3314</v>
      </c>
      <c r="C661" s="91" t="s">
        <v>1397</v>
      </c>
    </row>
    <row r="662" spans="1:3" ht="15">
      <c r="A662" s="84" t="s">
        <v>416</v>
      </c>
      <c r="B662" s="83" t="s">
        <v>3315</v>
      </c>
      <c r="C662" s="91" t="s">
        <v>1397</v>
      </c>
    </row>
    <row r="663" spans="1:3" ht="15">
      <c r="A663" s="84" t="s">
        <v>416</v>
      </c>
      <c r="B663" s="83" t="s">
        <v>586</v>
      </c>
      <c r="C663" s="91" t="s">
        <v>1397</v>
      </c>
    </row>
    <row r="664" spans="1:3" ht="15">
      <c r="A664" s="84" t="s">
        <v>416</v>
      </c>
      <c r="B664" s="83" t="s">
        <v>3258</v>
      </c>
      <c r="C664" s="91" t="s">
        <v>1397</v>
      </c>
    </row>
    <row r="665" spans="1:3" ht="15">
      <c r="A665" s="84" t="s">
        <v>416</v>
      </c>
      <c r="B665" s="83" t="s">
        <v>3316</v>
      </c>
      <c r="C665" s="91" t="s">
        <v>1395</v>
      </c>
    </row>
    <row r="666" spans="1:3" ht="15">
      <c r="A666" s="84" t="s">
        <v>416</v>
      </c>
      <c r="B666" s="83" t="s">
        <v>2610</v>
      </c>
      <c r="C666" s="91" t="s">
        <v>1395</v>
      </c>
    </row>
    <row r="667" spans="1:3" ht="15">
      <c r="A667" s="84" t="s">
        <v>416</v>
      </c>
      <c r="B667" s="83" t="s">
        <v>2936</v>
      </c>
      <c r="C667" s="91" t="s">
        <v>1395</v>
      </c>
    </row>
    <row r="668" spans="1:3" ht="15">
      <c r="A668" s="84" t="s">
        <v>416</v>
      </c>
      <c r="B668" s="83" t="s">
        <v>2937</v>
      </c>
      <c r="C668" s="91" t="s">
        <v>1395</v>
      </c>
    </row>
    <row r="669" spans="1:3" ht="15">
      <c r="A669" s="84" t="s">
        <v>416</v>
      </c>
      <c r="B669" s="83" t="s">
        <v>2576</v>
      </c>
      <c r="C669" s="91" t="s">
        <v>1395</v>
      </c>
    </row>
    <row r="670" spans="1:3" ht="15">
      <c r="A670" s="84" t="s">
        <v>416</v>
      </c>
      <c r="B670" s="83" t="s">
        <v>2938</v>
      </c>
      <c r="C670" s="91" t="s">
        <v>1395</v>
      </c>
    </row>
    <row r="671" spans="1:3" ht="15">
      <c r="A671" s="84" t="s">
        <v>416</v>
      </c>
      <c r="B671" s="83" t="s">
        <v>3203</v>
      </c>
      <c r="C671" s="91" t="s">
        <v>1395</v>
      </c>
    </row>
    <row r="672" spans="1:3" ht="15">
      <c r="A672" s="84" t="s">
        <v>416</v>
      </c>
      <c r="B672" s="83">
        <v>19</v>
      </c>
      <c r="C672" s="91" t="s">
        <v>1395</v>
      </c>
    </row>
    <row r="673" spans="1:3" ht="15">
      <c r="A673" s="84" t="s">
        <v>416</v>
      </c>
      <c r="B673" s="83" t="s">
        <v>2939</v>
      </c>
      <c r="C673" s="91" t="s">
        <v>1395</v>
      </c>
    </row>
    <row r="674" spans="1:3" ht="15">
      <c r="A674" s="84" t="s">
        <v>416</v>
      </c>
      <c r="B674" s="83" t="s">
        <v>2580</v>
      </c>
      <c r="C674" s="91" t="s">
        <v>1395</v>
      </c>
    </row>
    <row r="675" spans="1:3" ht="15">
      <c r="A675" s="84" t="s">
        <v>416</v>
      </c>
      <c r="B675" s="83" t="s">
        <v>2848</v>
      </c>
      <c r="C675" s="91" t="s">
        <v>1395</v>
      </c>
    </row>
    <row r="676" spans="1:3" ht="15">
      <c r="A676" s="84" t="s">
        <v>416</v>
      </c>
      <c r="B676" s="83" t="s">
        <v>15</v>
      </c>
      <c r="C676" s="91" t="s">
        <v>1395</v>
      </c>
    </row>
    <row r="677" spans="1:3" ht="15">
      <c r="A677" s="84" t="s">
        <v>416</v>
      </c>
      <c r="B677" s="83" t="s">
        <v>3317</v>
      </c>
      <c r="C677" s="91" t="s">
        <v>1395</v>
      </c>
    </row>
    <row r="678" spans="1:3" ht="15">
      <c r="A678" s="84" t="s">
        <v>416</v>
      </c>
      <c r="B678" s="83" t="s">
        <v>2940</v>
      </c>
      <c r="C678" s="91" t="s">
        <v>1395</v>
      </c>
    </row>
    <row r="679" spans="1:3" ht="15">
      <c r="A679" s="84" t="s">
        <v>416</v>
      </c>
      <c r="B679" s="83" t="s">
        <v>3198</v>
      </c>
      <c r="C679" s="91" t="s">
        <v>1395</v>
      </c>
    </row>
    <row r="680" spans="1:3" ht="15">
      <c r="A680" s="84" t="s">
        <v>416</v>
      </c>
      <c r="B680" s="83" t="s">
        <v>3211</v>
      </c>
      <c r="C680" s="91" t="s">
        <v>1395</v>
      </c>
    </row>
    <row r="681" spans="1:3" ht="15">
      <c r="A681" s="84" t="s">
        <v>416</v>
      </c>
      <c r="B681" s="83" t="s">
        <v>3212</v>
      </c>
      <c r="C681" s="91" t="s">
        <v>1395</v>
      </c>
    </row>
    <row r="682" spans="1:3" ht="15">
      <c r="A682" s="84" t="s">
        <v>416</v>
      </c>
      <c r="B682" s="83" t="s">
        <v>3199</v>
      </c>
      <c r="C682" s="91" t="s">
        <v>1395</v>
      </c>
    </row>
    <row r="683" spans="1:3" ht="15">
      <c r="A683" s="84" t="s">
        <v>416</v>
      </c>
      <c r="B683" s="83" t="s">
        <v>3218</v>
      </c>
      <c r="C683" s="91" t="s">
        <v>1395</v>
      </c>
    </row>
    <row r="684" spans="1:3" ht="15">
      <c r="A684" s="84" t="s">
        <v>416</v>
      </c>
      <c r="B684" s="83" t="s">
        <v>3219</v>
      </c>
      <c r="C684" s="91" t="s">
        <v>1395</v>
      </c>
    </row>
    <row r="685" spans="1:3" ht="15">
      <c r="A685" s="84" t="s">
        <v>416</v>
      </c>
      <c r="B685" s="83" t="s">
        <v>3234</v>
      </c>
      <c r="C685" s="91" t="s">
        <v>1395</v>
      </c>
    </row>
    <row r="686" spans="1:3" ht="15">
      <c r="A686" s="84" t="s">
        <v>416</v>
      </c>
      <c r="B686" s="83" t="s">
        <v>3235</v>
      </c>
      <c r="C686" s="91" t="s">
        <v>1395</v>
      </c>
    </row>
    <row r="687" spans="1:3" ht="15">
      <c r="A687" s="84" t="s">
        <v>416</v>
      </c>
      <c r="B687" s="83" t="s">
        <v>3236</v>
      </c>
      <c r="C687" s="91" t="s">
        <v>1395</v>
      </c>
    </row>
    <row r="688" spans="1:3" ht="15">
      <c r="A688" s="84" t="s">
        <v>416</v>
      </c>
      <c r="B688" s="83" t="s">
        <v>3318</v>
      </c>
      <c r="C688" s="91" t="s">
        <v>1395</v>
      </c>
    </row>
    <row r="689" spans="1:3" ht="15">
      <c r="A689" s="84" t="s">
        <v>416</v>
      </c>
      <c r="B689" s="83" t="s">
        <v>3221</v>
      </c>
      <c r="C689" s="91" t="s">
        <v>1395</v>
      </c>
    </row>
    <row r="690" spans="1:3" ht="15">
      <c r="A690" s="84" t="s">
        <v>416</v>
      </c>
      <c r="B690" s="83" t="s">
        <v>3215</v>
      </c>
      <c r="C690" s="91" t="s">
        <v>1395</v>
      </c>
    </row>
    <row r="691" spans="1:3" ht="15">
      <c r="A691" s="84" t="s">
        <v>416</v>
      </c>
      <c r="B691" s="83" t="s">
        <v>3237</v>
      </c>
      <c r="C691" s="91" t="s">
        <v>1395</v>
      </c>
    </row>
    <row r="692" spans="1:3" ht="15">
      <c r="A692" s="84" t="s">
        <v>416</v>
      </c>
      <c r="B692" s="83" t="s">
        <v>3214</v>
      </c>
      <c r="C692" s="91" t="s">
        <v>1395</v>
      </c>
    </row>
    <row r="693" spans="1:3" ht="15">
      <c r="A693" s="84" t="s">
        <v>416</v>
      </c>
      <c r="B693" s="83" t="s">
        <v>3319</v>
      </c>
      <c r="C693" s="91" t="s">
        <v>1395</v>
      </c>
    </row>
    <row r="694" spans="1:3" ht="15">
      <c r="A694" s="84" t="s">
        <v>416</v>
      </c>
      <c r="B694" s="83" t="s">
        <v>3213</v>
      </c>
      <c r="C694" s="91" t="s">
        <v>1395</v>
      </c>
    </row>
    <row r="695" spans="1:3" ht="15">
      <c r="A695" s="84" t="s">
        <v>412</v>
      </c>
      <c r="B695" s="83" t="s">
        <v>3320</v>
      </c>
      <c r="C695" s="91" t="s">
        <v>1380</v>
      </c>
    </row>
    <row r="696" spans="1:3" ht="15">
      <c r="A696" s="84" t="s">
        <v>412</v>
      </c>
      <c r="B696" s="83" t="s">
        <v>3321</v>
      </c>
      <c r="C696" s="91" t="s">
        <v>1380</v>
      </c>
    </row>
    <row r="697" spans="1:3" ht="15">
      <c r="A697" s="84" t="s">
        <v>412</v>
      </c>
      <c r="B697" s="83" t="s">
        <v>3308</v>
      </c>
      <c r="C697" s="91" t="s">
        <v>1380</v>
      </c>
    </row>
    <row r="698" spans="1:3" ht="15">
      <c r="A698" s="84" t="s">
        <v>412</v>
      </c>
      <c r="B698" s="83" t="s">
        <v>2568</v>
      </c>
      <c r="C698" s="91" t="s">
        <v>1380</v>
      </c>
    </row>
    <row r="699" spans="1:3" ht="15">
      <c r="A699" s="84" t="s">
        <v>412</v>
      </c>
      <c r="B699" s="83" t="s">
        <v>3203</v>
      </c>
      <c r="C699" s="91" t="s">
        <v>1380</v>
      </c>
    </row>
    <row r="700" spans="1:3" ht="15">
      <c r="A700" s="84" t="s">
        <v>412</v>
      </c>
      <c r="B700" s="83">
        <v>19</v>
      </c>
      <c r="C700" s="91" t="s">
        <v>1380</v>
      </c>
    </row>
    <row r="701" spans="1:3" ht="15">
      <c r="A701" s="84" t="s">
        <v>412</v>
      </c>
      <c r="B701" s="83" t="s">
        <v>3309</v>
      </c>
      <c r="C701" s="91" t="s">
        <v>1380</v>
      </c>
    </row>
    <row r="702" spans="1:3" ht="15">
      <c r="A702" s="84" t="s">
        <v>412</v>
      </c>
      <c r="B702" s="83" t="s">
        <v>2666</v>
      </c>
      <c r="C702" s="91" t="s">
        <v>1380</v>
      </c>
    </row>
    <row r="703" spans="1:3" ht="15">
      <c r="A703" s="84" t="s">
        <v>412</v>
      </c>
      <c r="B703" s="83" t="s">
        <v>2630</v>
      </c>
      <c r="C703" s="91" t="s">
        <v>1380</v>
      </c>
    </row>
    <row r="704" spans="1:3" ht="15">
      <c r="A704" s="84" t="s">
        <v>412</v>
      </c>
      <c r="B704" s="83" t="s">
        <v>2676</v>
      </c>
      <c r="C704" s="91" t="s">
        <v>1380</v>
      </c>
    </row>
    <row r="705" spans="1:3" ht="15">
      <c r="A705" s="84" t="s">
        <v>412</v>
      </c>
      <c r="B705" s="83" t="s">
        <v>2580</v>
      </c>
      <c r="C705" s="91" t="s">
        <v>1380</v>
      </c>
    </row>
    <row r="706" spans="1:3" ht="15">
      <c r="A706" s="84" t="s">
        <v>412</v>
      </c>
      <c r="B706" s="83" t="s">
        <v>2677</v>
      </c>
      <c r="C706" s="91" t="s">
        <v>1380</v>
      </c>
    </row>
    <row r="707" spans="1:3" ht="15">
      <c r="A707" s="84" t="s">
        <v>412</v>
      </c>
      <c r="B707" s="83" t="s">
        <v>3310</v>
      </c>
      <c r="C707" s="91" t="s">
        <v>1380</v>
      </c>
    </row>
    <row r="708" spans="1:3" ht="15">
      <c r="A708" s="84" t="s">
        <v>412</v>
      </c>
      <c r="B708" s="83" t="s">
        <v>3282</v>
      </c>
      <c r="C708" s="91" t="s">
        <v>1380</v>
      </c>
    </row>
    <row r="709" spans="1:3" ht="15">
      <c r="A709" s="84" t="s">
        <v>412</v>
      </c>
      <c r="B709" s="83" t="s">
        <v>3311</v>
      </c>
      <c r="C709" s="91" t="s">
        <v>1380</v>
      </c>
    </row>
    <row r="710" spans="1:3" ht="15">
      <c r="A710" s="84" t="s">
        <v>412</v>
      </c>
      <c r="B710" s="83" t="s">
        <v>2577</v>
      </c>
      <c r="C710" s="91" t="s">
        <v>1380</v>
      </c>
    </row>
    <row r="711" spans="1:3" ht="15">
      <c r="A711" s="84" t="s">
        <v>412</v>
      </c>
      <c r="B711" s="83" t="s">
        <v>2658</v>
      </c>
      <c r="C711" s="91" t="s">
        <v>1380</v>
      </c>
    </row>
    <row r="712" spans="1:3" ht="15">
      <c r="A712" s="84" t="s">
        <v>412</v>
      </c>
      <c r="B712" s="83" t="s">
        <v>2653</v>
      </c>
      <c r="C712" s="91" t="s">
        <v>1380</v>
      </c>
    </row>
    <row r="713" spans="1:3" ht="15">
      <c r="A713" s="84" t="s">
        <v>412</v>
      </c>
      <c r="B713" s="83" t="s">
        <v>2667</v>
      </c>
      <c r="C713" s="91" t="s">
        <v>1380</v>
      </c>
    </row>
    <row r="714" spans="1:3" ht="15">
      <c r="A714" s="84" t="s">
        <v>412</v>
      </c>
      <c r="B714" s="83" t="s">
        <v>2578</v>
      </c>
      <c r="C714" s="91" t="s">
        <v>1380</v>
      </c>
    </row>
    <row r="715" spans="1:3" ht="15">
      <c r="A715" s="84" t="s">
        <v>412</v>
      </c>
      <c r="B715" s="83" t="s">
        <v>2678</v>
      </c>
      <c r="C715" s="91" t="s">
        <v>1380</v>
      </c>
    </row>
    <row r="716" spans="1:3" ht="15">
      <c r="A716" s="84" t="s">
        <v>412</v>
      </c>
      <c r="B716" s="83" t="s">
        <v>3312</v>
      </c>
      <c r="C716" s="91" t="s">
        <v>1380</v>
      </c>
    </row>
    <row r="717" spans="1:3" ht="15">
      <c r="A717" s="84" t="s">
        <v>412</v>
      </c>
      <c r="B717" s="83" t="s">
        <v>3290</v>
      </c>
      <c r="C717" s="91" t="s">
        <v>1380</v>
      </c>
    </row>
    <row r="718" spans="1:3" ht="15">
      <c r="A718" s="84" t="s">
        <v>412</v>
      </c>
      <c r="B718" s="83" t="s">
        <v>3313</v>
      </c>
      <c r="C718" s="91" t="s">
        <v>1380</v>
      </c>
    </row>
    <row r="719" spans="1:3" ht="15">
      <c r="A719" s="84" t="s">
        <v>412</v>
      </c>
      <c r="B719" s="83" t="s">
        <v>3314</v>
      </c>
      <c r="C719" s="91" t="s">
        <v>1380</v>
      </c>
    </row>
    <row r="720" spans="1:3" ht="15">
      <c r="A720" s="84" t="s">
        <v>412</v>
      </c>
      <c r="B720" s="83" t="s">
        <v>3315</v>
      </c>
      <c r="C720" s="91" t="s">
        <v>1380</v>
      </c>
    </row>
    <row r="721" spans="1:3" ht="15">
      <c r="A721" s="84" t="s">
        <v>412</v>
      </c>
      <c r="B721" s="83" t="s">
        <v>586</v>
      </c>
      <c r="C721" s="91" t="s">
        <v>1380</v>
      </c>
    </row>
    <row r="722" spans="1:3" ht="15">
      <c r="A722" s="84" t="s">
        <v>412</v>
      </c>
      <c r="B722" s="83" t="s">
        <v>3258</v>
      </c>
      <c r="C722" s="91" t="s">
        <v>1380</v>
      </c>
    </row>
    <row r="723" spans="1:3" ht="15">
      <c r="A723" s="84" t="s">
        <v>412</v>
      </c>
      <c r="B723" s="83" t="s">
        <v>3322</v>
      </c>
      <c r="C723" s="91" t="s">
        <v>1380</v>
      </c>
    </row>
    <row r="724" spans="1:3" ht="15">
      <c r="A724" s="84" t="s">
        <v>390</v>
      </c>
      <c r="B724" s="83" t="s">
        <v>3320</v>
      </c>
      <c r="C724" s="91" t="s">
        <v>1379</v>
      </c>
    </row>
    <row r="725" spans="1:3" ht="15">
      <c r="A725" s="84" t="s">
        <v>390</v>
      </c>
      <c r="B725" s="83" t="s">
        <v>3321</v>
      </c>
      <c r="C725" s="91" t="s">
        <v>1379</v>
      </c>
    </row>
    <row r="726" spans="1:3" ht="15">
      <c r="A726" s="84" t="s">
        <v>390</v>
      </c>
      <c r="B726" s="83" t="s">
        <v>3308</v>
      </c>
      <c r="C726" s="91" t="s">
        <v>1379</v>
      </c>
    </row>
    <row r="727" spans="1:3" ht="15">
      <c r="A727" s="84" t="s">
        <v>390</v>
      </c>
      <c r="B727" s="83" t="s">
        <v>2568</v>
      </c>
      <c r="C727" s="91" t="s">
        <v>1379</v>
      </c>
    </row>
    <row r="728" spans="1:3" ht="15">
      <c r="A728" s="84" t="s">
        <v>390</v>
      </c>
      <c r="B728" s="83" t="s">
        <v>3203</v>
      </c>
      <c r="C728" s="91" t="s">
        <v>1379</v>
      </c>
    </row>
    <row r="729" spans="1:3" ht="15">
      <c r="A729" s="84" t="s">
        <v>390</v>
      </c>
      <c r="B729" s="83">
        <v>19</v>
      </c>
      <c r="C729" s="91" t="s">
        <v>1379</v>
      </c>
    </row>
    <row r="730" spans="1:3" ht="15">
      <c r="A730" s="84" t="s">
        <v>390</v>
      </c>
      <c r="B730" s="83" t="s">
        <v>3309</v>
      </c>
      <c r="C730" s="91" t="s">
        <v>1379</v>
      </c>
    </row>
    <row r="731" spans="1:3" ht="15">
      <c r="A731" s="84" t="s">
        <v>390</v>
      </c>
      <c r="B731" s="83" t="s">
        <v>2666</v>
      </c>
      <c r="C731" s="91" t="s">
        <v>1379</v>
      </c>
    </row>
    <row r="732" spans="1:3" ht="15">
      <c r="A732" s="84" t="s">
        <v>390</v>
      </c>
      <c r="B732" s="83" t="s">
        <v>2630</v>
      </c>
      <c r="C732" s="91" t="s">
        <v>1379</v>
      </c>
    </row>
    <row r="733" spans="1:3" ht="15">
      <c r="A733" s="84" t="s">
        <v>390</v>
      </c>
      <c r="B733" s="83" t="s">
        <v>2676</v>
      </c>
      <c r="C733" s="91" t="s">
        <v>1379</v>
      </c>
    </row>
    <row r="734" spans="1:3" ht="15">
      <c r="A734" s="84" t="s">
        <v>390</v>
      </c>
      <c r="B734" s="83" t="s">
        <v>2580</v>
      </c>
      <c r="C734" s="91" t="s">
        <v>1379</v>
      </c>
    </row>
    <row r="735" spans="1:3" ht="15">
      <c r="A735" s="84" t="s">
        <v>390</v>
      </c>
      <c r="B735" s="83" t="s">
        <v>2677</v>
      </c>
      <c r="C735" s="91" t="s">
        <v>1379</v>
      </c>
    </row>
    <row r="736" spans="1:3" ht="15">
      <c r="A736" s="84" t="s">
        <v>390</v>
      </c>
      <c r="B736" s="83" t="s">
        <v>3310</v>
      </c>
      <c r="C736" s="91" t="s">
        <v>1379</v>
      </c>
    </row>
    <row r="737" spans="1:3" ht="15">
      <c r="A737" s="84" t="s">
        <v>390</v>
      </c>
      <c r="B737" s="83" t="s">
        <v>3282</v>
      </c>
      <c r="C737" s="91" t="s">
        <v>1379</v>
      </c>
    </row>
    <row r="738" spans="1:3" ht="15">
      <c r="A738" s="84" t="s">
        <v>390</v>
      </c>
      <c r="B738" s="83" t="s">
        <v>3311</v>
      </c>
      <c r="C738" s="91" t="s">
        <v>1379</v>
      </c>
    </row>
    <row r="739" spans="1:3" ht="15">
      <c r="A739" s="84" t="s">
        <v>390</v>
      </c>
      <c r="B739" s="83" t="s">
        <v>2577</v>
      </c>
      <c r="C739" s="91" t="s">
        <v>1379</v>
      </c>
    </row>
    <row r="740" spans="1:3" ht="15">
      <c r="A740" s="84" t="s">
        <v>390</v>
      </c>
      <c r="B740" s="83" t="s">
        <v>2658</v>
      </c>
      <c r="C740" s="91" t="s">
        <v>1379</v>
      </c>
    </row>
    <row r="741" spans="1:3" ht="15">
      <c r="A741" s="84" t="s">
        <v>390</v>
      </c>
      <c r="B741" s="83" t="s">
        <v>2653</v>
      </c>
      <c r="C741" s="91" t="s">
        <v>1379</v>
      </c>
    </row>
    <row r="742" spans="1:3" ht="15">
      <c r="A742" s="84" t="s">
        <v>390</v>
      </c>
      <c r="B742" s="83" t="s">
        <v>2667</v>
      </c>
      <c r="C742" s="91" t="s">
        <v>1379</v>
      </c>
    </row>
    <row r="743" spans="1:3" ht="15">
      <c r="A743" s="84" t="s">
        <v>390</v>
      </c>
      <c r="B743" s="83" t="s">
        <v>2578</v>
      </c>
      <c r="C743" s="91" t="s">
        <v>1379</v>
      </c>
    </row>
    <row r="744" spans="1:3" ht="15">
      <c r="A744" s="84" t="s">
        <v>390</v>
      </c>
      <c r="B744" s="83" t="s">
        <v>2678</v>
      </c>
      <c r="C744" s="91" t="s">
        <v>1379</v>
      </c>
    </row>
    <row r="745" spans="1:3" ht="15">
      <c r="A745" s="84" t="s">
        <v>390</v>
      </c>
      <c r="B745" s="83" t="s">
        <v>3312</v>
      </c>
      <c r="C745" s="91" t="s">
        <v>1379</v>
      </c>
    </row>
    <row r="746" spans="1:3" ht="15">
      <c r="A746" s="84" t="s">
        <v>390</v>
      </c>
      <c r="B746" s="83" t="s">
        <v>3290</v>
      </c>
      <c r="C746" s="91" t="s">
        <v>1379</v>
      </c>
    </row>
    <row r="747" spans="1:3" ht="15">
      <c r="A747" s="84" t="s">
        <v>390</v>
      </c>
      <c r="B747" s="83" t="s">
        <v>3313</v>
      </c>
      <c r="C747" s="91" t="s">
        <v>1379</v>
      </c>
    </row>
    <row r="748" spans="1:3" ht="15">
      <c r="A748" s="84" t="s">
        <v>390</v>
      </c>
      <c r="B748" s="83" t="s">
        <v>3314</v>
      </c>
      <c r="C748" s="91" t="s">
        <v>1379</v>
      </c>
    </row>
    <row r="749" spans="1:3" ht="15">
      <c r="A749" s="84" t="s">
        <v>390</v>
      </c>
      <c r="B749" s="83" t="s">
        <v>3315</v>
      </c>
      <c r="C749" s="91" t="s">
        <v>1379</v>
      </c>
    </row>
    <row r="750" spans="1:3" ht="15">
      <c r="A750" s="84" t="s">
        <v>390</v>
      </c>
      <c r="B750" s="83" t="s">
        <v>586</v>
      </c>
      <c r="C750" s="91" t="s">
        <v>1379</v>
      </c>
    </row>
    <row r="751" spans="1:3" ht="15">
      <c r="A751" s="84" t="s">
        <v>390</v>
      </c>
      <c r="B751" s="83" t="s">
        <v>3258</v>
      </c>
      <c r="C751" s="91" t="s">
        <v>1379</v>
      </c>
    </row>
    <row r="752" spans="1:3" ht="15">
      <c r="A752" s="84" t="s">
        <v>390</v>
      </c>
      <c r="B752" s="83" t="s">
        <v>3322</v>
      </c>
      <c r="C752" s="91" t="s">
        <v>1379</v>
      </c>
    </row>
    <row r="753" spans="1:3" ht="15">
      <c r="A753" s="84" t="s">
        <v>413</v>
      </c>
      <c r="B753" s="83" t="s">
        <v>3320</v>
      </c>
      <c r="C753" s="91" t="s">
        <v>1378</v>
      </c>
    </row>
    <row r="754" spans="1:3" ht="15">
      <c r="A754" s="84" t="s">
        <v>413</v>
      </c>
      <c r="B754" s="83" t="s">
        <v>3321</v>
      </c>
      <c r="C754" s="91" t="s">
        <v>1378</v>
      </c>
    </row>
    <row r="755" spans="1:3" ht="15">
      <c r="A755" s="84" t="s">
        <v>413</v>
      </c>
      <c r="B755" s="83" t="s">
        <v>3308</v>
      </c>
      <c r="C755" s="91" t="s">
        <v>1378</v>
      </c>
    </row>
    <row r="756" spans="1:3" ht="15">
      <c r="A756" s="84" t="s">
        <v>413</v>
      </c>
      <c r="B756" s="83" t="s">
        <v>2568</v>
      </c>
      <c r="C756" s="91" t="s">
        <v>1378</v>
      </c>
    </row>
    <row r="757" spans="1:3" ht="15">
      <c r="A757" s="84" t="s">
        <v>413</v>
      </c>
      <c r="B757" s="83" t="s">
        <v>3203</v>
      </c>
      <c r="C757" s="91" t="s">
        <v>1378</v>
      </c>
    </row>
    <row r="758" spans="1:3" ht="15">
      <c r="A758" s="84" t="s">
        <v>413</v>
      </c>
      <c r="B758" s="83">
        <v>19</v>
      </c>
      <c r="C758" s="91" t="s">
        <v>1378</v>
      </c>
    </row>
    <row r="759" spans="1:3" ht="15">
      <c r="A759" s="84" t="s">
        <v>413</v>
      </c>
      <c r="B759" s="83" t="s">
        <v>3309</v>
      </c>
      <c r="C759" s="91" t="s">
        <v>1378</v>
      </c>
    </row>
    <row r="760" spans="1:3" ht="15">
      <c r="A760" s="84" t="s">
        <v>413</v>
      </c>
      <c r="B760" s="83" t="s">
        <v>2666</v>
      </c>
      <c r="C760" s="91" t="s">
        <v>1378</v>
      </c>
    </row>
    <row r="761" spans="1:3" ht="15">
      <c r="A761" s="84" t="s">
        <v>413</v>
      </c>
      <c r="B761" s="83" t="s">
        <v>2630</v>
      </c>
      <c r="C761" s="91" t="s">
        <v>1378</v>
      </c>
    </row>
    <row r="762" spans="1:3" ht="15">
      <c r="A762" s="84" t="s">
        <v>413</v>
      </c>
      <c r="B762" s="83" t="s">
        <v>2676</v>
      </c>
      <c r="C762" s="91" t="s">
        <v>1378</v>
      </c>
    </row>
    <row r="763" spans="1:3" ht="15">
      <c r="A763" s="84" t="s">
        <v>413</v>
      </c>
      <c r="B763" s="83" t="s">
        <v>2580</v>
      </c>
      <c r="C763" s="91" t="s">
        <v>1378</v>
      </c>
    </row>
    <row r="764" spans="1:3" ht="15">
      <c r="A764" s="84" t="s">
        <v>413</v>
      </c>
      <c r="B764" s="83" t="s">
        <v>2677</v>
      </c>
      <c r="C764" s="91" t="s">
        <v>1378</v>
      </c>
    </row>
    <row r="765" spans="1:3" ht="15">
      <c r="A765" s="84" t="s">
        <v>413</v>
      </c>
      <c r="B765" s="83" t="s">
        <v>3310</v>
      </c>
      <c r="C765" s="91" t="s">
        <v>1378</v>
      </c>
    </row>
    <row r="766" spans="1:3" ht="15">
      <c r="A766" s="84" t="s">
        <v>413</v>
      </c>
      <c r="B766" s="83" t="s">
        <v>3282</v>
      </c>
      <c r="C766" s="91" t="s">
        <v>1378</v>
      </c>
    </row>
    <row r="767" spans="1:3" ht="15">
      <c r="A767" s="84" t="s">
        <v>413</v>
      </c>
      <c r="B767" s="83" t="s">
        <v>3311</v>
      </c>
      <c r="C767" s="91" t="s">
        <v>1378</v>
      </c>
    </row>
    <row r="768" spans="1:3" ht="15">
      <c r="A768" s="84" t="s">
        <v>413</v>
      </c>
      <c r="B768" s="83" t="s">
        <v>2577</v>
      </c>
      <c r="C768" s="91" t="s">
        <v>1378</v>
      </c>
    </row>
    <row r="769" spans="1:3" ht="15">
      <c r="A769" s="84" t="s">
        <v>413</v>
      </c>
      <c r="B769" s="83" t="s">
        <v>2658</v>
      </c>
      <c r="C769" s="91" t="s">
        <v>1378</v>
      </c>
    </row>
    <row r="770" spans="1:3" ht="15">
      <c r="A770" s="84" t="s">
        <v>413</v>
      </c>
      <c r="B770" s="83" t="s">
        <v>2653</v>
      </c>
      <c r="C770" s="91" t="s">
        <v>1378</v>
      </c>
    </row>
    <row r="771" spans="1:3" ht="15">
      <c r="A771" s="84" t="s">
        <v>413</v>
      </c>
      <c r="B771" s="83" t="s">
        <v>2667</v>
      </c>
      <c r="C771" s="91" t="s">
        <v>1378</v>
      </c>
    </row>
    <row r="772" spans="1:3" ht="15">
      <c r="A772" s="84" t="s">
        <v>413</v>
      </c>
      <c r="B772" s="83" t="s">
        <v>2578</v>
      </c>
      <c r="C772" s="91" t="s">
        <v>1378</v>
      </c>
    </row>
    <row r="773" spans="1:3" ht="15">
      <c r="A773" s="84" t="s">
        <v>413</v>
      </c>
      <c r="B773" s="83" t="s">
        <v>2678</v>
      </c>
      <c r="C773" s="91" t="s">
        <v>1378</v>
      </c>
    </row>
    <row r="774" spans="1:3" ht="15">
      <c r="A774" s="84" t="s">
        <v>413</v>
      </c>
      <c r="B774" s="83" t="s">
        <v>3312</v>
      </c>
      <c r="C774" s="91" t="s">
        <v>1378</v>
      </c>
    </row>
    <row r="775" spans="1:3" ht="15">
      <c r="A775" s="84" t="s">
        <v>413</v>
      </c>
      <c r="B775" s="83" t="s">
        <v>3290</v>
      </c>
      <c r="C775" s="91" t="s">
        <v>1378</v>
      </c>
    </row>
    <row r="776" spans="1:3" ht="15">
      <c r="A776" s="84" t="s">
        <v>413</v>
      </c>
      <c r="B776" s="83" t="s">
        <v>3313</v>
      </c>
      <c r="C776" s="91" t="s">
        <v>1378</v>
      </c>
    </row>
    <row r="777" spans="1:3" ht="15">
      <c r="A777" s="84" t="s">
        <v>413</v>
      </c>
      <c r="B777" s="83" t="s">
        <v>3314</v>
      </c>
      <c r="C777" s="91" t="s">
        <v>1378</v>
      </c>
    </row>
    <row r="778" spans="1:3" ht="15">
      <c r="A778" s="84" t="s">
        <v>413</v>
      </c>
      <c r="B778" s="83" t="s">
        <v>3315</v>
      </c>
      <c r="C778" s="91" t="s">
        <v>1378</v>
      </c>
    </row>
    <row r="779" spans="1:3" ht="15">
      <c r="A779" s="84" t="s">
        <v>413</v>
      </c>
      <c r="B779" s="83" t="s">
        <v>586</v>
      </c>
      <c r="C779" s="91" t="s">
        <v>1378</v>
      </c>
    </row>
    <row r="780" spans="1:3" ht="15">
      <c r="A780" s="84" t="s">
        <v>413</v>
      </c>
      <c r="B780" s="83" t="s">
        <v>3258</v>
      </c>
      <c r="C780" s="91" t="s">
        <v>1378</v>
      </c>
    </row>
    <row r="781" spans="1:3" ht="15">
      <c r="A781" s="84" t="s">
        <v>413</v>
      </c>
      <c r="B781" s="83" t="s">
        <v>3322</v>
      </c>
      <c r="C781" s="91" t="s">
        <v>1378</v>
      </c>
    </row>
    <row r="782" spans="1:3" ht="15">
      <c r="A782" s="84" t="s">
        <v>412</v>
      </c>
      <c r="B782" s="83" t="s">
        <v>3261</v>
      </c>
      <c r="C782" s="91" t="s">
        <v>1392</v>
      </c>
    </row>
    <row r="783" spans="1:3" ht="15">
      <c r="A783" s="84" t="s">
        <v>412</v>
      </c>
      <c r="B783" s="83" t="s">
        <v>2581</v>
      </c>
      <c r="C783" s="91" t="s">
        <v>1392</v>
      </c>
    </row>
    <row r="784" spans="1:3" ht="15">
      <c r="A784" s="84" t="s">
        <v>412</v>
      </c>
      <c r="B784" s="83" t="s">
        <v>2586</v>
      </c>
      <c r="C784" s="91" t="s">
        <v>1392</v>
      </c>
    </row>
    <row r="785" spans="1:3" ht="15">
      <c r="A785" s="84" t="s">
        <v>412</v>
      </c>
      <c r="B785" s="83" t="s">
        <v>2670</v>
      </c>
      <c r="C785" s="91" t="s">
        <v>1392</v>
      </c>
    </row>
    <row r="786" spans="1:3" ht="15">
      <c r="A786" s="84" t="s">
        <v>412</v>
      </c>
      <c r="B786" s="83" t="s">
        <v>2655</v>
      </c>
      <c r="C786" s="91" t="s">
        <v>1392</v>
      </c>
    </row>
    <row r="787" spans="1:3" ht="15">
      <c r="A787" s="84" t="s">
        <v>412</v>
      </c>
      <c r="B787" s="83" t="s">
        <v>2580</v>
      </c>
      <c r="C787" s="91" t="s">
        <v>1392</v>
      </c>
    </row>
    <row r="788" spans="1:3" ht="15">
      <c r="A788" s="84" t="s">
        <v>412</v>
      </c>
      <c r="B788" s="83" t="s">
        <v>2661</v>
      </c>
      <c r="C788" s="91" t="s">
        <v>1392</v>
      </c>
    </row>
    <row r="789" spans="1:3" ht="15">
      <c r="A789" s="84" t="s">
        <v>412</v>
      </c>
      <c r="B789" s="83" t="s">
        <v>2656</v>
      </c>
      <c r="C789" s="91" t="s">
        <v>1392</v>
      </c>
    </row>
    <row r="790" spans="1:3" ht="15">
      <c r="A790" s="84" t="s">
        <v>412</v>
      </c>
      <c r="B790" s="83" t="s">
        <v>3199</v>
      </c>
      <c r="C790" s="91" t="s">
        <v>1392</v>
      </c>
    </row>
    <row r="791" spans="1:3" ht="15">
      <c r="A791" s="84" t="s">
        <v>412</v>
      </c>
      <c r="B791" s="83" t="s">
        <v>133</v>
      </c>
      <c r="C791" s="91" t="s">
        <v>1392</v>
      </c>
    </row>
    <row r="792" spans="1:3" ht="15">
      <c r="A792" s="84" t="s">
        <v>412</v>
      </c>
      <c r="B792" s="83" t="s">
        <v>2657</v>
      </c>
      <c r="C792" s="91" t="s">
        <v>1392</v>
      </c>
    </row>
    <row r="793" spans="1:3" ht="15">
      <c r="A793" s="84" t="s">
        <v>412</v>
      </c>
      <c r="B793" s="83" t="s">
        <v>2576</v>
      </c>
      <c r="C793" s="91" t="s">
        <v>1392</v>
      </c>
    </row>
    <row r="794" spans="1:3" ht="15">
      <c r="A794" s="84" t="s">
        <v>412</v>
      </c>
      <c r="B794" s="83" t="s">
        <v>2569</v>
      </c>
      <c r="C794" s="91" t="s">
        <v>1392</v>
      </c>
    </row>
    <row r="795" spans="1:3" ht="15">
      <c r="A795" s="84" t="s">
        <v>412</v>
      </c>
      <c r="B795" s="83">
        <v>19</v>
      </c>
      <c r="C795" s="91" t="s">
        <v>1392</v>
      </c>
    </row>
    <row r="796" spans="1:3" ht="15">
      <c r="A796" s="84" t="s">
        <v>412</v>
      </c>
      <c r="B796" s="83" t="s">
        <v>2629</v>
      </c>
      <c r="C796" s="91" t="s">
        <v>1392</v>
      </c>
    </row>
    <row r="797" spans="1:3" ht="15">
      <c r="A797" s="84" t="s">
        <v>412</v>
      </c>
      <c r="B797" s="83" t="s">
        <v>3262</v>
      </c>
      <c r="C797" s="91" t="s">
        <v>1392</v>
      </c>
    </row>
    <row r="798" spans="1:3" ht="15">
      <c r="A798" s="84" t="s">
        <v>412</v>
      </c>
      <c r="B798" s="83" t="s">
        <v>2702</v>
      </c>
      <c r="C798" s="91" t="s">
        <v>1392</v>
      </c>
    </row>
    <row r="799" spans="1:3" ht="15">
      <c r="A799" s="84" t="s">
        <v>412</v>
      </c>
      <c r="B799" s="83" t="s">
        <v>2652</v>
      </c>
      <c r="C799" s="91" t="s">
        <v>1392</v>
      </c>
    </row>
    <row r="800" spans="1:3" ht="15">
      <c r="A800" s="84" t="s">
        <v>412</v>
      </c>
      <c r="B800" s="83" t="s">
        <v>2703</v>
      </c>
      <c r="C800" s="91" t="s">
        <v>1392</v>
      </c>
    </row>
    <row r="801" spans="1:3" ht="15">
      <c r="A801" s="84" t="s">
        <v>412</v>
      </c>
      <c r="B801" s="83" t="s">
        <v>2704</v>
      </c>
      <c r="C801" s="91" t="s">
        <v>1392</v>
      </c>
    </row>
    <row r="802" spans="1:3" ht="15">
      <c r="A802" s="84" t="s">
        <v>412</v>
      </c>
      <c r="B802" s="83" t="s">
        <v>2577</v>
      </c>
      <c r="C802" s="91" t="s">
        <v>1392</v>
      </c>
    </row>
    <row r="803" spans="1:3" ht="15">
      <c r="A803" s="84" t="s">
        <v>412</v>
      </c>
      <c r="B803" s="83" t="s">
        <v>2630</v>
      </c>
      <c r="C803" s="91" t="s">
        <v>1392</v>
      </c>
    </row>
    <row r="804" spans="1:3" ht="15">
      <c r="A804" s="84" t="s">
        <v>412</v>
      </c>
      <c r="B804" s="83" t="s">
        <v>3263</v>
      </c>
      <c r="C804" s="91" t="s">
        <v>1392</v>
      </c>
    </row>
    <row r="805" spans="1:3" ht="15">
      <c r="A805" s="84" t="s">
        <v>412</v>
      </c>
      <c r="B805" s="83" t="s">
        <v>2705</v>
      </c>
      <c r="C805" s="91" t="s">
        <v>1392</v>
      </c>
    </row>
    <row r="806" spans="1:3" ht="15">
      <c r="A806" s="84" t="s">
        <v>412</v>
      </c>
      <c r="B806" s="83" t="s">
        <v>2671</v>
      </c>
      <c r="C806" s="91" t="s">
        <v>1392</v>
      </c>
    </row>
    <row r="807" spans="1:3" ht="15">
      <c r="A807" s="84" t="s">
        <v>412</v>
      </c>
      <c r="B807" s="83" t="s">
        <v>3264</v>
      </c>
      <c r="C807" s="91" t="s">
        <v>1392</v>
      </c>
    </row>
    <row r="808" spans="1:3" ht="15">
      <c r="A808" s="84" t="s">
        <v>412</v>
      </c>
      <c r="B808" s="83" t="s">
        <v>2706</v>
      </c>
      <c r="C808" s="91" t="s">
        <v>1392</v>
      </c>
    </row>
    <row r="809" spans="1:3" ht="15">
      <c r="A809" s="84" t="s">
        <v>412</v>
      </c>
      <c r="B809" s="83" t="s">
        <v>2707</v>
      </c>
      <c r="C809" s="91" t="s">
        <v>1392</v>
      </c>
    </row>
    <row r="810" spans="1:3" ht="15">
      <c r="A810" s="84" t="s">
        <v>412</v>
      </c>
      <c r="B810" s="83" t="s">
        <v>2568</v>
      </c>
      <c r="C810" s="91" t="s">
        <v>1392</v>
      </c>
    </row>
    <row r="811" spans="1:3" ht="15">
      <c r="A811" s="84" t="s">
        <v>412</v>
      </c>
      <c r="B811" s="83" t="s">
        <v>2662</v>
      </c>
      <c r="C811" s="91" t="s">
        <v>1392</v>
      </c>
    </row>
    <row r="812" spans="1:3" ht="15">
      <c r="A812" s="84" t="s">
        <v>412</v>
      </c>
      <c r="B812" s="83" t="s">
        <v>2708</v>
      </c>
      <c r="C812" s="91" t="s">
        <v>1392</v>
      </c>
    </row>
    <row r="813" spans="1:3" ht="15">
      <c r="A813" s="84" t="s">
        <v>412</v>
      </c>
      <c r="B813" s="83" t="s">
        <v>2709</v>
      </c>
      <c r="C813" s="91" t="s">
        <v>1392</v>
      </c>
    </row>
    <row r="814" spans="1:3" ht="15">
      <c r="A814" s="84" t="s">
        <v>412</v>
      </c>
      <c r="B814" s="83" t="s">
        <v>3265</v>
      </c>
      <c r="C814" s="91" t="s">
        <v>1392</v>
      </c>
    </row>
    <row r="815" spans="1:3" ht="15">
      <c r="A815" s="84" t="s">
        <v>412</v>
      </c>
      <c r="B815" s="83" t="s">
        <v>2578</v>
      </c>
      <c r="C815" s="91" t="s">
        <v>1392</v>
      </c>
    </row>
    <row r="816" spans="1:3" ht="15">
      <c r="A816" s="84" t="s">
        <v>412</v>
      </c>
      <c r="B816" s="83" t="s">
        <v>2710</v>
      </c>
      <c r="C816" s="91" t="s">
        <v>1392</v>
      </c>
    </row>
    <row r="817" spans="1:3" ht="15">
      <c r="A817" s="84" t="s">
        <v>412</v>
      </c>
      <c r="B817" s="83" t="s">
        <v>3238</v>
      </c>
      <c r="C817" s="91" t="s">
        <v>1392</v>
      </c>
    </row>
    <row r="818" spans="1:3" ht="15">
      <c r="A818" s="84" t="s">
        <v>412</v>
      </c>
      <c r="B818" s="83" t="s">
        <v>586</v>
      </c>
      <c r="C818" s="91" t="s">
        <v>1392</v>
      </c>
    </row>
    <row r="819" spans="1:3" ht="15">
      <c r="A819" s="84" t="s">
        <v>412</v>
      </c>
      <c r="B819" s="83" t="s">
        <v>3258</v>
      </c>
      <c r="C819" s="91" t="s">
        <v>1392</v>
      </c>
    </row>
    <row r="820" spans="1:3" ht="15">
      <c r="A820" s="84" t="s">
        <v>412</v>
      </c>
      <c r="B820" s="83" t="s">
        <v>3109</v>
      </c>
      <c r="C820" s="91" t="s">
        <v>1392</v>
      </c>
    </row>
    <row r="821" spans="1:3" ht="15">
      <c r="A821" s="84" t="s">
        <v>412</v>
      </c>
      <c r="B821" s="83" t="s">
        <v>3250</v>
      </c>
      <c r="C821" s="91" t="s">
        <v>1391</v>
      </c>
    </row>
    <row r="822" spans="1:3" ht="15">
      <c r="A822" s="84" t="s">
        <v>412</v>
      </c>
      <c r="B822" s="83" t="s">
        <v>2692</v>
      </c>
      <c r="C822" s="91" t="s">
        <v>1391</v>
      </c>
    </row>
    <row r="823" spans="1:3" ht="15">
      <c r="A823" s="84" t="s">
        <v>412</v>
      </c>
      <c r="B823" s="83" t="s">
        <v>2712</v>
      </c>
      <c r="C823" s="91" t="s">
        <v>1391</v>
      </c>
    </row>
    <row r="824" spans="1:3" ht="15">
      <c r="A824" s="84" t="s">
        <v>412</v>
      </c>
      <c r="B824" s="83" t="s">
        <v>2578</v>
      </c>
      <c r="C824" s="91" t="s">
        <v>1391</v>
      </c>
    </row>
    <row r="825" spans="1:3" ht="15">
      <c r="A825" s="84" t="s">
        <v>412</v>
      </c>
      <c r="B825" s="83" t="s">
        <v>2637</v>
      </c>
      <c r="C825" s="91" t="s">
        <v>1391</v>
      </c>
    </row>
    <row r="826" spans="1:3" ht="15">
      <c r="A826" s="84" t="s">
        <v>412</v>
      </c>
      <c r="B826" s="83" t="s">
        <v>3203</v>
      </c>
      <c r="C826" s="91" t="s">
        <v>1391</v>
      </c>
    </row>
    <row r="827" spans="1:3" ht="15">
      <c r="A827" s="84" t="s">
        <v>412</v>
      </c>
      <c r="B827" s="91" t="s">
        <v>3287</v>
      </c>
      <c r="C827" s="91" t="s">
        <v>1391</v>
      </c>
    </row>
    <row r="828" spans="1:3" ht="15">
      <c r="A828" s="84" t="s">
        <v>412</v>
      </c>
      <c r="B828" s="83" t="s">
        <v>3288</v>
      </c>
      <c r="C828" s="91" t="s">
        <v>1391</v>
      </c>
    </row>
    <row r="829" spans="1:3" ht="15">
      <c r="A829" s="84" t="s">
        <v>412</v>
      </c>
      <c r="B829" s="83" t="s">
        <v>3289</v>
      </c>
      <c r="C829" s="91" t="s">
        <v>1391</v>
      </c>
    </row>
    <row r="830" spans="1:3" ht="15">
      <c r="A830" s="84" t="s">
        <v>412</v>
      </c>
      <c r="B830" s="83" t="s">
        <v>2632</v>
      </c>
      <c r="C830" s="91" t="s">
        <v>1391</v>
      </c>
    </row>
    <row r="831" spans="1:3" ht="15">
      <c r="A831" s="84" t="s">
        <v>412</v>
      </c>
      <c r="B831" s="83" t="s">
        <v>435</v>
      </c>
      <c r="C831" s="91" t="s">
        <v>1391</v>
      </c>
    </row>
    <row r="832" spans="1:3" ht="15">
      <c r="A832" s="84" t="s">
        <v>412</v>
      </c>
      <c r="B832" s="83" t="s">
        <v>3290</v>
      </c>
      <c r="C832" s="91" t="s">
        <v>1391</v>
      </c>
    </row>
    <row r="833" spans="1:3" ht="15">
      <c r="A833" s="84" t="s">
        <v>412</v>
      </c>
      <c r="B833" s="83" t="s">
        <v>3213</v>
      </c>
      <c r="C833" s="91" t="s">
        <v>1391</v>
      </c>
    </row>
    <row r="834" spans="1:3" ht="15">
      <c r="A834" s="84" t="s">
        <v>412</v>
      </c>
      <c r="B834" s="83" t="s">
        <v>3291</v>
      </c>
      <c r="C834" s="91" t="s">
        <v>1391</v>
      </c>
    </row>
    <row r="835" spans="1:3" ht="15">
      <c r="A835" s="84" t="s">
        <v>412</v>
      </c>
      <c r="B835" s="83" t="s">
        <v>3292</v>
      </c>
      <c r="C835" s="91" t="s">
        <v>1391</v>
      </c>
    </row>
    <row r="836" spans="1:3" ht="15">
      <c r="A836" s="84" t="s">
        <v>412</v>
      </c>
      <c r="B836" s="83" t="s">
        <v>3293</v>
      </c>
      <c r="C836" s="91" t="s">
        <v>1391</v>
      </c>
    </row>
    <row r="837" spans="1:3" ht="15">
      <c r="A837" s="84" t="s">
        <v>412</v>
      </c>
      <c r="B837" s="83" t="s">
        <v>3294</v>
      </c>
      <c r="C837" s="91" t="s">
        <v>1391</v>
      </c>
    </row>
    <row r="838" spans="1:3" ht="15">
      <c r="A838" s="84" t="s">
        <v>412</v>
      </c>
      <c r="B838" s="83" t="s">
        <v>3295</v>
      </c>
      <c r="C838" s="91" t="s">
        <v>1391</v>
      </c>
    </row>
    <row r="839" spans="1:3" ht="15">
      <c r="A839" s="84" t="s">
        <v>412</v>
      </c>
      <c r="B839" s="83" t="s">
        <v>3237</v>
      </c>
      <c r="C839" s="91" t="s">
        <v>1391</v>
      </c>
    </row>
    <row r="840" spans="1:3" ht="15">
      <c r="A840" s="84" t="s">
        <v>412</v>
      </c>
      <c r="B840" s="83" t="s">
        <v>3296</v>
      </c>
      <c r="C840" s="91" t="s">
        <v>1391</v>
      </c>
    </row>
    <row r="841" spans="1:3" ht="15">
      <c r="A841" s="84" t="s">
        <v>412</v>
      </c>
      <c r="B841" s="83" t="s">
        <v>3297</v>
      </c>
      <c r="C841" s="91" t="s">
        <v>1391</v>
      </c>
    </row>
    <row r="842" spans="1:3" ht="15">
      <c r="A842" s="84" t="s">
        <v>412</v>
      </c>
      <c r="B842" s="83" t="s">
        <v>3218</v>
      </c>
      <c r="C842" s="91" t="s">
        <v>1391</v>
      </c>
    </row>
    <row r="843" spans="1:3" ht="15">
      <c r="A843" s="84" t="s">
        <v>412</v>
      </c>
      <c r="B843" s="83" t="s">
        <v>3298</v>
      </c>
      <c r="C843" s="91" t="s">
        <v>1391</v>
      </c>
    </row>
    <row r="844" spans="1:3" ht="15">
      <c r="A844" s="84" t="s">
        <v>412</v>
      </c>
      <c r="B844" s="83" t="s">
        <v>3299</v>
      </c>
      <c r="C844" s="91" t="s">
        <v>1391</v>
      </c>
    </row>
    <row r="845" spans="1:3" ht="15">
      <c r="A845" s="84" t="s">
        <v>412</v>
      </c>
      <c r="B845" s="83" t="s">
        <v>2179</v>
      </c>
      <c r="C845" s="91" t="s">
        <v>1391</v>
      </c>
    </row>
    <row r="846" spans="1:3" ht="15">
      <c r="A846" s="84" t="s">
        <v>412</v>
      </c>
      <c r="B846" s="83" t="s">
        <v>3300</v>
      </c>
      <c r="C846" s="91" t="s">
        <v>1391</v>
      </c>
    </row>
    <row r="847" spans="1:3" ht="15">
      <c r="A847" s="84" t="s">
        <v>412</v>
      </c>
      <c r="B847" s="83" t="s">
        <v>3301</v>
      </c>
      <c r="C847" s="91" t="s">
        <v>1391</v>
      </c>
    </row>
    <row r="848" spans="1:3" ht="15">
      <c r="A848" s="84" t="s">
        <v>412</v>
      </c>
      <c r="B848" s="83" t="s">
        <v>3199</v>
      </c>
      <c r="C848" s="91" t="s">
        <v>1391</v>
      </c>
    </row>
    <row r="849" spans="1:3" ht="15">
      <c r="A849" s="84" t="s">
        <v>412</v>
      </c>
      <c r="B849" s="83" t="s">
        <v>3214</v>
      </c>
      <c r="C849" s="91" t="s">
        <v>1391</v>
      </c>
    </row>
    <row r="850" spans="1:3" ht="15">
      <c r="A850" s="84" t="s">
        <v>412</v>
      </c>
      <c r="B850" s="83" t="s">
        <v>3302</v>
      </c>
      <c r="C850" s="91" t="s">
        <v>1391</v>
      </c>
    </row>
    <row r="851" spans="1:3" ht="15">
      <c r="A851" s="84" t="s">
        <v>412</v>
      </c>
      <c r="B851" s="83" t="s">
        <v>3303</v>
      </c>
      <c r="C851" s="91" t="s">
        <v>1391</v>
      </c>
    </row>
    <row r="852" spans="1:3" ht="15">
      <c r="A852" s="84" t="s">
        <v>412</v>
      </c>
      <c r="B852" s="83" t="s">
        <v>3228</v>
      </c>
      <c r="C852" s="91" t="s">
        <v>1390</v>
      </c>
    </row>
    <row r="853" spans="1:3" ht="15">
      <c r="A853" s="84" t="s">
        <v>412</v>
      </c>
      <c r="B853" s="83" t="s">
        <v>2581</v>
      </c>
      <c r="C853" s="91" t="s">
        <v>1390</v>
      </c>
    </row>
    <row r="854" spans="1:3" ht="15">
      <c r="A854" s="84" t="s">
        <v>412</v>
      </c>
      <c r="B854" s="83" t="s">
        <v>2586</v>
      </c>
      <c r="C854" s="91" t="s">
        <v>1390</v>
      </c>
    </row>
    <row r="855" spans="1:3" ht="15">
      <c r="A855" s="84" t="s">
        <v>412</v>
      </c>
      <c r="B855" s="83" t="s">
        <v>2595</v>
      </c>
      <c r="C855" s="91" t="s">
        <v>1390</v>
      </c>
    </row>
    <row r="856" spans="1:3" ht="15">
      <c r="A856" s="84" t="s">
        <v>412</v>
      </c>
      <c r="B856" s="83" t="s">
        <v>2568</v>
      </c>
      <c r="C856" s="91" t="s">
        <v>1390</v>
      </c>
    </row>
    <row r="857" spans="1:3" ht="15">
      <c r="A857" s="84" t="s">
        <v>412</v>
      </c>
      <c r="B857" s="83" t="s">
        <v>2592</v>
      </c>
      <c r="C857" s="91" t="s">
        <v>1390</v>
      </c>
    </row>
    <row r="858" spans="1:3" ht="15">
      <c r="A858" s="84" t="s">
        <v>412</v>
      </c>
      <c r="B858" s="83" t="s">
        <v>3213</v>
      </c>
      <c r="C858" s="91" t="s">
        <v>1390</v>
      </c>
    </row>
    <row r="859" spans="1:3" ht="15">
      <c r="A859" s="84" t="s">
        <v>412</v>
      </c>
      <c r="B859" s="83" t="s">
        <v>2576</v>
      </c>
      <c r="C859" s="91" t="s">
        <v>1390</v>
      </c>
    </row>
    <row r="860" spans="1:3" ht="15">
      <c r="A860" s="84" t="s">
        <v>412</v>
      </c>
      <c r="B860" s="83" t="s">
        <v>3229</v>
      </c>
      <c r="C860" s="91" t="s">
        <v>1390</v>
      </c>
    </row>
    <row r="861" spans="1:3" ht="15">
      <c r="A861" s="84" t="s">
        <v>412</v>
      </c>
      <c r="B861" s="83" t="s">
        <v>3230</v>
      </c>
      <c r="C861" s="91" t="s">
        <v>1390</v>
      </c>
    </row>
    <row r="862" spans="1:3" ht="15">
      <c r="A862" s="84" t="s">
        <v>412</v>
      </c>
      <c r="B862" s="83" t="s">
        <v>2598</v>
      </c>
      <c r="C862" s="91" t="s">
        <v>1390</v>
      </c>
    </row>
    <row r="863" spans="1:3" ht="15">
      <c r="A863" s="84" t="s">
        <v>412</v>
      </c>
      <c r="B863" s="83" t="s">
        <v>3231</v>
      </c>
      <c r="C863" s="91" t="s">
        <v>1390</v>
      </c>
    </row>
    <row r="864" spans="1:3" ht="15">
      <c r="A864" s="84" t="s">
        <v>412</v>
      </c>
      <c r="B864" s="83" t="s">
        <v>3232</v>
      </c>
      <c r="C864" s="91" t="s">
        <v>1390</v>
      </c>
    </row>
    <row r="865" spans="1:3" ht="15">
      <c r="A865" s="84" t="s">
        <v>412</v>
      </c>
      <c r="B865" s="83" t="s">
        <v>3233</v>
      </c>
      <c r="C865" s="91" t="s">
        <v>1390</v>
      </c>
    </row>
    <row r="866" spans="1:3" ht="15">
      <c r="A866" s="84" t="s">
        <v>412</v>
      </c>
      <c r="B866" s="83" t="s">
        <v>3211</v>
      </c>
      <c r="C866" s="91" t="s">
        <v>1390</v>
      </c>
    </row>
    <row r="867" spans="1:3" ht="15">
      <c r="A867" s="84" t="s">
        <v>412</v>
      </c>
      <c r="B867" s="83" t="s">
        <v>3199</v>
      </c>
      <c r="C867" s="91" t="s">
        <v>1390</v>
      </c>
    </row>
    <row r="868" spans="1:3" ht="15">
      <c r="A868" s="84" t="s">
        <v>412</v>
      </c>
      <c r="B868" s="83" t="s">
        <v>3218</v>
      </c>
      <c r="C868" s="91" t="s">
        <v>1390</v>
      </c>
    </row>
    <row r="869" spans="1:3" ht="15">
      <c r="A869" s="84" t="s">
        <v>412</v>
      </c>
      <c r="B869" s="83" t="s">
        <v>3234</v>
      </c>
      <c r="C869" s="91" t="s">
        <v>1390</v>
      </c>
    </row>
    <row r="870" spans="1:3" ht="15">
      <c r="A870" s="84" t="s">
        <v>412</v>
      </c>
      <c r="B870" s="83" t="s">
        <v>3235</v>
      </c>
      <c r="C870" s="91" t="s">
        <v>1390</v>
      </c>
    </row>
    <row r="871" spans="1:3" ht="15">
      <c r="A871" s="84" t="s">
        <v>412</v>
      </c>
      <c r="B871" s="83" t="s">
        <v>3236</v>
      </c>
      <c r="C871" s="91" t="s">
        <v>1390</v>
      </c>
    </row>
    <row r="872" spans="1:3" ht="15">
      <c r="A872" s="84" t="s">
        <v>412</v>
      </c>
      <c r="B872" s="83" t="s">
        <v>3237</v>
      </c>
      <c r="C872" s="91" t="s">
        <v>1390</v>
      </c>
    </row>
    <row r="873" spans="1:3" ht="15">
      <c r="A873" s="84" t="s">
        <v>412</v>
      </c>
      <c r="B873" s="83" t="s">
        <v>3238</v>
      </c>
      <c r="C873" s="91" t="s">
        <v>1390</v>
      </c>
    </row>
    <row r="874" spans="1:3" ht="15">
      <c r="A874" s="84" t="s">
        <v>412</v>
      </c>
      <c r="B874" s="83" t="s">
        <v>3239</v>
      </c>
      <c r="C874" s="91" t="s">
        <v>1390</v>
      </c>
    </row>
    <row r="875" spans="1:3" ht="15">
      <c r="A875" s="84" t="s">
        <v>412</v>
      </c>
      <c r="B875" s="83" t="s">
        <v>3240</v>
      </c>
      <c r="C875" s="91" t="s">
        <v>1390</v>
      </c>
    </row>
    <row r="876" spans="1:3" ht="15">
      <c r="A876" s="84" t="s">
        <v>412</v>
      </c>
      <c r="B876" s="83" t="s">
        <v>3241</v>
      </c>
      <c r="C876" s="91" t="s">
        <v>1390</v>
      </c>
    </row>
    <row r="877" spans="1:3" ht="15">
      <c r="A877" s="84" t="s">
        <v>412</v>
      </c>
      <c r="B877" s="83" t="s">
        <v>3242</v>
      </c>
      <c r="C877" s="91" t="s">
        <v>1390</v>
      </c>
    </row>
    <row r="878" spans="1:3" ht="15">
      <c r="A878" s="84" t="s">
        <v>412</v>
      </c>
      <c r="B878" s="83" t="s">
        <v>2767</v>
      </c>
      <c r="C878" s="91" t="s">
        <v>1390</v>
      </c>
    </row>
    <row r="879" spans="1:3" ht="15">
      <c r="A879" s="84" t="s">
        <v>412</v>
      </c>
      <c r="B879" s="83" t="s">
        <v>3243</v>
      </c>
      <c r="C879" s="91" t="s">
        <v>1390</v>
      </c>
    </row>
    <row r="880" spans="1:3" ht="15">
      <c r="A880" s="84" t="s">
        <v>412</v>
      </c>
      <c r="B880" s="83" t="s">
        <v>3244</v>
      </c>
      <c r="C880" s="91" t="s">
        <v>1390</v>
      </c>
    </row>
    <row r="881" spans="1:3" ht="15">
      <c r="A881" s="84" t="s">
        <v>412</v>
      </c>
      <c r="B881" s="83" t="s">
        <v>3223</v>
      </c>
      <c r="C881" s="91" t="s">
        <v>1390</v>
      </c>
    </row>
    <row r="882" spans="1:3" ht="15">
      <c r="A882" s="84" t="s">
        <v>412</v>
      </c>
      <c r="B882" s="83" t="s">
        <v>3266</v>
      </c>
      <c r="C882" s="91" t="s">
        <v>1390</v>
      </c>
    </row>
    <row r="883" spans="1:3" ht="15">
      <c r="A883" s="84" t="s">
        <v>412</v>
      </c>
      <c r="B883" s="83" t="s">
        <v>3261</v>
      </c>
      <c r="C883" s="91" t="s">
        <v>1389</v>
      </c>
    </row>
    <row r="884" spans="1:3" ht="15">
      <c r="A884" s="84" t="s">
        <v>412</v>
      </c>
      <c r="B884" s="83" t="s">
        <v>2581</v>
      </c>
      <c r="C884" s="91" t="s">
        <v>1389</v>
      </c>
    </row>
    <row r="885" spans="1:3" ht="15">
      <c r="A885" s="84" t="s">
        <v>412</v>
      </c>
      <c r="B885" s="83" t="s">
        <v>2586</v>
      </c>
      <c r="C885" s="91" t="s">
        <v>1389</v>
      </c>
    </row>
    <row r="886" spans="1:3" ht="15">
      <c r="A886" s="84" t="s">
        <v>412</v>
      </c>
      <c r="B886" s="83" t="s">
        <v>2670</v>
      </c>
      <c r="C886" s="91" t="s">
        <v>1389</v>
      </c>
    </row>
    <row r="887" spans="1:3" ht="15">
      <c r="A887" s="84" t="s">
        <v>412</v>
      </c>
      <c r="B887" s="83" t="s">
        <v>2655</v>
      </c>
      <c r="C887" s="91" t="s">
        <v>1389</v>
      </c>
    </row>
    <row r="888" spans="1:3" ht="15">
      <c r="A888" s="84" t="s">
        <v>412</v>
      </c>
      <c r="B888" s="83" t="s">
        <v>2580</v>
      </c>
      <c r="C888" s="91" t="s">
        <v>1389</v>
      </c>
    </row>
    <row r="889" spans="1:3" ht="15">
      <c r="A889" s="84" t="s">
        <v>412</v>
      </c>
      <c r="B889" s="83" t="s">
        <v>2661</v>
      </c>
      <c r="C889" s="91" t="s">
        <v>1389</v>
      </c>
    </row>
    <row r="890" spans="1:3" ht="15">
      <c r="A890" s="84" t="s">
        <v>412</v>
      </c>
      <c r="B890" s="83" t="s">
        <v>2656</v>
      </c>
      <c r="C890" s="91" t="s">
        <v>1389</v>
      </c>
    </row>
    <row r="891" spans="1:3" ht="15">
      <c r="A891" s="84" t="s">
        <v>412</v>
      </c>
      <c r="B891" s="83" t="s">
        <v>3199</v>
      </c>
      <c r="C891" s="91" t="s">
        <v>1389</v>
      </c>
    </row>
    <row r="892" spans="1:3" ht="15">
      <c r="A892" s="84" t="s">
        <v>412</v>
      </c>
      <c r="B892" s="83" t="s">
        <v>133</v>
      </c>
      <c r="C892" s="91" t="s">
        <v>1389</v>
      </c>
    </row>
    <row r="893" spans="1:3" ht="15">
      <c r="A893" s="84" t="s">
        <v>412</v>
      </c>
      <c r="B893" s="83" t="s">
        <v>2657</v>
      </c>
      <c r="C893" s="91" t="s">
        <v>1389</v>
      </c>
    </row>
    <row r="894" spans="1:3" ht="15">
      <c r="A894" s="84" t="s">
        <v>412</v>
      </c>
      <c r="B894" s="83" t="s">
        <v>2576</v>
      </c>
      <c r="C894" s="91" t="s">
        <v>1389</v>
      </c>
    </row>
    <row r="895" spans="1:3" ht="15">
      <c r="A895" s="84" t="s">
        <v>412</v>
      </c>
      <c r="B895" s="83" t="s">
        <v>2569</v>
      </c>
      <c r="C895" s="91" t="s">
        <v>1389</v>
      </c>
    </row>
    <row r="896" spans="1:3" ht="15">
      <c r="A896" s="84" t="s">
        <v>412</v>
      </c>
      <c r="B896" s="83">
        <v>19</v>
      </c>
      <c r="C896" s="91" t="s">
        <v>1389</v>
      </c>
    </row>
    <row r="897" spans="1:3" ht="15">
      <c r="A897" s="84" t="s">
        <v>412</v>
      </c>
      <c r="B897" s="83" t="s">
        <v>2629</v>
      </c>
      <c r="C897" s="91" t="s">
        <v>1389</v>
      </c>
    </row>
    <row r="898" spans="1:3" ht="15">
      <c r="A898" s="84" t="s">
        <v>412</v>
      </c>
      <c r="B898" s="83" t="s">
        <v>3262</v>
      </c>
      <c r="C898" s="91" t="s">
        <v>1389</v>
      </c>
    </row>
    <row r="899" spans="1:3" ht="15">
      <c r="A899" s="84" t="s">
        <v>412</v>
      </c>
      <c r="B899" s="83" t="s">
        <v>2702</v>
      </c>
      <c r="C899" s="91" t="s">
        <v>1389</v>
      </c>
    </row>
    <row r="900" spans="1:3" ht="15">
      <c r="A900" s="84" t="s">
        <v>412</v>
      </c>
      <c r="B900" s="83" t="s">
        <v>2652</v>
      </c>
      <c r="C900" s="91" t="s">
        <v>1389</v>
      </c>
    </row>
    <row r="901" spans="1:3" ht="15">
      <c r="A901" s="84" t="s">
        <v>412</v>
      </c>
      <c r="B901" s="83" t="s">
        <v>2703</v>
      </c>
      <c r="C901" s="91" t="s">
        <v>1389</v>
      </c>
    </row>
    <row r="902" spans="1:3" ht="15">
      <c r="A902" s="84" t="s">
        <v>412</v>
      </c>
      <c r="B902" s="83" t="s">
        <v>2704</v>
      </c>
      <c r="C902" s="91" t="s">
        <v>1389</v>
      </c>
    </row>
    <row r="903" spans="1:3" ht="15">
      <c r="A903" s="84" t="s">
        <v>412</v>
      </c>
      <c r="B903" s="83" t="s">
        <v>2577</v>
      </c>
      <c r="C903" s="91" t="s">
        <v>1389</v>
      </c>
    </row>
    <row r="904" spans="1:3" ht="15">
      <c r="A904" s="84" t="s">
        <v>412</v>
      </c>
      <c r="B904" s="83" t="s">
        <v>2630</v>
      </c>
      <c r="C904" s="91" t="s">
        <v>1389</v>
      </c>
    </row>
    <row r="905" spans="1:3" ht="15">
      <c r="A905" s="84" t="s">
        <v>412</v>
      </c>
      <c r="B905" s="83" t="s">
        <v>3263</v>
      </c>
      <c r="C905" s="91" t="s">
        <v>1389</v>
      </c>
    </row>
    <row r="906" spans="1:3" ht="15">
      <c r="A906" s="84" t="s">
        <v>412</v>
      </c>
      <c r="B906" s="83" t="s">
        <v>2705</v>
      </c>
      <c r="C906" s="91" t="s">
        <v>1389</v>
      </c>
    </row>
    <row r="907" spans="1:3" ht="15">
      <c r="A907" s="84" t="s">
        <v>412</v>
      </c>
      <c r="B907" s="83" t="s">
        <v>2671</v>
      </c>
      <c r="C907" s="91" t="s">
        <v>1389</v>
      </c>
    </row>
    <row r="908" spans="1:3" ht="15">
      <c r="A908" s="84" t="s">
        <v>412</v>
      </c>
      <c r="B908" s="83" t="s">
        <v>3264</v>
      </c>
      <c r="C908" s="91" t="s">
        <v>1389</v>
      </c>
    </row>
    <row r="909" spans="1:3" ht="15">
      <c r="A909" s="84" t="s">
        <v>412</v>
      </c>
      <c r="B909" s="83" t="s">
        <v>2706</v>
      </c>
      <c r="C909" s="91" t="s">
        <v>1389</v>
      </c>
    </row>
    <row r="910" spans="1:3" ht="15">
      <c r="A910" s="84" t="s">
        <v>412</v>
      </c>
      <c r="B910" s="83" t="s">
        <v>2707</v>
      </c>
      <c r="C910" s="91" t="s">
        <v>1389</v>
      </c>
    </row>
    <row r="911" spans="1:3" ht="15">
      <c r="A911" s="84" t="s">
        <v>412</v>
      </c>
      <c r="B911" s="83" t="s">
        <v>2568</v>
      </c>
      <c r="C911" s="91" t="s">
        <v>1389</v>
      </c>
    </row>
    <row r="912" spans="1:3" ht="15">
      <c r="A912" s="84" t="s">
        <v>412</v>
      </c>
      <c r="B912" s="83" t="s">
        <v>2662</v>
      </c>
      <c r="C912" s="91" t="s">
        <v>1389</v>
      </c>
    </row>
    <row r="913" spans="1:3" ht="15">
      <c r="A913" s="84" t="s">
        <v>412</v>
      </c>
      <c r="B913" s="83" t="s">
        <v>2708</v>
      </c>
      <c r="C913" s="91" t="s">
        <v>1389</v>
      </c>
    </row>
    <row r="914" spans="1:3" ht="15">
      <c r="A914" s="84" t="s">
        <v>412</v>
      </c>
      <c r="B914" s="83" t="s">
        <v>2709</v>
      </c>
      <c r="C914" s="91" t="s">
        <v>1389</v>
      </c>
    </row>
    <row r="915" spans="1:3" ht="15">
      <c r="A915" s="84" t="s">
        <v>412</v>
      </c>
      <c r="B915" s="83" t="s">
        <v>3265</v>
      </c>
      <c r="C915" s="91" t="s">
        <v>1389</v>
      </c>
    </row>
    <row r="916" spans="1:3" ht="15">
      <c r="A916" s="84" t="s">
        <v>412</v>
      </c>
      <c r="B916" s="83" t="s">
        <v>2578</v>
      </c>
      <c r="C916" s="91" t="s">
        <v>1389</v>
      </c>
    </row>
    <row r="917" spans="1:3" ht="15">
      <c r="A917" s="84" t="s">
        <v>412</v>
      </c>
      <c r="B917" s="83" t="s">
        <v>2710</v>
      </c>
      <c r="C917" s="91" t="s">
        <v>1389</v>
      </c>
    </row>
    <row r="918" spans="1:3" ht="15">
      <c r="A918" s="84" t="s">
        <v>412</v>
      </c>
      <c r="B918" s="83" t="s">
        <v>3238</v>
      </c>
      <c r="C918" s="91" t="s">
        <v>1389</v>
      </c>
    </row>
    <row r="919" spans="1:3" ht="15">
      <c r="A919" s="84" t="s">
        <v>412</v>
      </c>
      <c r="B919" s="83" t="s">
        <v>586</v>
      </c>
      <c r="C919" s="91" t="s">
        <v>1389</v>
      </c>
    </row>
    <row r="920" spans="1:3" ht="15">
      <c r="A920" s="84" t="s">
        <v>412</v>
      </c>
      <c r="B920" s="83" t="s">
        <v>3258</v>
      </c>
      <c r="C920" s="91" t="s">
        <v>1389</v>
      </c>
    </row>
    <row r="921" spans="1:3" ht="15">
      <c r="A921" s="84" t="s">
        <v>412</v>
      </c>
      <c r="B921" s="83" t="s">
        <v>3109</v>
      </c>
      <c r="C921" s="91" t="s">
        <v>1389</v>
      </c>
    </row>
    <row r="922" spans="1:3" ht="15">
      <c r="A922" s="84" t="s">
        <v>412</v>
      </c>
      <c r="B922" s="83" t="s">
        <v>3267</v>
      </c>
      <c r="C922" s="91" t="s">
        <v>1388</v>
      </c>
    </row>
    <row r="923" spans="1:3" ht="15">
      <c r="A923" s="84" t="s">
        <v>412</v>
      </c>
      <c r="B923" s="83" t="s">
        <v>2581</v>
      </c>
      <c r="C923" s="91" t="s">
        <v>1388</v>
      </c>
    </row>
    <row r="924" spans="1:3" ht="15">
      <c r="A924" s="84" t="s">
        <v>412</v>
      </c>
      <c r="B924" s="83" t="s">
        <v>2586</v>
      </c>
      <c r="C924" s="91" t="s">
        <v>1388</v>
      </c>
    </row>
    <row r="925" spans="1:3" ht="15">
      <c r="A925" s="84" t="s">
        <v>412</v>
      </c>
      <c r="B925" s="83" t="s">
        <v>2595</v>
      </c>
      <c r="C925" s="91" t="s">
        <v>1388</v>
      </c>
    </row>
    <row r="926" spans="1:3" ht="15">
      <c r="A926" s="84" t="s">
        <v>412</v>
      </c>
      <c r="B926" s="83" t="s">
        <v>2568</v>
      </c>
      <c r="C926" s="91" t="s">
        <v>1388</v>
      </c>
    </row>
    <row r="927" spans="1:3" ht="15">
      <c r="A927" s="84" t="s">
        <v>412</v>
      </c>
      <c r="B927" s="83" t="s">
        <v>2592</v>
      </c>
      <c r="C927" s="91" t="s">
        <v>1388</v>
      </c>
    </row>
    <row r="928" spans="1:3" ht="15">
      <c r="A928" s="84" t="s">
        <v>412</v>
      </c>
      <c r="B928" s="83" t="s">
        <v>3213</v>
      </c>
      <c r="C928" s="91" t="s">
        <v>1388</v>
      </c>
    </row>
    <row r="929" spans="1:3" ht="15">
      <c r="A929" s="84" t="s">
        <v>412</v>
      </c>
      <c r="B929" s="83" t="s">
        <v>2576</v>
      </c>
      <c r="C929" s="91" t="s">
        <v>1388</v>
      </c>
    </row>
    <row r="930" spans="1:3" ht="15">
      <c r="A930" s="84" t="s">
        <v>412</v>
      </c>
      <c r="B930" s="83" t="s">
        <v>3229</v>
      </c>
      <c r="C930" s="91" t="s">
        <v>1388</v>
      </c>
    </row>
    <row r="931" spans="1:3" ht="15">
      <c r="A931" s="84" t="s">
        <v>412</v>
      </c>
      <c r="B931" s="83" t="s">
        <v>3230</v>
      </c>
      <c r="C931" s="91" t="s">
        <v>1388</v>
      </c>
    </row>
    <row r="932" spans="1:3" ht="15">
      <c r="A932" s="84" t="s">
        <v>412</v>
      </c>
      <c r="B932" s="83" t="s">
        <v>2598</v>
      </c>
      <c r="C932" s="91" t="s">
        <v>1388</v>
      </c>
    </row>
    <row r="933" spans="1:3" ht="15">
      <c r="A933" s="84" t="s">
        <v>412</v>
      </c>
      <c r="B933" s="83" t="s">
        <v>3231</v>
      </c>
      <c r="C933" s="91" t="s">
        <v>1388</v>
      </c>
    </row>
    <row r="934" spans="1:3" ht="15">
      <c r="A934" s="84" t="s">
        <v>412</v>
      </c>
      <c r="B934" s="83" t="s">
        <v>3232</v>
      </c>
      <c r="C934" s="91" t="s">
        <v>1388</v>
      </c>
    </row>
    <row r="935" spans="1:3" ht="15">
      <c r="A935" s="84" t="s">
        <v>412</v>
      </c>
      <c r="B935" s="83" t="s">
        <v>3233</v>
      </c>
      <c r="C935" s="91" t="s">
        <v>1388</v>
      </c>
    </row>
    <row r="936" spans="1:3" ht="15">
      <c r="A936" s="84" t="s">
        <v>412</v>
      </c>
      <c r="B936" s="83" t="s">
        <v>3211</v>
      </c>
      <c r="C936" s="91" t="s">
        <v>1388</v>
      </c>
    </row>
    <row r="937" spans="1:3" ht="15">
      <c r="A937" s="84" t="s">
        <v>412</v>
      </c>
      <c r="B937" s="83" t="s">
        <v>3199</v>
      </c>
      <c r="C937" s="91" t="s">
        <v>1388</v>
      </c>
    </row>
    <row r="938" spans="1:3" ht="15">
      <c r="A938" s="84" t="s">
        <v>412</v>
      </c>
      <c r="B938" s="83" t="s">
        <v>3218</v>
      </c>
      <c r="C938" s="91" t="s">
        <v>1388</v>
      </c>
    </row>
    <row r="939" spans="1:3" ht="15">
      <c r="A939" s="84" t="s">
        <v>412</v>
      </c>
      <c r="B939" s="83" t="s">
        <v>3234</v>
      </c>
      <c r="C939" s="91" t="s">
        <v>1388</v>
      </c>
    </row>
    <row r="940" spans="1:3" ht="15">
      <c r="A940" s="84" t="s">
        <v>412</v>
      </c>
      <c r="B940" s="83" t="s">
        <v>3235</v>
      </c>
      <c r="C940" s="91" t="s">
        <v>1388</v>
      </c>
    </row>
    <row r="941" spans="1:3" ht="15">
      <c r="A941" s="84" t="s">
        <v>412</v>
      </c>
      <c r="B941" s="83" t="s">
        <v>3236</v>
      </c>
      <c r="C941" s="91" t="s">
        <v>1388</v>
      </c>
    </row>
    <row r="942" spans="1:3" ht="15">
      <c r="A942" s="84" t="s">
        <v>412</v>
      </c>
      <c r="B942" s="83" t="s">
        <v>3237</v>
      </c>
      <c r="C942" s="91" t="s">
        <v>1388</v>
      </c>
    </row>
    <row r="943" spans="1:3" ht="15">
      <c r="A943" s="84" t="s">
        <v>412</v>
      </c>
      <c r="B943" s="83" t="s">
        <v>3238</v>
      </c>
      <c r="C943" s="91" t="s">
        <v>1388</v>
      </c>
    </row>
    <row r="944" spans="1:3" ht="15">
      <c r="A944" s="84" t="s">
        <v>412</v>
      </c>
      <c r="B944" s="83" t="s">
        <v>3239</v>
      </c>
      <c r="C944" s="91" t="s">
        <v>1388</v>
      </c>
    </row>
    <row r="945" spans="1:3" ht="15">
      <c r="A945" s="84" t="s">
        <v>412</v>
      </c>
      <c r="B945" s="83" t="s">
        <v>3240</v>
      </c>
      <c r="C945" s="91" t="s">
        <v>1388</v>
      </c>
    </row>
    <row r="946" spans="1:3" ht="15">
      <c r="A946" s="84" t="s">
        <v>412</v>
      </c>
      <c r="B946" s="83" t="s">
        <v>3241</v>
      </c>
      <c r="C946" s="91" t="s">
        <v>1388</v>
      </c>
    </row>
    <row r="947" spans="1:3" ht="15">
      <c r="A947" s="84" t="s">
        <v>412</v>
      </c>
      <c r="B947" s="83" t="s">
        <v>3242</v>
      </c>
      <c r="C947" s="91" t="s">
        <v>1388</v>
      </c>
    </row>
    <row r="948" spans="1:3" ht="15">
      <c r="A948" s="84" t="s">
        <v>412</v>
      </c>
      <c r="B948" s="83" t="s">
        <v>2767</v>
      </c>
      <c r="C948" s="91" t="s">
        <v>1388</v>
      </c>
    </row>
    <row r="949" spans="1:3" ht="15">
      <c r="A949" s="84" t="s">
        <v>412</v>
      </c>
      <c r="B949" s="83" t="s">
        <v>3243</v>
      </c>
      <c r="C949" s="91" t="s">
        <v>1388</v>
      </c>
    </row>
    <row r="950" spans="1:3" ht="15">
      <c r="A950" s="84" t="s">
        <v>412</v>
      </c>
      <c r="B950" s="83" t="s">
        <v>3244</v>
      </c>
      <c r="C950" s="91" t="s">
        <v>1388</v>
      </c>
    </row>
    <row r="951" spans="1:3" ht="15">
      <c r="A951" s="84" t="s">
        <v>412</v>
      </c>
      <c r="B951" s="83" t="s">
        <v>3223</v>
      </c>
      <c r="C951" s="91" t="s">
        <v>1388</v>
      </c>
    </row>
    <row r="952" spans="1:3" ht="15">
      <c r="A952" s="84" t="s">
        <v>412</v>
      </c>
      <c r="B952" s="83" t="s">
        <v>3226</v>
      </c>
      <c r="C952" s="91" t="s">
        <v>1387</v>
      </c>
    </row>
    <row r="953" spans="1:3" ht="15">
      <c r="A953" s="84" t="s">
        <v>412</v>
      </c>
      <c r="B953" s="83" t="s">
        <v>3227</v>
      </c>
      <c r="C953" s="91" t="s">
        <v>1387</v>
      </c>
    </row>
    <row r="954" spans="1:3" ht="15">
      <c r="A954" s="84" t="s">
        <v>412</v>
      </c>
      <c r="B954" s="83" t="s">
        <v>2607</v>
      </c>
      <c r="C954" s="91" t="s">
        <v>1387</v>
      </c>
    </row>
    <row r="955" spans="1:3" ht="15">
      <c r="A955" s="84" t="s">
        <v>412</v>
      </c>
      <c r="B955" s="83" t="s">
        <v>2698</v>
      </c>
      <c r="C955" s="91" t="s">
        <v>1387</v>
      </c>
    </row>
    <row r="956" spans="1:3" ht="15">
      <c r="A956" s="84" t="s">
        <v>412</v>
      </c>
      <c r="B956" s="83" t="s">
        <v>2699</v>
      </c>
      <c r="C956" s="91" t="s">
        <v>1387</v>
      </c>
    </row>
    <row r="957" spans="1:3" ht="15">
      <c r="A957" s="84" t="s">
        <v>412</v>
      </c>
      <c r="B957" s="83" t="s">
        <v>3228</v>
      </c>
      <c r="C957" s="91" t="s">
        <v>1387</v>
      </c>
    </row>
    <row r="958" spans="1:3" ht="15">
      <c r="A958" s="84" t="s">
        <v>412</v>
      </c>
      <c r="B958" s="83" t="s">
        <v>2581</v>
      </c>
      <c r="C958" s="91" t="s">
        <v>1387</v>
      </c>
    </row>
    <row r="959" spans="1:3" ht="15">
      <c r="A959" s="84" t="s">
        <v>412</v>
      </c>
      <c r="B959" s="83" t="s">
        <v>2586</v>
      </c>
      <c r="C959" s="91" t="s">
        <v>1387</v>
      </c>
    </row>
    <row r="960" spans="1:3" ht="15">
      <c r="A960" s="84" t="s">
        <v>412</v>
      </c>
      <c r="B960" s="83" t="s">
        <v>2595</v>
      </c>
      <c r="C960" s="91" t="s">
        <v>1387</v>
      </c>
    </row>
    <row r="961" spans="1:3" ht="15">
      <c r="A961" s="84" t="s">
        <v>412</v>
      </c>
      <c r="B961" s="83" t="s">
        <v>2568</v>
      </c>
      <c r="C961" s="91" t="s">
        <v>1387</v>
      </c>
    </row>
    <row r="962" spans="1:3" ht="15">
      <c r="A962" s="84" t="s">
        <v>412</v>
      </c>
      <c r="B962" s="83" t="s">
        <v>2592</v>
      </c>
      <c r="C962" s="91" t="s">
        <v>1387</v>
      </c>
    </row>
    <row r="963" spans="1:3" ht="15">
      <c r="A963" s="84" t="s">
        <v>412</v>
      </c>
      <c r="B963" s="83" t="s">
        <v>3213</v>
      </c>
      <c r="C963" s="91" t="s">
        <v>1387</v>
      </c>
    </row>
    <row r="964" spans="1:3" ht="15">
      <c r="A964" s="84" t="s">
        <v>412</v>
      </c>
      <c r="B964" s="83" t="s">
        <v>2576</v>
      </c>
      <c r="C964" s="91" t="s">
        <v>1387</v>
      </c>
    </row>
    <row r="965" spans="1:3" ht="15">
      <c r="A965" s="84" t="s">
        <v>412</v>
      </c>
      <c r="B965" s="83" t="s">
        <v>3229</v>
      </c>
      <c r="C965" s="91" t="s">
        <v>1387</v>
      </c>
    </row>
    <row r="966" spans="1:3" ht="15">
      <c r="A966" s="84" t="s">
        <v>412</v>
      </c>
      <c r="B966" s="83" t="s">
        <v>3230</v>
      </c>
      <c r="C966" s="91" t="s">
        <v>1387</v>
      </c>
    </row>
    <row r="967" spans="1:3" ht="15">
      <c r="A967" s="84" t="s">
        <v>412</v>
      </c>
      <c r="B967" s="83" t="s">
        <v>2598</v>
      </c>
      <c r="C967" s="91" t="s">
        <v>1387</v>
      </c>
    </row>
    <row r="968" spans="1:3" ht="15">
      <c r="A968" s="84" t="s">
        <v>412</v>
      </c>
      <c r="B968" s="83" t="s">
        <v>3231</v>
      </c>
      <c r="C968" s="91" t="s">
        <v>1387</v>
      </c>
    </row>
    <row r="969" spans="1:3" ht="15">
      <c r="A969" s="84" t="s">
        <v>412</v>
      </c>
      <c r="B969" s="83" t="s">
        <v>3232</v>
      </c>
      <c r="C969" s="91" t="s">
        <v>1387</v>
      </c>
    </row>
    <row r="970" spans="1:3" ht="15">
      <c r="A970" s="84" t="s">
        <v>412</v>
      </c>
      <c r="B970" s="83" t="s">
        <v>3233</v>
      </c>
      <c r="C970" s="91" t="s">
        <v>1387</v>
      </c>
    </row>
    <row r="971" spans="1:3" ht="15">
      <c r="A971" s="84" t="s">
        <v>412</v>
      </c>
      <c r="B971" s="83" t="s">
        <v>3211</v>
      </c>
      <c r="C971" s="91" t="s">
        <v>1387</v>
      </c>
    </row>
    <row r="972" spans="1:3" ht="15">
      <c r="A972" s="84" t="s">
        <v>412</v>
      </c>
      <c r="B972" s="83" t="s">
        <v>3199</v>
      </c>
      <c r="C972" s="91" t="s">
        <v>1387</v>
      </c>
    </row>
    <row r="973" spans="1:3" ht="15">
      <c r="A973" s="84" t="s">
        <v>412</v>
      </c>
      <c r="B973" s="83" t="s">
        <v>3218</v>
      </c>
      <c r="C973" s="91" t="s">
        <v>1387</v>
      </c>
    </row>
    <row r="974" spans="1:3" ht="15">
      <c r="A974" s="84" t="s">
        <v>412</v>
      </c>
      <c r="B974" s="83" t="s">
        <v>3234</v>
      </c>
      <c r="C974" s="91" t="s">
        <v>1387</v>
      </c>
    </row>
    <row r="975" spans="1:3" ht="15">
      <c r="A975" s="84" t="s">
        <v>412</v>
      </c>
      <c r="B975" s="83" t="s">
        <v>3235</v>
      </c>
      <c r="C975" s="91" t="s">
        <v>1387</v>
      </c>
    </row>
    <row r="976" spans="1:3" ht="15">
      <c r="A976" s="84" t="s">
        <v>412</v>
      </c>
      <c r="B976" s="83" t="s">
        <v>3236</v>
      </c>
      <c r="C976" s="91" t="s">
        <v>1387</v>
      </c>
    </row>
    <row r="977" spans="1:3" ht="15">
      <c r="A977" s="84" t="s">
        <v>412</v>
      </c>
      <c r="B977" s="83" t="s">
        <v>3237</v>
      </c>
      <c r="C977" s="91" t="s">
        <v>1387</v>
      </c>
    </row>
    <row r="978" spans="1:3" ht="15">
      <c r="A978" s="84" t="s">
        <v>412</v>
      </c>
      <c r="B978" s="83" t="s">
        <v>3238</v>
      </c>
      <c r="C978" s="91" t="s">
        <v>1387</v>
      </c>
    </row>
    <row r="979" spans="1:3" ht="15">
      <c r="A979" s="84" t="s">
        <v>412</v>
      </c>
      <c r="B979" s="83" t="s">
        <v>3239</v>
      </c>
      <c r="C979" s="91" t="s">
        <v>1387</v>
      </c>
    </row>
    <row r="980" spans="1:3" ht="15">
      <c r="A980" s="84" t="s">
        <v>412</v>
      </c>
      <c r="B980" s="83" t="s">
        <v>3240</v>
      </c>
      <c r="C980" s="91" t="s">
        <v>1387</v>
      </c>
    </row>
    <row r="981" spans="1:3" ht="15">
      <c r="A981" s="84" t="s">
        <v>412</v>
      </c>
      <c r="B981" s="83" t="s">
        <v>3241</v>
      </c>
      <c r="C981" s="91" t="s">
        <v>1387</v>
      </c>
    </row>
    <row r="982" spans="1:3" ht="15">
      <c r="A982" s="84" t="s">
        <v>412</v>
      </c>
      <c r="B982" s="83" t="s">
        <v>3242</v>
      </c>
      <c r="C982" s="91" t="s">
        <v>1387</v>
      </c>
    </row>
    <row r="983" spans="1:3" ht="15">
      <c r="A983" s="84" t="s">
        <v>412</v>
      </c>
      <c r="B983" s="83" t="s">
        <v>2767</v>
      </c>
      <c r="C983" s="91" t="s">
        <v>1387</v>
      </c>
    </row>
    <row r="984" spans="1:3" ht="15">
      <c r="A984" s="84" t="s">
        <v>412</v>
      </c>
      <c r="B984" s="83" t="s">
        <v>3243</v>
      </c>
      <c r="C984" s="91" t="s">
        <v>1387</v>
      </c>
    </row>
    <row r="985" spans="1:3" ht="15">
      <c r="A985" s="84" t="s">
        <v>412</v>
      </c>
      <c r="B985" s="83" t="s">
        <v>3244</v>
      </c>
      <c r="C985" s="91" t="s">
        <v>1387</v>
      </c>
    </row>
    <row r="986" spans="1:3" ht="15">
      <c r="A986" s="84" t="s">
        <v>412</v>
      </c>
      <c r="B986" s="83" t="s">
        <v>3226</v>
      </c>
      <c r="C986" s="91" t="s">
        <v>1386</v>
      </c>
    </row>
    <row r="987" spans="1:3" ht="15">
      <c r="A987" s="84" t="s">
        <v>412</v>
      </c>
      <c r="B987" s="83" t="s">
        <v>3227</v>
      </c>
      <c r="C987" s="91" t="s">
        <v>1386</v>
      </c>
    </row>
    <row r="988" spans="1:3" ht="15">
      <c r="A988" s="84" t="s">
        <v>412</v>
      </c>
      <c r="B988" s="83" t="s">
        <v>2607</v>
      </c>
      <c r="C988" s="91" t="s">
        <v>1386</v>
      </c>
    </row>
    <row r="989" spans="1:3" ht="15">
      <c r="A989" s="84" t="s">
        <v>412</v>
      </c>
      <c r="B989" s="83" t="s">
        <v>2698</v>
      </c>
      <c r="C989" s="91" t="s">
        <v>1386</v>
      </c>
    </row>
    <row r="990" spans="1:3" ht="15">
      <c r="A990" s="84" t="s">
        <v>412</v>
      </c>
      <c r="B990" s="83" t="s">
        <v>2699</v>
      </c>
      <c r="C990" s="91" t="s">
        <v>1386</v>
      </c>
    </row>
    <row r="991" spans="1:3" ht="15">
      <c r="A991" s="84" t="s">
        <v>412</v>
      </c>
      <c r="B991" s="83" t="s">
        <v>3228</v>
      </c>
      <c r="C991" s="91" t="s">
        <v>1386</v>
      </c>
    </row>
    <row r="992" spans="1:3" ht="15">
      <c r="A992" s="84" t="s">
        <v>412</v>
      </c>
      <c r="B992" s="83" t="s">
        <v>2581</v>
      </c>
      <c r="C992" s="91" t="s">
        <v>1386</v>
      </c>
    </row>
    <row r="993" spans="1:3" ht="15">
      <c r="A993" s="84" t="s">
        <v>412</v>
      </c>
      <c r="B993" s="83" t="s">
        <v>2586</v>
      </c>
      <c r="C993" s="91" t="s">
        <v>1386</v>
      </c>
    </row>
    <row r="994" spans="1:3" ht="15">
      <c r="A994" s="84" t="s">
        <v>412</v>
      </c>
      <c r="B994" s="83" t="s">
        <v>2595</v>
      </c>
      <c r="C994" s="91" t="s">
        <v>1386</v>
      </c>
    </row>
    <row r="995" spans="1:3" ht="15">
      <c r="A995" s="84" t="s">
        <v>412</v>
      </c>
      <c r="B995" s="83" t="s">
        <v>2568</v>
      </c>
      <c r="C995" s="91" t="s">
        <v>1386</v>
      </c>
    </row>
    <row r="996" spans="1:3" ht="15">
      <c r="A996" s="84" t="s">
        <v>412</v>
      </c>
      <c r="B996" s="83" t="s">
        <v>2592</v>
      </c>
      <c r="C996" s="91" t="s">
        <v>1386</v>
      </c>
    </row>
    <row r="997" spans="1:3" ht="15">
      <c r="A997" s="84" t="s">
        <v>412</v>
      </c>
      <c r="B997" s="83" t="s">
        <v>3213</v>
      </c>
      <c r="C997" s="91" t="s">
        <v>1386</v>
      </c>
    </row>
    <row r="998" spans="1:3" ht="15">
      <c r="A998" s="84" t="s">
        <v>412</v>
      </c>
      <c r="B998" s="83" t="s">
        <v>2576</v>
      </c>
      <c r="C998" s="91" t="s">
        <v>1386</v>
      </c>
    </row>
    <row r="999" spans="1:3" ht="15">
      <c r="A999" s="84" t="s">
        <v>412</v>
      </c>
      <c r="B999" s="83" t="s">
        <v>3229</v>
      </c>
      <c r="C999" s="91" t="s">
        <v>1386</v>
      </c>
    </row>
    <row r="1000" spans="1:3" ht="15">
      <c r="A1000" s="84" t="s">
        <v>412</v>
      </c>
      <c r="B1000" s="83" t="s">
        <v>3230</v>
      </c>
      <c r="C1000" s="91" t="s">
        <v>1386</v>
      </c>
    </row>
    <row r="1001" spans="1:3" ht="15">
      <c r="A1001" s="84" t="s">
        <v>412</v>
      </c>
      <c r="B1001" s="83" t="s">
        <v>2598</v>
      </c>
      <c r="C1001" s="91" t="s">
        <v>1386</v>
      </c>
    </row>
    <row r="1002" spans="1:3" ht="15">
      <c r="A1002" s="84" t="s">
        <v>412</v>
      </c>
      <c r="B1002" s="83" t="s">
        <v>3231</v>
      </c>
      <c r="C1002" s="91" t="s">
        <v>1386</v>
      </c>
    </row>
    <row r="1003" spans="1:3" ht="15">
      <c r="A1003" s="84" t="s">
        <v>412</v>
      </c>
      <c r="B1003" s="83" t="s">
        <v>3232</v>
      </c>
      <c r="C1003" s="91" t="s">
        <v>1386</v>
      </c>
    </row>
    <row r="1004" spans="1:3" ht="15">
      <c r="A1004" s="84" t="s">
        <v>412</v>
      </c>
      <c r="B1004" s="83" t="s">
        <v>3233</v>
      </c>
      <c r="C1004" s="91" t="s">
        <v>1386</v>
      </c>
    </row>
    <row r="1005" spans="1:3" ht="15">
      <c r="A1005" s="84" t="s">
        <v>412</v>
      </c>
      <c r="B1005" s="83" t="s">
        <v>3211</v>
      </c>
      <c r="C1005" s="91" t="s">
        <v>1386</v>
      </c>
    </row>
    <row r="1006" spans="1:3" ht="15">
      <c r="A1006" s="84" t="s">
        <v>412</v>
      </c>
      <c r="B1006" s="83" t="s">
        <v>3199</v>
      </c>
      <c r="C1006" s="91" t="s">
        <v>1386</v>
      </c>
    </row>
    <row r="1007" spans="1:3" ht="15">
      <c r="A1007" s="84" t="s">
        <v>412</v>
      </c>
      <c r="B1007" s="83" t="s">
        <v>3218</v>
      </c>
      <c r="C1007" s="91" t="s">
        <v>1386</v>
      </c>
    </row>
    <row r="1008" spans="1:3" ht="15">
      <c r="A1008" s="84" t="s">
        <v>412</v>
      </c>
      <c r="B1008" s="83" t="s">
        <v>3234</v>
      </c>
      <c r="C1008" s="91" t="s">
        <v>1386</v>
      </c>
    </row>
    <row r="1009" spans="1:3" ht="15">
      <c r="A1009" s="84" t="s">
        <v>412</v>
      </c>
      <c r="B1009" s="83" t="s">
        <v>3235</v>
      </c>
      <c r="C1009" s="91" t="s">
        <v>1386</v>
      </c>
    </row>
    <row r="1010" spans="1:3" ht="15">
      <c r="A1010" s="84" t="s">
        <v>412</v>
      </c>
      <c r="B1010" s="83" t="s">
        <v>3236</v>
      </c>
      <c r="C1010" s="91" t="s">
        <v>1386</v>
      </c>
    </row>
    <row r="1011" spans="1:3" ht="15">
      <c r="A1011" s="84" t="s">
        <v>412</v>
      </c>
      <c r="B1011" s="83" t="s">
        <v>3237</v>
      </c>
      <c r="C1011" s="91" t="s">
        <v>1386</v>
      </c>
    </row>
    <row r="1012" spans="1:3" ht="15">
      <c r="A1012" s="84" t="s">
        <v>412</v>
      </c>
      <c r="B1012" s="83" t="s">
        <v>3238</v>
      </c>
      <c r="C1012" s="91" t="s">
        <v>1386</v>
      </c>
    </row>
    <row r="1013" spans="1:3" ht="15">
      <c r="A1013" s="84" t="s">
        <v>412</v>
      </c>
      <c r="B1013" s="83" t="s">
        <v>3239</v>
      </c>
      <c r="C1013" s="91" t="s">
        <v>1386</v>
      </c>
    </row>
    <row r="1014" spans="1:3" ht="15">
      <c r="A1014" s="84" t="s">
        <v>412</v>
      </c>
      <c r="B1014" s="83" t="s">
        <v>3240</v>
      </c>
      <c r="C1014" s="91" t="s">
        <v>1386</v>
      </c>
    </row>
    <row r="1015" spans="1:3" ht="15">
      <c r="A1015" s="84" t="s">
        <v>412</v>
      </c>
      <c r="B1015" s="83" t="s">
        <v>3241</v>
      </c>
      <c r="C1015" s="91" t="s">
        <v>1386</v>
      </c>
    </row>
    <row r="1016" spans="1:3" ht="15">
      <c r="A1016" s="84" t="s">
        <v>412</v>
      </c>
      <c r="B1016" s="83" t="s">
        <v>3242</v>
      </c>
      <c r="C1016" s="91" t="s">
        <v>1386</v>
      </c>
    </row>
    <row r="1017" spans="1:3" ht="15">
      <c r="A1017" s="84" t="s">
        <v>412</v>
      </c>
      <c r="B1017" s="83" t="s">
        <v>2767</v>
      </c>
      <c r="C1017" s="91" t="s">
        <v>1386</v>
      </c>
    </row>
    <row r="1018" spans="1:3" ht="15">
      <c r="A1018" s="84" t="s">
        <v>412</v>
      </c>
      <c r="B1018" s="83" t="s">
        <v>3243</v>
      </c>
      <c r="C1018" s="91" t="s">
        <v>1386</v>
      </c>
    </row>
    <row r="1019" spans="1:3" ht="15">
      <c r="A1019" s="84" t="s">
        <v>412</v>
      </c>
      <c r="B1019" s="83" t="s">
        <v>3244</v>
      </c>
      <c r="C1019" s="91" t="s">
        <v>1386</v>
      </c>
    </row>
    <row r="1020" spans="1:3" ht="15">
      <c r="A1020" s="84" t="s">
        <v>412</v>
      </c>
      <c r="B1020" s="83" t="s">
        <v>3226</v>
      </c>
      <c r="C1020" s="91" t="s">
        <v>1385</v>
      </c>
    </row>
    <row r="1021" spans="1:3" ht="15">
      <c r="A1021" s="84" t="s">
        <v>412</v>
      </c>
      <c r="B1021" s="83" t="s">
        <v>3227</v>
      </c>
      <c r="C1021" s="91" t="s">
        <v>1385</v>
      </c>
    </row>
    <row r="1022" spans="1:3" ht="15">
      <c r="A1022" s="84" t="s">
        <v>412</v>
      </c>
      <c r="B1022" s="83" t="s">
        <v>2607</v>
      </c>
      <c r="C1022" s="91" t="s">
        <v>1385</v>
      </c>
    </row>
    <row r="1023" spans="1:3" ht="15">
      <c r="A1023" s="84" t="s">
        <v>412</v>
      </c>
      <c r="B1023" s="83" t="s">
        <v>2698</v>
      </c>
      <c r="C1023" s="91" t="s">
        <v>1385</v>
      </c>
    </row>
    <row r="1024" spans="1:3" ht="15">
      <c r="A1024" s="84" t="s">
        <v>412</v>
      </c>
      <c r="B1024" s="83" t="s">
        <v>2699</v>
      </c>
      <c r="C1024" s="91" t="s">
        <v>1385</v>
      </c>
    </row>
    <row r="1025" spans="1:3" ht="15">
      <c r="A1025" s="84" t="s">
        <v>412</v>
      </c>
      <c r="B1025" s="83" t="s">
        <v>3228</v>
      </c>
      <c r="C1025" s="91" t="s">
        <v>1385</v>
      </c>
    </row>
    <row r="1026" spans="1:3" ht="15">
      <c r="A1026" s="84" t="s">
        <v>412</v>
      </c>
      <c r="B1026" s="83" t="s">
        <v>2581</v>
      </c>
      <c r="C1026" s="91" t="s">
        <v>1385</v>
      </c>
    </row>
    <row r="1027" spans="1:3" ht="15">
      <c r="A1027" s="84" t="s">
        <v>412</v>
      </c>
      <c r="B1027" s="83" t="s">
        <v>2586</v>
      </c>
      <c r="C1027" s="91" t="s">
        <v>1385</v>
      </c>
    </row>
    <row r="1028" spans="1:3" ht="15">
      <c r="A1028" s="84" t="s">
        <v>412</v>
      </c>
      <c r="B1028" s="83" t="s">
        <v>2595</v>
      </c>
      <c r="C1028" s="91" t="s">
        <v>1385</v>
      </c>
    </row>
    <row r="1029" spans="1:3" ht="15">
      <c r="A1029" s="84" t="s">
        <v>412</v>
      </c>
      <c r="B1029" s="83" t="s">
        <v>2568</v>
      </c>
      <c r="C1029" s="91" t="s">
        <v>1385</v>
      </c>
    </row>
    <row r="1030" spans="1:3" ht="15">
      <c r="A1030" s="84" t="s">
        <v>412</v>
      </c>
      <c r="B1030" s="83" t="s">
        <v>2592</v>
      </c>
      <c r="C1030" s="91" t="s">
        <v>1385</v>
      </c>
    </row>
    <row r="1031" spans="1:3" ht="15">
      <c r="A1031" s="84" t="s">
        <v>412</v>
      </c>
      <c r="B1031" s="83" t="s">
        <v>3213</v>
      </c>
      <c r="C1031" s="91" t="s">
        <v>1385</v>
      </c>
    </row>
    <row r="1032" spans="1:3" ht="15">
      <c r="A1032" s="84" t="s">
        <v>412</v>
      </c>
      <c r="B1032" s="83" t="s">
        <v>2576</v>
      </c>
      <c r="C1032" s="91" t="s">
        <v>1385</v>
      </c>
    </row>
    <row r="1033" spans="1:3" ht="15">
      <c r="A1033" s="84" t="s">
        <v>412</v>
      </c>
      <c r="B1033" s="83" t="s">
        <v>3229</v>
      </c>
      <c r="C1033" s="91" t="s">
        <v>1385</v>
      </c>
    </row>
    <row r="1034" spans="1:3" ht="15">
      <c r="A1034" s="84" t="s">
        <v>412</v>
      </c>
      <c r="B1034" s="83" t="s">
        <v>3230</v>
      </c>
      <c r="C1034" s="91" t="s">
        <v>1385</v>
      </c>
    </row>
    <row r="1035" spans="1:3" ht="15">
      <c r="A1035" s="84" t="s">
        <v>412</v>
      </c>
      <c r="B1035" s="83" t="s">
        <v>2598</v>
      </c>
      <c r="C1035" s="91" t="s">
        <v>1385</v>
      </c>
    </row>
    <row r="1036" spans="1:3" ht="15">
      <c r="A1036" s="84" t="s">
        <v>412</v>
      </c>
      <c r="B1036" s="83" t="s">
        <v>3231</v>
      </c>
      <c r="C1036" s="91" t="s">
        <v>1385</v>
      </c>
    </row>
    <row r="1037" spans="1:3" ht="15">
      <c r="A1037" s="84" t="s">
        <v>412</v>
      </c>
      <c r="B1037" s="83" t="s">
        <v>3232</v>
      </c>
      <c r="C1037" s="91" t="s">
        <v>1385</v>
      </c>
    </row>
    <row r="1038" spans="1:3" ht="15">
      <c r="A1038" s="84" t="s">
        <v>412</v>
      </c>
      <c r="B1038" s="83" t="s">
        <v>3233</v>
      </c>
      <c r="C1038" s="91" t="s">
        <v>1385</v>
      </c>
    </row>
    <row r="1039" spans="1:3" ht="15">
      <c r="A1039" s="84" t="s">
        <v>412</v>
      </c>
      <c r="B1039" s="83" t="s">
        <v>3211</v>
      </c>
      <c r="C1039" s="91" t="s">
        <v>1385</v>
      </c>
    </row>
    <row r="1040" spans="1:3" ht="15">
      <c r="A1040" s="84" t="s">
        <v>412</v>
      </c>
      <c r="B1040" s="83" t="s">
        <v>3199</v>
      </c>
      <c r="C1040" s="91" t="s">
        <v>1385</v>
      </c>
    </row>
    <row r="1041" spans="1:3" ht="15">
      <c r="A1041" s="84" t="s">
        <v>412</v>
      </c>
      <c r="B1041" s="83" t="s">
        <v>3218</v>
      </c>
      <c r="C1041" s="91" t="s">
        <v>1385</v>
      </c>
    </row>
    <row r="1042" spans="1:3" ht="15">
      <c r="A1042" s="84" t="s">
        <v>412</v>
      </c>
      <c r="B1042" s="83" t="s">
        <v>3234</v>
      </c>
      <c r="C1042" s="91" t="s">
        <v>1385</v>
      </c>
    </row>
    <row r="1043" spans="1:3" ht="15">
      <c r="A1043" s="84" t="s">
        <v>412</v>
      </c>
      <c r="B1043" s="83" t="s">
        <v>3235</v>
      </c>
      <c r="C1043" s="91" t="s">
        <v>1385</v>
      </c>
    </row>
    <row r="1044" spans="1:3" ht="15">
      <c r="A1044" s="84" t="s">
        <v>412</v>
      </c>
      <c r="B1044" s="83" t="s">
        <v>3236</v>
      </c>
      <c r="C1044" s="91" t="s">
        <v>1385</v>
      </c>
    </row>
    <row r="1045" spans="1:3" ht="15">
      <c r="A1045" s="84" t="s">
        <v>412</v>
      </c>
      <c r="B1045" s="83" t="s">
        <v>3237</v>
      </c>
      <c r="C1045" s="91" t="s">
        <v>1385</v>
      </c>
    </row>
    <row r="1046" spans="1:3" ht="15">
      <c r="A1046" s="84" t="s">
        <v>412</v>
      </c>
      <c r="B1046" s="83" t="s">
        <v>3238</v>
      </c>
      <c r="C1046" s="91" t="s">
        <v>1385</v>
      </c>
    </row>
    <row r="1047" spans="1:3" ht="15">
      <c r="A1047" s="84" t="s">
        <v>412</v>
      </c>
      <c r="B1047" s="83" t="s">
        <v>3239</v>
      </c>
      <c r="C1047" s="91" t="s">
        <v>1385</v>
      </c>
    </row>
    <row r="1048" spans="1:3" ht="15">
      <c r="A1048" s="84" t="s">
        <v>412</v>
      </c>
      <c r="B1048" s="83" t="s">
        <v>3240</v>
      </c>
      <c r="C1048" s="91" t="s">
        <v>1385</v>
      </c>
    </row>
    <row r="1049" spans="1:3" ht="15">
      <c r="A1049" s="84" t="s">
        <v>412</v>
      </c>
      <c r="B1049" s="83" t="s">
        <v>3241</v>
      </c>
      <c r="C1049" s="91" t="s">
        <v>1385</v>
      </c>
    </row>
    <row r="1050" spans="1:3" ht="15">
      <c r="A1050" s="84" t="s">
        <v>412</v>
      </c>
      <c r="B1050" s="83" t="s">
        <v>3242</v>
      </c>
      <c r="C1050" s="91" t="s">
        <v>1385</v>
      </c>
    </row>
    <row r="1051" spans="1:3" ht="15">
      <c r="A1051" s="84" t="s">
        <v>412</v>
      </c>
      <c r="B1051" s="83" t="s">
        <v>2767</v>
      </c>
      <c r="C1051" s="91" t="s">
        <v>1385</v>
      </c>
    </row>
    <row r="1052" spans="1:3" ht="15">
      <c r="A1052" s="84" t="s">
        <v>412</v>
      </c>
      <c r="B1052" s="83" t="s">
        <v>3243</v>
      </c>
      <c r="C1052" s="91" t="s">
        <v>1385</v>
      </c>
    </row>
    <row r="1053" spans="1:3" ht="15">
      <c r="A1053" s="84" t="s">
        <v>412</v>
      </c>
      <c r="B1053" s="83" t="s">
        <v>3244</v>
      </c>
      <c r="C1053" s="91" t="s">
        <v>1385</v>
      </c>
    </row>
    <row r="1054" spans="1:3" ht="15">
      <c r="A1054" s="84" t="s">
        <v>412</v>
      </c>
      <c r="B1054" s="83" t="s">
        <v>3308</v>
      </c>
      <c r="C1054" s="91" t="s">
        <v>1384</v>
      </c>
    </row>
    <row r="1055" spans="1:3" ht="15">
      <c r="A1055" s="84" t="s">
        <v>412</v>
      </c>
      <c r="B1055" s="83" t="s">
        <v>2568</v>
      </c>
      <c r="C1055" s="91" t="s">
        <v>1384</v>
      </c>
    </row>
    <row r="1056" spans="1:3" ht="15">
      <c r="A1056" s="84" t="s">
        <v>412</v>
      </c>
      <c r="B1056" s="83" t="s">
        <v>3203</v>
      </c>
      <c r="C1056" s="91" t="s">
        <v>1384</v>
      </c>
    </row>
    <row r="1057" spans="1:3" ht="15">
      <c r="A1057" s="84" t="s">
        <v>412</v>
      </c>
      <c r="B1057" s="83">
        <v>19</v>
      </c>
      <c r="C1057" s="91" t="s">
        <v>1384</v>
      </c>
    </row>
    <row r="1058" spans="1:3" ht="15">
      <c r="A1058" s="84" t="s">
        <v>412</v>
      </c>
      <c r="B1058" s="83" t="s">
        <v>3309</v>
      </c>
      <c r="C1058" s="91" t="s">
        <v>1384</v>
      </c>
    </row>
    <row r="1059" spans="1:3" ht="15">
      <c r="A1059" s="84" t="s">
        <v>412</v>
      </c>
      <c r="B1059" s="83" t="s">
        <v>2666</v>
      </c>
      <c r="C1059" s="91" t="s">
        <v>1384</v>
      </c>
    </row>
    <row r="1060" spans="1:3" ht="15">
      <c r="A1060" s="84" t="s">
        <v>412</v>
      </c>
      <c r="B1060" s="83" t="s">
        <v>2630</v>
      </c>
      <c r="C1060" s="91" t="s">
        <v>1384</v>
      </c>
    </row>
    <row r="1061" spans="1:3" ht="15">
      <c r="A1061" s="84" t="s">
        <v>412</v>
      </c>
      <c r="B1061" s="83" t="s">
        <v>2676</v>
      </c>
      <c r="C1061" s="91" t="s">
        <v>1384</v>
      </c>
    </row>
    <row r="1062" spans="1:3" ht="15">
      <c r="A1062" s="84" t="s">
        <v>412</v>
      </c>
      <c r="B1062" s="83" t="s">
        <v>2580</v>
      </c>
      <c r="C1062" s="91" t="s">
        <v>1384</v>
      </c>
    </row>
    <row r="1063" spans="1:3" ht="15">
      <c r="A1063" s="84" t="s">
        <v>412</v>
      </c>
      <c r="B1063" s="83" t="s">
        <v>2677</v>
      </c>
      <c r="C1063" s="91" t="s">
        <v>1384</v>
      </c>
    </row>
    <row r="1064" spans="1:3" ht="15">
      <c r="A1064" s="84" t="s">
        <v>412</v>
      </c>
      <c r="B1064" s="83" t="s">
        <v>3310</v>
      </c>
      <c r="C1064" s="91" t="s">
        <v>1384</v>
      </c>
    </row>
    <row r="1065" spans="1:3" ht="15">
      <c r="A1065" s="84" t="s">
        <v>412</v>
      </c>
      <c r="B1065" s="83" t="s">
        <v>3282</v>
      </c>
      <c r="C1065" s="91" t="s">
        <v>1384</v>
      </c>
    </row>
    <row r="1066" spans="1:3" ht="15">
      <c r="A1066" s="84" t="s">
        <v>412</v>
      </c>
      <c r="B1066" s="83" t="s">
        <v>3311</v>
      </c>
      <c r="C1066" s="91" t="s">
        <v>1384</v>
      </c>
    </row>
    <row r="1067" spans="1:3" ht="15">
      <c r="A1067" s="84" t="s">
        <v>412</v>
      </c>
      <c r="B1067" s="83" t="s">
        <v>2577</v>
      </c>
      <c r="C1067" s="91" t="s">
        <v>1384</v>
      </c>
    </row>
    <row r="1068" spans="1:3" ht="15">
      <c r="A1068" s="84" t="s">
        <v>412</v>
      </c>
      <c r="B1068" s="83" t="s">
        <v>2658</v>
      </c>
      <c r="C1068" s="91" t="s">
        <v>1384</v>
      </c>
    </row>
    <row r="1069" spans="1:3" ht="15">
      <c r="A1069" s="84" t="s">
        <v>412</v>
      </c>
      <c r="B1069" s="83" t="s">
        <v>2653</v>
      </c>
      <c r="C1069" s="91" t="s">
        <v>1384</v>
      </c>
    </row>
    <row r="1070" spans="1:3" ht="15">
      <c r="A1070" s="84" t="s">
        <v>412</v>
      </c>
      <c r="B1070" s="83" t="s">
        <v>2667</v>
      </c>
      <c r="C1070" s="91" t="s">
        <v>1384</v>
      </c>
    </row>
    <row r="1071" spans="1:3" ht="15">
      <c r="A1071" s="84" t="s">
        <v>412</v>
      </c>
      <c r="B1071" s="83" t="s">
        <v>2578</v>
      </c>
      <c r="C1071" s="91" t="s">
        <v>1384</v>
      </c>
    </row>
    <row r="1072" spans="1:3" ht="15">
      <c r="A1072" s="84" t="s">
        <v>412</v>
      </c>
      <c r="B1072" s="83" t="s">
        <v>2678</v>
      </c>
      <c r="C1072" s="91" t="s">
        <v>1384</v>
      </c>
    </row>
    <row r="1073" spans="1:3" ht="15">
      <c r="A1073" s="84" t="s">
        <v>412</v>
      </c>
      <c r="B1073" s="83" t="s">
        <v>3312</v>
      </c>
      <c r="C1073" s="91" t="s">
        <v>1384</v>
      </c>
    </row>
    <row r="1074" spans="1:3" ht="15">
      <c r="A1074" s="84" t="s">
        <v>412</v>
      </c>
      <c r="B1074" s="83" t="s">
        <v>3290</v>
      </c>
      <c r="C1074" s="91" t="s">
        <v>1384</v>
      </c>
    </row>
    <row r="1075" spans="1:3" ht="15">
      <c r="A1075" s="84" t="s">
        <v>412</v>
      </c>
      <c r="B1075" s="83" t="s">
        <v>3313</v>
      </c>
      <c r="C1075" s="91" t="s">
        <v>1384</v>
      </c>
    </row>
    <row r="1076" spans="1:3" ht="15">
      <c r="A1076" s="84" t="s">
        <v>412</v>
      </c>
      <c r="B1076" s="83" t="s">
        <v>3314</v>
      </c>
      <c r="C1076" s="91" t="s">
        <v>1384</v>
      </c>
    </row>
    <row r="1077" spans="1:3" ht="15">
      <c r="A1077" s="84" t="s">
        <v>412</v>
      </c>
      <c r="B1077" s="83" t="s">
        <v>3315</v>
      </c>
      <c r="C1077" s="91" t="s">
        <v>1384</v>
      </c>
    </row>
    <row r="1078" spans="1:3" ht="15">
      <c r="A1078" s="84" t="s">
        <v>412</v>
      </c>
      <c r="B1078" s="83" t="s">
        <v>586</v>
      </c>
      <c r="C1078" s="91" t="s">
        <v>1384</v>
      </c>
    </row>
    <row r="1079" spans="1:3" ht="15">
      <c r="A1079" s="84" t="s">
        <v>412</v>
      </c>
      <c r="B1079" s="83" t="s">
        <v>3258</v>
      </c>
      <c r="C1079" s="91" t="s">
        <v>1384</v>
      </c>
    </row>
    <row r="1080" spans="1:3" ht="15">
      <c r="A1080" s="84" t="s">
        <v>412</v>
      </c>
      <c r="B1080" s="83" t="s">
        <v>3323</v>
      </c>
      <c r="C1080" s="91" t="s">
        <v>1383</v>
      </c>
    </row>
    <row r="1081" spans="1:3" ht="15">
      <c r="A1081" s="84" t="s">
        <v>412</v>
      </c>
      <c r="B1081" s="83" t="s">
        <v>2694</v>
      </c>
      <c r="C1081" s="91" t="s">
        <v>1383</v>
      </c>
    </row>
    <row r="1082" spans="1:3" ht="15">
      <c r="A1082" s="84" t="s">
        <v>412</v>
      </c>
      <c r="B1082" s="83" t="s">
        <v>2568</v>
      </c>
      <c r="C1082" s="91" t="s">
        <v>1383</v>
      </c>
    </row>
    <row r="1083" spans="1:3" ht="15">
      <c r="A1083" s="84" t="s">
        <v>412</v>
      </c>
      <c r="B1083" s="83" t="s">
        <v>2592</v>
      </c>
      <c r="C1083" s="91" t="s">
        <v>1383</v>
      </c>
    </row>
    <row r="1084" spans="1:3" ht="15">
      <c r="A1084" s="84" t="s">
        <v>412</v>
      </c>
      <c r="B1084" s="83" t="s">
        <v>3211</v>
      </c>
      <c r="C1084" s="91" t="s">
        <v>1383</v>
      </c>
    </row>
    <row r="1085" spans="1:3" ht="15">
      <c r="A1085" s="84" t="s">
        <v>412</v>
      </c>
      <c r="B1085" s="83" t="s">
        <v>2629</v>
      </c>
      <c r="C1085" s="91" t="s">
        <v>1383</v>
      </c>
    </row>
    <row r="1086" spans="1:3" ht="15">
      <c r="A1086" s="84" t="s">
        <v>412</v>
      </c>
      <c r="B1086" s="83" t="s">
        <v>2781</v>
      </c>
      <c r="C1086" s="91" t="s">
        <v>1383</v>
      </c>
    </row>
    <row r="1087" spans="1:3" ht="15">
      <c r="A1087" s="84" t="s">
        <v>412</v>
      </c>
      <c r="B1087" s="83" t="s">
        <v>2782</v>
      </c>
      <c r="C1087" s="91" t="s">
        <v>1383</v>
      </c>
    </row>
    <row r="1088" spans="1:3" ht="15">
      <c r="A1088" s="84" t="s">
        <v>412</v>
      </c>
      <c r="B1088" s="83" t="s">
        <v>2771</v>
      </c>
      <c r="C1088" s="91" t="s">
        <v>1383</v>
      </c>
    </row>
    <row r="1089" spans="1:3" ht="15">
      <c r="A1089" s="84" t="s">
        <v>412</v>
      </c>
      <c r="B1089" s="83" t="s">
        <v>2734</v>
      </c>
      <c r="C1089" s="91" t="s">
        <v>1383</v>
      </c>
    </row>
    <row r="1090" spans="1:3" ht="15">
      <c r="A1090" s="84" t="s">
        <v>412</v>
      </c>
      <c r="B1090" s="83" t="s">
        <v>3324</v>
      </c>
      <c r="C1090" s="91" t="s">
        <v>1383</v>
      </c>
    </row>
    <row r="1091" spans="1:3" ht="15">
      <c r="A1091" s="84" t="s">
        <v>412</v>
      </c>
      <c r="B1091" s="83" t="s">
        <v>2576</v>
      </c>
      <c r="C1091" s="91" t="s">
        <v>1383</v>
      </c>
    </row>
    <row r="1092" spans="1:3" ht="15">
      <c r="A1092" s="84" t="s">
        <v>412</v>
      </c>
      <c r="B1092" s="83" t="s">
        <v>2578</v>
      </c>
      <c r="C1092" s="91" t="s">
        <v>1383</v>
      </c>
    </row>
    <row r="1093" spans="1:3" ht="15">
      <c r="A1093" s="84" t="s">
        <v>412</v>
      </c>
      <c r="B1093" s="83" t="s">
        <v>3325</v>
      </c>
      <c r="C1093" s="91" t="s">
        <v>1383</v>
      </c>
    </row>
    <row r="1094" spans="1:3" ht="15">
      <c r="A1094" s="84" t="s">
        <v>412</v>
      </c>
      <c r="B1094" s="83" t="s">
        <v>3227</v>
      </c>
      <c r="C1094" s="91" t="s">
        <v>1383</v>
      </c>
    </row>
    <row r="1095" spans="1:3" ht="15">
      <c r="A1095" s="84" t="s">
        <v>412</v>
      </c>
      <c r="B1095" s="83" t="s">
        <v>3203</v>
      </c>
      <c r="C1095" s="91" t="s">
        <v>1383</v>
      </c>
    </row>
    <row r="1096" spans="1:3" ht="15">
      <c r="A1096" s="84" t="s">
        <v>412</v>
      </c>
      <c r="B1096" s="83">
        <v>19</v>
      </c>
      <c r="C1096" s="91" t="s">
        <v>1383</v>
      </c>
    </row>
    <row r="1097" spans="1:3" ht="15">
      <c r="A1097" s="84" t="s">
        <v>412</v>
      </c>
      <c r="B1097" s="83" t="s">
        <v>3326</v>
      </c>
      <c r="C1097" s="91" t="s">
        <v>1383</v>
      </c>
    </row>
    <row r="1098" spans="1:3" ht="15">
      <c r="A1098" s="84" t="s">
        <v>412</v>
      </c>
      <c r="B1098" s="83" t="s">
        <v>3327</v>
      </c>
      <c r="C1098" s="91" t="s">
        <v>1383</v>
      </c>
    </row>
    <row r="1099" spans="1:3" ht="15">
      <c r="A1099" s="84" t="s">
        <v>412</v>
      </c>
      <c r="B1099" s="83" t="s">
        <v>2590</v>
      </c>
      <c r="C1099" s="91" t="s">
        <v>1383</v>
      </c>
    </row>
    <row r="1100" spans="1:3" ht="15">
      <c r="A1100" s="84" t="s">
        <v>412</v>
      </c>
      <c r="B1100" s="83" t="s">
        <v>3328</v>
      </c>
      <c r="C1100" s="91" t="s">
        <v>1383</v>
      </c>
    </row>
    <row r="1101" spans="1:3" ht="15">
      <c r="A1101" s="84" t="s">
        <v>412</v>
      </c>
      <c r="B1101" s="83" t="s">
        <v>3225</v>
      </c>
      <c r="C1101" s="91" t="s">
        <v>1383</v>
      </c>
    </row>
    <row r="1102" spans="1:3" ht="15">
      <c r="A1102" s="84" t="s">
        <v>412</v>
      </c>
      <c r="B1102" s="83">
        <v>13</v>
      </c>
      <c r="C1102" s="91" t="s">
        <v>1383</v>
      </c>
    </row>
    <row r="1103" spans="1:3" ht="15">
      <c r="A1103" s="84" t="s">
        <v>412</v>
      </c>
      <c r="B1103" s="83" t="s">
        <v>3329</v>
      </c>
      <c r="C1103" s="91" t="s">
        <v>1383</v>
      </c>
    </row>
    <row r="1104" spans="1:3" ht="15">
      <c r="A1104" s="84" t="s">
        <v>412</v>
      </c>
      <c r="B1104" s="83">
        <v>11</v>
      </c>
      <c r="C1104" s="91" t="s">
        <v>1383</v>
      </c>
    </row>
    <row r="1105" spans="1:3" ht="15">
      <c r="A1105" s="84" t="s">
        <v>412</v>
      </c>
      <c r="B1105" s="83">
        <v>30</v>
      </c>
      <c r="C1105" s="91" t="s">
        <v>1383</v>
      </c>
    </row>
    <row r="1106" spans="1:3" ht="15">
      <c r="A1106" s="84" t="s">
        <v>412</v>
      </c>
      <c r="B1106" s="83" t="s">
        <v>3330</v>
      </c>
      <c r="C1106" s="91" t="s">
        <v>1383</v>
      </c>
    </row>
    <row r="1107" spans="1:3" ht="15">
      <c r="A1107" s="84" t="s">
        <v>412</v>
      </c>
      <c r="B1107" s="83" t="s">
        <v>3331</v>
      </c>
      <c r="C1107" s="91" t="s">
        <v>1383</v>
      </c>
    </row>
    <row r="1108" spans="1:3" ht="15">
      <c r="A1108" s="84" t="s">
        <v>412</v>
      </c>
      <c r="B1108" s="83">
        <v>1</v>
      </c>
      <c r="C1108" s="91" t="s">
        <v>1383</v>
      </c>
    </row>
    <row r="1109" spans="1:3" ht="15">
      <c r="A1109" s="84" t="s">
        <v>412</v>
      </c>
      <c r="B1109" s="83" t="s">
        <v>3332</v>
      </c>
      <c r="C1109" s="91" t="s">
        <v>1383</v>
      </c>
    </row>
    <row r="1110" spans="1:3" ht="15">
      <c r="A1110" s="84" t="s">
        <v>412</v>
      </c>
      <c r="B1110" s="83">
        <v>2</v>
      </c>
      <c r="C1110" s="91" t="s">
        <v>1383</v>
      </c>
    </row>
    <row r="1111" spans="1:3" ht="15">
      <c r="A1111" s="84" t="s">
        <v>412</v>
      </c>
      <c r="B1111" s="83" t="s">
        <v>3333</v>
      </c>
      <c r="C1111" s="91" t="s">
        <v>1383</v>
      </c>
    </row>
    <row r="1112" spans="1:3" ht="15">
      <c r="A1112" s="84" t="s">
        <v>412</v>
      </c>
      <c r="B1112" s="83" t="s">
        <v>2664</v>
      </c>
      <c r="C1112" s="91" t="s">
        <v>1383</v>
      </c>
    </row>
    <row r="1113" spans="1:3" ht="15">
      <c r="A1113" s="84" t="s">
        <v>412</v>
      </c>
      <c r="B1113" s="83" t="s">
        <v>2794</v>
      </c>
      <c r="C1113" s="91" t="s">
        <v>1383</v>
      </c>
    </row>
    <row r="1114" spans="1:3" ht="15">
      <c r="A1114" s="84" t="s">
        <v>412</v>
      </c>
      <c r="B1114" s="83" t="s">
        <v>3334</v>
      </c>
      <c r="C1114" s="91" t="s">
        <v>1383</v>
      </c>
    </row>
    <row r="1115" spans="1:3" ht="15">
      <c r="A1115" s="84" t="s">
        <v>412</v>
      </c>
      <c r="B1115" s="83" t="s">
        <v>3335</v>
      </c>
      <c r="C1115" s="91" t="s">
        <v>1383</v>
      </c>
    </row>
    <row r="1116" spans="1:3" ht="15">
      <c r="A1116" s="84" t="s">
        <v>412</v>
      </c>
      <c r="B1116" s="83" t="s">
        <v>3238</v>
      </c>
      <c r="C1116" s="91" t="s">
        <v>1383</v>
      </c>
    </row>
    <row r="1117" spans="1:3" ht="15">
      <c r="A1117" s="84" t="s">
        <v>412</v>
      </c>
      <c r="B1117" s="83" t="s">
        <v>3199</v>
      </c>
      <c r="C1117" s="91" t="s">
        <v>1383</v>
      </c>
    </row>
    <row r="1118" spans="1:3" ht="15">
      <c r="A1118" s="84" t="s">
        <v>412</v>
      </c>
      <c r="B1118" s="83" t="s">
        <v>3226</v>
      </c>
      <c r="C1118" s="91" t="s">
        <v>1377</v>
      </c>
    </row>
    <row r="1119" spans="1:3" ht="15">
      <c r="A1119" s="84" t="s">
        <v>412</v>
      </c>
      <c r="B1119" s="83" t="s">
        <v>2795</v>
      </c>
      <c r="C1119" s="91" t="s">
        <v>1377</v>
      </c>
    </row>
    <row r="1120" spans="1:3" ht="15">
      <c r="A1120" s="84" t="s">
        <v>412</v>
      </c>
      <c r="B1120" s="83" t="s">
        <v>2796</v>
      </c>
      <c r="C1120" s="91" t="s">
        <v>1377</v>
      </c>
    </row>
    <row r="1121" spans="1:3" ht="15">
      <c r="A1121" s="84" t="s">
        <v>412</v>
      </c>
      <c r="B1121" s="83" t="s">
        <v>2895</v>
      </c>
      <c r="C1121" s="91" t="s">
        <v>1377</v>
      </c>
    </row>
    <row r="1122" spans="1:3" ht="15">
      <c r="A1122" s="84" t="s">
        <v>412</v>
      </c>
      <c r="B1122" s="83" t="s">
        <v>2678</v>
      </c>
      <c r="C1122" s="91" t="s">
        <v>1377</v>
      </c>
    </row>
    <row r="1123" spans="1:3" ht="15">
      <c r="A1123" s="84" t="s">
        <v>412</v>
      </c>
      <c r="B1123" s="83" t="s">
        <v>586</v>
      </c>
      <c r="C1123" s="91" t="s">
        <v>1377</v>
      </c>
    </row>
    <row r="1124" spans="1:3" ht="15">
      <c r="A1124" s="84" t="s">
        <v>412</v>
      </c>
      <c r="B1124" s="83" t="s">
        <v>3336</v>
      </c>
      <c r="C1124" s="91" t="s">
        <v>1377</v>
      </c>
    </row>
    <row r="1125" spans="1:3" ht="15">
      <c r="A1125" s="84" t="s">
        <v>412</v>
      </c>
      <c r="B1125" s="83" t="s">
        <v>3258</v>
      </c>
      <c r="C1125" s="91" t="s">
        <v>1377</v>
      </c>
    </row>
    <row r="1126" spans="1:3" ht="15">
      <c r="A1126" s="84" t="s">
        <v>412</v>
      </c>
      <c r="B1126" s="83" t="s">
        <v>3337</v>
      </c>
      <c r="C1126" s="91" t="s">
        <v>1377</v>
      </c>
    </row>
    <row r="1127" spans="1:3" ht="15">
      <c r="A1127" s="84" t="s">
        <v>412</v>
      </c>
      <c r="B1127" s="83" t="s">
        <v>3338</v>
      </c>
      <c r="C1127" s="91" t="s">
        <v>1377</v>
      </c>
    </row>
    <row r="1128" spans="1:3" ht="15">
      <c r="A1128" s="84" t="s">
        <v>412</v>
      </c>
      <c r="B1128" s="83" t="s">
        <v>3339</v>
      </c>
      <c r="C1128" s="91" t="s">
        <v>1377</v>
      </c>
    </row>
    <row r="1129" spans="1:3" ht="15">
      <c r="A1129" s="84" t="s">
        <v>410</v>
      </c>
      <c r="B1129" s="83" t="s">
        <v>3261</v>
      </c>
      <c r="C1129" s="91" t="s">
        <v>1375</v>
      </c>
    </row>
    <row r="1130" spans="1:3" ht="15">
      <c r="A1130" s="84" t="s">
        <v>410</v>
      </c>
      <c r="B1130" s="83" t="s">
        <v>2581</v>
      </c>
      <c r="C1130" s="91" t="s">
        <v>1375</v>
      </c>
    </row>
    <row r="1131" spans="1:3" ht="15">
      <c r="A1131" s="84" t="s">
        <v>410</v>
      </c>
      <c r="B1131" s="83" t="s">
        <v>2586</v>
      </c>
      <c r="C1131" s="91" t="s">
        <v>1375</v>
      </c>
    </row>
    <row r="1132" spans="1:3" ht="15">
      <c r="A1132" s="84" t="s">
        <v>410</v>
      </c>
      <c r="B1132" s="83" t="s">
        <v>2670</v>
      </c>
      <c r="C1132" s="91" t="s">
        <v>1375</v>
      </c>
    </row>
    <row r="1133" spans="1:3" ht="15">
      <c r="A1133" s="84" t="s">
        <v>410</v>
      </c>
      <c r="B1133" s="83" t="s">
        <v>2655</v>
      </c>
      <c r="C1133" s="91" t="s">
        <v>1375</v>
      </c>
    </row>
    <row r="1134" spans="1:3" ht="15">
      <c r="A1134" s="84" t="s">
        <v>410</v>
      </c>
      <c r="B1134" s="83" t="s">
        <v>2580</v>
      </c>
      <c r="C1134" s="91" t="s">
        <v>1375</v>
      </c>
    </row>
    <row r="1135" spans="1:3" ht="15">
      <c r="A1135" s="84" t="s">
        <v>410</v>
      </c>
      <c r="B1135" s="83" t="s">
        <v>2661</v>
      </c>
      <c r="C1135" s="91" t="s">
        <v>1375</v>
      </c>
    </row>
    <row r="1136" spans="1:3" ht="15">
      <c r="A1136" s="84" t="s">
        <v>410</v>
      </c>
      <c r="B1136" s="83" t="s">
        <v>2656</v>
      </c>
      <c r="C1136" s="91" t="s">
        <v>1375</v>
      </c>
    </row>
    <row r="1137" spans="1:3" ht="15">
      <c r="A1137" s="84" t="s">
        <v>410</v>
      </c>
      <c r="B1137" s="83" t="s">
        <v>3199</v>
      </c>
      <c r="C1137" s="91" t="s">
        <v>1375</v>
      </c>
    </row>
    <row r="1138" spans="1:3" ht="15">
      <c r="A1138" s="84" t="s">
        <v>410</v>
      </c>
      <c r="B1138" s="83" t="s">
        <v>133</v>
      </c>
      <c r="C1138" s="91" t="s">
        <v>1375</v>
      </c>
    </row>
    <row r="1139" spans="1:3" ht="15">
      <c r="A1139" s="84" t="s">
        <v>410</v>
      </c>
      <c r="B1139" s="83" t="s">
        <v>2657</v>
      </c>
      <c r="C1139" s="91" t="s">
        <v>1375</v>
      </c>
    </row>
    <row r="1140" spans="1:3" ht="15">
      <c r="A1140" s="84" t="s">
        <v>410</v>
      </c>
      <c r="B1140" s="83" t="s">
        <v>2576</v>
      </c>
      <c r="C1140" s="91" t="s">
        <v>1375</v>
      </c>
    </row>
    <row r="1141" spans="1:3" ht="15">
      <c r="A1141" s="84" t="s">
        <v>410</v>
      </c>
      <c r="B1141" s="83" t="s">
        <v>2569</v>
      </c>
      <c r="C1141" s="91" t="s">
        <v>1375</v>
      </c>
    </row>
    <row r="1142" spans="1:3" ht="15">
      <c r="A1142" s="84" t="s">
        <v>410</v>
      </c>
      <c r="B1142" s="83">
        <v>19</v>
      </c>
      <c r="C1142" s="91" t="s">
        <v>1375</v>
      </c>
    </row>
    <row r="1143" spans="1:3" ht="15">
      <c r="A1143" s="84" t="s">
        <v>410</v>
      </c>
      <c r="B1143" s="83" t="s">
        <v>2629</v>
      </c>
      <c r="C1143" s="91" t="s">
        <v>1375</v>
      </c>
    </row>
    <row r="1144" spans="1:3" ht="15">
      <c r="A1144" s="84" t="s">
        <v>410</v>
      </c>
      <c r="B1144" s="83" t="s">
        <v>3262</v>
      </c>
      <c r="C1144" s="91" t="s">
        <v>1375</v>
      </c>
    </row>
    <row r="1145" spans="1:3" ht="15">
      <c r="A1145" s="84" t="s">
        <v>410</v>
      </c>
      <c r="B1145" s="83" t="s">
        <v>2702</v>
      </c>
      <c r="C1145" s="91" t="s">
        <v>1375</v>
      </c>
    </row>
    <row r="1146" spans="1:3" ht="15">
      <c r="A1146" s="84" t="s">
        <v>410</v>
      </c>
      <c r="B1146" s="83" t="s">
        <v>2652</v>
      </c>
      <c r="C1146" s="91" t="s">
        <v>1375</v>
      </c>
    </row>
    <row r="1147" spans="1:3" ht="15">
      <c r="A1147" s="84" t="s">
        <v>410</v>
      </c>
      <c r="B1147" s="83" t="s">
        <v>2703</v>
      </c>
      <c r="C1147" s="91" t="s">
        <v>1375</v>
      </c>
    </row>
    <row r="1148" spans="1:3" ht="15">
      <c r="A1148" s="84" t="s">
        <v>410</v>
      </c>
      <c r="B1148" s="83" t="s">
        <v>2704</v>
      </c>
      <c r="C1148" s="91" t="s">
        <v>1375</v>
      </c>
    </row>
    <row r="1149" spans="1:3" ht="15">
      <c r="A1149" s="84" t="s">
        <v>410</v>
      </c>
      <c r="B1149" s="83" t="s">
        <v>2577</v>
      </c>
      <c r="C1149" s="91" t="s">
        <v>1375</v>
      </c>
    </row>
    <row r="1150" spans="1:3" ht="15">
      <c r="A1150" s="84" t="s">
        <v>410</v>
      </c>
      <c r="B1150" s="83" t="s">
        <v>2630</v>
      </c>
      <c r="C1150" s="91" t="s">
        <v>1375</v>
      </c>
    </row>
    <row r="1151" spans="1:3" ht="15">
      <c r="A1151" s="84" t="s">
        <v>410</v>
      </c>
      <c r="B1151" s="83" t="s">
        <v>3263</v>
      </c>
      <c r="C1151" s="91" t="s">
        <v>1375</v>
      </c>
    </row>
    <row r="1152" spans="1:3" ht="15">
      <c r="A1152" s="84" t="s">
        <v>410</v>
      </c>
      <c r="B1152" s="83" t="s">
        <v>2705</v>
      </c>
      <c r="C1152" s="91" t="s">
        <v>1375</v>
      </c>
    </row>
    <row r="1153" spans="1:3" ht="15">
      <c r="A1153" s="84" t="s">
        <v>410</v>
      </c>
      <c r="B1153" s="83" t="s">
        <v>2671</v>
      </c>
      <c r="C1153" s="91" t="s">
        <v>1375</v>
      </c>
    </row>
    <row r="1154" spans="1:3" ht="15">
      <c r="A1154" s="84" t="s">
        <v>410</v>
      </c>
      <c r="B1154" s="83" t="s">
        <v>3264</v>
      </c>
      <c r="C1154" s="91" t="s">
        <v>1375</v>
      </c>
    </row>
    <row r="1155" spans="1:3" ht="15">
      <c r="A1155" s="84" t="s">
        <v>410</v>
      </c>
      <c r="B1155" s="83" t="s">
        <v>2706</v>
      </c>
      <c r="C1155" s="91" t="s">
        <v>1375</v>
      </c>
    </row>
    <row r="1156" spans="1:3" ht="15">
      <c r="A1156" s="84" t="s">
        <v>410</v>
      </c>
      <c r="B1156" s="83" t="s">
        <v>2707</v>
      </c>
      <c r="C1156" s="91" t="s">
        <v>1375</v>
      </c>
    </row>
    <row r="1157" spans="1:3" ht="15">
      <c r="A1157" s="84" t="s">
        <v>410</v>
      </c>
      <c r="B1157" s="83" t="s">
        <v>2568</v>
      </c>
      <c r="C1157" s="91" t="s">
        <v>1375</v>
      </c>
    </row>
    <row r="1158" spans="1:3" ht="15">
      <c r="A1158" s="84" t="s">
        <v>410</v>
      </c>
      <c r="B1158" s="83" t="s">
        <v>2662</v>
      </c>
      <c r="C1158" s="91" t="s">
        <v>1375</v>
      </c>
    </row>
    <row r="1159" spans="1:3" ht="15">
      <c r="A1159" s="84" t="s">
        <v>410</v>
      </c>
      <c r="B1159" s="83" t="s">
        <v>2708</v>
      </c>
      <c r="C1159" s="91" t="s">
        <v>1375</v>
      </c>
    </row>
    <row r="1160" spans="1:3" ht="15">
      <c r="A1160" s="84" t="s">
        <v>410</v>
      </c>
      <c r="B1160" s="83" t="s">
        <v>2709</v>
      </c>
      <c r="C1160" s="91" t="s">
        <v>1375</v>
      </c>
    </row>
    <row r="1161" spans="1:3" ht="15">
      <c r="A1161" s="84" t="s">
        <v>410</v>
      </c>
      <c r="B1161" s="83" t="s">
        <v>3265</v>
      </c>
      <c r="C1161" s="91" t="s">
        <v>1375</v>
      </c>
    </row>
    <row r="1162" spans="1:3" ht="15">
      <c r="A1162" s="84" t="s">
        <v>410</v>
      </c>
      <c r="B1162" s="83" t="s">
        <v>2578</v>
      </c>
      <c r="C1162" s="91" t="s">
        <v>1375</v>
      </c>
    </row>
    <row r="1163" spans="1:3" ht="15">
      <c r="A1163" s="84" t="s">
        <v>410</v>
      </c>
      <c r="B1163" s="83" t="s">
        <v>2710</v>
      </c>
      <c r="C1163" s="91" t="s">
        <v>1375</v>
      </c>
    </row>
    <row r="1164" spans="1:3" ht="15">
      <c r="A1164" s="84" t="s">
        <v>410</v>
      </c>
      <c r="B1164" s="83" t="s">
        <v>3238</v>
      </c>
      <c r="C1164" s="91" t="s">
        <v>1375</v>
      </c>
    </row>
    <row r="1165" spans="1:3" ht="15">
      <c r="A1165" s="84" t="s">
        <v>410</v>
      </c>
      <c r="B1165" s="83" t="s">
        <v>586</v>
      </c>
      <c r="C1165" s="91" t="s">
        <v>1375</v>
      </c>
    </row>
    <row r="1166" spans="1:3" ht="15">
      <c r="A1166" s="84" t="s">
        <v>410</v>
      </c>
      <c r="B1166" s="83" t="s">
        <v>3258</v>
      </c>
      <c r="C1166" s="91" t="s">
        <v>1375</v>
      </c>
    </row>
    <row r="1167" spans="1:3" ht="15">
      <c r="A1167" s="84" t="s">
        <v>410</v>
      </c>
      <c r="B1167" s="83" t="s">
        <v>3109</v>
      </c>
      <c r="C1167" s="91" t="s">
        <v>1375</v>
      </c>
    </row>
    <row r="1168" spans="1:3" ht="15">
      <c r="A1168" s="84" t="s">
        <v>407</v>
      </c>
      <c r="B1168" s="83" t="s">
        <v>3268</v>
      </c>
      <c r="C1168" s="91" t="s">
        <v>1374</v>
      </c>
    </row>
    <row r="1169" spans="1:3" ht="15">
      <c r="A1169" s="84" t="s">
        <v>407</v>
      </c>
      <c r="B1169" s="83" t="s">
        <v>3269</v>
      </c>
      <c r="C1169" s="91" t="s">
        <v>1374</v>
      </c>
    </row>
    <row r="1170" spans="1:3" ht="15">
      <c r="A1170" s="84" t="s">
        <v>407</v>
      </c>
      <c r="B1170" s="83" t="s">
        <v>3203</v>
      </c>
      <c r="C1170" s="91" t="s">
        <v>1374</v>
      </c>
    </row>
    <row r="1171" spans="1:3" ht="15">
      <c r="A1171" s="84" t="s">
        <v>407</v>
      </c>
      <c r="B1171" s="83">
        <v>19</v>
      </c>
      <c r="C1171" s="91" t="s">
        <v>1374</v>
      </c>
    </row>
    <row r="1172" spans="1:3" ht="15">
      <c r="A1172" s="84" t="s">
        <v>407</v>
      </c>
      <c r="B1172" s="83" t="s">
        <v>3270</v>
      </c>
      <c r="C1172" s="91" t="s">
        <v>1374</v>
      </c>
    </row>
    <row r="1173" spans="1:3" ht="15">
      <c r="A1173" s="84" t="s">
        <v>407</v>
      </c>
      <c r="B1173" s="83" t="s">
        <v>3271</v>
      </c>
      <c r="C1173" s="91" t="s">
        <v>1374</v>
      </c>
    </row>
    <row r="1174" spans="1:3" ht="15">
      <c r="A1174" s="84" t="s">
        <v>407</v>
      </c>
      <c r="B1174" s="83" t="s">
        <v>3272</v>
      </c>
      <c r="C1174" s="91" t="s">
        <v>1374</v>
      </c>
    </row>
    <row r="1175" spans="1:3" ht="15">
      <c r="A1175" s="84" t="s">
        <v>407</v>
      </c>
      <c r="B1175" s="83" t="s">
        <v>195</v>
      </c>
      <c r="C1175" s="91" t="s">
        <v>1374</v>
      </c>
    </row>
    <row r="1176" spans="1:3" ht="15">
      <c r="A1176" s="84" t="s">
        <v>407</v>
      </c>
      <c r="B1176" s="83" t="s">
        <v>3273</v>
      </c>
      <c r="C1176" s="91" t="s">
        <v>1374</v>
      </c>
    </row>
    <row r="1177" spans="1:3" ht="15">
      <c r="A1177" s="84" t="s">
        <v>407</v>
      </c>
      <c r="B1177" s="83" t="s">
        <v>3199</v>
      </c>
      <c r="C1177" s="91" t="s">
        <v>1374</v>
      </c>
    </row>
    <row r="1178" spans="1:3" ht="15">
      <c r="A1178" s="84" t="s">
        <v>407</v>
      </c>
      <c r="B1178" s="83" t="s">
        <v>3258</v>
      </c>
      <c r="C1178" s="91" t="s">
        <v>1374</v>
      </c>
    </row>
    <row r="1179" spans="1:3" ht="15">
      <c r="A1179" s="84" t="s">
        <v>407</v>
      </c>
      <c r="B1179" s="83" t="s">
        <v>3238</v>
      </c>
      <c r="C1179" s="91" t="s">
        <v>1374</v>
      </c>
    </row>
    <row r="1180" spans="1:3" ht="15">
      <c r="A1180" s="84" t="s">
        <v>407</v>
      </c>
      <c r="B1180" s="83" t="s">
        <v>3274</v>
      </c>
      <c r="C1180" s="91" t="s">
        <v>1374</v>
      </c>
    </row>
    <row r="1181" spans="1:3" ht="15">
      <c r="A1181" s="84" t="s">
        <v>407</v>
      </c>
      <c r="B1181" s="83" t="s">
        <v>3275</v>
      </c>
      <c r="C1181" s="91" t="s">
        <v>1374</v>
      </c>
    </row>
    <row r="1182" spans="1:3" ht="15">
      <c r="A1182" s="84" t="s">
        <v>407</v>
      </c>
      <c r="B1182" s="83" t="s">
        <v>3276</v>
      </c>
      <c r="C1182" s="91" t="s">
        <v>1374</v>
      </c>
    </row>
    <row r="1183" spans="1:3" ht="15">
      <c r="A1183" s="84" t="s">
        <v>407</v>
      </c>
      <c r="B1183" s="83" t="s">
        <v>3277</v>
      </c>
      <c r="C1183" s="91" t="s">
        <v>1374</v>
      </c>
    </row>
    <row r="1184" spans="1:3" ht="15">
      <c r="A1184" s="84" t="s">
        <v>407</v>
      </c>
      <c r="B1184" s="83" t="s">
        <v>3198</v>
      </c>
      <c r="C1184" s="91" t="s">
        <v>1374</v>
      </c>
    </row>
    <row r="1185" spans="1:3" ht="15">
      <c r="A1185" s="84" t="s">
        <v>407</v>
      </c>
      <c r="B1185" s="83" t="s">
        <v>3278</v>
      </c>
      <c r="C1185" s="91" t="s">
        <v>1374</v>
      </c>
    </row>
    <row r="1186" spans="1:3" ht="15">
      <c r="A1186" s="84" t="s">
        <v>407</v>
      </c>
      <c r="B1186" s="83" t="s">
        <v>420</v>
      </c>
      <c r="C1186" s="91" t="s">
        <v>1374</v>
      </c>
    </row>
    <row r="1187" spans="1:3" ht="15">
      <c r="A1187" s="84" t="s">
        <v>407</v>
      </c>
      <c r="B1187" s="83" t="s">
        <v>3279</v>
      </c>
      <c r="C1187" s="91" t="s">
        <v>1373</v>
      </c>
    </row>
    <row r="1188" spans="1:3" ht="15">
      <c r="A1188" s="84" t="s">
        <v>407</v>
      </c>
      <c r="B1188" s="83" t="s">
        <v>3280</v>
      </c>
      <c r="C1188" s="91" t="s">
        <v>1373</v>
      </c>
    </row>
    <row r="1189" spans="1:3" ht="15">
      <c r="A1189" s="84" t="s">
        <v>407</v>
      </c>
      <c r="B1189" s="83" t="s">
        <v>2581</v>
      </c>
      <c r="C1189" s="91" t="s">
        <v>1373</v>
      </c>
    </row>
    <row r="1190" spans="1:3" ht="15">
      <c r="A1190" s="84" t="s">
        <v>407</v>
      </c>
      <c r="B1190" s="83" t="s">
        <v>2675</v>
      </c>
      <c r="C1190" s="91" t="s">
        <v>1373</v>
      </c>
    </row>
    <row r="1191" spans="1:3" ht="15">
      <c r="A1191" s="84" t="s">
        <v>407</v>
      </c>
      <c r="B1191" s="83" t="s">
        <v>3281</v>
      </c>
      <c r="C1191" s="91" t="s">
        <v>1373</v>
      </c>
    </row>
    <row r="1192" spans="1:3" ht="15">
      <c r="A1192" s="84" t="s">
        <v>407</v>
      </c>
      <c r="B1192" s="83" t="s">
        <v>3213</v>
      </c>
      <c r="C1192" s="91" t="s">
        <v>1373</v>
      </c>
    </row>
    <row r="1193" spans="1:3" ht="15">
      <c r="A1193" s="84" t="s">
        <v>407</v>
      </c>
      <c r="B1193" s="83" t="s">
        <v>3266</v>
      </c>
      <c r="C1193" s="91" t="s">
        <v>1373</v>
      </c>
    </row>
    <row r="1194" spans="1:3" ht="15">
      <c r="A1194" s="84" t="s">
        <v>407</v>
      </c>
      <c r="B1194" s="83" t="s">
        <v>2577</v>
      </c>
      <c r="C1194" s="91" t="s">
        <v>1373</v>
      </c>
    </row>
    <row r="1195" spans="1:3" ht="15">
      <c r="A1195" s="84" t="s">
        <v>407</v>
      </c>
      <c r="B1195" s="83" t="s">
        <v>3198</v>
      </c>
      <c r="C1195" s="91" t="s">
        <v>1373</v>
      </c>
    </row>
    <row r="1196" spans="1:3" ht="15">
      <c r="A1196" s="84" t="s">
        <v>407</v>
      </c>
      <c r="B1196" s="83" t="s">
        <v>3282</v>
      </c>
      <c r="C1196" s="91" t="s">
        <v>1373</v>
      </c>
    </row>
    <row r="1197" spans="1:3" ht="15">
      <c r="A1197" s="84" t="s">
        <v>407</v>
      </c>
      <c r="B1197" s="83" t="s">
        <v>3283</v>
      </c>
      <c r="C1197" s="91" t="s">
        <v>1373</v>
      </c>
    </row>
    <row r="1198" spans="1:3" ht="15">
      <c r="A1198" s="84" t="s">
        <v>407</v>
      </c>
      <c r="B1198" s="83" t="s">
        <v>3214</v>
      </c>
      <c r="C1198" s="91" t="s">
        <v>1373</v>
      </c>
    </row>
    <row r="1199" spans="1:3" ht="15">
      <c r="A1199" s="84" t="s">
        <v>407</v>
      </c>
      <c r="B1199" s="83" t="s">
        <v>3211</v>
      </c>
      <c r="C1199" s="91" t="s">
        <v>1373</v>
      </c>
    </row>
    <row r="1200" spans="1:3" ht="15">
      <c r="A1200" s="84" t="s">
        <v>407</v>
      </c>
      <c r="B1200" s="83" t="s">
        <v>3215</v>
      </c>
      <c r="C1200" s="91" t="s">
        <v>1373</v>
      </c>
    </row>
    <row r="1201" spans="1:3" ht="15">
      <c r="A1201" s="84" t="s">
        <v>407</v>
      </c>
      <c r="B1201" s="83" t="s">
        <v>3199</v>
      </c>
      <c r="C1201" s="91" t="s">
        <v>1373</v>
      </c>
    </row>
    <row r="1202" spans="1:3" ht="15">
      <c r="A1202" s="84" t="s">
        <v>407</v>
      </c>
      <c r="B1202" s="83" t="s">
        <v>3218</v>
      </c>
      <c r="C1202" s="91" t="s">
        <v>1373</v>
      </c>
    </row>
    <row r="1203" spans="1:3" ht="15">
      <c r="A1203" s="84" t="s">
        <v>407</v>
      </c>
      <c r="B1203" s="83" t="s">
        <v>3235</v>
      </c>
      <c r="C1203" s="91" t="s">
        <v>1373</v>
      </c>
    </row>
    <row r="1204" spans="1:3" ht="15">
      <c r="A1204" s="84" t="s">
        <v>407</v>
      </c>
      <c r="B1204" s="83" t="s">
        <v>3236</v>
      </c>
      <c r="C1204" s="91" t="s">
        <v>1373</v>
      </c>
    </row>
    <row r="1205" spans="1:3" ht="15">
      <c r="A1205" s="84" t="s">
        <v>407</v>
      </c>
      <c r="B1205" s="83" t="s">
        <v>3220</v>
      </c>
      <c r="C1205" s="91" t="s">
        <v>1373</v>
      </c>
    </row>
    <row r="1206" spans="1:3" ht="15">
      <c r="A1206" s="84" t="s">
        <v>407</v>
      </c>
      <c r="B1206" s="83" t="s">
        <v>3221</v>
      </c>
      <c r="C1206" s="91" t="s">
        <v>1373</v>
      </c>
    </row>
    <row r="1207" spans="1:3" ht="15">
      <c r="A1207" s="84" t="s">
        <v>407</v>
      </c>
      <c r="B1207" s="83" t="s">
        <v>3237</v>
      </c>
      <c r="C1207" s="91" t="s">
        <v>1373</v>
      </c>
    </row>
    <row r="1208" spans="1:3" ht="15">
      <c r="A1208" s="84" t="s">
        <v>407</v>
      </c>
      <c r="B1208" s="83" t="s">
        <v>3284</v>
      </c>
      <c r="C1208" s="91" t="s">
        <v>1373</v>
      </c>
    </row>
    <row r="1209" spans="1:3" ht="15">
      <c r="A1209" s="84" t="s">
        <v>407</v>
      </c>
      <c r="B1209" s="83" t="s">
        <v>3285</v>
      </c>
      <c r="C1209" s="91" t="s">
        <v>1373</v>
      </c>
    </row>
    <row r="1210" spans="1:3" ht="15">
      <c r="A1210" s="84" t="s">
        <v>407</v>
      </c>
      <c r="B1210" s="83" t="s">
        <v>2632</v>
      </c>
      <c r="C1210" s="91" t="s">
        <v>1373</v>
      </c>
    </row>
    <row r="1211" spans="1:3" ht="15">
      <c r="A1211" s="84" t="s">
        <v>407</v>
      </c>
      <c r="B1211" s="83" t="s">
        <v>3286</v>
      </c>
      <c r="C1211" s="91" t="s">
        <v>1373</v>
      </c>
    </row>
    <row r="1212" spans="1:3" ht="15">
      <c r="A1212" s="84" t="s">
        <v>407</v>
      </c>
      <c r="B1212" s="83" t="s">
        <v>3279</v>
      </c>
      <c r="C1212" s="91" t="s">
        <v>1372</v>
      </c>
    </row>
    <row r="1213" spans="1:3" ht="15">
      <c r="A1213" s="84" t="s">
        <v>407</v>
      </c>
      <c r="B1213" s="83" t="s">
        <v>3280</v>
      </c>
      <c r="C1213" s="91" t="s">
        <v>1372</v>
      </c>
    </row>
    <row r="1214" spans="1:3" ht="15">
      <c r="A1214" s="84" t="s">
        <v>407</v>
      </c>
      <c r="B1214" s="83" t="s">
        <v>2581</v>
      </c>
      <c r="C1214" s="91" t="s">
        <v>1372</v>
      </c>
    </row>
    <row r="1215" spans="1:3" ht="15">
      <c r="A1215" s="84" t="s">
        <v>407</v>
      </c>
      <c r="B1215" s="83" t="s">
        <v>2675</v>
      </c>
      <c r="C1215" s="91" t="s">
        <v>1372</v>
      </c>
    </row>
    <row r="1216" spans="1:3" ht="15">
      <c r="A1216" s="84" t="s">
        <v>407</v>
      </c>
      <c r="B1216" s="83" t="s">
        <v>3281</v>
      </c>
      <c r="C1216" s="91" t="s">
        <v>1372</v>
      </c>
    </row>
    <row r="1217" spans="1:3" ht="15">
      <c r="A1217" s="84" t="s">
        <v>407</v>
      </c>
      <c r="B1217" s="83" t="s">
        <v>3213</v>
      </c>
      <c r="C1217" s="91" t="s">
        <v>1372</v>
      </c>
    </row>
    <row r="1218" spans="1:3" ht="15">
      <c r="A1218" s="84" t="s">
        <v>407</v>
      </c>
      <c r="B1218" s="83" t="s">
        <v>3266</v>
      </c>
      <c r="C1218" s="91" t="s">
        <v>1372</v>
      </c>
    </row>
    <row r="1219" spans="1:3" ht="15">
      <c r="A1219" s="84" t="s">
        <v>407</v>
      </c>
      <c r="B1219" s="83" t="s">
        <v>2577</v>
      </c>
      <c r="C1219" s="91" t="s">
        <v>1372</v>
      </c>
    </row>
    <row r="1220" spans="1:3" ht="15">
      <c r="A1220" s="84" t="s">
        <v>407</v>
      </c>
      <c r="B1220" s="83" t="s">
        <v>3198</v>
      </c>
      <c r="C1220" s="91" t="s">
        <v>1372</v>
      </c>
    </row>
    <row r="1221" spans="1:3" ht="15">
      <c r="A1221" s="84" t="s">
        <v>407</v>
      </c>
      <c r="B1221" s="83" t="s">
        <v>3282</v>
      </c>
      <c r="C1221" s="91" t="s">
        <v>1372</v>
      </c>
    </row>
    <row r="1222" spans="1:3" ht="15">
      <c r="A1222" s="84" t="s">
        <v>407</v>
      </c>
      <c r="B1222" s="83" t="s">
        <v>3283</v>
      </c>
      <c r="C1222" s="91" t="s">
        <v>1372</v>
      </c>
    </row>
    <row r="1223" spans="1:3" ht="15">
      <c r="A1223" s="84" t="s">
        <v>407</v>
      </c>
      <c r="B1223" s="83" t="s">
        <v>3214</v>
      </c>
      <c r="C1223" s="91" t="s">
        <v>1372</v>
      </c>
    </row>
    <row r="1224" spans="1:3" ht="15">
      <c r="A1224" s="84" t="s">
        <v>407</v>
      </c>
      <c r="B1224" s="83" t="s">
        <v>3211</v>
      </c>
      <c r="C1224" s="91" t="s">
        <v>1372</v>
      </c>
    </row>
    <row r="1225" spans="1:3" ht="15">
      <c r="A1225" s="84" t="s">
        <v>407</v>
      </c>
      <c r="B1225" s="83" t="s">
        <v>3215</v>
      </c>
      <c r="C1225" s="91" t="s">
        <v>1372</v>
      </c>
    </row>
    <row r="1226" spans="1:3" ht="15">
      <c r="A1226" s="84" t="s">
        <v>407</v>
      </c>
      <c r="B1226" s="83" t="s">
        <v>3199</v>
      </c>
      <c r="C1226" s="91" t="s">
        <v>1372</v>
      </c>
    </row>
    <row r="1227" spans="1:3" ht="15">
      <c r="A1227" s="84" t="s">
        <v>407</v>
      </c>
      <c r="B1227" s="83" t="s">
        <v>3218</v>
      </c>
      <c r="C1227" s="91" t="s">
        <v>1372</v>
      </c>
    </row>
    <row r="1228" spans="1:3" ht="15">
      <c r="A1228" s="84" t="s">
        <v>407</v>
      </c>
      <c r="B1228" s="83" t="s">
        <v>3235</v>
      </c>
      <c r="C1228" s="91" t="s">
        <v>1372</v>
      </c>
    </row>
    <row r="1229" spans="1:3" ht="15">
      <c r="A1229" s="84" t="s">
        <v>407</v>
      </c>
      <c r="B1229" s="83" t="s">
        <v>3236</v>
      </c>
      <c r="C1229" s="91" t="s">
        <v>1372</v>
      </c>
    </row>
    <row r="1230" spans="1:3" ht="15">
      <c r="A1230" s="84" t="s">
        <v>407</v>
      </c>
      <c r="B1230" s="83" t="s">
        <v>3220</v>
      </c>
      <c r="C1230" s="91" t="s">
        <v>1372</v>
      </c>
    </row>
    <row r="1231" spans="1:3" ht="15">
      <c r="A1231" s="84" t="s">
        <v>407</v>
      </c>
      <c r="B1231" s="83" t="s">
        <v>3221</v>
      </c>
      <c r="C1231" s="91" t="s">
        <v>1372</v>
      </c>
    </row>
    <row r="1232" spans="1:3" ht="15">
      <c r="A1232" s="84" t="s">
        <v>407</v>
      </c>
      <c r="B1232" s="83" t="s">
        <v>3237</v>
      </c>
      <c r="C1232" s="91" t="s">
        <v>1372</v>
      </c>
    </row>
    <row r="1233" spans="1:3" ht="15">
      <c r="A1233" s="84" t="s">
        <v>407</v>
      </c>
      <c r="B1233" s="83" t="s">
        <v>3284</v>
      </c>
      <c r="C1233" s="91" t="s">
        <v>1372</v>
      </c>
    </row>
    <row r="1234" spans="1:3" ht="15">
      <c r="A1234" s="84" t="s">
        <v>407</v>
      </c>
      <c r="B1234" s="83" t="s">
        <v>3285</v>
      </c>
      <c r="C1234" s="91" t="s">
        <v>1372</v>
      </c>
    </row>
    <row r="1235" spans="1:3" ht="15">
      <c r="A1235" s="84" t="s">
        <v>407</v>
      </c>
      <c r="B1235" s="83" t="s">
        <v>2632</v>
      </c>
      <c r="C1235" s="91" t="s">
        <v>1372</v>
      </c>
    </row>
    <row r="1236" spans="1:3" ht="15">
      <c r="A1236" s="84" t="s">
        <v>407</v>
      </c>
      <c r="B1236" s="83" t="s">
        <v>3286</v>
      </c>
      <c r="C1236" s="91" t="s">
        <v>1372</v>
      </c>
    </row>
    <row r="1237" spans="1:3" ht="15">
      <c r="A1237" s="84" t="s">
        <v>407</v>
      </c>
      <c r="B1237" s="83" t="s">
        <v>3250</v>
      </c>
      <c r="C1237" s="91" t="s">
        <v>1371</v>
      </c>
    </row>
    <row r="1238" spans="1:3" ht="15">
      <c r="A1238" s="84" t="s">
        <v>407</v>
      </c>
      <c r="B1238" s="83" t="s">
        <v>2692</v>
      </c>
      <c r="C1238" s="91" t="s">
        <v>1371</v>
      </c>
    </row>
    <row r="1239" spans="1:3" ht="15">
      <c r="A1239" s="84" t="s">
        <v>407</v>
      </c>
      <c r="B1239" s="83" t="s">
        <v>2712</v>
      </c>
      <c r="C1239" s="91" t="s">
        <v>1371</v>
      </c>
    </row>
    <row r="1240" spans="1:3" ht="15">
      <c r="A1240" s="84" t="s">
        <v>407</v>
      </c>
      <c r="B1240" s="83" t="s">
        <v>2578</v>
      </c>
      <c r="C1240" s="91" t="s">
        <v>1371</v>
      </c>
    </row>
    <row r="1241" spans="1:3" ht="15">
      <c r="A1241" s="84" t="s">
        <v>407</v>
      </c>
      <c r="B1241" s="83" t="s">
        <v>2637</v>
      </c>
      <c r="C1241" s="91" t="s">
        <v>1371</v>
      </c>
    </row>
    <row r="1242" spans="1:3" ht="15">
      <c r="A1242" s="84" t="s">
        <v>407</v>
      </c>
      <c r="B1242" s="83" t="s">
        <v>3203</v>
      </c>
      <c r="C1242" s="91" t="s">
        <v>1371</v>
      </c>
    </row>
    <row r="1243" spans="1:3" ht="15">
      <c r="A1243" s="84" t="s">
        <v>407</v>
      </c>
      <c r="B1243" s="91" t="s">
        <v>3287</v>
      </c>
      <c r="C1243" s="91" t="s">
        <v>1371</v>
      </c>
    </row>
    <row r="1244" spans="1:3" ht="15">
      <c r="A1244" s="84" t="s">
        <v>407</v>
      </c>
      <c r="B1244" s="83" t="s">
        <v>3288</v>
      </c>
      <c r="C1244" s="91" t="s">
        <v>1371</v>
      </c>
    </row>
    <row r="1245" spans="1:3" ht="15">
      <c r="A1245" s="84" t="s">
        <v>407</v>
      </c>
      <c r="B1245" s="83" t="s">
        <v>3289</v>
      </c>
      <c r="C1245" s="91" t="s">
        <v>1371</v>
      </c>
    </row>
    <row r="1246" spans="1:3" ht="15">
      <c r="A1246" s="84" t="s">
        <v>407</v>
      </c>
      <c r="B1246" s="83" t="s">
        <v>2632</v>
      </c>
      <c r="C1246" s="91" t="s">
        <v>1371</v>
      </c>
    </row>
    <row r="1247" spans="1:3" ht="15">
      <c r="A1247" s="84" t="s">
        <v>407</v>
      </c>
      <c r="B1247" s="83" t="s">
        <v>435</v>
      </c>
      <c r="C1247" s="91" t="s">
        <v>1371</v>
      </c>
    </row>
    <row r="1248" spans="1:3" ht="15">
      <c r="A1248" s="84" t="s">
        <v>407</v>
      </c>
      <c r="B1248" s="83" t="s">
        <v>3290</v>
      </c>
      <c r="C1248" s="91" t="s">
        <v>1371</v>
      </c>
    </row>
    <row r="1249" spans="1:3" ht="15">
      <c r="A1249" s="84" t="s">
        <v>407</v>
      </c>
      <c r="B1249" s="83" t="s">
        <v>3213</v>
      </c>
      <c r="C1249" s="91" t="s">
        <v>1371</v>
      </c>
    </row>
    <row r="1250" spans="1:3" ht="15">
      <c r="A1250" s="84" t="s">
        <v>407</v>
      </c>
      <c r="B1250" s="83" t="s">
        <v>3291</v>
      </c>
      <c r="C1250" s="91" t="s">
        <v>1371</v>
      </c>
    </row>
    <row r="1251" spans="1:3" ht="15">
      <c r="A1251" s="84" t="s">
        <v>407</v>
      </c>
      <c r="B1251" s="83" t="s">
        <v>3292</v>
      </c>
      <c r="C1251" s="91" t="s">
        <v>1371</v>
      </c>
    </row>
    <row r="1252" spans="1:3" ht="15">
      <c r="A1252" s="84" t="s">
        <v>407</v>
      </c>
      <c r="B1252" s="83" t="s">
        <v>3293</v>
      </c>
      <c r="C1252" s="91" t="s">
        <v>1371</v>
      </c>
    </row>
    <row r="1253" spans="1:3" ht="15">
      <c r="A1253" s="84" t="s">
        <v>407</v>
      </c>
      <c r="B1253" s="83" t="s">
        <v>3294</v>
      </c>
      <c r="C1253" s="91" t="s">
        <v>1371</v>
      </c>
    </row>
    <row r="1254" spans="1:3" ht="15">
      <c r="A1254" s="84" t="s">
        <v>407</v>
      </c>
      <c r="B1254" s="83" t="s">
        <v>3295</v>
      </c>
      <c r="C1254" s="91" t="s">
        <v>1371</v>
      </c>
    </row>
    <row r="1255" spans="1:3" ht="15">
      <c r="A1255" s="84" t="s">
        <v>407</v>
      </c>
      <c r="B1255" s="83" t="s">
        <v>3237</v>
      </c>
      <c r="C1255" s="91" t="s">
        <v>1371</v>
      </c>
    </row>
    <row r="1256" spans="1:3" ht="15">
      <c r="A1256" s="84" t="s">
        <v>407</v>
      </c>
      <c r="B1256" s="83" t="s">
        <v>3296</v>
      </c>
      <c r="C1256" s="91" t="s">
        <v>1371</v>
      </c>
    </row>
    <row r="1257" spans="1:3" ht="15">
      <c r="A1257" s="84" t="s">
        <v>407</v>
      </c>
      <c r="B1257" s="83" t="s">
        <v>3297</v>
      </c>
      <c r="C1257" s="91" t="s">
        <v>1371</v>
      </c>
    </row>
    <row r="1258" spans="1:3" ht="15">
      <c r="A1258" s="84" t="s">
        <v>407</v>
      </c>
      <c r="B1258" s="83" t="s">
        <v>3218</v>
      </c>
      <c r="C1258" s="91" t="s">
        <v>1371</v>
      </c>
    </row>
    <row r="1259" spans="1:3" ht="15">
      <c r="A1259" s="84" t="s">
        <v>407</v>
      </c>
      <c r="B1259" s="83" t="s">
        <v>3298</v>
      </c>
      <c r="C1259" s="91" t="s">
        <v>1371</v>
      </c>
    </row>
    <row r="1260" spans="1:3" ht="15">
      <c r="A1260" s="84" t="s">
        <v>407</v>
      </c>
      <c r="B1260" s="83" t="s">
        <v>3299</v>
      </c>
      <c r="C1260" s="91" t="s">
        <v>1371</v>
      </c>
    </row>
    <row r="1261" spans="1:3" ht="15">
      <c r="A1261" s="84" t="s">
        <v>407</v>
      </c>
      <c r="B1261" s="83" t="s">
        <v>2179</v>
      </c>
      <c r="C1261" s="91" t="s">
        <v>1371</v>
      </c>
    </row>
    <row r="1262" spans="1:3" ht="15">
      <c r="A1262" s="84" t="s">
        <v>407</v>
      </c>
      <c r="B1262" s="83" t="s">
        <v>3300</v>
      </c>
      <c r="C1262" s="91" t="s">
        <v>1371</v>
      </c>
    </row>
    <row r="1263" spans="1:3" ht="15">
      <c r="A1263" s="84" t="s">
        <v>407</v>
      </c>
      <c r="B1263" s="83" t="s">
        <v>3301</v>
      </c>
      <c r="C1263" s="91" t="s">
        <v>1371</v>
      </c>
    </row>
    <row r="1264" spans="1:3" ht="15">
      <c r="A1264" s="84" t="s">
        <v>407</v>
      </c>
      <c r="B1264" s="83" t="s">
        <v>3199</v>
      </c>
      <c r="C1264" s="91" t="s">
        <v>1371</v>
      </c>
    </row>
    <row r="1265" spans="1:3" ht="15">
      <c r="A1265" s="84" t="s">
        <v>407</v>
      </c>
      <c r="B1265" s="83" t="s">
        <v>3214</v>
      </c>
      <c r="C1265" s="91" t="s">
        <v>1371</v>
      </c>
    </row>
    <row r="1266" spans="1:3" ht="15">
      <c r="A1266" s="84" t="s">
        <v>407</v>
      </c>
      <c r="B1266" s="83" t="s">
        <v>3302</v>
      </c>
      <c r="C1266" s="91" t="s">
        <v>1371</v>
      </c>
    </row>
    <row r="1267" spans="1:3" ht="15">
      <c r="A1267" s="84" t="s">
        <v>407</v>
      </c>
      <c r="B1267" s="83" t="s">
        <v>3303</v>
      </c>
      <c r="C1267" s="91" t="s">
        <v>1371</v>
      </c>
    </row>
    <row r="1268" spans="1:3" ht="15">
      <c r="A1268" s="84" t="s">
        <v>407</v>
      </c>
      <c r="B1268" s="83" t="s">
        <v>3340</v>
      </c>
      <c r="C1268" s="91" t="s">
        <v>1370</v>
      </c>
    </row>
    <row r="1269" spans="1:3" ht="15">
      <c r="A1269" s="84" t="s">
        <v>407</v>
      </c>
      <c r="B1269" s="83" t="s">
        <v>3213</v>
      </c>
      <c r="C1269" s="91" t="s">
        <v>1370</v>
      </c>
    </row>
    <row r="1270" spans="1:3" ht="15">
      <c r="A1270" s="84" t="s">
        <v>407</v>
      </c>
      <c r="B1270" s="83" t="s">
        <v>3341</v>
      </c>
      <c r="C1270" s="91" t="s">
        <v>1370</v>
      </c>
    </row>
    <row r="1271" spans="1:3" ht="15">
      <c r="A1271" s="84" t="s">
        <v>407</v>
      </c>
      <c r="B1271" s="83" t="s">
        <v>3342</v>
      </c>
      <c r="C1271" s="91" t="s">
        <v>1370</v>
      </c>
    </row>
    <row r="1272" spans="1:3" ht="15">
      <c r="A1272" s="84" t="s">
        <v>407</v>
      </c>
      <c r="B1272" s="83" t="s">
        <v>3343</v>
      </c>
      <c r="C1272" s="91" t="s">
        <v>1370</v>
      </c>
    </row>
    <row r="1273" spans="1:3" ht="15">
      <c r="A1273" s="84" t="s">
        <v>407</v>
      </c>
      <c r="B1273" s="83" t="s">
        <v>3344</v>
      </c>
      <c r="C1273" s="91" t="s">
        <v>1370</v>
      </c>
    </row>
    <row r="1274" spans="1:3" ht="15">
      <c r="A1274" s="84" t="s">
        <v>407</v>
      </c>
      <c r="B1274" s="83" t="s">
        <v>3345</v>
      </c>
      <c r="C1274" s="91" t="s">
        <v>1370</v>
      </c>
    </row>
    <row r="1275" spans="1:3" ht="15">
      <c r="A1275" s="84" t="s">
        <v>407</v>
      </c>
      <c r="B1275" s="83" t="s">
        <v>3290</v>
      </c>
      <c r="C1275" s="91" t="s">
        <v>1370</v>
      </c>
    </row>
    <row r="1276" spans="1:3" ht="15">
      <c r="A1276" s="84" t="s">
        <v>407</v>
      </c>
      <c r="B1276" s="83" t="s">
        <v>2179</v>
      </c>
      <c r="C1276" s="91" t="s">
        <v>1370</v>
      </c>
    </row>
    <row r="1277" spans="1:3" ht="15">
      <c r="A1277" s="84" t="s">
        <v>407</v>
      </c>
      <c r="B1277" s="83" t="s">
        <v>3300</v>
      </c>
      <c r="C1277" s="91" t="s">
        <v>1370</v>
      </c>
    </row>
    <row r="1278" spans="1:3" ht="15">
      <c r="A1278" s="84" t="s">
        <v>407</v>
      </c>
      <c r="B1278" s="83" t="s">
        <v>3301</v>
      </c>
      <c r="C1278" s="91" t="s">
        <v>1370</v>
      </c>
    </row>
    <row r="1279" spans="1:3" ht="15">
      <c r="A1279" s="84" t="s">
        <v>407</v>
      </c>
      <c r="B1279" s="83" t="s">
        <v>3302</v>
      </c>
      <c r="C1279" s="91" t="s">
        <v>1370</v>
      </c>
    </row>
    <row r="1280" spans="1:3" ht="15">
      <c r="A1280" s="84" t="s">
        <v>407</v>
      </c>
      <c r="B1280" s="83" t="s">
        <v>3303</v>
      </c>
      <c r="C1280" s="91" t="s">
        <v>1370</v>
      </c>
    </row>
    <row r="1281" spans="1:3" ht="15">
      <c r="A1281" s="84" t="s">
        <v>407</v>
      </c>
      <c r="B1281" s="83" t="s">
        <v>3291</v>
      </c>
      <c r="C1281" s="91" t="s">
        <v>1370</v>
      </c>
    </row>
    <row r="1282" spans="1:3" ht="15">
      <c r="A1282" s="84" t="s">
        <v>407</v>
      </c>
      <c r="B1282" s="83" t="s">
        <v>3292</v>
      </c>
      <c r="C1282" s="91" t="s">
        <v>1370</v>
      </c>
    </row>
    <row r="1283" spans="1:3" ht="15">
      <c r="A1283" s="84" t="s">
        <v>407</v>
      </c>
      <c r="B1283" s="83" t="s">
        <v>3293</v>
      </c>
      <c r="C1283" s="91" t="s">
        <v>1370</v>
      </c>
    </row>
    <row r="1284" spans="1:3" ht="15">
      <c r="A1284" s="84" t="s">
        <v>407</v>
      </c>
      <c r="B1284" s="83" t="s">
        <v>3294</v>
      </c>
      <c r="C1284" s="91" t="s">
        <v>1370</v>
      </c>
    </row>
    <row r="1285" spans="1:3" ht="15">
      <c r="A1285" s="84" t="s">
        <v>407</v>
      </c>
      <c r="B1285" s="83" t="s">
        <v>3295</v>
      </c>
      <c r="C1285" s="91" t="s">
        <v>1370</v>
      </c>
    </row>
    <row r="1286" spans="1:3" ht="15">
      <c r="A1286" s="84" t="s">
        <v>407</v>
      </c>
      <c r="B1286" s="83" t="s">
        <v>3237</v>
      </c>
      <c r="C1286" s="91" t="s">
        <v>1370</v>
      </c>
    </row>
    <row r="1287" spans="1:3" ht="15">
      <c r="A1287" s="84" t="s">
        <v>407</v>
      </c>
      <c r="B1287" s="83" t="s">
        <v>3296</v>
      </c>
      <c r="C1287" s="91" t="s">
        <v>1370</v>
      </c>
    </row>
    <row r="1288" spans="1:3" ht="15">
      <c r="A1288" s="84" t="s">
        <v>407</v>
      </c>
      <c r="B1288" s="83" t="s">
        <v>3297</v>
      </c>
      <c r="C1288" s="91" t="s">
        <v>1370</v>
      </c>
    </row>
    <row r="1289" spans="1:3" ht="15">
      <c r="A1289" s="84" t="s">
        <v>407</v>
      </c>
      <c r="B1289" s="83" t="s">
        <v>3218</v>
      </c>
      <c r="C1289" s="91" t="s">
        <v>1370</v>
      </c>
    </row>
    <row r="1290" spans="1:3" ht="15">
      <c r="A1290" s="84" t="s">
        <v>407</v>
      </c>
      <c r="B1290" s="83" t="s">
        <v>3346</v>
      </c>
      <c r="C1290" s="91" t="s">
        <v>1370</v>
      </c>
    </row>
    <row r="1291" spans="1:3" ht="15">
      <c r="A1291" s="84" t="s">
        <v>407</v>
      </c>
      <c r="B1291" s="83" t="s">
        <v>3298</v>
      </c>
      <c r="C1291" s="91" t="s">
        <v>1370</v>
      </c>
    </row>
    <row r="1292" spans="1:3" ht="15">
      <c r="A1292" s="84" t="s">
        <v>407</v>
      </c>
      <c r="B1292" s="83" t="s">
        <v>3299</v>
      </c>
      <c r="C1292" s="91" t="s">
        <v>1370</v>
      </c>
    </row>
    <row r="1293" spans="1:3" ht="15">
      <c r="A1293" s="84" t="s">
        <v>407</v>
      </c>
      <c r="B1293" s="83" t="s">
        <v>3199</v>
      </c>
      <c r="C1293" s="91" t="s">
        <v>1370</v>
      </c>
    </row>
    <row r="1294" spans="1:3" ht="15">
      <c r="A1294" s="84" t="s">
        <v>407</v>
      </c>
      <c r="B1294" s="83" t="s">
        <v>3347</v>
      </c>
      <c r="C1294" s="91" t="s">
        <v>1370</v>
      </c>
    </row>
    <row r="1295" spans="1:3" ht="15">
      <c r="A1295" s="84" t="s">
        <v>407</v>
      </c>
      <c r="B1295" s="83" t="s">
        <v>3261</v>
      </c>
      <c r="C1295" s="91" t="s">
        <v>1369</v>
      </c>
    </row>
    <row r="1296" spans="1:3" ht="15">
      <c r="A1296" s="84" t="s">
        <v>407</v>
      </c>
      <c r="B1296" s="83" t="s">
        <v>2581</v>
      </c>
      <c r="C1296" s="91" t="s">
        <v>1369</v>
      </c>
    </row>
    <row r="1297" spans="1:3" ht="15">
      <c r="A1297" s="84" t="s">
        <v>407</v>
      </c>
      <c r="B1297" s="83" t="s">
        <v>2586</v>
      </c>
      <c r="C1297" s="91" t="s">
        <v>1369</v>
      </c>
    </row>
    <row r="1298" spans="1:3" ht="15">
      <c r="A1298" s="84" t="s">
        <v>407</v>
      </c>
      <c r="B1298" s="83" t="s">
        <v>2670</v>
      </c>
      <c r="C1298" s="91" t="s">
        <v>1369</v>
      </c>
    </row>
    <row r="1299" spans="1:3" ht="15">
      <c r="A1299" s="84" t="s">
        <v>407</v>
      </c>
      <c r="B1299" s="83" t="s">
        <v>2655</v>
      </c>
      <c r="C1299" s="91" t="s">
        <v>1369</v>
      </c>
    </row>
    <row r="1300" spans="1:3" ht="15">
      <c r="A1300" s="84" t="s">
        <v>407</v>
      </c>
      <c r="B1300" s="83" t="s">
        <v>2580</v>
      </c>
      <c r="C1300" s="91" t="s">
        <v>1369</v>
      </c>
    </row>
    <row r="1301" spans="1:3" ht="15">
      <c r="A1301" s="84" t="s">
        <v>407</v>
      </c>
      <c r="B1301" s="83" t="s">
        <v>2661</v>
      </c>
      <c r="C1301" s="91" t="s">
        <v>1369</v>
      </c>
    </row>
    <row r="1302" spans="1:3" ht="15">
      <c r="A1302" s="84" t="s">
        <v>407</v>
      </c>
      <c r="B1302" s="83" t="s">
        <v>2656</v>
      </c>
      <c r="C1302" s="91" t="s">
        <v>1369</v>
      </c>
    </row>
    <row r="1303" spans="1:3" ht="15">
      <c r="A1303" s="84" t="s">
        <v>407</v>
      </c>
      <c r="B1303" s="83" t="s">
        <v>3199</v>
      </c>
      <c r="C1303" s="91" t="s">
        <v>1369</v>
      </c>
    </row>
    <row r="1304" spans="1:3" ht="15">
      <c r="A1304" s="84" t="s">
        <v>407</v>
      </c>
      <c r="B1304" s="83" t="s">
        <v>133</v>
      </c>
      <c r="C1304" s="91" t="s">
        <v>1369</v>
      </c>
    </row>
    <row r="1305" spans="1:3" ht="15">
      <c r="A1305" s="84" t="s">
        <v>407</v>
      </c>
      <c r="B1305" s="83" t="s">
        <v>2657</v>
      </c>
      <c r="C1305" s="91" t="s">
        <v>1369</v>
      </c>
    </row>
    <row r="1306" spans="1:3" ht="15">
      <c r="A1306" s="84" t="s">
        <v>407</v>
      </c>
      <c r="B1306" s="83" t="s">
        <v>2576</v>
      </c>
      <c r="C1306" s="91" t="s">
        <v>1369</v>
      </c>
    </row>
    <row r="1307" spans="1:3" ht="15">
      <c r="A1307" s="84" t="s">
        <v>407</v>
      </c>
      <c r="B1307" s="83" t="s">
        <v>2569</v>
      </c>
      <c r="C1307" s="91" t="s">
        <v>1369</v>
      </c>
    </row>
    <row r="1308" spans="1:3" ht="15">
      <c r="A1308" s="84" t="s">
        <v>407</v>
      </c>
      <c r="B1308" s="83">
        <v>19</v>
      </c>
      <c r="C1308" s="91" t="s">
        <v>1369</v>
      </c>
    </row>
    <row r="1309" spans="1:3" ht="15">
      <c r="A1309" s="84" t="s">
        <v>407</v>
      </c>
      <c r="B1309" s="83" t="s">
        <v>2629</v>
      </c>
      <c r="C1309" s="91" t="s">
        <v>1369</v>
      </c>
    </row>
    <row r="1310" spans="1:3" ht="15">
      <c r="A1310" s="84" t="s">
        <v>407</v>
      </c>
      <c r="B1310" s="83" t="s">
        <v>3262</v>
      </c>
      <c r="C1310" s="91" t="s">
        <v>1369</v>
      </c>
    </row>
    <row r="1311" spans="1:3" ht="15">
      <c r="A1311" s="84" t="s">
        <v>407</v>
      </c>
      <c r="B1311" s="83" t="s">
        <v>2702</v>
      </c>
      <c r="C1311" s="91" t="s">
        <v>1369</v>
      </c>
    </row>
    <row r="1312" spans="1:3" ht="15">
      <c r="A1312" s="84" t="s">
        <v>407</v>
      </c>
      <c r="B1312" s="83" t="s">
        <v>2652</v>
      </c>
      <c r="C1312" s="91" t="s">
        <v>1369</v>
      </c>
    </row>
    <row r="1313" spans="1:3" ht="15">
      <c r="A1313" s="84" t="s">
        <v>407</v>
      </c>
      <c r="B1313" s="83" t="s">
        <v>2703</v>
      </c>
      <c r="C1313" s="91" t="s">
        <v>1369</v>
      </c>
    </row>
    <row r="1314" spans="1:3" ht="15">
      <c r="A1314" s="84" t="s">
        <v>407</v>
      </c>
      <c r="B1314" s="83" t="s">
        <v>2704</v>
      </c>
      <c r="C1314" s="91" t="s">
        <v>1369</v>
      </c>
    </row>
    <row r="1315" spans="1:3" ht="15">
      <c r="A1315" s="84" t="s">
        <v>407</v>
      </c>
      <c r="B1315" s="83" t="s">
        <v>2577</v>
      </c>
      <c r="C1315" s="91" t="s">
        <v>1369</v>
      </c>
    </row>
    <row r="1316" spans="1:3" ht="15">
      <c r="A1316" s="84" t="s">
        <v>407</v>
      </c>
      <c r="B1316" s="83" t="s">
        <v>2630</v>
      </c>
      <c r="C1316" s="91" t="s">
        <v>1369</v>
      </c>
    </row>
    <row r="1317" spans="1:3" ht="15">
      <c r="A1317" s="84" t="s">
        <v>407</v>
      </c>
      <c r="B1317" s="83" t="s">
        <v>3263</v>
      </c>
      <c r="C1317" s="91" t="s">
        <v>1369</v>
      </c>
    </row>
    <row r="1318" spans="1:3" ht="15">
      <c r="A1318" s="84" t="s">
        <v>407</v>
      </c>
      <c r="B1318" s="83" t="s">
        <v>2705</v>
      </c>
      <c r="C1318" s="91" t="s">
        <v>1369</v>
      </c>
    </row>
    <row r="1319" spans="1:3" ht="15">
      <c r="A1319" s="84" t="s">
        <v>407</v>
      </c>
      <c r="B1319" s="83" t="s">
        <v>2671</v>
      </c>
      <c r="C1319" s="91" t="s">
        <v>1369</v>
      </c>
    </row>
    <row r="1320" spans="1:3" ht="15">
      <c r="A1320" s="84" t="s">
        <v>407</v>
      </c>
      <c r="B1320" s="83" t="s">
        <v>3264</v>
      </c>
      <c r="C1320" s="91" t="s">
        <v>1369</v>
      </c>
    </row>
    <row r="1321" spans="1:3" ht="15">
      <c r="A1321" s="84" t="s">
        <v>407</v>
      </c>
      <c r="B1321" s="83" t="s">
        <v>2706</v>
      </c>
      <c r="C1321" s="91" t="s">
        <v>1369</v>
      </c>
    </row>
    <row r="1322" spans="1:3" ht="15">
      <c r="A1322" s="84" t="s">
        <v>407</v>
      </c>
      <c r="B1322" s="83" t="s">
        <v>2707</v>
      </c>
      <c r="C1322" s="91" t="s">
        <v>1369</v>
      </c>
    </row>
    <row r="1323" spans="1:3" ht="15">
      <c r="A1323" s="84" t="s">
        <v>407</v>
      </c>
      <c r="B1323" s="83" t="s">
        <v>2568</v>
      </c>
      <c r="C1323" s="91" t="s">
        <v>1369</v>
      </c>
    </row>
    <row r="1324" spans="1:3" ht="15">
      <c r="A1324" s="84" t="s">
        <v>407</v>
      </c>
      <c r="B1324" s="83" t="s">
        <v>2662</v>
      </c>
      <c r="C1324" s="91" t="s">
        <v>1369</v>
      </c>
    </row>
    <row r="1325" spans="1:3" ht="15">
      <c r="A1325" s="84" t="s">
        <v>407</v>
      </c>
      <c r="B1325" s="83" t="s">
        <v>2708</v>
      </c>
      <c r="C1325" s="91" t="s">
        <v>1369</v>
      </c>
    </row>
    <row r="1326" spans="1:3" ht="15">
      <c r="A1326" s="84" t="s">
        <v>407</v>
      </c>
      <c r="B1326" s="83" t="s">
        <v>2709</v>
      </c>
      <c r="C1326" s="91" t="s">
        <v>1369</v>
      </c>
    </row>
    <row r="1327" spans="1:3" ht="15">
      <c r="A1327" s="84" t="s">
        <v>407</v>
      </c>
      <c r="B1327" s="83" t="s">
        <v>3265</v>
      </c>
      <c r="C1327" s="91" t="s">
        <v>1369</v>
      </c>
    </row>
    <row r="1328" spans="1:3" ht="15">
      <c r="A1328" s="84" t="s">
        <v>407</v>
      </c>
      <c r="B1328" s="83" t="s">
        <v>2578</v>
      </c>
      <c r="C1328" s="91" t="s">
        <v>1369</v>
      </c>
    </row>
    <row r="1329" spans="1:3" ht="15">
      <c r="A1329" s="84" t="s">
        <v>407</v>
      </c>
      <c r="B1329" s="83" t="s">
        <v>2710</v>
      </c>
      <c r="C1329" s="91" t="s">
        <v>1369</v>
      </c>
    </row>
    <row r="1330" spans="1:3" ht="15">
      <c r="A1330" s="84" t="s">
        <v>407</v>
      </c>
      <c r="B1330" s="83" t="s">
        <v>3238</v>
      </c>
      <c r="C1330" s="91" t="s">
        <v>1369</v>
      </c>
    </row>
    <row r="1331" spans="1:3" ht="15">
      <c r="A1331" s="84" t="s">
        <v>407</v>
      </c>
      <c r="B1331" s="83" t="s">
        <v>586</v>
      </c>
      <c r="C1331" s="91" t="s">
        <v>1369</v>
      </c>
    </row>
    <row r="1332" spans="1:3" ht="15">
      <c r="A1332" s="84" t="s">
        <v>407</v>
      </c>
      <c r="B1332" s="83" t="s">
        <v>3258</v>
      </c>
      <c r="C1332" s="91" t="s">
        <v>1369</v>
      </c>
    </row>
    <row r="1333" spans="1:3" ht="15">
      <c r="A1333" s="84" t="s">
        <v>407</v>
      </c>
      <c r="B1333" s="83" t="s">
        <v>3109</v>
      </c>
      <c r="C1333" s="91" t="s">
        <v>1369</v>
      </c>
    </row>
    <row r="1334" spans="1:3" ht="15">
      <c r="A1334" s="84" t="s">
        <v>407</v>
      </c>
      <c r="B1334" s="83" t="s">
        <v>3267</v>
      </c>
      <c r="C1334" s="91" t="s">
        <v>1368</v>
      </c>
    </row>
    <row r="1335" spans="1:3" ht="15">
      <c r="A1335" s="84" t="s">
        <v>407</v>
      </c>
      <c r="B1335" s="83" t="s">
        <v>2581</v>
      </c>
      <c r="C1335" s="91" t="s">
        <v>1368</v>
      </c>
    </row>
    <row r="1336" spans="1:3" ht="15">
      <c r="A1336" s="84" t="s">
        <v>407</v>
      </c>
      <c r="B1336" s="83" t="s">
        <v>2586</v>
      </c>
      <c r="C1336" s="91" t="s">
        <v>1368</v>
      </c>
    </row>
    <row r="1337" spans="1:3" ht="15">
      <c r="A1337" s="84" t="s">
        <v>407</v>
      </c>
      <c r="B1337" s="83" t="s">
        <v>2595</v>
      </c>
      <c r="C1337" s="91" t="s">
        <v>1368</v>
      </c>
    </row>
    <row r="1338" spans="1:3" ht="15">
      <c r="A1338" s="84" t="s">
        <v>407</v>
      </c>
      <c r="B1338" s="83" t="s">
        <v>2568</v>
      </c>
      <c r="C1338" s="91" t="s">
        <v>1368</v>
      </c>
    </row>
    <row r="1339" spans="1:3" ht="15">
      <c r="A1339" s="84" t="s">
        <v>407</v>
      </c>
      <c r="B1339" s="83" t="s">
        <v>2592</v>
      </c>
      <c r="C1339" s="91" t="s">
        <v>1368</v>
      </c>
    </row>
    <row r="1340" spans="1:3" ht="15">
      <c r="A1340" s="84" t="s">
        <v>407</v>
      </c>
      <c r="B1340" s="83" t="s">
        <v>3213</v>
      </c>
      <c r="C1340" s="91" t="s">
        <v>1368</v>
      </c>
    </row>
    <row r="1341" spans="1:3" ht="15">
      <c r="A1341" s="84" t="s">
        <v>407</v>
      </c>
      <c r="B1341" s="83" t="s">
        <v>2576</v>
      </c>
      <c r="C1341" s="91" t="s">
        <v>1368</v>
      </c>
    </row>
    <row r="1342" spans="1:3" ht="15">
      <c r="A1342" s="84" t="s">
        <v>407</v>
      </c>
      <c r="B1342" s="83" t="s">
        <v>3229</v>
      </c>
      <c r="C1342" s="91" t="s">
        <v>1368</v>
      </c>
    </row>
    <row r="1343" spans="1:3" ht="15">
      <c r="A1343" s="84" t="s">
        <v>407</v>
      </c>
      <c r="B1343" s="83" t="s">
        <v>3230</v>
      </c>
      <c r="C1343" s="91" t="s">
        <v>1368</v>
      </c>
    </row>
    <row r="1344" spans="1:3" ht="15">
      <c r="A1344" s="84" t="s">
        <v>407</v>
      </c>
      <c r="B1344" s="83" t="s">
        <v>2598</v>
      </c>
      <c r="C1344" s="91" t="s">
        <v>1368</v>
      </c>
    </row>
    <row r="1345" spans="1:3" ht="15">
      <c r="A1345" s="84" t="s">
        <v>407</v>
      </c>
      <c r="B1345" s="83" t="s">
        <v>3231</v>
      </c>
      <c r="C1345" s="91" t="s">
        <v>1368</v>
      </c>
    </row>
    <row r="1346" spans="1:3" ht="15">
      <c r="A1346" s="84" t="s">
        <v>407</v>
      </c>
      <c r="B1346" s="83" t="s">
        <v>3232</v>
      </c>
      <c r="C1346" s="91" t="s">
        <v>1368</v>
      </c>
    </row>
    <row r="1347" spans="1:3" ht="15">
      <c r="A1347" s="84" t="s">
        <v>407</v>
      </c>
      <c r="B1347" s="83" t="s">
        <v>3233</v>
      </c>
      <c r="C1347" s="91" t="s">
        <v>1368</v>
      </c>
    </row>
    <row r="1348" spans="1:3" ht="15">
      <c r="A1348" s="84" t="s">
        <v>407</v>
      </c>
      <c r="B1348" s="83" t="s">
        <v>3211</v>
      </c>
      <c r="C1348" s="91" t="s">
        <v>1368</v>
      </c>
    </row>
    <row r="1349" spans="1:3" ht="15">
      <c r="A1349" s="84" t="s">
        <v>407</v>
      </c>
      <c r="B1349" s="83" t="s">
        <v>3199</v>
      </c>
      <c r="C1349" s="91" t="s">
        <v>1368</v>
      </c>
    </row>
    <row r="1350" spans="1:3" ht="15">
      <c r="A1350" s="84" t="s">
        <v>407</v>
      </c>
      <c r="B1350" s="83" t="s">
        <v>3218</v>
      </c>
      <c r="C1350" s="91" t="s">
        <v>1368</v>
      </c>
    </row>
    <row r="1351" spans="1:3" ht="15">
      <c r="A1351" s="84" t="s">
        <v>407</v>
      </c>
      <c r="B1351" s="83" t="s">
        <v>3234</v>
      </c>
      <c r="C1351" s="91" t="s">
        <v>1368</v>
      </c>
    </row>
    <row r="1352" spans="1:3" ht="15">
      <c r="A1352" s="84" t="s">
        <v>407</v>
      </c>
      <c r="B1352" s="83" t="s">
        <v>3235</v>
      </c>
      <c r="C1352" s="91" t="s">
        <v>1368</v>
      </c>
    </row>
    <row r="1353" spans="1:3" ht="15">
      <c r="A1353" s="84" t="s">
        <v>407</v>
      </c>
      <c r="B1353" s="83" t="s">
        <v>3236</v>
      </c>
      <c r="C1353" s="91" t="s">
        <v>1368</v>
      </c>
    </row>
    <row r="1354" spans="1:3" ht="15">
      <c r="A1354" s="84" t="s">
        <v>407</v>
      </c>
      <c r="B1354" s="83" t="s">
        <v>3237</v>
      </c>
      <c r="C1354" s="91" t="s">
        <v>1368</v>
      </c>
    </row>
    <row r="1355" spans="1:3" ht="15">
      <c r="A1355" s="84" t="s">
        <v>407</v>
      </c>
      <c r="B1355" s="83" t="s">
        <v>3238</v>
      </c>
      <c r="C1355" s="91" t="s">
        <v>1368</v>
      </c>
    </row>
    <row r="1356" spans="1:3" ht="15">
      <c r="A1356" s="84" t="s">
        <v>407</v>
      </c>
      <c r="B1356" s="83" t="s">
        <v>3239</v>
      </c>
      <c r="C1356" s="91" t="s">
        <v>1368</v>
      </c>
    </row>
    <row r="1357" spans="1:3" ht="15">
      <c r="A1357" s="84" t="s">
        <v>407</v>
      </c>
      <c r="B1357" s="83" t="s">
        <v>3240</v>
      </c>
      <c r="C1357" s="91" t="s">
        <v>1368</v>
      </c>
    </row>
    <row r="1358" spans="1:3" ht="15">
      <c r="A1358" s="84" t="s">
        <v>407</v>
      </c>
      <c r="B1358" s="83" t="s">
        <v>3241</v>
      </c>
      <c r="C1358" s="91" t="s">
        <v>1368</v>
      </c>
    </row>
    <row r="1359" spans="1:3" ht="15">
      <c r="A1359" s="84" t="s">
        <v>407</v>
      </c>
      <c r="B1359" s="83" t="s">
        <v>3242</v>
      </c>
      <c r="C1359" s="91" t="s">
        <v>1368</v>
      </c>
    </row>
    <row r="1360" spans="1:3" ht="15">
      <c r="A1360" s="84" t="s">
        <v>407</v>
      </c>
      <c r="B1360" s="83" t="s">
        <v>2767</v>
      </c>
      <c r="C1360" s="91" t="s">
        <v>1368</v>
      </c>
    </row>
    <row r="1361" spans="1:3" ht="15">
      <c r="A1361" s="84" t="s">
        <v>407</v>
      </c>
      <c r="B1361" s="83" t="s">
        <v>3243</v>
      </c>
      <c r="C1361" s="91" t="s">
        <v>1368</v>
      </c>
    </row>
    <row r="1362" spans="1:3" ht="15">
      <c r="A1362" s="84" t="s">
        <v>407</v>
      </c>
      <c r="B1362" s="83" t="s">
        <v>3244</v>
      </c>
      <c r="C1362" s="91" t="s">
        <v>1368</v>
      </c>
    </row>
    <row r="1363" spans="1:3" ht="15">
      <c r="A1363" s="84" t="s">
        <v>407</v>
      </c>
      <c r="B1363" s="83" t="s">
        <v>3223</v>
      </c>
      <c r="C1363" s="91" t="s">
        <v>1368</v>
      </c>
    </row>
    <row r="1364" spans="1:3" ht="15">
      <c r="A1364" s="84" t="s">
        <v>407</v>
      </c>
      <c r="B1364" s="83" t="s">
        <v>3228</v>
      </c>
      <c r="C1364" s="91" t="s">
        <v>1367</v>
      </c>
    </row>
    <row r="1365" spans="1:3" ht="15">
      <c r="A1365" s="84" t="s">
        <v>407</v>
      </c>
      <c r="B1365" s="83" t="s">
        <v>2581</v>
      </c>
      <c r="C1365" s="91" t="s">
        <v>1367</v>
      </c>
    </row>
    <row r="1366" spans="1:3" ht="15">
      <c r="A1366" s="84" t="s">
        <v>407</v>
      </c>
      <c r="B1366" s="83" t="s">
        <v>2586</v>
      </c>
      <c r="C1366" s="91" t="s">
        <v>1367</v>
      </c>
    </row>
    <row r="1367" spans="1:3" ht="15">
      <c r="A1367" s="84" t="s">
        <v>407</v>
      </c>
      <c r="B1367" s="83" t="s">
        <v>2595</v>
      </c>
      <c r="C1367" s="91" t="s">
        <v>1367</v>
      </c>
    </row>
    <row r="1368" spans="1:3" ht="15">
      <c r="A1368" s="84" t="s">
        <v>407</v>
      </c>
      <c r="B1368" s="83" t="s">
        <v>2568</v>
      </c>
      <c r="C1368" s="91" t="s">
        <v>1367</v>
      </c>
    </row>
    <row r="1369" spans="1:3" ht="15">
      <c r="A1369" s="84" t="s">
        <v>407</v>
      </c>
      <c r="B1369" s="83" t="s">
        <v>2592</v>
      </c>
      <c r="C1369" s="91" t="s">
        <v>1367</v>
      </c>
    </row>
    <row r="1370" spans="1:3" ht="15">
      <c r="A1370" s="84" t="s">
        <v>407</v>
      </c>
      <c r="B1370" s="83" t="s">
        <v>3213</v>
      </c>
      <c r="C1370" s="91" t="s">
        <v>1367</v>
      </c>
    </row>
    <row r="1371" spans="1:3" ht="15">
      <c r="A1371" s="84" t="s">
        <v>407</v>
      </c>
      <c r="B1371" s="83" t="s">
        <v>2576</v>
      </c>
      <c r="C1371" s="91" t="s">
        <v>1367</v>
      </c>
    </row>
    <row r="1372" spans="1:3" ht="15">
      <c r="A1372" s="84" t="s">
        <v>407</v>
      </c>
      <c r="B1372" s="83" t="s">
        <v>3229</v>
      </c>
      <c r="C1372" s="91" t="s">
        <v>1367</v>
      </c>
    </row>
    <row r="1373" spans="1:3" ht="15">
      <c r="A1373" s="84" t="s">
        <v>407</v>
      </c>
      <c r="B1373" s="83" t="s">
        <v>3230</v>
      </c>
      <c r="C1373" s="91" t="s">
        <v>1367</v>
      </c>
    </row>
    <row r="1374" spans="1:3" ht="15">
      <c r="A1374" s="84" t="s">
        <v>407</v>
      </c>
      <c r="B1374" s="83" t="s">
        <v>2598</v>
      </c>
      <c r="C1374" s="91" t="s">
        <v>1367</v>
      </c>
    </row>
    <row r="1375" spans="1:3" ht="15">
      <c r="A1375" s="84" t="s">
        <v>407</v>
      </c>
      <c r="B1375" s="83" t="s">
        <v>3231</v>
      </c>
      <c r="C1375" s="91" t="s">
        <v>1367</v>
      </c>
    </row>
    <row r="1376" spans="1:3" ht="15">
      <c r="A1376" s="84" t="s">
        <v>407</v>
      </c>
      <c r="B1376" s="83" t="s">
        <v>3232</v>
      </c>
      <c r="C1376" s="91" t="s">
        <v>1367</v>
      </c>
    </row>
    <row r="1377" spans="1:3" ht="15">
      <c r="A1377" s="84" t="s">
        <v>407</v>
      </c>
      <c r="B1377" s="83" t="s">
        <v>3233</v>
      </c>
      <c r="C1377" s="91" t="s">
        <v>1367</v>
      </c>
    </row>
    <row r="1378" spans="1:3" ht="15">
      <c r="A1378" s="84" t="s">
        <v>407</v>
      </c>
      <c r="B1378" s="83" t="s">
        <v>3211</v>
      </c>
      <c r="C1378" s="91" t="s">
        <v>1367</v>
      </c>
    </row>
    <row r="1379" spans="1:3" ht="15">
      <c r="A1379" s="84" t="s">
        <v>407</v>
      </c>
      <c r="B1379" s="83" t="s">
        <v>3199</v>
      </c>
      <c r="C1379" s="91" t="s">
        <v>1367</v>
      </c>
    </row>
    <row r="1380" spans="1:3" ht="15">
      <c r="A1380" s="84" t="s">
        <v>407</v>
      </c>
      <c r="B1380" s="83" t="s">
        <v>3218</v>
      </c>
      <c r="C1380" s="91" t="s">
        <v>1367</v>
      </c>
    </row>
    <row r="1381" spans="1:3" ht="15">
      <c r="A1381" s="84" t="s">
        <v>407</v>
      </c>
      <c r="B1381" s="83" t="s">
        <v>3234</v>
      </c>
      <c r="C1381" s="91" t="s">
        <v>1367</v>
      </c>
    </row>
    <row r="1382" spans="1:3" ht="15">
      <c r="A1382" s="84" t="s">
        <v>407</v>
      </c>
      <c r="B1382" s="83" t="s">
        <v>3235</v>
      </c>
      <c r="C1382" s="91" t="s">
        <v>1367</v>
      </c>
    </row>
    <row r="1383" spans="1:3" ht="15">
      <c r="A1383" s="84" t="s">
        <v>407</v>
      </c>
      <c r="B1383" s="83" t="s">
        <v>3236</v>
      </c>
      <c r="C1383" s="91" t="s">
        <v>1367</v>
      </c>
    </row>
    <row r="1384" spans="1:3" ht="15">
      <c r="A1384" s="84" t="s">
        <v>407</v>
      </c>
      <c r="B1384" s="83" t="s">
        <v>3237</v>
      </c>
      <c r="C1384" s="91" t="s">
        <v>1367</v>
      </c>
    </row>
    <row r="1385" spans="1:3" ht="15">
      <c r="A1385" s="84" t="s">
        <v>407</v>
      </c>
      <c r="B1385" s="83" t="s">
        <v>3238</v>
      </c>
      <c r="C1385" s="91" t="s">
        <v>1367</v>
      </c>
    </row>
    <row r="1386" spans="1:3" ht="15">
      <c r="A1386" s="84" t="s">
        <v>407</v>
      </c>
      <c r="B1386" s="83" t="s">
        <v>3239</v>
      </c>
      <c r="C1386" s="91" t="s">
        <v>1367</v>
      </c>
    </row>
    <row r="1387" spans="1:3" ht="15">
      <c r="A1387" s="84" t="s">
        <v>407</v>
      </c>
      <c r="B1387" s="83" t="s">
        <v>3240</v>
      </c>
      <c r="C1387" s="91" t="s">
        <v>1367</v>
      </c>
    </row>
    <row r="1388" spans="1:3" ht="15">
      <c r="A1388" s="84" t="s">
        <v>407</v>
      </c>
      <c r="B1388" s="83" t="s">
        <v>3241</v>
      </c>
      <c r="C1388" s="91" t="s">
        <v>1367</v>
      </c>
    </row>
    <row r="1389" spans="1:3" ht="15">
      <c r="A1389" s="84" t="s">
        <v>407</v>
      </c>
      <c r="B1389" s="83" t="s">
        <v>3242</v>
      </c>
      <c r="C1389" s="91" t="s">
        <v>1367</v>
      </c>
    </row>
    <row r="1390" spans="1:3" ht="15">
      <c r="A1390" s="84" t="s">
        <v>407</v>
      </c>
      <c r="B1390" s="83" t="s">
        <v>2767</v>
      </c>
      <c r="C1390" s="91" t="s">
        <v>1367</v>
      </c>
    </row>
    <row r="1391" spans="1:3" ht="15">
      <c r="A1391" s="84" t="s">
        <v>407</v>
      </c>
      <c r="B1391" s="83" t="s">
        <v>3243</v>
      </c>
      <c r="C1391" s="91" t="s">
        <v>1367</v>
      </c>
    </row>
    <row r="1392" spans="1:3" ht="15">
      <c r="A1392" s="84" t="s">
        <v>407</v>
      </c>
      <c r="B1392" s="83" t="s">
        <v>3244</v>
      </c>
      <c r="C1392" s="91" t="s">
        <v>1367</v>
      </c>
    </row>
    <row r="1393" spans="1:3" ht="15">
      <c r="A1393" s="84" t="s">
        <v>407</v>
      </c>
      <c r="B1393" s="83" t="s">
        <v>3223</v>
      </c>
      <c r="C1393" s="91" t="s">
        <v>1367</v>
      </c>
    </row>
    <row r="1394" spans="1:3" ht="15">
      <c r="A1394" s="84" t="s">
        <v>407</v>
      </c>
      <c r="B1394" s="83" t="s">
        <v>3266</v>
      </c>
      <c r="C1394" s="91" t="s">
        <v>1367</v>
      </c>
    </row>
    <row r="1395" spans="1:3" ht="15">
      <c r="A1395" s="84" t="s">
        <v>407</v>
      </c>
      <c r="B1395" s="83" t="s">
        <v>3304</v>
      </c>
      <c r="C1395" s="91" t="s">
        <v>1366</v>
      </c>
    </row>
    <row r="1396" spans="1:3" ht="15">
      <c r="A1396" s="84" t="s">
        <v>407</v>
      </c>
      <c r="B1396" s="83" t="s">
        <v>2716</v>
      </c>
      <c r="C1396" s="91" t="s">
        <v>1366</v>
      </c>
    </row>
    <row r="1397" spans="1:3" ht="15">
      <c r="A1397" s="84" t="s">
        <v>407</v>
      </c>
      <c r="B1397" s="83" t="s">
        <v>3205</v>
      </c>
      <c r="C1397" s="91" t="s">
        <v>1366</v>
      </c>
    </row>
    <row r="1398" spans="1:3" ht="15">
      <c r="A1398" s="84" t="s">
        <v>407</v>
      </c>
      <c r="B1398" s="83" t="s">
        <v>2672</v>
      </c>
      <c r="C1398" s="91" t="s">
        <v>1366</v>
      </c>
    </row>
    <row r="1399" spans="1:3" ht="15">
      <c r="A1399" s="84" t="s">
        <v>407</v>
      </c>
      <c r="B1399" s="83" t="s">
        <v>2809</v>
      </c>
      <c r="C1399" s="91" t="s">
        <v>1366</v>
      </c>
    </row>
    <row r="1400" spans="1:3" ht="15">
      <c r="A1400" s="84" t="s">
        <v>407</v>
      </c>
      <c r="B1400" s="83" t="s">
        <v>2810</v>
      </c>
      <c r="C1400" s="91" t="s">
        <v>1366</v>
      </c>
    </row>
    <row r="1401" spans="1:3" ht="15">
      <c r="A1401" s="84" t="s">
        <v>407</v>
      </c>
      <c r="B1401" s="83" t="s">
        <v>2811</v>
      </c>
      <c r="C1401" s="91" t="s">
        <v>1366</v>
      </c>
    </row>
    <row r="1402" spans="1:3" ht="15">
      <c r="A1402" s="84" t="s">
        <v>407</v>
      </c>
      <c r="B1402" s="83" t="s">
        <v>2576</v>
      </c>
      <c r="C1402" s="91" t="s">
        <v>1366</v>
      </c>
    </row>
    <row r="1403" spans="1:3" ht="15">
      <c r="A1403" s="84" t="s">
        <v>407</v>
      </c>
      <c r="B1403" s="83" t="s">
        <v>2589</v>
      </c>
      <c r="C1403" s="91" t="s">
        <v>1366</v>
      </c>
    </row>
    <row r="1404" spans="1:3" ht="15">
      <c r="A1404" s="84" t="s">
        <v>407</v>
      </c>
      <c r="B1404" s="83" t="s">
        <v>2812</v>
      </c>
      <c r="C1404" s="91" t="s">
        <v>1366</v>
      </c>
    </row>
    <row r="1405" spans="1:3" ht="15">
      <c r="A1405" s="84" t="s">
        <v>407</v>
      </c>
      <c r="B1405" s="83" t="s">
        <v>2668</v>
      </c>
      <c r="C1405" s="91" t="s">
        <v>1366</v>
      </c>
    </row>
    <row r="1406" spans="1:3" ht="15">
      <c r="A1406" s="84" t="s">
        <v>407</v>
      </c>
      <c r="B1406" s="83" t="s">
        <v>2814</v>
      </c>
      <c r="C1406" s="91" t="s">
        <v>1366</v>
      </c>
    </row>
    <row r="1407" spans="1:3" ht="15">
      <c r="A1407" s="84" t="s">
        <v>407</v>
      </c>
      <c r="B1407" s="83" t="s">
        <v>3305</v>
      </c>
      <c r="C1407" s="91" t="s">
        <v>1366</v>
      </c>
    </row>
    <row r="1408" spans="1:3" ht="15">
      <c r="A1408" s="84" t="s">
        <v>407</v>
      </c>
      <c r="B1408" s="83" t="s">
        <v>3306</v>
      </c>
      <c r="C1408" s="91" t="s">
        <v>1366</v>
      </c>
    </row>
    <row r="1409" spans="1:3" ht="15">
      <c r="A1409" s="84" t="s">
        <v>407</v>
      </c>
      <c r="B1409" s="83" t="s">
        <v>3290</v>
      </c>
      <c r="C1409" s="91" t="s">
        <v>1366</v>
      </c>
    </row>
    <row r="1410" spans="1:3" ht="15">
      <c r="A1410" s="84" t="s">
        <v>407</v>
      </c>
      <c r="B1410" s="83" t="s">
        <v>3213</v>
      </c>
      <c r="C1410" s="91" t="s">
        <v>1366</v>
      </c>
    </row>
    <row r="1411" spans="1:3" ht="15">
      <c r="A1411" s="84" t="s">
        <v>407</v>
      </c>
      <c r="B1411" s="83" t="s">
        <v>3291</v>
      </c>
      <c r="C1411" s="91" t="s">
        <v>1366</v>
      </c>
    </row>
    <row r="1412" spans="1:3" ht="15">
      <c r="A1412" s="84" t="s">
        <v>407</v>
      </c>
      <c r="B1412" s="83" t="s">
        <v>3292</v>
      </c>
      <c r="C1412" s="91" t="s">
        <v>1366</v>
      </c>
    </row>
    <row r="1413" spans="1:3" ht="15">
      <c r="A1413" s="84" t="s">
        <v>407</v>
      </c>
      <c r="B1413" s="83" t="s">
        <v>3307</v>
      </c>
      <c r="C1413" s="91" t="s">
        <v>1366</v>
      </c>
    </row>
    <row r="1414" spans="1:3" ht="15">
      <c r="A1414" s="84" t="s">
        <v>407</v>
      </c>
      <c r="B1414" s="83" t="s">
        <v>2179</v>
      </c>
      <c r="C1414" s="91" t="s">
        <v>1366</v>
      </c>
    </row>
    <row r="1415" spans="1:3" ht="15">
      <c r="A1415" s="84" t="s">
        <v>407</v>
      </c>
      <c r="B1415" s="83" t="s">
        <v>3301</v>
      </c>
      <c r="C1415" s="91" t="s">
        <v>1366</v>
      </c>
    </row>
    <row r="1416" spans="1:3" ht="15">
      <c r="A1416" s="84" t="s">
        <v>407</v>
      </c>
      <c r="B1416" s="83" t="s">
        <v>3302</v>
      </c>
      <c r="C1416" s="91" t="s">
        <v>1366</v>
      </c>
    </row>
    <row r="1417" spans="1:3" ht="15">
      <c r="A1417" s="84" t="s">
        <v>407</v>
      </c>
      <c r="B1417" s="83" t="s">
        <v>3303</v>
      </c>
      <c r="C1417" s="91" t="s">
        <v>1366</v>
      </c>
    </row>
    <row r="1418" spans="1:3" ht="15">
      <c r="A1418" s="84" t="s">
        <v>407</v>
      </c>
      <c r="B1418" s="83" t="s">
        <v>3199</v>
      </c>
      <c r="C1418" s="91" t="s">
        <v>1366</v>
      </c>
    </row>
    <row r="1419" spans="1:3" ht="15">
      <c r="A1419" s="84" t="s">
        <v>407</v>
      </c>
      <c r="B1419" s="83" t="s">
        <v>3294</v>
      </c>
      <c r="C1419" s="91" t="s">
        <v>1366</v>
      </c>
    </row>
    <row r="1420" spans="1:3" ht="15">
      <c r="A1420" s="84" t="s">
        <v>407</v>
      </c>
      <c r="B1420" s="83" t="s">
        <v>3295</v>
      </c>
      <c r="C1420" s="91" t="s">
        <v>1366</v>
      </c>
    </row>
    <row r="1421" spans="1:3" ht="15">
      <c r="A1421" s="84" t="s">
        <v>407</v>
      </c>
      <c r="B1421" s="83" t="s">
        <v>3237</v>
      </c>
      <c r="C1421" s="91" t="s">
        <v>1366</v>
      </c>
    </row>
    <row r="1422" spans="1:3" ht="15">
      <c r="A1422" s="84" t="s">
        <v>407</v>
      </c>
      <c r="B1422" s="83" t="s">
        <v>3296</v>
      </c>
      <c r="C1422" s="91" t="s">
        <v>1366</v>
      </c>
    </row>
    <row r="1423" spans="1:3" ht="15">
      <c r="A1423" s="84" t="s">
        <v>407</v>
      </c>
      <c r="B1423" s="83" t="s">
        <v>3297</v>
      </c>
      <c r="C1423" s="91" t="s">
        <v>1366</v>
      </c>
    </row>
    <row r="1424" spans="1:3" ht="15">
      <c r="A1424" s="84" t="s">
        <v>407</v>
      </c>
      <c r="B1424" s="83" t="s">
        <v>3218</v>
      </c>
      <c r="C1424" s="91" t="s">
        <v>1366</v>
      </c>
    </row>
    <row r="1425" spans="1:3" ht="15">
      <c r="A1425" s="84" t="s">
        <v>407</v>
      </c>
      <c r="B1425" s="83" t="s">
        <v>3293</v>
      </c>
      <c r="C1425" s="91" t="s">
        <v>1366</v>
      </c>
    </row>
    <row r="1426" spans="1:3" ht="15">
      <c r="A1426" s="84" t="s">
        <v>407</v>
      </c>
      <c r="B1426" s="83" t="s">
        <v>3298</v>
      </c>
      <c r="C1426" s="91" t="s">
        <v>1366</v>
      </c>
    </row>
    <row r="1427" spans="1:3" ht="15">
      <c r="A1427" s="84" t="s">
        <v>407</v>
      </c>
      <c r="B1427" s="83" t="s">
        <v>3299</v>
      </c>
      <c r="C1427" s="91" t="s">
        <v>1366</v>
      </c>
    </row>
    <row r="1428" spans="1:3" ht="15">
      <c r="A1428" s="84" t="s">
        <v>407</v>
      </c>
      <c r="B1428" s="83" t="s">
        <v>3267</v>
      </c>
      <c r="C1428" s="91" t="s">
        <v>1365</v>
      </c>
    </row>
    <row r="1429" spans="1:3" ht="15">
      <c r="A1429" s="84" t="s">
        <v>407</v>
      </c>
      <c r="B1429" s="83" t="s">
        <v>2581</v>
      </c>
      <c r="C1429" s="91" t="s">
        <v>1365</v>
      </c>
    </row>
    <row r="1430" spans="1:3" ht="15">
      <c r="A1430" s="84" t="s">
        <v>407</v>
      </c>
      <c r="B1430" s="83" t="s">
        <v>2586</v>
      </c>
      <c r="C1430" s="91" t="s">
        <v>1365</v>
      </c>
    </row>
    <row r="1431" spans="1:3" ht="15">
      <c r="A1431" s="84" t="s">
        <v>407</v>
      </c>
      <c r="B1431" s="83" t="s">
        <v>2595</v>
      </c>
      <c r="C1431" s="91" t="s">
        <v>1365</v>
      </c>
    </row>
    <row r="1432" spans="1:3" ht="15">
      <c r="A1432" s="84" t="s">
        <v>407</v>
      </c>
      <c r="B1432" s="83" t="s">
        <v>2568</v>
      </c>
      <c r="C1432" s="91" t="s">
        <v>1365</v>
      </c>
    </row>
    <row r="1433" spans="1:3" ht="15">
      <c r="A1433" s="84" t="s">
        <v>407</v>
      </c>
      <c r="B1433" s="83" t="s">
        <v>2592</v>
      </c>
      <c r="C1433" s="91" t="s">
        <v>1365</v>
      </c>
    </row>
    <row r="1434" spans="1:3" ht="15">
      <c r="A1434" s="84" t="s">
        <v>407</v>
      </c>
      <c r="B1434" s="83" t="s">
        <v>3213</v>
      </c>
      <c r="C1434" s="91" t="s">
        <v>1365</v>
      </c>
    </row>
    <row r="1435" spans="1:3" ht="15">
      <c r="A1435" s="84" t="s">
        <v>407</v>
      </c>
      <c r="B1435" s="83" t="s">
        <v>2576</v>
      </c>
      <c r="C1435" s="91" t="s">
        <v>1365</v>
      </c>
    </row>
    <row r="1436" spans="1:3" ht="15">
      <c r="A1436" s="84" t="s">
        <v>407</v>
      </c>
      <c r="B1436" s="83" t="s">
        <v>3229</v>
      </c>
      <c r="C1436" s="91" t="s">
        <v>1365</v>
      </c>
    </row>
    <row r="1437" spans="1:3" ht="15">
      <c r="A1437" s="84" t="s">
        <v>407</v>
      </c>
      <c r="B1437" s="83" t="s">
        <v>3230</v>
      </c>
      <c r="C1437" s="91" t="s">
        <v>1365</v>
      </c>
    </row>
    <row r="1438" spans="1:3" ht="15">
      <c r="A1438" s="84" t="s">
        <v>407</v>
      </c>
      <c r="B1438" s="83" t="s">
        <v>2598</v>
      </c>
      <c r="C1438" s="91" t="s">
        <v>1365</v>
      </c>
    </row>
    <row r="1439" spans="1:3" ht="15">
      <c r="A1439" s="84" t="s">
        <v>407</v>
      </c>
      <c r="B1439" s="83" t="s">
        <v>3231</v>
      </c>
      <c r="C1439" s="91" t="s">
        <v>1365</v>
      </c>
    </row>
    <row r="1440" spans="1:3" ht="15">
      <c r="A1440" s="84" t="s">
        <v>407</v>
      </c>
      <c r="B1440" s="83" t="s">
        <v>3232</v>
      </c>
      <c r="C1440" s="91" t="s">
        <v>1365</v>
      </c>
    </row>
    <row r="1441" spans="1:3" ht="15">
      <c r="A1441" s="84" t="s">
        <v>407</v>
      </c>
      <c r="B1441" s="83" t="s">
        <v>3233</v>
      </c>
      <c r="C1441" s="91" t="s">
        <v>1365</v>
      </c>
    </row>
    <row r="1442" spans="1:3" ht="15">
      <c r="A1442" s="84" t="s">
        <v>407</v>
      </c>
      <c r="B1442" s="83" t="s">
        <v>3211</v>
      </c>
      <c r="C1442" s="91" t="s">
        <v>1365</v>
      </c>
    </row>
    <row r="1443" spans="1:3" ht="15">
      <c r="A1443" s="84" t="s">
        <v>407</v>
      </c>
      <c r="B1443" s="83" t="s">
        <v>3199</v>
      </c>
      <c r="C1443" s="91" t="s">
        <v>1365</v>
      </c>
    </row>
    <row r="1444" spans="1:3" ht="15">
      <c r="A1444" s="84" t="s">
        <v>407</v>
      </c>
      <c r="B1444" s="83" t="s">
        <v>3218</v>
      </c>
      <c r="C1444" s="91" t="s">
        <v>1365</v>
      </c>
    </row>
    <row r="1445" spans="1:3" ht="15">
      <c r="A1445" s="84" t="s">
        <v>407</v>
      </c>
      <c r="B1445" s="83" t="s">
        <v>3234</v>
      </c>
      <c r="C1445" s="91" t="s">
        <v>1365</v>
      </c>
    </row>
    <row r="1446" spans="1:3" ht="15">
      <c r="A1446" s="84" t="s">
        <v>407</v>
      </c>
      <c r="B1446" s="83" t="s">
        <v>3235</v>
      </c>
      <c r="C1446" s="91" t="s">
        <v>1365</v>
      </c>
    </row>
    <row r="1447" spans="1:3" ht="15">
      <c r="A1447" s="84" t="s">
        <v>407</v>
      </c>
      <c r="B1447" s="83" t="s">
        <v>3236</v>
      </c>
      <c r="C1447" s="91" t="s">
        <v>1365</v>
      </c>
    </row>
    <row r="1448" spans="1:3" ht="15">
      <c r="A1448" s="84" t="s">
        <v>407</v>
      </c>
      <c r="B1448" s="83" t="s">
        <v>3237</v>
      </c>
      <c r="C1448" s="91" t="s">
        <v>1365</v>
      </c>
    </row>
    <row r="1449" spans="1:3" ht="15">
      <c r="A1449" s="84" t="s">
        <v>407</v>
      </c>
      <c r="B1449" s="83" t="s">
        <v>3238</v>
      </c>
      <c r="C1449" s="91" t="s">
        <v>1365</v>
      </c>
    </row>
    <row r="1450" spans="1:3" ht="15">
      <c r="A1450" s="84" t="s">
        <v>407</v>
      </c>
      <c r="B1450" s="83" t="s">
        <v>3239</v>
      </c>
      <c r="C1450" s="91" t="s">
        <v>1365</v>
      </c>
    </row>
    <row r="1451" spans="1:3" ht="15">
      <c r="A1451" s="84" t="s">
        <v>407</v>
      </c>
      <c r="B1451" s="83" t="s">
        <v>3240</v>
      </c>
      <c r="C1451" s="91" t="s">
        <v>1365</v>
      </c>
    </row>
    <row r="1452" spans="1:3" ht="15">
      <c r="A1452" s="84" t="s">
        <v>407</v>
      </c>
      <c r="B1452" s="83" t="s">
        <v>3241</v>
      </c>
      <c r="C1452" s="91" t="s">
        <v>1365</v>
      </c>
    </row>
    <row r="1453" spans="1:3" ht="15">
      <c r="A1453" s="84" t="s">
        <v>407</v>
      </c>
      <c r="B1453" s="83" t="s">
        <v>3242</v>
      </c>
      <c r="C1453" s="91" t="s">
        <v>1365</v>
      </c>
    </row>
    <row r="1454" spans="1:3" ht="15">
      <c r="A1454" s="84" t="s">
        <v>407</v>
      </c>
      <c r="B1454" s="83" t="s">
        <v>2767</v>
      </c>
      <c r="C1454" s="91" t="s">
        <v>1365</v>
      </c>
    </row>
    <row r="1455" spans="1:3" ht="15">
      <c r="A1455" s="84" t="s">
        <v>407</v>
      </c>
      <c r="B1455" s="83" t="s">
        <v>3243</v>
      </c>
      <c r="C1455" s="91" t="s">
        <v>1365</v>
      </c>
    </row>
    <row r="1456" spans="1:3" ht="15">
      <c r="A1456" s="84" t="s">
        <v>407</v>
      </c>
      <c r="B1456" s="83" t="s">
        <v>3244</v>
      </c>
      <c r="C1456" s="91" t="s">
        <v>1365</v>
      </c>
    </row>
    <row r="1457" spans="1:3" ht="15">
      <c r="A1457" s="84" t="s">
        <v>407</v>
      </c>
      <c r="B1457" s="83" t="s">
        <v>3223</v>
      </c>
      <c r="C1457" s="91" t="s">
        <v>1365</v>
      </c>
    </row>
    <row r="1458" spans="1:3" ht="15">
      <c r="A1458" s="84" t="s">
        <v>407</v>
      </c>
      <c r="B1458" s="83" t="s">
        <v>3267</v>
      </c>
      <c r="C1458" s="91" t="s">
        <v>1364</v>
      </c>
    </row>
    <row r="1459" spans="1:3" ht="15">
      <c r="A1459" s="84" t="s">
        <v>407</v>
      </c>
      <c r="B1459" s="83" t="s">
        <v>2581</v>
      </c>
      <c r="C1459" s="91" t="s">
        <v>1364</v>
      </c>
    </row>
    <row r="1460" spans="1:3" ht="15">
      <c r="A1460" s="84" t="s">
        <v>407</v>
      </c>
      <c r="B1460" s="83" t="s">
        <v>2586</v>
      </c>
      <c r="C1460" s="91" t="s">
        <v>1364</v>
      </c>
    </row>
    <row r="1461" spans="1:3" ht="15">
      <c r="A1461" s="84" t="s">
        <v>407</v>
      </c>
      <c r="B1461" s="83" t="s">
        <v>2595</v>
      </c>
      <c r="C1461" s="91" t="s">
        <v>1364</v>
      </c>
    </row>
    <row r="1462" spans="1:3" ht="15">
      <c r="A1462" s="84" t="s">
        <v>407</v>
      </c>
      <c r="B1462" s="83" t="s">
        <v>2568</v>
      </c>
      <c r="C1462" s="91" t="s">
        <v>1364</v>
      </c>
    </row>
    <row r="1463" spans="1:3" ht="15">
      <c r="A1463" s="84" t="s">
        <v>407</v>
      </c>
      <c r="B1463" s="83" t="s">
        <v>2592</v>
      </c>
      <c r="C1463" s="91" t="s">
        <v>1364</v>
      </c>
    </row>
    <row r="1464" spans="1:3" ht="15">
      <c r="A1464" s="84" t="s">
        <v>407</v>
      </c>
      <c r="B1464" s="83" t="s">
        <v>3213</v>
      </c>
      <c r="C1464" s="91" t="s">
        <v>1364</v>
      </c>
    </row>
    <row r="1465" spans="1:3" ht="15">
      <c r="A1465" s="84" t="s">
        <v>407</v>
      </c>
      <c r="B1465" s="83" t="s">
        <v>2576</v>
      </c>
      <c r="C1465" s="91" t="s">
        <v>1364</v>
      </c>
    </row>
    <row r="1466" spans="1:3" ht="15">
      <c r="A1466" s="84" t="s">
        <v>407</v>
      </c>
      <c r="B1466" s="83" t="s">
        <v>3229</v>
      </c>
      <c r="C1466" s="91" t="s">
        <v>1364</v>
      </c>
    </row>
    <row r="1467" spans="1:3" ht="15">
      <c r="A1467" s="84" t="s">
        <v>407</v>
      </c>
      <c r="B1467" s="83" t="s">
        <v>3230</v>
      </c>
      <c r="C1467" s="91" t="s">
        <v>1364</v>
      </c>
    </row>
    <row r="1468" spans="1:3" ht="15">
      <c r="A1468" s="84" t="s">
        <v>407</v>
      </c>
      <c r="B1468" s="83" t="s">
        <v>2598</v>
      </c>
      <c r="C1468" s="91" t="s">
        <v>1364</v>
      </c>
    </row>
    <row r="1469" spans="1:3" ht="15">
      <c r="A1469" s="84" t="s">
        <v>407</v>
      </c>
      <c r="B1469" s="83" t="s">
        <v>3231</v>
      </c>
      <c r="C1469" s="91" t="s">
        <v>1364</v>
      </c>
    </row>
    <row r="1470" spans="1:3" ht="15">
      <c r="A1470" s="84" t="s">
        <v>407</v>
      </c>
      <c r="B1470" s="83" t="s">
        <v>3232</v>
      </c>
      <c r="C1470" s="91" t="s">
        <v>1364</v>
      </c>
    </row>
    <row r="1471" spans="1:3" ht="15">
      <c r="A1471" s="84" t="s">
        <v>407</v>
      </c>
      <c r="B1471" s="83" t="s">
        <v>3233</v>
      </c>
      <c r="C1471" s="91" t="s">
        <v>1364</v>
      </c>
    </row>
    <row r="1472" spans="1:3" ht="15">
      <c r="A1472" s="84" t="s">
        <v>407</v>
      </c>
      <c r="B1472" s="83" t="s">
        <v>3211</v>
      </c>
      <c r="C1472" s="91" t="s">
        <v>1364</v>
      </c>
    </row>
    <row r="1473" spans="1:3" ht="15">
      <c r="A1473" s="84" t="s">
        <v>407</v>
      </c>
      <c r="B1473" s="83" t="s">
        <v>3199</v>
      </c>
      <c r="C1473" s="91" t="s">
        <v>1364</v>
      </c>
    </row>
    <row r="1474" spans="1:3" ht="15">
      <c r="A1474" s="84" t="s">
        <v>407</v>
      </c>
      <c r="B1474" s="83" t="s">
        <v>3218</v>
      </c>
      <c r="C1474" s="91" t="s">
        <v>1364</v>
      </c>
    </row>
    <row r="1475" spans="1:3" ht="15">
      <c r="A1475" s="84" t="s">
        <v>407</v>
      </c>
      <c r="B1475" s="83" t="s">
        <v>3234</v>
      </c>
      <c r="C1475" s="91" t="s">
        <v>1364</v>
      </c>
    </row>
    <row r="1476" spans="1:3" ht="15">
      <c r="A1476" s="84" t="s">
        <v>407</v>
      </c>
      <c r="B1476" s="83" t="s">
        <v>3235</v>
      </c>
      <c r="C1476" s="91" t="s">
        <v>1364</v>
      </c>
    </row>
    <row r="1477" spans="1:3" ht="15">
      <c r="A1477" s="84" t="s">
        <v>407</v>
      </c>
      <c r="B1477" s="83" t="s">
        <v>3236</v>
      </c>
      <c r="C1477" s="91" t="s">
        <v>1364</v>
      </c>
    </row>
    <row r="1478" spans="1:3" ht="15">
      <c r="A1478" s="84" t="s">
        <v>407</v>
      </c>
      <c r="B1478" s="83" t="s">
        <v>3237</v>
      </c>
      <c r="C1478" s="91" t="s">
        <v>1364</v>
      </c>
    </row>
    <row r="1479" spans="1:3" ht="15">
      <c r="A1479" s="84" t="s">
        <v>407</v>
      </c>
      <c r="B1479" s="83" t="s">
        <v>3238</v>
      </c>
      <c r="C1479" s="91" t="s">
        <v>1364</v>
      </c>
    </row>
    <row r="1480" spans="1:3" ht="15">
      <c r="A1480" s="84" t="s">
        <v>407</v>
      </c>
      <c r="B1480" s="83" t="s">
        <v>3239</v>
      </c>
      <c r="C1480" s="91" t="s">
        <v>1364</v>
      </c>
    </row>
    <row r="1481" spans="1:3" ht="15">
      <c r="A1481" s="84" t="s">
        <v>407</v>
      </c>
      <c r="B1481" s="83" t="s">
        <v>3240</v>
      </c>
      <c r="C1481" s="91" t="s">
        <v>1364</v>
      </c>
    </row>
    <row r="1482" spans="1:3" ht="15">
      <c r="A1482" s="84" t="s">
        <v>407</v>
      </c>
      <c r="B1482" s="83" t="s">
        <v>3241</v>
      </c>
      <c r="C1482" s="91" t="s">
        <v>1364</v>
      </c>
    </row>
    <row r="1483" spans="1:3" ht="15">
      <c r="A1483" s="84" t="s">
        <v>407</v>
      </c>
      <c r="B1483" s="83" t="s">
        <v>3242</v>
      </c>
      <c r="C1483" s="91" t="s">
        <v>1364</v>
      </c>
    </row>
    <row r="1484" spans="1:3" ht="15">
      <c r="A1484" s="84" t="s">
        <v>407</v>
      </c>
      <c r="B1484" s="83" t="s">
        <v>2767</v>
      </c>
      <c r="C1484" s="91" t="s">
        <v>1364</v>
      </c>
    </row>
    <row r="1485" spans="1:3" ht="15">
      <c r="A1485" s="84" t="s">
        <v>407</v>
      </c>
      <c r="B1485" s="83" t="s">
        <v>3243</v>
      </c>
      <c r="C1485" s="91" t="s">
        <v>1364</v>
      </c>
    </row>
    <row r="1486" spans="1:3" ht="15">
      <c r="A1486" s="84" t="s">
        <v>407</v>
      </c>
      <c r="B1486" s="83" t="s">
        <v>3244</v>
      </c>
      <c r="C1486" s="91" t="s">
        <v>1364</v>
      </c>
    </row>
    <row r="1487" spans="1:3" ht="15">
      <c r="A1487" s="84" t="s">
        <v>407</v>
      </c>
      <c r="B1487" s="83" t="s">
        <v>3223</v>
      </c>
      <c r="C1487" s="91" t="s">
        <v>1364</v>
      </c>
    </row>
    <row r="1488" spans="1:3" ht="15">
      <c r="A1488" s="84" t="s">
        <v>407</v>
      </c>
      <c r="B1488" s="83" t="s">
        <v>3226</v>
      </c>
      <c r="C1488" s="91" t="s">
        <v>1363</v>
      </c>
    </row>
    <row r="1489" spans="1:3" ht="15">
      <c r="A1489" s="84" t="s">
        <v>407</v>
      </c>
      <c r="B1489" s="83" t="s">
        <v>3227</v>
      </c>
      <c r="C1489" s="91" t="s">
        <v>1363</v>
      </c>
    </row>
    <row r="1490" spans="1:3" ht="15">
      <c r="A1490" s="84" t="s">
        <v>407</v>
      </c>
      <c r="B1490" s="83" t="s">
        <v>2607</v>
      </c>
      <c r="C1490" s="91" t="s">
        <v>1363</v>
      </c>
    </row>
    <row r="1491" spans="1:3" ht="15">
      <c r="A1491" s="84" t="s">
        <v>407</v>
      </c>
      <c r="B1491" s="83" t="s">
        <v>2698</v>
      </c>
      <c r="C1491" s="91" t="s">
        <v>1363</v>
      </c>
    </row>
    <row r="1492" spans="1:3" ht="15">
      <c r="A1492" s="84" t="s">
        <v>407</v>
      </c>
      <c r="B1492" s="83" t="s">
        <v>2699</v>
      </c>
      <c r="C1492" s="91" t="s">
        <v>1363</v>
      </c>
    </row>
    <row r="1493" spans="1:3" ht="15">
      <c r="A1493" s="84" t="s">
        <v>407</v>
      </c>
      <c r="B1493" s="83" t="s">
        <v>3228</v>
      </c>
      <c r="C1493" s="91" t="s">
        <v>1363</v>
      </c>
    </row>
    <row r="1494" spans="1:3" ht="15">
      <c r="A1494" s="84" t="s">
        <v>407</v>
      </c>
      <c r="B1494" s="83" t="s">
        <v>2581</v>
      </c>
      <c r="C1494" s="91" t="s">
        <v>1363</v>
      </c>
    </row>
    <row r="1495" spans="1:3" ht="15">
      <c r="A1495" s="84" t="s">
        <v>407</v>
      </c>
      <c r="B1495" s="83" t="s">
        <v>2586</v>
      </c>
      <c r="C1495" s="91" t="s">
        <v>1363</v>
      </c>
    </row>
    <row r="1496" spans="1:3" ht="15">
      <c r="A1496" s="84" t="s">
        <v>407</v>
      </c>
      <c r="B1496" s="83" t="s">
        <v>2595</v>
      </c>
      <c r="C1496" s="91" t="s">
        <v>1363</v>
      </c>
    </row>
    <row r="1497" spans="1:3" ht="15">
      <c r="A1497" s="84" t="s">
        <v>407</v>
      </c>
      <c r="B1497" s="83" t="s">
        <v>2568</v>
      </c>
      <c r="C1497" s="91" t="s">
        <v>1363</v>
      </c>
    </row>
    <row r="1498" spans="1:3" ht="15">
      <c r="A1498" s="84" t="s">
        <v>407</v>
      </c>
      <c r="B1498" s="83" t="s">
        <v>2592</v>
      </c>
      <c r="C1498" s="91" t="s">
        <v>1363</v>
      </c>
    </row>
    <row r="1499" spans="1:3" ht="15">
      <c r="A1499" s="84" t="s">
        <v>407</v>
      </c>
      <c r="B1499" s="83" t="s">
        <v>3213</v>
      </c>
      <c r="C1499" s="91" t="s">
        <v>1363</v>
      </c>
    </row>
    <row r="1500" spans="1:3" ht="15">
      <c r="A1500" s="84" t="s">
        <v>407</v>
      </c>
      <c r="B1500" s="83" t="s">
        <v>2576</v>
      </c>
      <c r="C1500" s="91" t="s">
        <v>1363</v>
      </c>
    </row>
    <row r="1501" spans="1:3" ht="15">
      <c r="A1501" s="84" t="s">
        <v>407</v>
      </c>
      <c r="B1501" s="83" t="s">
        <v>3229</v>
      </c>
      <c r="C1501" s="91" t="s">
        <v>1363</v>
      </c>
    </row>
    <row r="1502" spans="1:3" ht="15">
      <c r="A1502" s="84" t="s">
        <v>407</v>
      </c>
      <c r="B1502" s="83" t="s">
        <v>3230</v>
      </c>
      <c r="C1502" s="91" t="s">
        <v>1363</v>
      </c>
    </row>
    <row r="1503" spans="1:3" ht="15">
      <c r="A1503" s="84" t="s">
        <v>407</v>
      </c>
      <c r="B1503" s="83" t="s">
        <v>2598</v>
      </c>
      <c r="C1503" s="91" t="s">
        <v>1363</v>
      </c>
    </row>
    <row r="1504" spans="1:3" ht="15">
      <c r="A1504" s="84" t="s">
        <v>407</v>
      </c>
      <c r="B1504" s="83" t="s">
        <v>3231</v>
      </c>
      <c r="C1504" s="91" t="s">
        <v>1363</v>
      </c>
    </row>
    <row r="1505" spans="1:3" ht="15">
      <c r="A1505" s="84" t="s">
        <v>407</v>
      </c>
      <c r="B1505" s="83" t="s">
        <v>3232</v>
      </c>
      <c r="C1505" s="91" t="s">
        <v>1363</v>
      </c>
    </row>
    <row r="1506" spans="1:3" ht="15">
      <c r="A1506" s="84" t="s">
        <v>407</v>
      </c>
      <c r="B1506" s="83" t="s">
        <v>3233</v>
      </c>
      <c r="C1506" s="91" t="s">
        <v>1363</v>
      </c>
    </row>
    <row r="1507" spans="1:3" ht="15">
      <c r="A1507" s="84" t="s">
        <v>407</v>
      </c>
      <c r="B1507" s="83" t="s">
        <v>3211</v>
      </c>
      <c r="C1507" s="91" t="s">
        <v>1363</v>
      </c>
    </row>
    <row r="1508" spans="1:3" ht="15">
      <c r="A1508" s="84" t="s">
        <v>407</v>
      </c>
      <c r="B1508" s="83" t="s">
        <v>3199</v>
      </c>
      <c r="C1508" s="91" t="s">
        <v>1363</v>
      </c>
    </row>
    <row r="1509" spans="1:3" ht="15">
      <c r="A1509" s="84" t="s">
        <v>407</v>
      </c>
      <c r="B1509" s="83" t="s">
        <v>3218</v>
      </c>
      <c r="C1509" s="91" t="s">
        <v>1363</v>
      </c>
    </row>
    <row r="1510" spans="1:3" ht="15">
      <c r="A1510" s="84" t="s">
        <v>407</v>
      </c>
      <c r="B1510" s="83" t="s">
        <v>3234</v>
      </c>
      <c r="C1510" s="91" t="s">
        <v>1363</v>
      </c>
    </row>
    <row r="1511" spans="1:3" ht="15">
      <c r="A1511" s="84" t="s">
        <v>407</v>
      </c>
      <c r="B1511" s="83" t="s">
        <v>3235</v>
      </c>
      <c r="C1511" s="91" t="s">
        <v>1363</v>
      </c>
    </row>
    <row r="1512" spans="1:3" ht="15">
      <c r="A1512" s="84" t="s">
        <v>407</v>
      </c>
      <c r="B1512" s="83" t="s">
        <v>3236</v>
      </c>
      <c r="C1512" s="91" t="s">
        <v>1363</v>
      </c>
    </row>
    <row r="1513" spans="1:3" ht="15">
      <c r="A1513" s="84" t="s">
        <v>407</v>
      </c>
      <c r="B1513" s="83" t="s">
        <v>3237</v>
      </c>
      <c r="C1513" s="91" t="s">
        <v>1363</v>
      </c>
    </row>
    <row r="1514" spans="1:3" ht="15">
      <c r="A1514" s="84" t="s">
        <v>407</v>
      </c>
      <c r="B1514" s="83" t="s">
        <v>3238</v>
      </c>
      <c r="C1514" s="91" t="s">
        <v>1363</v>
      </c>
    </row>
    <row r="1515" spans="1:3" ht="15">
      <c r="A1515" s="84" t="s">
        <v>407</v>
      </c>
      <c r="B1515" s="83" t="s">
        <v>3239</v>
      </c>
      <c r="C1515" s="91" t="s">
        <v>1363</v>
      </c>
    </row>
    <row r="1516" spans="1:3" ht="15">
      <c r="A1516" s="84" t="s">
        <v>407</v>
      </c>
      <c r="B1516" s="83" t="s">
        <v>3240</v>
      </c>
      <c r="C1516" s="91" t="s">
        <v>1363</v>
      </c>
    </row>
    <row r="1517" spans="1:3" ht="15">
      <c r="A1517" s="84" t="s">
        <v>407</v>
      </c>
      <c r="B1517" s="83" t="s">
        <v>3241</v>
      </c>
      <c r="C1517" s="91" t="s">
        <v>1363</v>
      </c>
    </row>
    <row r="1518" spans="1:3" ht="15">
      <c r="A1518" s="84" t="s">
        <v>407</v>
      </c>
      <c r="B1518" s="83" t="s">
        <v>3242</v>
      </c>
      <c r="C1518" s="91" t="s">
        <v>1363</v>
      </c>
    </row>
    <row r="1519" spans="1:3" ht="15">
      <c r="A1519" s="84" t="s">
        <v>407</v>
      </c>
      <c r="B1519" s="83" t="s">
        <v>2767</v>
      </c>
      <c r="C1519" s="91" t="s">
        <v>1363</v>
      </c>
    </row>
    <row r="1520" spans="1:3" ht="15">
      <c r="A1520" s="84" t="s">
        <v>407</v>
      </c>
      <c r="B1520" s="83" t="s">
        <v>3243</v>
      </c>
      <c r="C1520" s="91" t="s">
        <v>1363</v>
      </c>
    </row>
    <row r="1521" spans="1:3" ht="15">
      <c r="A1521" s="84" t="s">
        <v>407</v>
      </c>
      <c r="B1521" s="83" t="s">
        <v>3244</v>
      </c>
      <c r="C1521" s="91" t="s">
        <v>1363</v>
      </c>
    </row>
    <row r="1522" spans="1:3" ht="15">
      <c r="A1522" s="84" t="s">
        <v>407</v>
      </c>
      <c r="B1522" s="83" t="s">
        <v>2650</v>
      </c>
      <c r="C1522" s="91" t="s">
        <v>1362</v>
      </c>
    </row>
    <row r="1523" spans="1:3" ht="15">
      <c r="A1523" s="84" t="s">
        <v>407</v>
      </c>
      <c r="B1523" s="83">
        <v>15</v>
      </c>
      <c r="C1523" s="91" t="s">
        <v>1362</v>
      </c>
    </row>
    <row r="1524" spans="1:3" ht="15">
      <c r="A1524" s="84" t="s">
        <v>407</v>
      </c>
      <c r="B1524" s="83" t="s">
        <v>3264</v>
      </c>
      <c r="C1524" s="91" t="s">
        <v>1362</v>
      </c>
    </row>
    <row r="1525" spans="1:3" ht="15">
      <c r="A1525" s="84" t="s">
        <v>407</v>
      </c>
      <c r="B1525" s="83" t="s">
        <v>2853</v>
      </c>
      <c r="C1525" s="91" t="s">
        <v>1362</v>
      </c>
    </row>
    <row r="1526" spans="1:3" ht="15">
      <c r="A1526" s="84" t="s">
        <v>407</v>
      </c>
      <c r="B1526" s="83" t="s">
        <v>2590</v>
      </c>
      <c r="C1526" s="91" t="s">
        <v>1362</v>
      </c>
    </row>
    <row r="1527" spans="1:3" ht="15">
      <c r="A1527" s="84" t="s">
        <v>407</v>
      </c>
      <c r="B1527" s="83" t="s">
        <v>2742</v>
      </c>
      <c r="C1527" s="91" t="s">
        <v>1362</v>
      </c>
    </row>
    <row r="1528" spans="1:3" ht="15">
      <c r="A1528" s="84" t="s">
        <v>407</v>
      </c>
      <c r="B1528" s="83" t="s">
        <v>2854</v>
      </c>
      <c r="C1528" s="91" t="s">
        <v>1362</v>
      </c>
    </row>
    <row r="1529" spans="1:3" ht="15">
      <c r="A1529" s="84" t="s">
        <v>407</v>
      </c>
      <c r="B1529" s="83" t="s">
        <v>3348</v>
      </c>
      <c r="C1529" s="91" t="s">
        <v>1362</v>
      </c>
    </row>
    <row r="1530" spans="1:3" ht="15">
      <c r="A1530" s="84" t="s">
        <v>407</v>
      </c>
      <c r="B1530" s="83" t="s">
        <v>2735</v>
      </c>
      <c r="C1530" s="91" t="s">
        <v>1362</v>
      </c>
    </row>
    <row r="1531" spans="1:3" ht="15">
      <c r="A1531" s="84" t="s">
        <v>407</v>
      </c>
      <c r="B1531" s="83" t="s">
        <v>2634</v>
      </c>
      <c r="C1531" s="91" t="s">
        <v>1362</v>
      </c>
    </row>
    <row r="1532" spans="1:3" ht="15">
      <c r="A1532" s="84" t="s">
        <v>407</v>
      </c>
      <c r="B1532" s="83" t="s">
        <v>2855</v>
      </c>
      <c r="C1532" s="91" t="s">
        <v>1362</v>
      </c>
    </row>
    <row r="1533" spans="1:3" ht="15">
      <c r="A1533" s="84" t="s">
        <v>407</v>
      </c>
      <c r="B1533" s="83" t="s">
        <v>2578</v>
      </c>
      <c r="C1533" s="91" t="s">
        <v>1362</v>
      </c>
    </row>
    <row r="1534" spans="1:3" ht="15">
      <c r="A1534" s="84" t="s">
        <v>407</v>
      </c>
      <c r="B1534" s="83" t="s">
        <v>2657</v>
      </c>
      <c r="C1534" s="91" t="s">
        <v>1362</v>
      </c>
    </row>
    <row r="1535" spans="1:3" ht="15">
      <c r="A1535" s="84" t="s">
        <v>407</v>
      </c>
      <c r="B1535" s="83" t="s">
        <v>2736</v>
      </c>
      <c r="C1535" s="91" t="s">
        <v>1362</v>
      </c>
    </row>
    <row r="1536" spans="1:3" ht="15">
      <c r="A1536" s="84" t="s">
        <v>407</v>
      </c>
      <c r="B1536" s="83" t="s">
        <v>2569</v>
      </c>
      <c r="C1536" s="91" t="s">
        <v>1362</v>
      </c>
    </row>
    <row r="1537" spans="1:3" ht="15">
      <c r="A1537" s="84" t="s">
        <v>407</v>
      </c>
      <c r="B1537" s="83">
        <v>19</v>
      </c>
      <c r="C1537" s="91" t="s">
        <v>1362</v>
      </c>
    </row>
    <row r="1538" spans="1:3" ht="15">
      <c r="A1538" s="84" t="s">
        <v>407</v>
      </c>
      <c r="B1538" s="83" t="s">
        <v>3349</v>
      </c>
      <c r="C1538" s="91" t="s">
        <v>1362</v>
      </c>
    </row>
    <row r="1539" spans="1:3" ht="15">
      <c r="A1539" s="84" t="s">
        <v>407</v>
      </c>
      <c r="B1539" s="83" t="s">
        <v>2856</v>
      </c>
      <c r="C1539" s="91" t="s">
        <v>1362</v>
      </c>
    </row>
    <row r="1540" spans="1:3" ht="15">
      <c r="A1540" s="84" t="s">
        <v>407</v>
      </c>
      <c r="B1540" s="83" t="s">
        <v>2857</v>
      </c>
      <c r="C1540" s="91" t="s">
        <v>1362</v>
      </c>
    </row>
    <row r="1541" spans="1:3" ht="15">
      <c r="A1541" s="84" t="s">
        <v>407</v>
      </c>
      <c r="B1541" s="83" t="s">
        <v>2730</v>
      </c>
      <c r="C1541" s="91" t="s">
        <v>1362</v>
      </c>
    </row>
    <row r="1542" spans="1:3" ht="15">
      <c r="A1542" s="84" t="s">
        <v>407</v>
      </c>
      <c r="B1542" s="83" t="s">
        <v>2858</v>
      </c>
      <c r="C1542" s="91" t="s">
        <v>1362</v>
      </c>
    </row>
    <row r="1543" spans="1:3" ht="15">
      <c r="A1543" s="84" t="s">
        <v>407</v>
      </c>
      <c r="B1543" s="83" t="s">
        <v>2665</v>
      </c>
      <c r="C1543" s="91" t="s">
        <v>1362</v>
      </c>
    </row>
    <row r="1544" spans="1:3" ht="15">
      <c r="A1544" s="84" t="s">
        <v>407</v>
      </c>
      <c r="B1544" s="83" t="s">
        <v>2568</v>
      </c>
      <c r="C1544" s="91" t="s">
        <v>1362</v>
      </c>
    </row>
    <row r="1545" spans="1:3" ht="15">
      <c r="A1545" s="84" t="s">
        <v>407</v>
      </c>
      <c r="B1545" s="83" t="s">
        <v>2772</v>
      </c>
      <c r="C1545" s="91" t="s">
        <v>1362</v>
      </c>
    </row>
    <row r="1546" spans="1:3" ht="15">
      <c r="A1546" s="84" t="s">
        <v>407</v>
      </c>
      <c r="B1546" s="83" t="s">
        <v>2797</v>
      </c>
      <c r="C1546" s="91" t="s">
        <v>1362</v>
      </c>
    </row>
    <row r="1547" spans="1:3" ht="15">
      <c r="A1547" s="84" t="s">
        <v>407</v>
      </c>
      <c r="B1547" s="83" t="s">
        <v>3350</v>
      </c>
      <c r="C1547" s="91" t="s">
        <v>1362</v>
      </c>
    </row>
    <row r="1548" spans="1:3" ht="15">
      <c r="A1548" s="84" t="s">
        <v>407</v>
      </c>
      <c r="B1548" s="83" t="s">
        <v>586</v>
      </c>
      <c r="C1548" s="91" t="s">
        <v>1362</v>
      </c>
    </row>
    <row r="1549" spans="1:3" ht="15">
      <c r="A1549" s="84" t="s">
        <v>407</v>
      </c>
      <c r="B1549" s="83" t="s">
        <v>3198</v>
      </c>
      <c r="C1549" s="91" t="s">
        <v>1362</v>
      </c>
    </row>
    <row r="1550" spans="1:3" ht="15">
      <c r="A1550" s="84" t="s">
        <v>407</v>
      </c>
      <c r="B1550" s="83" t="s">
        <v>2591</v>
      </c>
      <c r="C1550" s="91" t="s">
        <v>1362</v>
      </c>
    </row>
    <row r="1551" spans="1:3" ht="15">
      <c r="A1551" s="84" t="s">
        <v>407</v>
      </c>
      <c r="B1551" s="83" t="s">
        <v>3351</v>
      </c>
      <c r="C1551" s="91" t="s">
        <v>1362</v>
      </c>
    </row>
    <row r="1552" spans="1:3" ht="15">
      <c r="A1552" s="84" t="s">
        <v>407</v>
      </c>
      <c r="B1552" s="83" t="s">
        <v>3352</v>
      </c>
      <c r="C1552" s="91" t="s">
        <v>1359</v>
      </c>
    </row>
    <row r="1553" spans="1:3" ht="15">
      <c r="A1553" s="84" t="s">
        <v>407</v>
      </c>
      <c r="B1553" s="83" t="s">
        <v>2664</v>
      </c>
      <c r="C1553" s="91" t="s">
        <v>1359</v>
      </c>
    </row>
    <row r="1554" spans="1:3" ht="15">
      <c r="A1554" s="84" t="s">
        <v>407</v>
      </c>
      <c r="B1554" s="83" t="s">
        <v>2766</v>
      </c>
      <c r="C1554" s="91" t="s">
        <v>1359</v>
      </c>
    </row>
    <row r="1555" spans="1:3" ht="15">
      <c r="A1555" s="84" t="s">
        <v>407</v>
      </c>
      <c r="B1555" s="83" t="s">
        <v>2581</v>
      </c>
      <c r="C1555" s="91" t="s">
        <v>1359</v>
      </c>
    </row>
    <row r="1556" spans="1:3" ht="15">
      <c r="A1556" s="84" t="s">
        <v>407</v>
      </c>
      <c r="B1556" s="83" t="s">
        <v>2589</v>
      </c>
      <c r="C1556" s="91" t="s">
        <v>1359</v>
      </c>
    </row>
    <row r="1557" spans="1:3" ht="15">
      <c r="A1557" s="84" t="s">
        <v>407</v>
      </c>
      <c r="B1557" s="83" t="s">
        <v>2897</v>
      </c>
      <c r="C1557" s="91" t="s">
        <v>1359</v>
      </c>
    </row>
    <row r="1558" spans="1:3" ht="15">
      <c r="A1558" s="84" t="s">
        <v>407</v>
      </c>
      <c r="B1558" s="83" t="s">
        <v>2655</v>
      </c>
      <c r="C1558" s="91" t="s">
        <v>1359</v>
      </c>
    </row>
    <row r="1559" spans="1:3" ht="15">
      <c r="A1559" s="84" t="s">
        <v>407</v>
      </c>
      <c r="B1559" s="83" t="s">
        <v>2580</v>
      </c>
      <c r="C1559" s="91" t="s">
        <v>1359</v>
      </c>
    </row>
    <row r="1560" spans="1:3" ht="15">
      <c r="A1560" s="84" t="s">
        <v>407</v>
      </c>
      <c r="B1560" s="83" t="s">
        <v>2898</v>
      </c>
      <c r="C1560" s="91" t="s">
        <v>1359</v>
      </c>
    </row>
    <row r="1561" spans="1:3" ht="15">
      <c r="A1561" s="84" t="s">
        <v>407</v>
      </c>
      <c r="B1561" s="83" t="s">
        <v>2899</v>
      </c>
      <c r="C1561" s="91" t="s">
        <v>1359</v>
      </c>
    </row>
    <row r="1562" spans="1:3" ht="15">
      <c r="A1562" s="84" t="s">
        <v>407</v>
      </c>
      <c r="B1562" s="83" t="s">
        <v>2900</v>
      </c>
      <c r="C1562" s="91" t="s">
        <v>1359</v>
      </c>
    </row>
    <row r="1563" spans="1:3" ht="15">
      <c r="A1563" s="84" t="s">
        <v>407</v>
      </c>
      <c r="B1563" s="83" t="s">
        <v>2901</v>
      </c>
      <c r="C1563" s="91" t="s">
        <v>1359</v>
      </c>
    </row>
    <row r="1564" spans="1:3" ht="15">
      <c r="A1564" s="84" t="s">
        <v>407</v>
      </c>
      <c r="B1564" s="83" t="s">
        <v>3242</v>
      </c>
      <c r="C1564" s="91" t="s">
        <v>1359</v>
      </c>
    </row>
    <row r="1565" spans="1:3" ht="15">
      <c r="A1565" s="84" t="s">
        <v>407</v>
      </c>
      <c r="B1565" s="83" t="s">
        <v>3353</v>
      </c>
      <c r="C1565" s="91" t="s">
        <v>1359</v>
      </c>
    </row>
    <row r="1566" spans="1:3" ht="15">
      <c r="A1566" s="84" t="s">
        <v>407</v>
      </c>
      <c r="B1566" s="83" t="s">
        <v>3238</v>
      </c>
      <c r="C1566" s="91" t="s">
        <v>1359</v>
      </c>
    </row>
    <row r="1567" spans="1:3" ht="15">
      <c r="A1567" s="84" t="s">
        <v>407</v>
      </c>
      <c r="B1567" s="83" t="s">
        <v>3258</v>
      </c>
      <c r="C1567" s="91" t="s">
        <v>1359</v>
      </c>
    </row>
    <row r="1568" spans="1:3" ht="15">
      <c r="A1568" s="84" t="s">
        <v>407</v>
      </c>
      <c r="B1568" s="83" t="s">
        <v>3199</v>
      </c>
      <c r="C1568" s="91" t="s">
        <v>1359</v>
      </c>
    </row>
    <row r="1569" spans="1:3" ht="15">
      <c r="A1569" s="84" t="s">
        <v>407</v>
      </c>
      <c r="B1569" s="83" t="s">
        <v>3214</v>
      </c>
      <c r="C1569" s="91" t="s">
        <v>1359</v>
      </c>
    </row>
    <row r="1570" spans="1:3" ht="15">
      <c r="A1570" s="84" t="s">
        <v>407</v>
      </c>
      <c r="B1570" s="83" t="s">
        <v>3354</v>
      </c>
      <c r="C1570" s="91" t="s">
        <v>1359</v>
      </c>
    </row>
    <row r="1571" spans="1:3" ht="15">
      <c r="A1571" s="84" t="s">
        <v>407</v>
      </c>
      <c r="B1571" s="83" t="s">
        <v>3355</v>
      </c>
      <c r="C1571" s="91" t="s">
        <v>1359</v>
      </c>
    </row>
    <row r="1572" spans="1:3" ht="15">
      <c r="A1572" s="84" t="s">
        <v>411</v>
      </c>
      <c r="B1572" s="83" t="s">
        <v>3226</v>
      </c>
      <c r="C1572" s="91" t="s">
        <v>1376</v>
      </c>
    </row>
    <row r="1573" spans="1:3" ht="15">
      <c r="A1573" s="84" t="s">
        <v>411</v>
      </c>
      <c r="B1573" s="83" t="s">
        <v>2795</v>
      </c>
      <c r="C1573" s="91" t="s">
        <v>1376</v>
      </c>
    </row>
    <row r="1574" spans="1:3" ht="15">
      <c r="A1574" s="84" t="s">
        <v>411</v>
      </c>
      <c r="B1574" s="83" t="s">
        <v>2796</v>
      </c>
      <c r="C1574" s="91" t="s">
        <v>1376</v>
      </c>
    </row>
    <row r="1575" spans="1:3" ht="15">
      <c r="A1575" s="84" t="s">
        <v>411</v>
      </c>
      <c r="B1575" s="83" t="s">
        <v>2895</v>
      </c>
      <c r="C1575" s="91" t="s">
        <v>1376</v>
      </c>
    </row>
    <row r="1576" spans="1:3" ht="15">
      <c r="A1576" s="84" t="s">
        <v>411</v>
      </c>
      <c r="B1576" s="83" t="s">
        <v>2678</v>
      </c>
      <c r="C1576" s="91" t="s">
        <v>1376</v>
      </c>
    </row>
    <row r="1577" spans="1:3" ht="15">
      <c r="A1577" s="84" t="s">
        <v>411</v>
      </c>
      <c r="B1577" s="83" t="s">
        <v>586</v>
      </c>
      <c r="C1577" s="91" t="s">
        <v>1376</v>
      </c>
    </row>
    <row r="1578" spans="1:3" ht="15">
      <c r="A1578" s="84" t="s">
        <v>411</v>
      </c>
      <c r="B1578" s="83" t="s">
        <v>3336</v>
      </c>
      <c r="C1578" s="91" t="s">
        <v>1376</v>
      </c>
    </row>
    <row r="1579" spans="1:3" ht="15">
      <c r="A1579" s="84" t="s">
        <v>411</v>
      </c>
      <c r="B1579" s="83" t="s">
        <v>3258</v>
      </c>
      <c r="C1579" s="91" t="s">
        <v>1376</v>
      </c>
    </row>
    <row r="1580" spans="1:3" ht="15">
      <c r="A1580" s="84" t="s">
        <v>411</v>
      </c>
      <c r="B1580" s="83" t="s">
        <v>3337</v>
      </c>
      <c r="C1580" s="91" t="s">
        <v>1376</v>
      </c>
    </row>
    <row r="1581" spans="1:3" ht="15">
      <c r="A1581" s="84" t="s">
        <v>411</v>
      </c>
      <c r="B1581" s="83" t="s">
        <v>3338</v>
      </c>
      <c r="C1581" s="91" t="s">
        <v>1376</v>
      </c>
    </row>
    <row r="1582" spans="1:3" ht="15">
      <c r="A1582" s="84" t="s">
        <v>411</v>
      </c>
      <c r="B1582" s="83" t="s">
        <v>3339</v>
      </c>
      <c r="C1582" s="91" t="s">
        <v>1376</v>
      </c>
    </row>
    <row r="1583" spans="1:3" ht="15">
      <c r="A1583" s="84" t="s">
        <v>405</v>
      </c>
      <c r="B1583" s="83" t="s">
        <v>3226</v>
      </c>
      <c r="C1583" s="91" t="s">
        <v>1349</v>
      </c>
    </row>
    <row r="1584" spans="1:3" ht="15">
      <c r="A1584" s="84" t="s">
        <v>405</v>
      </c>
      <c r="B1584" s="83" t="s">
        <v>2795</v>
      </c>
      <c r="C1584" s="91" t="s">
        <v>1349</v>
      </c>
    </row>
    <row r="1585" spans="1:3" ht="15">
      <c r="A1585" s="84" t="s">
        <v>405</v>
      </c>
      <c r="B1585" s="83" t="s">
        <v>2796</v>
      </c>
      <c r="C1585" s="91" t="s">
        <v>1349</v>
      </c>
    </row>
    <row r="1586" spans="1:3" ht="15">
      <c r="A1586" s="84" t="s">
        <v>405</v>
      </c>
      <c r="B1586" s="83" t="s">
        <v>2895</v>
      </c>
      <c r="C1586" s="91" t="s">
        <v>1349</v>
      </c>
    </row>
    <row r="1587" spans="1:3" ht="15">
      <c r="A1587" s="84" t="s">
        <v>405</v>
      </c>
      <c r="B1587" s="83" t="s">
        <v>2678</v>
      </c>
      <c r="C1587" s="91" t="s">
        <v>1349</v>
      </c>
    </row>
    <row r="1588" spans="1:3" ht="15">
      <c r="A1588" s="84" t="s">
        <v>405</v>
      </c>
      <c r="B1588" s="83" t="s">
        <v>586</v>
      </c>
      <c r="C1588" s="91" t="s">
        <v>1349</v>
      </c>
    </row>
    <row r="1589" spans="1:3" ht="15">
      <c r="A1589" s="84" t="s">
        <v>405</v>
      </c>
      <c r="B1589" s="83" t="s">
        <v>3336</v>
      </c>
      <c r="C1589" s="91" t="s">
        <v>1349</v>
      </c>
    </row>
    <row r="1590" spans="1:3" ht="15">
      <c r="A1590" s="84" t="s">
        <v>405</v>
      </c>
      <c r="B1590" s="83" t="s">
        <v>3258</v>
      </c>
      <c r="C1590" s="91" t="s">
        <v>1349</v>
      </c>
    </row>
    <row r="1591" spans="1:3" ht="15">
      <c r="A1591" s="84" t="s">
        <v>405</v>
      </c>
      <c r="B1591" s="83" t="s">
        <v>3337</v>
      </c>
      <c r="C1591" s="91" t="s">
        <v>1349</v>
      </c>
    </row>
    <row r="1592" spans="1:3" ht="15">
      <c r="A1592" s="84" t="s">
        <v>405</v>
      </c>
      <c r="B1592" s="83" t="s">
        <v>3338</v>
      </c>
      <c r="C1592" s="91" t="s">
        <v>1349</v>
      </c>
    </row>
    <row r="1593" spans="1:3" ht="15">
      <c r="A1593" s="84" t="s">
        <v>405</v>
      </c>
      <c r="B1593" s="83" t="s">
        <v>3339</v>
      </c>
      <c r="C1593" s="91" t="s">
        <v>1349</v>
      </c>
    </row>
    <row r="1594" spans="1:3" ht="15">
      <c r="A1594" s="84" t="s">
        <v>405</v>
      </c>
      <c r="B1594" s="83" t="s">
        <v>3268</v>
      </c>
      <c r="C1594" s="91" t="s">
        <v>1357</v>
      </c>
    </row>
    <row r="1595" spans="1:3" ht="15">
      <c r="A1595" s="84" t="s">
        <v>405</v>
      </c>
      <c r="B1595" s="83" t="s">
        <v>3269</v>
      </c>
      <c r="C1595" s="91" t="s">
        <v>1357</v>
      </c>
    </row>
    <row r="1596" spans="1:3" ht="15">
      <c r="A1596" s="84" t="s">
        <v>405</v>
      </c>
      <c r="B1596" s="83" t="s">
        <v>3203</v>
      </c>
      <c r="C1596" s="91" t="s">
        <v>1357</v>
      </c>
    </row>
    <row r="1597" spans="1:3" ht="15">
      <c r="A1597" s="84" t="s">
        <v>405</v>
      </c>
      <c r="B1597" s="83">
        <v>19</v>
      </c>
      <c r="C1597" s="91" t="s">
        <v>1357</v>
      </c>
    </row>
    <row r="1598" spans="1:3" ht="15">
      <c r="A1598" s="84" t="s">
        <v>405</v>
      </c>
      <c r="B1598" s="83" t="s">
        <v>3270</v>
      </c>
      <c r="C1598" s="91" t="s">
        <v>1357</v>
      </c>
    </row>
    <row r="1599" spans="1:3" ht="15">
      <c r="A1599" s="84" t="s">
        <v>405</v>
      </c>
      <c r="B1599" s="83" t="s">
        <v>3271</v>
      </c>
      <c r="C1599" s="91" t="s">
        <v>1357</v>
      </c>
    </row>
    <row r="1600" spans="1:3" ht="15">
      <c r="A1600" s="84" t="s">
        <v>405</v>
      </c>
      <c r="B1600" s="83" t="s">
        <v>3272</v>
      </c>
      <c r="C1600" s="91" t="s">
        <v>1357</v>
      </c>
    </row>
    <row r="1601" spans="1:3" ht="15">
      <c r="A1601" s="84" t="s">
        <v>405</v>
      </c>
      <c r="B1601" s="83" t="s">
        <v>195</v>
      </c>
      <c r="C1601" s="91" t="s">
        <v>1357</v>
      </c>
    </row>
    <row r="1602" spans="1:3" ht="15">
      <c r="A1602" s="84" t="s">
        <v>405</v>
      </c>
      <c r="B1602" s="83" t="s">
        <v>3273</v>
      </c>
      <c r="C1602" s="91" t="s">
        <v>1357</v>
      </c>
    </row>
    <row r="1603" spans="1:3" ht="15">
      <c r="A1603" s="84" t="s">
        <v>405</v>
      </c>
      <c r="B1603" s="83" t="s">
        <v>3199</v>
      </c>
      <c r="C1603" s="91" t="s">
        <v>1357</v>
      </c>
    </row>
    <row r="1604" spans="1:3" ht="15">
      <c r="A1604" s="84" t="s">
        <v>405</v>
      </c>
      <c r="B1604" s="83" t="s">
        <v>3258</v>
      </c>
      <c r="C1604" s="91" t="s">
        <v>1357</v>
      </c>
    </row>
    <row r="1605" spans="1:3" ht="15">
      <c r="A1605" s="84" t="s">
        <v>405</v>
      </c>
      <c r="B1605" s="83" t="s">
        <v>3238</v>
      </c>
      <c r="C1605" s="91" t="s">
        <v>1357</v>
      </c>
    </row>
    <row r="1606" spans="1:3" ht="15">
      <c r="A1606" s="84" t="s">
        <v>405</v>
      </c>
      <c r="B1606" s="83" t="s">
        <v>3274</v>
      </c>
      <c r="C1606" s="91" t="s">
        <v>1357</v>
      </c>
    </row>
    <row r="1607" spans="1:3" ht="15">
      <c r="A1607" s="84" t="s">
        <v>405</v>
      </c>
      <c r="B1607" s="83" t="s">
        <v>3275</v>
      </c>
      <c r="C1607" s="91" t="s">
        <v>1357</v>
      </c>
    </row>
    <row r="1608" spans="1:3" ht="15">
      <c r="A1608" s="84" t="s">
        <v>405</v>
      </c>
      <c r="B1608" s="83" t="s">
        <v>3276</v>
      </c>
      <c r="C1608" s="91" t="s">
        <v>1357</v>
      </c>
    </row>
    <row r="1609" spans="1:3" ht="15">
      <c r="A1609" s="84" t="s">
        <v>405</v>
      </c>
      <c r="B1609" s="83" t="s">
        <v>3277</v>
      </c>
      <c r="C1609" s="91" t="s">
        <v>1357</v>
      </c>
    </row>
    <row r="1610" spans="1:3" ht="15">
      <c r="A1610" s="84" t="s">
        <v>405</v>
      </c>
      <c r="B1610" s="83" t="s">
        <v>3198</v>
      </c>
      <c r="C1610" s="91" t="s">
        <v>1357</v>
      </c>
    </row>
    <row r="1611" spans="1:3" ht="15">
      <c r="A1611" s="84" t="s">
        <v>405</v>
      </c>
      <c r="B1611" s="83" t="s">
        <v>3278</v>
      </c>
      <c r="C1611" s="91" t="s">
        <v>1357</v>
      </c>
    </row>
    <row r="1612" spans="1:3" ht="15">
      <c r="A1612" s="84" t="s">
        <v>405</v>
      </c>
      <c r="B1612" s="83" t="s">
        <v>420</v>
      </c>
      <c r="C1612" s="91" t="s">
        <v>1357</v>
      </c>
    </row>
    <row r="1613" spans="1:3" ht="15">
      <c r="A1613" s="84" t="s">
        <v>405</v>
      </c>
      <c r="B1613" s="83" t="s">
        <v>3279</v>
      </c>
      <c r="C1613" s="91" t="s">
        <v>1356</v>
      </c>
    </row>
    <row r="1614" spans="1:3" ht="15">
      <c r="A1614" s="84" t="s">
        <v>405</v>
      </c>
      <c r="B1614" s="83" t="s">
        <v>3280</v>
      </c>
      <c r="C1614" s="91" t="s">
        <v>1356</v>
      </c>
    </row>
    <row r="1615" spans="1:3" ht="15">
      <c r="A1615" s="84" t="s">
        <v>405</v>
      </c>
      <c r="B1615" s="83" t="s">
        <v>2581</v>
      </c>
      <c r="C1615" s="91" t="s">
        <v>1356</v>
      </c>
    </row>
    <row r="1616" spans="1:3" ht="15">
      <c r="A1616" s="84" t="s">
        <v>405</v>
      </c>
      <c r="B1616" s="83" t="s">
        <v>2675</v>
      </c>
      <c r="C1616" s="91" t="s">
        <v>1356</v>
      </c>
    </row>
    <row r="1617" spans="1:3" ht="15">
      <c r="A1617" s="84" t="s">
        <v>405</v>
      </c>
      <c r="B1617" s="83" t="s">
        <v>3281</v>
      </c>
      <c r="C1617" s="91" t="s">
        <v>1356</v>
      </c>
    </row>
    <row r="1618" spans="1:3" ht="15">
      <c r="A1618" s="84" t="s">
        <v>405</v>
      </c>
      <c r="B1618" s="83" t="s">
        <v>3213</v>
      </c>
      <c r="C1618" s="91" t="s">
        <v>1356</v>
      </c>
    </row>
    <row r="1619" spans="1:3" ht="15">
      <c r="A1619" s="84" t="s">
        <v>405</v>
      </c>
      <c r="B1619" s="83" t="s">
        <v>3266</v>
      </c>
      <c r="C1619" s="91" t="s">
        <v>1356</v>
      </c>
    </row>
    <row r="1620" spans="1:3" ht="15">
      <c r="A1620" s="84" t="s">
        <v>405</v>
      </c>
      <c r="B1620" s="83" t="s">
        <v>2577</v>
      </c>
      <c r="C1620" s="91" t="s">
        <v>1356</v>
      </c>
    </row>
    <row r="1621" spans="1:3" ht="15">
      <c r="A1621" s="84" t="s">
        <v>405</v>
      </c>
      <c r="B1621" s="83" t="s">
        <v>3198</v>
      </c>
      <c r="C1621" s="91" t="s">
        <v>1356</v>
      </c>
    </row>
    <row r="1622" spans="1:3" ht="15">
      <c r="A1622" s="84" t="s">
        <v>405</v>
      </c>
      <c r="B1622" s="83" t="s">
        <v>3282</v>
      </c>
      <c r="C1622" s="91" t="s">
        <v>1356</v>
      </c>
    </row>
    <row r="1623" spans="1:3" ht="15">
      <c r="A1623" s="84" t="s">
        <v>405</v>
      </c>
      <c r="B1623" s="83" t="s">
        <v>3283</v>
      </c>
      <c r="C1623" s="91" t="s">
        <v>1356</v>
      </c>
    </row>
    <row r="1624" spans="1:3" ht="15">
      <c r="A1624" s="84" t="s">
        <v>405</v>
      </c>
      <c r="B1624" s="83" t="s">
        <v>3214</v>
      </c>
      <c r="C1624" s="91" t="s">
        <v>1356</v>
      </c>
    </row>
    <row r="1625" spans="1:3" ht="15">
      <c r="A1625" s="84" t="s">
        <v>405</v>
      </c>
      <c r="B1625" s="83" t="s">
        <v>3211</v>
      </c>
      <c r="C1625" s="91" t="s">
        <v>1356</v>
      </c>
    </row>
    <row r="1626" spans="1:3" ht="15">
      <c r="A1626" s="84" t="s">
        <v>405</v>
      </c>
      <c r="B1626" s="83" t="s">
        <v>3215</v>
      </c>
      <c r="C1626" s="91" t="s">
        <v>1356</v>
      </c>
    </row>
    <row r="1627" spans="1:3" ht="15">
      <c r="A1627" s="84" t="s">
        <v>405</v>
      </c>
      <c r="B1627" s="83" t="s">
        <v>3199</v>
      </c>
      <c r="C1627" s="91" t="s">
        <v>1356</v>
      </c>
    </row>
    <row r="1628" spans="1:3" ht="15">
      <c r="A1628" s="84" t="s">
        <v>405</v>
      </c>
      <c r="B1628" s="83" t="s">
        <v>3218</v>
      </c>
      <c r="C1628" s="91" t="s">
        <v>1356</v>
      </c>
    </row>
    <row r="1629" spans="1:3" ht="15">
      <c r="A1629" s="84" t="s">
        <v>405</v>
      </c>
      <c r="B1629" s="83" t="s">
        <v>3235</v>
      </c>
      <c r="C1629" s="91" t="s">
        <v>1356</v>
      </c>
    </row>
    <row r="1630" spans="1:3" ht="15">
      <c r="A1630" s="84" t="s">
        <v>405</v>
      </c>
      <c r="B1630" s="83" t="s">
        <v>3236</v>
      </c>
      <c r="C1630" s="91" t="s">
        <v>1356</v>
      </c>
    </row>
    <row r="1631" spans="1:3" ht="15">
      <c r="A1631" s="84" t="s">
        <v>405</v>
      </c>
      <c r="B1631" s="83" t="s">
        <v>3220</v>
      </c>
      <c r="C1631" s="91" t="s">
        <v>1356</v>
      </c>
    </row>
    <row r="1632" spans="1:3" ht="15">
      <c r="A1632" s="84" t="s">
        <v>405</v>
      </c>
      <c r="B1632" s="83" t="s">
        <v>3221</v>
      </c>
      <c r="C1632" s="91" t="s">
        <v>1356</v>
      </c>
    </row>
    <row r="1633" spans="1:3" ht="15">
      <c r="A1633" s="84" t="s">
        <v>405</v>
      </c>
      <c r="B1633" s="83" t="s">
        <v>3237</v>
      </c>
      <c r="C1633" s="91" t="s">
        <v>1356</v>
      </c>
    </row>
    <row r="1634" spans="1:3" ht="15">
      <c r="A1634" s="84" t="s">
        <v>405</v>
      </c>
      <c r="B1634" s="83" t="s">
        <v>3284</v>
      </c>
      <c r="C1634" s="91" t="s">
        <v>1356</v>
      </c>
    </row>
    <row r="1635" spans="1:3" ht="15">
      <c r="A1635" s="84" t="s">
        <v>405</v>
      </c>
      <c r="B1635" s="83" t="s">
        <v>3285</v>
      </c>
      <c r="C1635" s="91" t="s">
        <v>1356</v>
      </c>
    </row>
    <row r="1636" spans="1:3" ht="15">
      <c r="A1636" s="84" t="s">
        <v>405</v>
      </c>
      <c r="B1636" s="83" t="s">
        <v>2632</v>
      </c>
      <c r="C1636" s="91" t="s">
        <v>1356</v>
      </c>
    </row>
    <row r="1637" spans="1:3" ht="15">
      <c r="A1637" s="84" t="s">
        <v>405</v>
      </c>
      <c r="B1637" s="83" t="s">
        <v>3286</v>
      </c>
      <c r="C1637" s="91" t="s">
        <v>1356</v>
      </c>
    </row>
    <row r="1638" spans="1:3" ht="15">
      <c r="A1638" s="84" t="s">
        <v>405</v>
      </c>
      <c r="B1638" s="83" t="s">
        <v>3279</v>
      </c>
      <c r="C1638" s="91" t="s">
        <v>1355</v>
      </c>
    </row>
    <row r="1639" spans="1:3" ht="15">
      <c r="A1639" s="84" t="s">
        <v>405</v>
      </c>
      <c r="B1639" s="83" t="s">
        <v>3280</v>
      </c>
      <c r="C1639" s="91" t="s">
        <v>1355</v>
      </c>
    </row>
    <row r="1640" spans="1:3" ht="15">
      <c r="A1640" s="84" t="s">
        <v>405</v>
      </c>
      <c r="B1640" s="83" t="s">
        <v>2581</v>
      </c>
      <c r="C1640" s="91" t="s">
        <v>1355</v>
      </c>
    </row>
    <row r="1641" spans="1:3" ht="15">
      <c r="A1641" s="84" t="s">
        <v>405</v>
      </c>
      <c r="B1641" s="83" t="s">
        <v>2675</v>
      </c>
      <c r="C1641" s="91" t="s">
        <v>1355</v>
      </c>
    </row>
    <row r="1642" spans="1:3" ht="15">
      <c r="A1642" s="84" t="s">
        <v>405</v>
      </c>
      <c r="B1642" s="83" t="s">
        <v>3281</v>
      </c>
      <c r="C1642" s="91" t="s">
        <v>1355</v>
      </c>
    </row>
    <row r="1643" spans="1:3" ht="15">
      <c r="A1643" s="84" t="s">
        <v>405</v>
      </c>
      <c r="B1643" s="83" t="s">
        <v>3213</v>
      </c>
      <c r="C1643" s="91" t="s">
        <v>1355</v>
      </c>
    </row>
    <row r="1644" spans="1:3" ht="15">
      <c r="A1644" s="84" t="s">
        <v>405</v>
      </c>
      <c r="B1644" s="83" t="s">
        <v>3266</v>
      </c>
      <c r="C1644" s="91" t="s">
        <v>1355</v>
      </c>
    </row>
    <row r="1645" spans="1:3" ht="15">
      <c r="A1645" s="84" t="s">
        <v>405</v>
      </c>
      <c r="B1645" s="83" t="s">
        <v>2577</v>
      </c>
      <c r="C1645" s="91" t="s">
        <v>1355</v>
      </c>
    </row>
    <row r="1646" spans="1:3" ht="15">
      <c r="A1646" s="84" t="s">
        <v>405</v>
      </c>
      <c r="B1646" s="83" t="s">
        <v>3198</v>
      </c>
      <c r="C1646" s="91" t="s">
        <v>1355</v>
      </c>
    </row>
    <row r="1647" spans="1:3" ht="15">
      <c r="A1647" s="84" t="s">
        <v>405</v>
      </c>
      <c r="B1647" s="83" t="s">
        <v>3282</v>
      </c>
      <c r="C1647" s="91" t="s">
        <v>1355</v>
      </c>
    </row>
    <row r="1648" spans="1:3" ht="15">
      <c r="A1648" s="84" t="s">
        <v>405</v>
      </c>
      <c r="B1648" s="83" t="s">
        <v>3283</v>
      </c>
      <c r="C1648" s="91" t="s">
        <v>1355</v>
      </c>
    </row>
    <row r="1649" spans="1:3" ht="15">
      <c r="A1649" s="84" t="s">
        <v>405</v>
      </c>
      <c r="B1649" s="83" t="s">
        <v>3214</v>
      </c>
      <c r="C1649" s="91" t="s">
        <v>1355</v>
      </c>
    </row>
    <row r="1650" spans="1:3" ht="15">
      <c r="A1650" s="84" t="s">
        <v>405</v>
      </c>
      <c r="B1650" s="83" t="s">
        <v>3211</v>
      </c>
      <c r="C1650" s="91" t="s">
        <v>1355</v>
      </c>
    </row>
    <row r="1651" spans="1:3" ht="15">
      <c r="A1651" s="84" t="s">
        <v>405</v>
      </c>
      <c r="B1651" s="83" t="s">
        <v>3215</v>
      </c>
      <c r="C1651" s="91" t="s">
        <v>1355</v>
      </c>
    </row>
    <row r="1652" spans="1:3" ht="15">
      <c r="A1652" s="84" t="s">
        <v>405</v>
      </c>
      <c r="B1652" s="83" t="s">
        <v>3199</v>
      </c>
      <c r="C1652" s="91" t="s">
        <v>1355</v>
      </c>
    </row>
    <row r="1653" spans="1:3" ht="15">
      <c r="A1653" s="84" t="s">
        <v>405</v>
      </c>
      <c r="B1653" s="83" t="s">
        <v>3218</v>
      </c>
      <c r="C1653" s="91" t="s">
        <v>1355</v>
      </c>
    </row>
    <row r="1654" spans="1:3" ht="15">
      <c r="A1654" s="84" t="s">
        <v>405</v>
      </c>
      <c r="B1654" s="83" t="s">
        <v>3235</v>
      </c>
      <c r="C1654" s="91" t="s">
        <v>1355</v>
      </c>
    </row>
    <row r="1655" spans="1:3" ht="15">
      <c r="A1655" s="84" t="s">
        <v>405</v>
      </c>
      <c r="B1655" s="83" t="s">
        <v>3236</v>
      </c>
      <c r="C1655" s="91" t="s">
        <v>1355</v>
      </c>
    </row>
    <row r="1656" spans="1:3" ht="15">
      <c r="A1656" s="84" t="s">
        <v>405</v>
      </c>
      <c r="B1656" s="83" t="s">
        <v>3220</v>
      </c>
      <c r="C1656" s="91" t="s">
        <v>1355</v>
      </c>
    </row>
    <row r="1657" spans="1:3" ht="15">
      <c r="A1657" s="84" t="s">
        <v>405</v>
      </c>
      <c r="B1657" s="83" t="s">
        <v>3221</v>
      </c>
      <c r="C1657" s="91" t="s">
        <v>1355</v>
      </c>
    </row>
    <row r="1658" spans="1:3" ht="15">
      <c r="A1658" s="84" t="s">
        <v>405</v>
      </c>
      <c r="B1658" s="83" t="s">
        <v>3237</v>
      </c>
      <c r="C1658" s="91" t="s">
        <v>1355</v>
      </c>
    </row>
    <row r="1659" spans="1:3" ht="15">
      <c r="A1659" s="84" t="s">
        <v>405</v>
      </c>
      <c r="B1659" s="83" t="s">
        <v>3284</v>
      </c>
      <c r="C1659" s="91" t="s">
        <v>1355</v>
      </c>
    </row>
    <row r="1660" spans="1:3" ht="15">
      <c r="A1660" s="84" t="s">
        <v>405</v>
      </c>
      <c r="B1660" s="83" t="s">
        <v>3285</v>
      </c>
      <c r="C1660" s="91" t="s">
        <v>1355</v>
      </c>
    </row>
    <row r="1661" spans="1:3" ht="15">
      <c r="A1661" s="84" t="s">
        <v>405</v>
      </c>
      <c r="B1661" s="83" t="s">
        <v>2632</v>
      </c>
      <c r="C1661" s="91" t="s">
        <v>1355</v>
      </c>
    </row>
    <row r="1662" spans="1:3" ht="15">
      <c r="A1662" s="84" t="s">
        <v>405</v>
      </c>
      <c r="B1662" s="83" t="s">
        <v>3286</v>
      </c>
      <c r="C1662" s="91" t="s">
        <v>1355</v>
      </c>
    </row>
    <row r="1663" spans="1:3" ht="15">
      <c r="A1663" s="84" t="s">
        <v>405</v>
      </c>
      <c r="B1663" s="83" t="s">
        <v>3261</v>
      </c>
      <c r="C1663" s="91" t="s">
        <v>1354</v>
      </c>
    </row>
    <row r="1664" spans="1:3" ht="15">
      <c r="A1664" s="84" t="s">
        <v>405</v>
      </c>
      <c r="B1664" s="83" t="s">
        <v>2581</v>
      </c>
      <c r="C1664" s="91" t="s">
        <v>1354</v>
      </c>
    </row>
    <row r="1665" spans="1:3" ht="15">
      <c r="A1665" s="84" t="s">
        <v>405</v>
      </c>
      <c r="B1665" s="83" t="s">
        <v>2586</v>
      </c>
      <c r="C1665" s="91" t="s">
        <v>1354</v>
      </c>
    </row>
    <row r="1666" spans="1:3" ht="15">
      <c r="A1666" s="84" t="s">
        <v>405</v>
      </c>
      <c r="B1666" s="83" t="s">
        <v>2670</v>
      </c>
      <c r="C1666" s="91" t="s">
        <v>1354</v>
      </c>
    </row>
    <row r="1667" spans="1:3" ht="15">
      <c r="A1667" s="84" t="s">
        <v>405</v>
      </c>
      <c r="B1667" s="83" t="s">
        <v>2655</v>
      </c>
      <c r="C1667" s="91" t="s">
        <v>1354</v>
      </c>
    </row>
    <row r="1668" spans="1:3" ht="15">
      <c r="A1668" s="84" t="s">
        <v>405</v>
      </c>
      <c r="B1668" s="83" t="s">
        <v>2580</v>
      </c>
      <c r="C1668" s="91" t="s">
        <v>1354</v>
      </c>
    </row>
    <row r="1669" spans="1:3" ht="15">
      <c r="A1669" s="84" t="s">
        <v>405</v>
      </c>
      <c r="B1669" s="83" t="s">
        <v>2661</v>
      </c>
      <c r="C1669" s="91" t="s">
        <v>1354</v>
      </c>
    </row>
    <row r="1670" spans="1:3" ht="15">
      <c r="A1670" s="84" t="s">
        <v>405</v>
      </c>
      <c r="B1670" s="83" t="s">
        <v>2656</v>
      </c>
      <c r="C1670" s="91" t="s">
        <v>1354</v>
      </c>
    </row>
    <row r="1671" spans="1:3" ht="15">
      <c r="A1671" s="84" t="s">
        <v>405</v>
      </c>
      <c r="B1671" s="83" t="s">
        <v>3199</v>
      </c>
      <c r="C1671" s="91" t="s">
        <v>1354</v>
      </c>
    </row>
    <row r="1672" spans="1:3" ht="15">
      <c r="A1672" s="84" t="s">
        <v>405</v>
      </c>
      <c r="B1672" s="83" t="s">
        <v>133</v>
      </c>
      <c r="C1672" s="91" t="s">
        <v>1354</v>
      </c>
    </row>
    <row r="1673" spans="1:3" ht="15">
      <c r="A1673" s="84" t="s">
        <v>405</v>
      </c>
      <c r="B1673" s="83" t="s">
        <v>2657</v>
      </c>
      <c r="C1673" s="91" t="s">
        <v>1354</v>
      </c>
    </row>
    <row r="1674" spans="1:3" ht="15">
      <c r="A1674" s="84" t="s">
        <v>405</v>
      </c>
      <c r="B1674" s="83" t="s">
        <v>2576</v>
      </c>
      <c r="C1674" s="91" t="s">
        <v>1354</v>
      </c>
    </row>
    <row r="1675" spans="1:3" ht="15">
      <c r="A1675" s="84" t="s">
        <v>405</v>
      </c>
      <c r="B1675" s="83" t="s">
        <v>2569</v>
      </c>
      <c r="C1675" s="91" t="s">
        <v>1354</v>
      </c>
    </row>
    <row r="1676" spans="1:3" ht="15">
      <c r="A1676" s="84" t="s">
        <v>405</v>
      </c>
      <c r="B1676" s="83">
        <v>19</v>
      </c>
      <c r="C1676" s="91" t="s">
        <v>1354</v>
      </c>
    </row>
    <row r="1677" spans="1:3" ht="15">
      <c r="A1677" s="84" t="s">
        <v>405</v>
      </c>
      <c r="B1677" s="83" t="s">
        <v>2629</v>
      </c>
      <c r="C1677" s="91" t="s">
        <v>1354</v>
      </c>
    </row>
    <row r="1678" spans="1:3" ht="15">
      <c r="A1678" s="84" t="s">
        <v>405</v>
      </c>
      <c r="B1678" s="83" t="s">
        <v>3262</v>
      </c>
      <c r="C1678" s="91" t="s">
        <v>1354</v>
      </c>
    </row>
    <row r="1679" spans="1:3" ht="15">
      <c r="A1679" s="84" t="s">
        <v>405</v>
      </c>
      <c r="B1679" s="83" t="s">
        <v>2702</v>
      </c>
      <c r="C1679" s="91" t="s">
        <v>1354</v>
      </c>
    </row>
    <row r="1680" spans="1:3" ht="15">
      <c r="A1680" s="84" t="s">
        <v>405</v>
      </c>
      <c r="B1680" s="83" t="s">
        <v>2652</v>
      </c>
      <c r="C1680" s="91" t="s">
        <v>1354</v>
      </c>
    </row>
    <row r="1681" spans="1:3" ht="15">
      <c r="A1681" s="84" t="s">
        <v>405</v>
      </c>
      <c r="B1681" s="83" t="s">
        <v>2703</v>
      </c>
      <c r="C1681" s="91" t="s">
        <v>1354</v>
      </c>
    </row>
    <row r="1682" spans="1:3" ht="15">
      <c r="A1682" s="84" t="s">
        <v>405</v>
      </c>
      <c r="B1682" s="83" t="s">
        <v>2704</v>
      </c>
      <c r="C1682" s="91" t="s">
        <v>1354</v>
      </c>
    </row>
    <row r="1683" spans="1:3" ht="15">
      <c r="A1683" s="84" t="s">
        <v>405</v>
      </c>
      <c r="B1683" s="83" t="s">
        <v>2577</v>
      </c>
      <c r="C1683" s="91" t="s">
        <v>1354</v>
      </c>
    </row>
    <row r="1684" spans="1:3" ht="15">
      <c r="A1684" s="84" t="s">
        <v>405</v>
      </c>
      <c r="B1684" s="83" t="s">
        <v>2630</v>
      </c>
      <c r="C1684" s="91" t="s">
        <v>1354</v>
      </c>
    </row>
    <row r="1685" spans="1:3" ht="15">
      <c r="A1685" s="84" t="s">
        <v>405</v>
      </c>
      <c r="B1685" s="83" t="s">
        <v>3263</v>
      </c>
      <c r="C1685" s="91" t="s">
        <v>1354</v>
      </c>
    </row>
    <row r="1686" spans="1:3" ht="15">
      <c r="A1686" s="84" t="s">
        <v>405</v>
      </c>
      <c r="B1686" s="83" t="s">
        <v>2705</v>
      </c>
      <c r="C1686" s="91" t="s">
        <v>1354</v>
      </c>
    </row>
    <row r="1687" spans="1:3" ht="15">
      <c r="A1687" s="84" t="s">
        <v>405</v>
      </c>
      <c r="B1687" s="83" t="s">
        <v>2671</v>
      </c>
      <c r="C1687" s="91" t="s">
        <v>1354</v>
      </c>
    </row>
    <row r="1688" spans="1:3" ht="15">
      <c r="A1688" s="84" t="s">
        <v>405</v>
      </c>
      <c r="B1688" s="83" t="s">
        <v>3264</v>
      </c>
      <c r="C1688" s="91" t="s">
        <v>1354</v>
      </c>
    </row>
    <row r="1689" spans="1:3" ht="15">
      <c r="A1689" s="84" t="s">
        <v>405</v>
      </c>
      <c r="B1689" s="83" t="s">
        <v>2706</v>
      </c>
      <c r="C1689" s="91" t="s">
        <v>1354</v>
      </c>
    </row>
    <row r="1690" spans="1:3" ht="15">
      <c r="A1690" s="84" t="s">
        <v>405</v>
      </c>
      <c r="B1690" s="83" t="s">
        <v>2707</v>
      </c>
      <c r="C1690" s="91" t="s">
        <v>1354</v>
      </c>
    </row>
    <row r="1691" spans="1:3" ht="15">
      <c r="A1691" s="84" t="s">
        <v>405</v>
      </c>
      <c r="B1691" s="83" t="s">
        <v>2568</v>
      </c>
      <c r="C1691" s="91" t="s">
        <v>1354</v>
      </c>
    </row>
    <row r="1692" spans="1:3" ht="15">
      <c r="A1692" s="84" t="s">
        <v>405</v>
      </c>
      <c r="B1692" s="83" t="s">
        <v>2662</v>
      </c>
      <c r="C1692" s="91" t="s">
        <v>1354</v>
      </c>
    </row>
    <row r="1693" spans="1:3" ht="15">
      <c r="A1693" s="84" t="s">
        <v>405</v>
      </c>
      <c r="B1693" s="83" t="s">
        <v>2708</v>
      </c>
      <c r="C1693" s="91" t="s">
        <v>1354</v>
      </c>
    </row>
    <row r="1694" spans="1:3" ht="15">
      <c r="A1694" s="84" t="s">
        <v>405</v>
      </c>
      <c r="B1694" s="83" t="s">
        <v>2709</v>
      </c>
      <c r="C1694" s="91" t="s">
        <v>1354</v>
      </c>
    </row>
    <row r="1695" spans="1:3" ht="15">
      <c r="A1695" s="84" t="s">
        <v>405</v>
      </c>
      <c r="B1695" s="83" t="s">
        <v>3265</v>
      </c>
      <c r="C1695" s="91" t="s">
        <v>1354</v>
      </c>
    </row>
    <row r="1696" spans="1:3" ht="15">
      <c r="A1696" s="84" t="s">
        <v>405</v>
      </c>
      <c r="B1696" s="83" t="s">
        <v>2578</v>
      </c>
      <c r="C1696" s="91" t="s">
        <v>1354</v>
      </c>
    </row>
    <row r="1697" spans="1:3" ht="15">
      <c r="A1697" s="84" t="s">
        <v>405</v>
      </c>
      <c r="B1697" s="83" t="s">
        <v>2710</v>
      </c>
      <c r="C1697" s="91" t="s">
        <v>1354</v>
      </c>
    </row>
    <row r="1698" spans="1:3" ht="15">
      <c r="A1698" s="84" t="s">
        <v>405</v>
      </c>
      <c r="B1698" s="83" t="s">
        <v>3238</v>
      </c>
      <c r="C1698" s="91" t="s">
        <v>1354</v>
      </c>
    </row>
    <row r="1699" spans="1:3" ht="15">
      <c r="A1699" s="84" t="s">
        <v>405</v>
      </c>
      <c r="B1699" s="83" t="s">
        <v>586</v>
      </c>
      <c r="C1699" s="91" t="s">
        <v>1354</v>
      </c>
    </row>
    <row r="1700" spans="1:3" ht="15">
      <c r="A1700" s="84" t="s">
        <v>405</v>
      </c>
      <c r="B1700" s="83" t="s">
        <v>3258</v>
      </c>
      <c r="C1700" s="91" t="s">
        <v>1354</v>
      </c>
    </row>
    <row r="1701" spans="1:3" ht="15">
      <c r="A1701" s="84" t="s">
        <v>405</v>
      </c>
      <c r="B1701" s="83" t="s">
        <v>3109</v>
      </c>
      <c r="C1701" s="91" t="s">
        <v>1354</v>
      </c>
    </row>
    <row r="1702" spans="1:3" ht="15">
      <c r="A1702" s="84" t="s">
        <v>405</v>
      </c>
      <c r="B1702" s="83" t="s">
        <v>3228</v>
      </c>
      <c r="C1702" s="91" t="s">
        <v>1353</v>
      </c>
    </row>
    <row r="1703" spans="1:3" ht="15">
      <c r="A1703" s="84" t="s">
        <v>405</v>
      </c>
      <c r="B1703" s="83" t="s">
        <v>2581</v>
      </c>
      <c r="C1703" s="91" t="s">
        <v>1353</v>
      </c>
    </row>
    <row r="1704" spans="1:3" ht="15">
      <c r="A1704" s="84" t="s">
        <v>405</v>
      </c>
      <c r="B1704" s="83" t="s">
        <v>2586</v>
      </c>
      <c r="C1704" s="91" t="s">
        <v>1353</v>
      </c>
    </row>
    <row r="1705" spans="1:3" ht="15">
      <c r="A1705" s="84" t="s">
        <v>405</v>
      </c>
      <c r="B1705" s="83" t="s">
        <v>2595</v>
      </c>
      <c r="C1705" s="91" t="s">
        <v>1353</v>
      </c>
    </row>
    <row r="1706" spans="1:3" ht="15">
      <c r="A1706" s="84" t="s">
        <v>405</v>
      </c>
      <c r="B1706" s="83" t="s">
        <v>2568</v>
      </c>
      <c r="C1706" s="91" t="s">
        <v>1353</v>
      </c>
    </row>
    <row r="1707" spans="1:3" ht="15">
      <c r="A1707" s="84" t="s">
        <v>405</v>
      </c>
      <c r="B1707" s="83" t="s">
        <v>2592</v>
      </c>
      <c r="C1707" s="91" t="s">
        <v>1353</v>
      </c>
    </row>
    <row r="1708" spans="1:3" ht="15">
      <c r="A1708" s="84" t="s">
        <v>405</v>
      </c>
      <c r="B1708" s="83" t="s">
        <v>3213</v>
      </c>
      <c r="C1708" s="91" t="s">
        <v>1353</v>
      </c>
    </row>
    <row r="1709" spans="1:3" ht="15">
      <c r="A1709" s="84" t="s">
        <v>405</v>
      </c>
      <c r="B1709" s="83" t="s">
        <v>2576</v>
      </c>
      <c r="C1709" s="91" t="s">
        <v>1353</v>
      </c>
    </row>
    <row r="1710" spans="1:3" ht="15">
      <c r="A1710" s="84" t="s">
        <v>405</v>
      </c>
      <c r="B1710" s="83" t="s">
        <v>3229</v>
      </c>
      <c r="C1710" s="91" t="s">
        <v>1353</v>
      </c>
    </row>
    <row r="1711" spans="1:3" ht="15">
      <c r="A1711" s="84" t="s">
        <v>405</v>
      </c>
      <c r="B1711" s="83" t="s">
        <v>3230</v>
      </c>
      <c r="C1711" s="91" t="s">
        <v>1353</v>
      </c>
    </row>
    <row r="1712" spans="1:3" ht="15">
      <c r="A1712" s="84" t="s">
        <v>405</v>
      </c>
      <c r="B1712" s="83" t="s">
        <v>2598</v>
      </c>
      <c r="C1712" s="91" t="s">
        <v>1353</v>
      </c>
    </row>
    <row r="1713" spans="1:3" ht="15">
      <c r="A1713" s="84" t="s">
        <v>405</v>
      </c>
      <c r="B1713" s="83" t="s">
        <v>3231</v>
      </c>
      <c r="C1713" s="91" t="s">
        <v>1353</v>
      </c>
    </row>
    <row r="1714" spans="1:3" ht="15">
      <c r="A1714" s="84" t="s">
        <v>405</v>
      </c>
      <c r="B1714" s="83" t="s">
        <v>3232</v>
      </c>
      <c r="C1714" s="91" t="s">
        <v>1353</v>
      </c>
    </row>
    <row r="1715" spans="1:3" ht="15">
      <c r="A1715" s="84" t="s">
        <v>405</v>
      </c>
      <c r="B1715" s="83" t="s">
        <v>3233</v>
      </c>
      <c r="C1715" s="91" t="s">
        <v>1353</v>
      </c>
    </row>
    <row r="1716" spans="1:3" ht="15">
      <c r="A1716" s="84" t="s">
        <v>405</v>
      </c>
      <c r="B1716" s="83" t="s">
        <v>3211</v>
      </c>
      <c r="C1716" s="91" t="s">
        <v>1353</v>
      </c>
    </row>
    <row r="1717" spans="1:3" ht="15">
      <c r="A1717" s="84" t="s">
        <v>405</v>
      </c>
      <c r="B1717" s="83" t="s">
        <v>3199</v>
      </c>
      <c r="C1717" s="91" t="s">
        <v>1353</v>
      </c>
    </row>
    <row r="1718" spans="1:3" ht="15">
      <c r="A1718" s="84" t="s">
        <v>405</v>
      </c>
      <c r="B1718" s="83" t="s">
        <v>3218</v>
      </c>
      <c r="C1718" s="91" t="s">
        <v>1353</v>
      </c>
    </row>
    <row r="1719" spans="1:3" ht="15">
      <c r="A1719" s="84" t="s">
        <v>405</v>
      </c>
      <c r="B1719" s="83" t="s">
        <v>3234</v>
      </c>
      <c r="C1719" s="91" t="s">
        <v>1353</v>
      </c>
    </row>
    <row r="1720" spans="1:3" ht="15">
      <c r="A1720" s="84" t="s">
        <v>405</v>
      </c>
      <c r="B1720" s="83" t="s">
        <v>3235</v>
      </c>
      <c r="C1720" s="91" t="s">
        <v>1353</v>
      </c>
    </row>
    <row r="1721" spans="1:3" ht="15">
      <c r="A1721" s="84" t="s">
        <v>405</v>
      </c>
      <c r="B1721" s="83" t="s">
        <v>3236</v>
      </c>
      <c r="C1721" s="91" t="s">
        <v>1353</v>
      </c>
    </row>
    <row r="1722" spans="1:3" ht="15">
      <c r="A1722" s="84" t="s">
        <v>405</v>
      </c>
      <c r="B1722" s="83" t="s">
        <v>3237</v>
      </c>
      <c r="C1722" s="91" t="s">
        <v>1353</v>
      </c>
    </row>
    <row r="1723" spans="1:3" ht="15">
      <c r="A1723" s="84" t="s">
        <v>405</v>
      </c>
      <c r="B1723" s="83" t="s">
        <v>3238</v>
      </c>
      <c r="C1723" s="91" t="s">
        <v>1353</v>
      </c>
    </row>
    <row r="1724" spans="1:3" ht="15">
      <c r="A1724" s="84" t="s">
        <v>405</v>
      </c>
      <c r="B1724" s="83" t="s">
        <v>3239</v>
      </c>
      <c r="C1724" s="91" t="s">
        <v>1353</v>
      </c>
    </row>
    <row r="1725" spans="1:3" ht="15">
      <c r="A1725" s="84" t="s">
        <v>405</v>
      </c>
      <c r="B1725" s="83" t="s">
        <v>3240</v>
      </c>
      <c r="C1725" s="91" t="s">
        <v>1353</v>
      </c>
    </row>
    <row r="1726" spans="1:3" ht="15">
      <c r="A1726" s="84" t="s">
        <v>405</v>
      </c>
      <c r="B1726" s="83" t="s">
        <v>3241</v>
      </c>
      <c r="C1726" s="91" t="s">
        <v>1353</v>
      </c>
    </row>
    <row r="1727" spans="1:3" ht="15">
      <c r="A1727" s="84" t="s">
        <v>405</v>
      </c>
      <c r="B1727" s="83" t="s">
        <v>3242</v>
      </c>
      <c r="C1727" s="91" t="s">
        <v>1353</v>
      </c>
    </row>
    <row r="1728" spans="1:3" ht="15">
      <c r="A1728" s="84" t="s">
        <v>405</v>
      </c>
      <c r="B1728" s="83" t="s">
        <v>2767</v>
      </c>
      <c r="C1728" s="91" t="s">
        <v>1353</v>
      </c>
    </row>
    <row r="1729" spans="1:3" ht="15">
      <c r="A1729" s="84" t="s">
        <v>405</v>
      </c>
      <c r="B1729" s="83" t="s">
        <v>3243</v>
      </c>
      <c r="C1729" s="91" t="s">
        <v>1353</v>
      </c>
    </row>
    <row r="1730" spans="1:3" ht="15">
      <c r="A1730" s="84" t="s">
        <v>405</v>
      </c>
      <c r="B1730" s="83" t="s">
        <v>3244</v>
      </c>
      <c r="C1730" s="91" t="s">
        <v>1353</v>
      </c>
    </row>
    <row r="1731" spans="1:3" ht="15">
      <c r="A1731" s="84" t="s">
        <v>405</v>
      </c>
      <c r="B1731" s="83" t="s">
        <v>3223</v>
      </c>
      <c r="C1731" s="91" t="s">
        <v>1353</v>
      </c>
    </row>
    <row r="1732" spans="1:3" ht="15">
      <c r="A1732" s="84" t="s">
        <v>405</v>
      </c>
      <c r="B1732" s="83" t="s">
        <v>3266</v>
      </c>
      <c r="C1732" s="91" t="s">
        <v>1353</v>
      </c>
    </row>
    <row r="1733" spans="1:3" ht="15">
      <c r="A1733" s="84" t="s">
        <v>405</v>
      </c>
      <c r="B1733" s="83" t="s">
        <v>3308</v>
      </c>
      <c r="C1733" s="91" t="s">
        <v>1352</v>
      </c>
    </row>
    <row r="1734" spans="1:3" ht="15">
      <c r="A1734" s="84" t="s">
        <v>405</v>
      </c>
      <c r="B1734" s="83" t="s">
        <v>2568</v>
      </c>
      <c r="C1734" s="91" t="s">
        <v>1352</v>
      </c>
    </row>
    <row r="1735" spans="1:3" ht="15">
      <c r="A1735" s="84" t="s">
        <v>405</v>
      </c>
      <c r="B1735" s="83" t="s">
        <v>3203</v>
      </c>
      <c r="C1735" s="91" t="s">
        <v>1352</v>
      </c>
    </row>
    <row r="1736" spans="1:3" ht="15">
      <c r="A1736" s="84" t="s">
        <v>405</v>
      </c>
      <c r="B1736" s="83">
        <v>19</v>
      </c>
      <c r="C1736" s="91" t="s">
        <v>1352</v>
      </c>
    </row>
    <row r="1737" spans="1:3" ht="15">
      <c r="A1737" s="84" t="s">
        <v>405</v>
      </c>
      <c r="B1737" s="83" t="s">
        <v>3309</v>
      </c>
      <c r="C1737" s="91" t="s">
        <v>1352</v>
      </c>
    </row>
    <row r="1738" spans="1:3" ht="15">
      <c r="A1738" s="84" t="s">
        <v>405</v>
      </c>
      <c r="B1738" s="83" t="s">
        <v>2666</v>
      </c>
      <c r="C1738" s="91" t="s">
        <v>1352</v>
      </c>
    </row>
    <row r="1739" spans="1:3" ht="15">
      <c r="A1739" s="84" t="s">
        <v>405</v>
      </c>
      <c r="B1739" s="83" t="s">
        <v>2630</v>
      </c>
      <c r="C1739" s="91" t="s">
        <v>1352</v>
      </c>
    </row>
    <row r="1740" spans="1:3" ht="15">
      <c r="A1740" s="84" t="s">
        <v>405</v>
      </c>
      <c r="B1740" s="83" t="s">
        <v>2676</v>
      </c>
      <c r="C1740" s="91" t="s">
        <v>1352</v>
      </c>
    </row>
    <row r="1741" spans="1:3" ht="15">
      <c r="A1741" s="84" t="s">
        <v>405</v>
      </c>
      <c r="B1741" s="83" t="s">
        <v>2580</v>
      </c>
      <c r="C1741" s="91" t="s">
        <v>1352</v>
      </c>
    </row>
    <row r="1742" spans="1:3" ht="15">
      <c r="A1742" s="84" t="s">
        <v>405</v>
      </c>
      <c r="B1742" s="83" t="s">
        <v>2677</v>
      </c>
      <c r="C1742" s="91" t="s">
        <v>1352</v>
      </c>
    </row>
    <row r="1743" spans="1:3" ht="15">
      <c r="A1743" s="84" t="s">
        <v>405</v>
      </c>
      <c r="B1743" s="83" t="s">
        <v>3310</v>
      </c>
      <c r="C1743" s="91" t="s">
        <v>1352</v>
      </c>
    </row>
    <row r="1744" spans="1:3" ht="15">
      <c r="A1744" s="84" t="s">
        <v>405</v>
      </c>
      <c r="B1744" s="83" t="s">
        <v>3282</v>
      </c>
      <c r="C1744" s="91" t="s">
        <v>1352</v>
      </c>
    </row>
    <row r="1745" spans="1:3" ht="15">
      <c r="A1745" s="84" t="s">
        <v>405</v>
      </c>
      <c r="B1745" s="83" t="s">
        <v>3311</v>
      </c>
      <c r="C1745" s="91" t="s">
        <v>1352</v>
      </c>
    </row>
    <row r="1746" spans="1:3" ht="15">
      <c r="A1746" s="84" t="s">
        <v>405</v>
      </c>
      <c r="B1746" s="83" t="s">
        <v>2577</v>
      </c>
      <c r="C1746" s="91" t="s">
        <v>1352</v>
      </c>
    </row>
    <row r="1747" spans="1:3" ht="15">
      <c r="A1747" s="84" t="s">
        <v>405</v>
      </c>
      <c r="B1747" s="83" t="s">
        <v>2658</v>
      </c>
      <c r="C1747" s="91" t="s">
        <v>1352</v>
      </c>
    </row>
    <row r="1748" spans="1:3" ht="15">
      <c r="A1748" s="84" t="s">
        <v>405</v>
      </c>
      <c r="B1748" s="83" t="s">
        <v>2653</v>
      </c>
      <c r="C1748" s="91" t="s">
        <v>1352</v>
      </c>
    </row>
    <row r="1749" spans="1:3" ht="15">
      <c r="A1749" s="84" t="s">
        <v>405</v>
      </c>
      <c r="B1749" s="83" t="s">
        <v>2667</v>
      </c>
      <c r="C1749" s="91" t="s">
        <v>1352</v>
      </c>
    </row>
    <row r="1750" spans="1:3" ht="15">
      <c r="A1750" s="84" t="s">
        <v>405</v>
      </c>
      <c r="B1750" s="83" t="s">
        <v>2578</v>
      </c>
      <c r="C1750" s="91" t="s">
        <v>1352</v>
      </c>
    </row>
    <row r="1751" spans="1:3" ht="15">
      <c r="A1751" s="84" t="s">
        <v>405</v>
      </c>
      <c r="B1751" s="83" t="s">
        <v>2678</v>
      </c>
      <c r="C1751" s="91" t="s">
        <v>1352</v>
      </c>
    </row>
    <row r="1752" spans="1:3" ht="15">
      <c r="A1752" s="84" t="s">
        <v>405</v>
      </c>
      <c r="B1752" s="83" t="s">
        <v>3312</v>
      </c>
      <c r="C1752" s="91" t="s">
        <v>1352</v>
      </c>
    </row>
    <row r="1753" spans="1:3" ht="15">
      <c r="A1753" s="84" t="s">
        <v>405</v>
      </c>
      <c r="B1753" s="83" t="s">
        <v>3290</v>
      </c>
      <c r="C1753" s="91" t="s">
        <v>1352</v>
      </c>
    </row>
    <row r="1754" spans="1:3" ht="15">
      <c r="A1754" s="84" t="s">
        <v>405</v>
      </c>
      <c r="B1754" s="83" t="s">
        <v>3313</v>
      </c>
      <c r="C1754" s="91" t="s">
        <v>1352</v>
      </c>
    </row>
    <row r="1755" spans="1:3" ht="15">
      <c r="A1755" s="84" t="s">
        <v>405</v>
      </c>
      <c r="B1755" s="83" t="s">
        <v>3314</v>
      </c>
      <c r="C1755" s="91" t="s">
        <v>1352</v>
      </c>
    </row>
    <row r="1756" spans="1:3" ht="15">
      <c r="A1756" s="84" t="s">
        <v>405</v>
      </c>
      <c r="B1756" s="83" t="s">
        <v>3315</v>
      </c>
      <c r="C1756" s="91" t="s">
        <v>1352</v>
      </c>
    </row>
    <row r="1757" spans="1:3" ht="15">
      <c r="A1757" s="84" t="s">
        <v>405</v>
      </c>
      <c r="B1757" s="83" t="s">
        <v>586</v>
      </c>
      <c r="C1757" s="91" t="s">
        <v>1352</v>
      </c>
    </row>
    <row r="1758" spans="1:3" ht="15">
      <c r="A1758" s="84" t="s">
        <v>405</v>
      </c>
      <c r="B1758" s="83" t="s">
        <v>3258</v>
      </c>
      <c r="C1758" s="91" t="s">
        <v>1352</v>
      </c>
    </row>
    <row r="1759" spans="1:3" ht="15">
      <c r="A1759" s="84" t="s">
        <v>405</v>
      </c>
      <c r="B1759" s="83" t="s">
        <v>3261</v>
      </c>
      <c r="C1759" s="91" t="s">
        <v>1351</v>
      </c>
    </row>
    <row r="1760" spans="1:3" ht="15">
      <c r="A1760" s="84" t="s">
        <v>405</v>
      </c>
      <c r="B1760" s="83" t="s">
        <v>2581</v>
      </c>
      <c r="C1760" s="91" t="s">
        <v>1351</v>
      </c>
    </row>
    <row r="1761" spans="1:3" ht="15">
      <c r="A1761" s="84" t="s">
        <v>405</v>
      </c>
      <c r="B1761" s="83" t="s">
        <v>2586</v>
      </c>
      <c r="C1761" s="91" t="s">
        <v>1351</v>
      </c>
    </row>
    <row r="1762" spans="1:3" ht="15">
      <c r="A1762" s="84" t="s">
        <v>405</v>
      </c>
      <c r="B1762" s="83" t="s">
        <v>2670</v>
      </c>
      <c r="C1762" s="91" t="s">
        <v>1351</v>
      </c>
    </row>
    <row r="1763" spans="1:3" ht="15">
      <c r="A1763" s="84" t="s">
        <v>405</v>
      </c>
      <c r="B1763" s="83" t="s">
        <v>2655</v>
      </c>
      <c r="C1763" s="91" t="s">
        <v>1351</v>
      </c>
    </row>
    <row r="1764" spans="1:3" ht="15">
      <c r="A1764" s="84" t="s">
        <v>405</v>
      </c>
      <c r="B1764" s="83" t="s">
        <v>2580</v>
      </c>
      <c r="C1764" s="91" t="s">
        <v>1351</v>
      </c>
    </row>
    <row r="1765" spans="1:3" ht="15">
      <c r="A1765" s="84" t="s">
        <v>405</v>
      </c>
      <c r="B1765" s="83" t="s">
        <v>2661</v>
      </c>
      <c r="C1765" s="91" t="s">
        <v>1351</v>
      </c>
    </row>
    <row r="1766" spans="1:3" ht="15">
      <c r="A1766" s="84" t="s">
        <v>405</v>
      </c>
      <c r="B1766" s="83" t="s">
        <v>2656</v>
      </c>
      <c r="C1766" s="91" t="s">
        <v>1351</v>
      </c>
    </row>
    <row r="1767" spans="1:3" ht="15">
      <c r="A1767" s="84" t="s">
        <v>405</v>
      </c>
      <c r="B1767" s="83" t="s">
        <v>3199</v>
      </c>
      <c r="C1767" s="91" t="s">
        <v>1351</v>
      </c>
    </row>
    <row r="1768" spans="1:3" ht="15">
      <c r="A1768" s="84" t="s">
        <v>405</v>
      </c>
      <c r="B1768" s="83" t="s">
        <v>133</v>
      </c>
      <c r="C1768" s="91" t="s">
        <v>1351</v>
      </c>
    </row>
    <row r="1769" spans="1:3" ht="15">
      <c r="A1769" s="84" t="s">
        <v>405</v>
      </c>
      <c r="B1769" s="83" t="s">
        <v>2657</v>
      </c>
      <c r="C1769" s="91" t="s">
        <v>1351</v>
      </c>
    </row>
    <row r="1770" spans="1:3" ht="15">
      <c r="A1770" s="84" t="s">
        <v>405</v>
      </c>
      <c r="B1770" s="83" t="s">
        <v>2576</v>
      </c>
      <c r="C1770" s="91" t="s">
        <v>1351</v>
      </c>
    </row>
    <row r="1771" spans="1:3" ht="15">
      <c r="A1771" s="84" t="s">
        <v>405</v>
      </c>
      <c r="B1771" s="83" t="s">
        <v>2569</v>
      </c>
      <c r="C1771" s="91" t="s">
        <v>1351</v>
      </c>
    </row>
    <row r="1772" spans="1:3" ht="15">
      <c r="A1772" s="84" t="s">
        <v>405</v>
      </c>
      <c r="B1772" s="83">
        <v>19</v>
      </c>
      <c r="C1772" s="91" t="s">
        <v>1351</v>
      </c>
    </row>
    <row r="1773" spans="1:3" ht="15">
      <c r="A1773" s="84" t="s">
        <v>405</v>
      </c>
      <c r="B1773" s="83" t="s">
        <v>2629</v>
      </c>
      <c r="C1773" s="91" t="s">
        <v>1351</v>
      </c>
    </row>
    <row r="1774" spans="1:3" ht="15">
      <c r="A1774" s="84" t="s">
        <v>405</v>
      </c>
      <c r="B1774" s="83" t="s">
        <v>3262</v>
      </c>
      <c r="C1774" s="91" t="s">
        <v>1351</v>
      </c>
    </row>
    <row r="1775" spans="1:3" ht="15">
      <c r="A1775" s="84" t="s">
        <v>405</v>
      </c>
      <c r="B1775" s="83" t="s">
        <v>2702</v>
      </c>
      <c r="C1775" s="91" t="s">
        <v>1351</v>
      </c>
    </row>
    <row r="1776" spans="1:3" ht="15">
      <c r="A1776" s="84" t="s">
        <v>405</v>
      </c>
      <c r="B1776" s="83" t="s">
        <v>2652</v>
      </c>
      <c r="C1776" s="91" t="s">
        <v>1351</v>
      </c>
    </row>
    <row r="1777" spans="1:3" ht="15">
      <c r="A1777" s="84" t="s">
        <v>405</v>
      </c>
      <c r="B1777" s="83" t="s">
        <v>2703</v>
      </c>
      <c r="C1777" s="91" t="s">
        <v>1351</v>
      </c>
    </row>
    <row r="1778" spans="1:3" ht="15">
      <c r="A1778" s="84" t="s">
        <v>405</v>
      </c>
      <c r="B1778" s="83" t="s">
        <v>2704</v>
      </c>
      <c r="C1778" s="91" t="s">
        <v>1351</v>
      </c>
    </row>
    <row r="1779" spans="1:3" ht="15">
      <c r="A1779" s="84" t="s">
        <v>405</v>
      </c>
      <c r="B1779" s="83" t="s">
        <v>2577</v>
      </c>
      <c r="C1779" s="91" t="s">
        <v>1351</v>
      </c>
    </row>
    <row r="1780" spans="1:3" ht="15">
      <c r="A1780" s="84" t="s">
        <v>405</v>
      </c>
      <c r="B1780" s="83" t="s">
        <v>2630</v>
      </c>
      <c r="C1780" s="91" t="s">
        <v>1351</v>
      </c>
    </row>
    <row r="1781" spans="1:3" ht="15">
      <c r="A1781" s="84" t="s">
        <v>405</v>
      </c>
      <c r="B1781" s="83" t="s">
        <v>3263</v>
      </c>
      <c r="C1781" s="91" t="s">
        <v>1351</v>
      </c>
    </row>
    <row r="1782" spans="1:3" ht="15">
      <c r="A1782" s="84" t="s">
        <v>405</v>
      </c>
      <c r="B1782" s="83" t="s">
        <v>2705</v>
      </c>
      <c r="C1782" s="91" t="s">
        <v>1351</v>
      </c>
    </row>
    <row r="1783" spans="1:3" ht="15">
      <c r="A1783" s="84" t="s">
        <v>405</v>
      </c>
      <c r="B1783" s="83" t="s">
        <v>2671</v>
      </c>
      <c r="C1783" s="91" t="s">
        <v>1351</v>
      </c>
    </row>
    <row r="1784" spans="1:3" ht="15">
      <c r="A1784" s="84" t="s">
        <v>405</v>
      </c>
      <c r="B1784" s="83" t="s">
        <v>3264</v>
      </c>
      <c r="C1784" s="91" t="s">
        <v>1351</v>
      </c>
    </row>
    <row r="1785" spans="1:3" ht="15">
      <c r="A1785" s="84" t="s">
        <v>405</v>
      </c>
      <c r="B1785" s="83" t="s">
        <v>2706</v>
      </c>
      <c r="C1785" s="91" t="s">
        <v>1351</v>
      </c>
    </row>
    <row r="1786" spans="1:3" ht="15">
      <c r="A1786" s="84" t="s">
        <v>405</v>
      </c>
      <c r="B1786" s="83" t="s">
        <v>2707</v>
      </c>
      <c r="C1786" s="91" t="s">
        <v>1351</v>
      </c>
    </row>
    <row r="1787" spans="1:3" ht="15">
      <c r="A1787" s="84" t="s">
        <v>405</v>
      </c>
      <c r="B1787" s="83" t="s">
        <v>2568</v>
      </c>
      <c r="C1787" s="91" t="s">
        <v>1351</v>
      </c>
    </row>
    <row r="1788" spans="1:3" ht="15">
      <c r="A1788" s="84" t="s">
        <v>405</v>
      </c>
      <c r="B1788" s="83" t="s">
        <v>2662</v>
      </c>
      <c r="C1788" s="91" t="s">
        <v>1351</v>
      </c>
    </row>
    <row r="1789" spans="1:3" ht="15">
      <c r="A1789" s="84" t="s">
        <v>405</v>
      </c>
      <c r="B1789" s="83" t="s">
        <v>2708</v>
      </c>
      <c r="C1789" s="91" t="s">
        <v>1351</v>
      </c>
    </row>
    <row r="1790" spans="1:3" ht="15">
      <c r="A1790" s="84" t="s">
        <v>405</v>
      </c>
      <c r="B1790" s="83" t="s">
        <v>2709</v>
      </c>
      <c r="C1790" s="91" t="s">
        <v>1351</v>
      </c>
    </row>
    <row r="1791" spans="1:3" ht="15">
      <c r="A1791" s="84" t="s">
        <v>405</v>
      </c>
      <c r="B1791" s="83" t="s">
        <v>3265</v>
      </c>
      <c r="C1791" s="91" t="s">
        <v>1351</v>
      </c>
    </row>
    <row r="1792" spans="1:3" ht="15">
      <c r="A1792" s="84" t="s">
        <v>405</v>
      </c>
      <c r="B1792" s="83" t="s">
        <v>2578</v>
      </c>
      <c r="C1792" s="91" t="s">
        <v>1351</v>
      </c>
    </row>
    <row r="1793" spans="1:3" ht="15">
      <c r="A1793" s="84" t="s">
        <v>405</v>
      </c>
      <c r="B1793" s="83" t="s">
        <v>2710</v>
      </c>
      <c r="C1793" s="91" t="s">
        <v>1351</v>
      </c>
    </row>
    <row r="1794" spans="1:3" ht="15">
      <c r="A1794" s="84" t="s">
        <v>405</v>
      </c>
      <c r="B1794" s="83" t="s">
        <v>3238</v>
      </c>
      <c r="C1794" s="91" t="s">
        <v>1351</v>
      </c>
    </row>
    <row r="1795" spans="1:3" ht="15">
      <c r="A1795" s="84" t="s">
        <v>405</v>
      </c>
      <c r="B1795" s="83" t="s">
        <v>586</v>
      </c>
      <c r="C1795" s="91" t="s">
        <v>1351</v>
      </c>
    </row>
    <row r="1796" spans="1:3" ht="15">
      <c r="A1796" s="84" t="s">
        <v>405</v>
      </c>
      <c r="B1796" s="83" t="s">
        <v>3258</v>
      </c>
      <c r="C1796" s="91" t="s">
        <v>1351</v>
      </c>
    </row>
    <row r="1797" spans="1:3" ht="15">
      <c r="A1797" s="84" t="s">
        <v>405</v>
      </c>
      <c r="B1797" s="83" t="s">
        <v>3109</v>
      </c>
      <c r="C1797" s="91" t="s">
        <v>1351</v>
      </c>
    </row>
    <row r="1798" spans="1:3" ht="15">
      <c r="A1798" s="84" t="s">
        <v>405</v>
      </c>
      <c r="B1798" s="83" t="s">
        <v>3267</v>
      </c>
      <c r="C1798" s="91" t="s">
        <v>1350</v>
      </c>
    </row>
    <row r="1799" spans="1:3" ht="15">
      <c r="A1799" s="84" t="s">
        <v>405</v>
      </c>
      <c r="B1799" s="83" t="s">
        <v>2581</v>
      </c>
      <c r="C1799" s="91" t="s">
        <v>1350</v>
      </c>
    </row>
    <row r="1800" spans="1:3" ht="15">
      <c r="A1800" s="84" t="s">
        <v>405</v>
      </c>
      <c r="B1800" s="83" t="s">
        <v>2586</v>
      </c>
      <c r="C1800" s="91" t="s">
        <v>1350</v>
      </c>
    </row>
    <row r="1801" spans="1:3" ht="15">
      <c r="A1801" s="84" t="s">
        <v>405</v>
      </c>
      <c r="B1801" s="83" t="s">
        <v>2595</v>
      </c>
      <c r="C1801" s="91" t="s">
        <v>1350</v>
      </c>
    </row>
    <row r="1802" spans="1:3" ht="15">
      <c r="A1802" s="84" t="s">
        <v>405</v>
      </c>
      <c r="B1802" s="83" t="s">
        <v>2568</v>
      </c>
      <c r="C1802" s="91" t="s">
        <v>1350</v>
      </c>
    </row>
    <row r="1803" spans="1:3" ht="15">
      <c r="A1803" s="84" t="s">
        <v>405</v>
      </c>
      <c r="B1803" s="83" t="s">
        <v>2592</v>
      </c>
      <c r="C1803" s="91" t="s">
        <v>1350</v>
      </c>
    </row>
    <row r="1804" spans="1:3" ht="15">
      <c r="A1804" s="84" t="s">
        <v>405</v>
      </c>
      <c r="B1804" s="83" t="s">
        <v>3213</v>
      </c>
      <c r="C1804" s="91" t="s">
        <v>1350</v>
      </c>
    </row>
    <row r="1805" spans="1:3" ht="15">
      <c r="A1805" s="84" t="s">
        <v>405</v>
      </c>
      <c r="B1805" s="83" t="s">
        <v>2576</v>
      </c>
      <c r="C1805" s="91" t="s">
        <v>1350</v>
      </c>
    </row>
    <row r="1806" spans="1:3" ht="15">
      <c r="A1806" s="84" t="s">
        <v>405</v>
      </c>
      <c r="B1806" s="83" t="s">
        <v>3229</v>
      </c>
      <c r="C1806" s="91" t="s">
        <v>1350</v>
      </c>
    </row>
    <row r="1807" spans="1:3" ht="15">
      <c r="A1807" s="84" t="s">
        <v>405</v>
      </c>
      <c r="B1807" s="83" t="s">
        <v>3230</v>
      </c>
      <c r="C1807" s="91" t="s">
        <v>1350</v>
      </c>
    </row>
    <row r="1808" spans="1:3" ht="15">
      <c r="A1808" s="84" t="s">
        <v>405</v>
      </c>
      <c r="B1808" s="83" t="s">
        <v>2598</v>
      </c>
      <c r="C1808" s="91" t="s">
        <v>1350</v>
      </c>
    </row>
    <row r="1809" spans="1:3" ht="15">
      <c r="A1809" s="84" t="s">
        <v>405</v>
      </c>
      <c r="B1809" s="83" t="s">
        <v>3231</v>
      </c>
      <c r="C1809" s="91" t="s">
        <v>1350</v>
      </c>
    </row>
    <row r="1810" spans="1:3" ht="15">
      <c r="A1810" s="84" t="s">
        <v>405</v>
      </c>
      <c r="B1810" s="83" t="s">
        <v>3232</v>
      </c>
      <c r="C1810" s="91" t="s">
        <v>1350</v>
      </c>
    </row>
    <row r="1811" spans="1:3" ht="15">
      <c r="A1811" s="84" t="s">
        <v>405</v>
      </c>
      <c r="B1811" s="83" t="s">
        <v>3233</v>
      </c>
      <c r="C1811" s="91" t="s">
        <v>1350</v>
      </c>
    </row>
    <row r="1812" spans="1:3" ht="15">
      <c r="A1812" s="84" t="s">
        <v>405</v>
      </c>
      <c r="B1812" s="83" t="s">
        <v>3211</v>
      </c>
      <c r="C1812" s="91" t="s">
        <v>1350</v>
      </c>
    </row>
    <row r="1813" spans="1:3" ht="15">
      <c r="A1813" s="84" t="s">
        <v>405</v>
      </c>
      <c r="B1813" s="83" t="s">
        <v>3199</v>
      </c>
      <c r="C1813" s="91" t="s">
        <v>1350</v>
      </c>
    </row>
    <row r="1814" spans="1:3" ht="15">
      <c r="A1814" s="84" t="s">
        <v>405</v>
      </c>
      <c r="B1814" s="83" t="s">
        <v>3218</v>
      </c>
      <c r="C1814" s="91" t="s">
        <v>1350</v>
      </c>
    </row>
    <row r="1815" spans="1:3" ht="15">
      <c r="A1815" s="84" t="s">
        <v>405</v>
      </c>
      <c r="B1815" s="83" t="s">
        <v>3234</v>
      </c>
      <c r="C1815" s="91" t="s">
        <v>1350</v>
      </c>
    </row>
    <row r="1816" spans="1:3" ht="15">
      <c r="A1816" s="84" t="s">
        <v>405</v>
      </c>
      <c r="B1816" s="83" t="s">
        <v>3235</v>
      </c>
      <c r="C1816" s="91" t="s">
        <v>1350</v>
      </c>
    </row>
    <row r="1817" spans="1:3" ht="15">
      <c r="A1817" s="84" t="s">
        <v>405</v>
      </c>
      <c r="B1817" s="83" t="s">
        <v>3236</v>
      </c>
      <c r="C1817" s="91" t="s">
        <v>1350</v>
      </c>
    </row>
    <row r="1818" spans="1:3" ht="15">
      <c r="A1818" s="84" t="s">
        <v>405</v>
      </c>
      <c r="B1818" s="83" t="s">
        <v>3237</v>
      </c>
      <c r="C1818" s="91" t="s">
        <v>1350</v>
      </c>
    </row>
    <row r="1819" spans="1:3" ht="15">
      <c r="A1819" s="84" t="s">
        <v>405</v>
      </c>
      <c r="B1819" s="83" t="s">
        <v>3238</v>
      </c>
      <c r="C1819" s="91" t="s">
        <v>1350</v>
      </c>
    </row>
    <row r="1820" spans="1:3" ht="15">
      <c r="A1820" s="84" t="s">
        <v>405</v>
      </c>
      <c r="B1820" s="83" t="s">
        <v>3239</v>
      </c>
      <c r="C1820" s="91" t="s">
        <v>1350</v>
      </c>
    </row>
    <row r="1821" spans="1:3" ht="15">
      <c r="A1821" s="84" t="s">
        <v>405</v>
      </c>
      <c r="B1821" s="83" t="s">
        <v>3240</v>
      </c>
      <c r="C1821" s="91" t="s">
        <v>1350</v>
      </c>
    </row>
    <row r="1822" spans="1:3" ht="15">
      <c r="A1822" s="84" t="s">
        <v>405</v>
      </c>
      <c r="B1822" s="83" t="s">
        <v>3241</v>
      </c>
      <c r="C1822" s="91" t="s">
        <v>1350</v>
      </c>
    </row>
    <row r="1823" spans="1:3" ht="15">
      <c r="A1823" s="84" t="s">
        <v>405</v>
      </c>
      <c r="B1823" s="83" t="s">
        <v>3242</v>
      </c>
      <c r="C1823" s="91" t="s">
        <v>1350</v>
      </c>
    </row>
    <row r="1824" spans="1:3" ht="15">
      <c r="A1824" s="84" t="s">
        <v>405</v>
      </c>
      <c r="B1824" s="83" t="s">
        <v>2767</v>
      </c>
      <c r="C1824" s="91" t="s">
        <v>1350</v>
      </c>
    </row>
    <row r="1825" spans="1:3" ht="15">
      <c r="A1825" s="84" t="s">
        <v>405</v>
      </c>
      <c r="B1825" s="83" t="s">
        <v>3243</v>
      </c>
      <c r="C1825" s="91" t="s">
        <v>1350</v>
      </c>
    </row>
    <row r="1826" spans="1:3" ht="15">
      <c r="A1826" s="84" t="s">
        <v>405</v>
      </c>
      <c r="B1826" s="83" t="s">
        <v>3244</v>
      </c>
      <c r="C1826" s="91" t="s">
        <v>1350</v>
      </c>
    </row>
    <row r="1827" spans="1:3" ht="15">
      <c r="A1827" s="84" t="s">
        <v>405</v>
      </c>
      <c r="B1827" s="83" t="s">
        <v>3223</v>
      </c>
      <c r="C1827" s="91" t="s">
        <v>1350</v>
      </c>
    </row>
    <row r="1828" spans="1:3" ht="15">
      <c r="A1828" s="84" t="s">
        <v>405</v>
      </c>
      <c r="B1828" s="83" t="s">
        <v>3267</v>
      </c>
      <c r="C1828" s="91" t="s">
        <v>1348</v>
      </c>
    </row>
    <row r="1829" spans="1:3" ht="15">
      <c r="A1829" s="84" t="s">
        <v>405</v>
      </c>
      <c r="B1829" s="83" t="s">
        <v>2581</v>
      </c>
      <c r="C1829" s="91" t="s">
        <v>1348</v>
      </c>
    </row>
    <row r="1830" spans="1:3" ht="15">
      <c r="A1830" s="84" t="s">
        <v>405</v>
      </c>
      <c r="B1830" s="83" t="s">
        <v>2586</v>
      </c>
      <c r="C1830" s="91" t="s">
        <v>1348</v>
      </c>
    </row>
    <row r="1831" spans="1:3" ht="15">
      <c r="A1831" s="84" t="s">
        <v>405</v>
      </c>
      <c r="B1831" s="83" t="s">
        <v>2595</v>
      </c>
      <c r="C1831" s="91" t="s">
        <v>1348</v>
      </c>
    </row>
    <row r="1832" spans="1:3" ht="15">
      <c r="A1832" s="84" t="s">
        <v>405</v>
      </c>
      <c r="B1832" s="83" t="s">
        <v>2568</v>
      </c>
      <c r="C1832" s="91" t="s">
        <v>1348</v>
      </c>
    </row>
    <row r="1833" spans="1:3" ht="15">
      <c r="A1833" s="84" t="s">
        <v>405</v>
      </c>
      <c r="B1833" s="83" t="s">
        <v>2592</v>
      </c>
      <c r="C1833" s="91" t="s">
        <v>1348</v>
      </c>
    </row>
    <row r="1834" spans="1:3" ht="15">
      <c r="A1834" s="84" t="s">
        <v>405</v>
      </c>
      <c r="B1834" s="83" t="s">
        <v>3213</v>
      </c>
      <c r="C1834" s="91" t="s">
        <v>1348</v>
      </c>
    </row>
    <row r="1835" spans="1:3" ht="15">
      <c r="A1835" s="84" t="s">
        <v>405</v>
      </c>
      <c r="B1835" s="83" t="s">
        <v>2576</v>
      </c>
      <c r="C1835" s="91" t="s">
        <v>1348</v>
      </c>
    </row>
    <row r="1836" spans="1:3" ht="15">
      <c r="A1836" s="84" t="s">
        <v>405</v>
      </c>
      <c r="B1836" s="83" t="s">
        <v>3229</v>
      </c>
      <c r="C1836" s="91" t="s">
        <v>1348</v>
      </c>
    </row>
    <row r="1837" spans="1:3" ht="15">
      <c r="A1837" s="84" t="s">
        <v>405</v>
      </c>
      <c r="B1837" s="83" t="s">
        <v>3230</v>
      </c>
      <c r="C1837" s="91" t="s">
        <v>1348</v>
      </c>
    </row>
    <row r="1838" spans="1:3" ht="15">
      <c r="A1838" s="84" t="s">
        <v>405</v>
      </c>
      <c r="B1838" s="83" t="s">
        <v>2598</v>
      </c>
      <c r="C1838" s="91" t="s">
        <v>1348</v>
      </c>
    </row>
    <row r="1839" spans="1:3" ht="15">
      <c r="A1839" s="84" t="s">
        <v>405</v>
      </c>
      <c r="B1839" s="83" t="s">
        <v>3231</v>
      </c>
      <c r="C1839" s="91" t="s">
        <v>1348</v>
      </c>
    </row>
    <row r="1840" spans="1:3" ht="15">
      <c r="A1840" s="84" t="s">
        <v>405</v>
      </c>
      <c r="B1840" s="83" t="s">
        <v>3232</v>
      </c>
      <c r="C1840" s="91" t="s">
        <v>1348</v>
      </c>
    </row>
    <row r="1841" spans="1:3" ht="15">
      <c r="A1841" s="84" t="s">
        <v>405</v>
      </c>
      <c r="B1841" s="83" t="s">
        <v>3233</v>
      </c>
      <c r="C1841" s="91" t="s">
        <v>1348</v>
      </c>
    </row>
    <row r="1842" spans="1:3" ht="15">
      <c r="A1842" s="84" t="s">
        <v>405</v>
      </c>
      <c r="B1842" s="83" t="s">
        <v>3211</v>
      </c>
      <c r="C1842" s="91" t="s">
        <v>1348</v>
      </c>
    </row>
    <row r="1843" spans="1:3" ht="15">
      <c r="A1843" s="84" t="s">
        <v>405</v>
      </c>
      <c r="B1843" s="83" t="s">
        <v>3199</v>
      </c>
      <c r="C1843" s="91" t="s">
        <v>1348</v>
      </c>
    </row>
    <row r="1844" spans="1:3" ht="15">
      <c r="A1844" s="84" t="s">
        <v>405</v>
      </c>
      <c r="B1844" s="83" t="s">
        <v>3218</v>
      </c>
      <c r="C1844" s="91" t="s">
        <v>1348</v>
      </c>
    </row>
    <row r="1845" spans="1:3" ht="15">
      <c r="A1845" s="84" t="s">
        <v>405</v>
      </c>
      <c r="B1845" s="83" t="s">
        <v>3234</v>
      </c>
      <c r="C1845" s="91" t="s">
        <v>1348</v>
      </c>
    </row>
    <row r="1846" spans="1:3" ht="15">
      <c r="A1846" s="84" t="s">
        <v>405</v>
      </c>
      <c r="B1846" s="83" t="s">
        <v>3235</v>
      </c>
      <c r="C1846" s="91" t="s">
        <v>1348</v>
      </c>
    </row>
    <row r="1847" spans="1:3" ht="15">
      <c r="A1847" s="84" t="s">
        <v>405</v>
      </c>
      <c r="B1847" s="83" t="s">
        <v>3236</v>
      </c>
      <c r="C1847" s="91" t="s">
        <v>1348</v>
      </c>
    </row>
    <row r="1848" spans="1:3" ht="15">
      <c r="A1848" s="84" t="s">
        <v>405</v>
      </c>
      <c r="B1848" s="83" t="s">
        <v>3237</v>
      </c>
      <c r="C1848" s="91" t="s">
        <v>1348</v>
      </c>
    </row>
    <row r="1849" spans="1:3" ht="15">
      <c r="A1849" s="84" t="s">
        <v>405</v>
      </c>
      <c r="B1849" s="83" t="s">
        <v>3238</v>
      </c>
      <c r="C1849" s="91" t="s">
        <v>1348</v>
      </c>
    </row>
    <row r="1850" spans="1:3" ht="15">
      <c r="A1850" s="84" t="s">
        <v>405</v>
      </c>
      <c r="B1850" s="83" t="s">
        <v>3239</v>
      </c>
      <c r="C1850" s="91" t="s">
        <v>1348</v>
      </c>
    </row>
    <row r="1851" spans="1:3" ht="15">
      <c r="A1851" s="84" t="s">
        <v>405</v>
      </c>
      <c r="B1851" s="83" t="s">
        <v>3240</v>
      </c>
      <c r="C1851" s="91" t="s">
        <v>1348</v>
      </c>
    </row>
    <row r="1852" spans="1:3" ht="15">
      <c r="A1852" s="84" t="s">
        <v>405</v>
      </c>
      <c r="B1852" s="83" t="s">
        <v>3241</v>
      </c>
      <c r="C1852" s="91" t="s">
        <v>1348</v>
      </c>
    </row>
    <row r="1853" spans="1:3" ht="15">
      <c r="A1853" s="84" t="s">
        <v>405</v>
      </c>
      <c r="B1853" s="83" t="s">
        <v>3242</v>
      </c>
      <c r="C1853" s="91" t="s">
        <v>1348</v>
      </c>
    </row>
    <row r="1854" spans="1:3" ht="15">
      <c r="A1854" s="84" t="s">
        <v>405</v>
      </c>
      <c r="B1854" s="83" t="s">
        <v>2767</v>
      </c>
      <c r="C1854" s="91" t="s">
        <v>1348</v>
      </c>
    </row>
    <row r="1855" spans="1:3" ht="15">
      <c r="A1855" s="84" t="s">
        <v>405</v>
      </c>
      <c r="B1855" s="83" t="s">
        <v>3243</v>
      </c>
      <c r="C1855" s="91" t="s">
        <v>1348</v>
      </c>
    </row>
    <row r="1856" spans="1:3" ht="15">
      <c r="A1856" s="84" t="s">
        <v>405</v>
      </c>
      <c r="B1856" s="83" t="s">
        <v>3244</v>
      </c>
      <c r="C1856" s="91" t="s">
        <v>1348</v>
      </c>
    </row>
    <row r="1857" spans="1:3" ht="15">
      <c r="A1857" s="84" t="s">
        <v>405</v>
      </c>
      <c r="B1857" s="83" t="s">
        <v>3223</v>
      </c>
      <c r="C1857" s="91" t="s">
        <v>1348</v>
      </c>
    </row>
    <row r="1858" spans="1:3" ht="15">
      <c r="A1858" s="84" t="s">
        <v>405</v>
      </c>
      <c r="B1858" s="83" t="s">
        <v>3226</v>
      </c>
      <c r="C1858" s="91" t="s">
        <v>1347</v>
      </c>
    </row>
    <row r="1859" spans="1:3" ht="15">
      <c r="A1859" s="84" t="s">
        <v>405</v>
      </c>
      <c r="B1859" s="83" t="s">
        <v>3227</v>
      </c>
      <c r="C1859" s="91" t="s">
        <v>1347</v>
      </c>
    </row>
    <row r="1860" spans="1:3" ht="15">
      <c r="A1860" s="84" t="s">
        <v>405</v>
      </c>
      <c r="B1860" s="83" t="s">
        <v>2607</v>
      </c>
      <c r="C1860" s="91" t="s">
        <v>1347</v>
      </c>
    </row>
    <row r="1861" spans="1:3" ht="15">
      <c r="A1861" s="84" t="s">
        <v>405</v>
      </c>
      <c r="B1861" s="83" t="s">
        <v>2698</v>
      </c>
      <c r="C1861" s="91" t="s">
        <v>1347</v>
      </c>
    </row>
    <row r="1862" spans="1:3" ht="15">
      <c r="A1862" s="84" t="s">
        <v>405</v>
      </c>
      <c r="B1862" s="83" t="s">
        <v>2699</v>
      </c>
      <c r="C1862" s="91" t="s">
        <v>1347</v>
      </c>
    </row>
    <row r="1863" spans="1:3" ht="15">
      <c r="A1863" s="84" t="s">
        <v>405</v>
      </c>
      <c r="B1863" s="83" t="s">
        <v>3228</v>
      </c>
      <c r="C1863" s="91" t="s">
        <v>1347</v>
      </c>
    </row>
    <row r="1864" spans="1:3" ht="15">
      <c r="A1864" s="84" t="s">
        <v>405</v>
      </c>
      <c r="B1864" s="83" t="s">
        <v>2581</v>
      </c>
      <c r="C1864" s="91" t="s">
        <v>1347</v>
      </c>
    </row>
    <row r="1865" spans="1:3" ht="15">
      <c r="A1865" s="84" t="s">
        <v>405</v>
      </c>
      <c r="B1865" s="83" t="s">
        <v>2586</v>
      </c>
      <c r="C1865" s="91" t="s">
        <v>1347</v>
      </c>
    </row>
    <row r="1866" spans="1:3" ht="15">
      <c r="A1866" s="84" t="s">
        <v>405</v>
      </c>
      <c r="B1866" s="83" t="s">
        <v>2595</v>
      </c>
      <c r="C1866" s="91" t="s">
        <v>1347</v>
      </c>
    </row>
    <row r="1867" spans="1:3" ht="15">
      <c r="A1867" s="84" t="s">
        <v>405</v>
      </c>
      <c r="B1867" s="83" t="s">
        <v>2568</v>
      </c>
      <c r="C1867" s="91" t="s">
        <v>1347</v>
      </c>
    </row>
    <row r="1868" spans="1:3" ht="15">
      <c r="A1868" s="84" t="s">
        <v>405</v>
      </c>
      <c r="B1868" s="83" t="s">
        <v>2592</v>
      </c>
      <c r="C1868" s="91" t="s">
        <v>1347</v>
      </c>
    </row>
    <row r="1869" spans="1:3" ht="15">
      <c r="A1869" s="84" t="s">
        <v>405</v>
      </c>
      <c r="B1869" s="83" t="s">
        <v>3213</v>
      </c>
      <c r="C1869" s="91" t="s">
        <v>1347</v>
      </c>
    </row>
    <row r="1870" spans="1:3" ht="15">
      <c r="A1870" s="84" t="s">
        <v>405</v>
      </c>
      <c r="B1870" s="83" t="s">
        <v>2576</v>
      </c>
      <c r="C1870" s="91" t="s">
        <v>1347</v>
      </c>
    </row>
    <row r="1871" spans="1:3" ht="15">
      <c r="A1871" s="84" t="s">
        <v>405</v>
      </c>
      <c r="B1871" s="83" t="s">
        <v>3229</v>
      </c>
      <c r="C1871" s="91" t="s">
        <v>1347</v>
      </c>
    </row>
    <row r="1872" spans="1:3" ht="15">
      <c r="A1872" s="84" t="s">
        <v>405</v>
      </c>
      <c r="B1872" s="83" t="s">
        <v>3230</v>
      </c>
      <c r="C1872" s="91" t="s">
        <v>1347</v>
      </c>
    </row>
    <row r="1873" spans="1:3" ht="15">
      <c r="A1873" s="84" t="s">
        <v>405</v>
      </c>
      <c r="B1873" s="83" t="s">
        <v>2598</v>
      </c>
      <c r="C1873" s="91" t="s">
        <v>1347</v>
      </c>
    </row>
    <row r="1874" spans="1:3" ht="15">
      <c r="A1874" s="84" t="s">
        <v>405</v>
      </c>
      <c r="B1874" s="83" t="s">
        <v>3231</v>
      </c>
      <c r="C1874" s="91" t="s">
        <v>1347</v>
      </c>
    </row>
    <row r="1875" spans="1:3" ht="15">
      <c r="A1875" s="84" t="s">
        <v>405</v>
      </c>
      <c r="B1875" s="83" t="s">
        <v>3232</v>
      </c>
      <c r="C1875" s="91" t="s">
        <v>1347</v>
      </c>
    </row>
    <row r="1876" spans="1:3" ht="15">
      <c r="A1876" s="84" t="s">
        <v>405</v>
      </c>
      <c r="B1876" s="83" t="s">
        <v>3233</v>
      </c>
      <c r="C1876" s="91" t="s">
        <v>1347</v>
      </c>
    </row>
    <row r="1877" spans="1:3" ht="15">
      <c r="A1877" s="84" t="s">
        <v>405</v>
      </c>
      <c r="B1877" s="83" t="s">
        <v>3211</v>
      </c>
      <c r="C1877" s="91" t="s">
        <v>1347</v>
      </c>
    </row>
    <row r="1878" spans="1:3" ht="15">
      <c r="A1878" s="84" t="s">
        <v>405</v>
      </c>
      <c r="B1878" s="83" t="s">
        <v>3199</v>
      </c>
      <c r="C1878" s="91" t="s">
        <v>1347</v>
      </c>
    </row>
    <row r="1879" spans="1:3" ht="15">
      <c r="A1879" s="84" t="s">
        <v>405</v>
      </c>
      <c r="B1879" s="83" t="s">
        <v>3218</v>
      </c>
      <c r="C1879" s="91" t="s">
        <v>1347</v>
      </c>
    </row>
    <row r="1880" spans="1:3" ht="15">
      <c r="A1880" s="84" t="s">
        <v>405</v>
      </c>
      <c r="B1880" s="83" t="s">
        <v>3234</v>
      </c>
      <c r="C1880" s="91" t="s">
        <v>1347</v>
      </c>
    </row>
    <row r="1881" spans="1:3" ht="15">
      <c r="A1881" s="84" t="s">
        <v>405</v>
      </c>
      <c r="B1881" s="83" t="s">
        <v>3235</v>
      </c>
      <c r="C1881" s="91" t="s">
        <v>1347</v>
      </c>
    </row>
    <row r="1882" spans="1:3" ht="15">
      <c r="A1882" s="84" t="s">
        <v>405</v>
      </c>
      <c r="B1882" s="83" t="s">
        <v>3236</v>
      </c>
      <c r="C1882" s="91" t="s">
        <v>1347</v>
      </c>
    </row>
    <row r="1883" spans="1:3" ht="15">
      <c r="A1883" s="84" t="s">
        <v>405</v>
      </c>
      <c r="B1883" s="83" t="s">
        <v>3237</v>
      </c>
      <c r="C1883" s="91" t="s">
        <v>1347</v>
      </c>
    </row>
    <row r="1884" spans="1:3" ht="15">
      <c r="A1884" s="84" t="s">
        <v>405</v>
      </c>
      <c r="B1884" s="83" t="s">
        <v>3238</v>
      </c>
      <c r="C1884" s="91" t="s">
        <v>1347</v>
      </c>
    </row>
    <row r="1885" spans="1:3" ht="15">
      <c r="A1885" s="84" t="s">
        <v>405</v>
      </c>
      <c r="B1885" s="83" t="s">
        <v>3239</v>
      </c>
      <c r="C1885" s="91" t="s">
        <v>1347</v>
      </c>
    </row>
    <row r="1886" spans="1:3" ht="15">
      <c r="A1886" s="84" t="s">
        <v>405</v>
      </c>
      <c r="B1886" s="83" t="s">
        <v>3240</v>
      </c>
      <c r="C1886" s="91" t="s">
        <v>1347</v>
      </c>
    </row>
    <row r="1887" spans="1:3" ht="15">
      <c r="A1887" s="84" t="s">
        <v>405</v>
      </c>
      <c r="B1887" s="83" t="s">
        <v>3241</v>
      </c>
      <c r="C1887" s="91" t="s">
        <v>1347</v>
      </c>
    </row>
    <row r="1888" spans="1:3" ht="15">
      <c r="A1888" s="84" t="s">
        <v>405</v>
      </c>
      <c r="B1888" s="83" t="s">
        <v>3242</v>
      </c>
      <c r="C1888" s="91" t="s">
        <v>1347</v>
      </c>
    </row>
    <row r="1889" spans="1:3" ht="15">
      <c r="A1889" s="84" t="s">
        <v>405</v>
      </c>
      <c r="B1889" s="83" t="s">
        <v>2767</v>
      </c>
      <c r="C1889" s="91" t="s">
        <v>1347</v>
      </c>
    </row>
    <row r="1890" spans="1:3" ht="15">
      <c r="A1890" s="84" t="s">
        <v>405</v>
      </c>
      <c r="B1890" s="83" t="s">
        <v>3243</v>
      </c>
      <c r="C1890" s="91" t="s">
        <v>1347</v>
      </c>
    </row>
    <row r="1891" spans="1:3" ht="15">
      <c r="A1891" s="84" t="s">
        <v>405</v>
      </c>
      <c r="B1891" s="83" t="s">
        <v>3244</v>
      </c>
      <c r="C1891" s="91" t="s">
        <v>1347</v>
      </c>
    </row>
    <row r="1892" spans="1:3" ht="15">
      <c r="A1892" s="84" t="s">
        <v>405</v>
      </c>
      <c r="B1892" s="83" t="s">
        <v>3308</v>
      </c>
      <c r="C1892" s="91" t="s">
        <v>1346</v>
      </c>
    </row>
    <row r="1893" spans="1:3" ht="15">
      <c r="A1893" s="84" t="s">
        <v>405</v>
      </c>
      <c r="B1893" s="83" t="s">
        <v>2568</v>
      </c>
      <c r="C1893" s="91" t="s">
        <v>1346</v>
      </c>
    </row>
    <row r="1894" spans="1:3" ht="15">
      <c r="A1894" s="84" t="s">
        <v>405</v>
      </c>
      <c r="B1894" s="83" t="s">
        <v>3203</v>
      </c>
      <c r="C1894" s="91" t="s">
        <v>1346</v>
      </c>
    </row>
    <row r="1895" spans="1:3" ht="15">
      <c r="A1895" s="84" t="s">
        <v>405</v>
      </c>
      <c r="B1895" s="83">
        <v>19</v>
      </c>
      <c r="C1895" s="91" t="s">
        <v>1346</v>
      </c>
    </row>
    <row r="1896" spans="1:3" ht="15">
      <c r="A1896" s="84" t="s">
        <v>405</v>
      </c>
      <c r="B1896" s="83" t="s">
        <v>3309</v>
      </c>
      <c r="C1896" s="91" t="s">
        <v>1346</v>
      </c>
    </row>
    <row r="1897" spans="1:3" ht="15">
      <c r="A1897" s="84" t="s">
        <v>405</v>
      </c>
      <c r="B1897" s="83" t="s">
        <v>2666</v>
      </c>
      <c r="C1897" s="91" t="s">
        <v>1346</v>
      </c>
    </row>
    <row r="1898" spans="1:3" ht="15">
      <c r="A1898" s="84" t="s">
        <v>405</v>
      </c>
      <c r="B1898" s="83" t="s">
        <v>2630</v>
      </c>
      <c r="C1898" s="91" t="s">
        <v>1346</v>
      </c>
    </row>
    <row r="1899" spans="1:3" ht="15">
      <c r="A1899" s="84" t="s">
        <v>405</v>
      </c>
      <c r="B1899" s="83" t="s">
        <v>2676</v>
      </c>
      <c r="C1899" s="91" t="s">
        <v>1346</v>
      </c>
    </row>
    <row r="1900" spans="1:3" ht="15">
      <c r="A1900" s="84" t="s">
        <v>405</v>
      </c>
      <c r="B1900" s="83" t="s">
        <v>2580</v>
      </c>
      <c r="C1900" s="91" t="s">
        <v>1346</v>
      </c>
    </row>
    <row r="1901" spans="1:3" ht="15">
      <c r="A1901" s="84" t="s">
        <v>405</v>
      </c>
      <c r="B1901" s="83" t="s">
        <v>2677</v>
      </c>
      <c r="C1901" s="91" t="s">
        <v>1346</v>
      </c>
    </row>
    <row r="1902" spans="1:3" ht="15">
      <c r="A1902" s="84" t="s">
        <v>405</v>
      </c>
      <c r="B1902" s="83" t="s">
        <v>3310</v>
      </c>
      <c r="C1902" s="91" t="s">
        <v>1346</v>
      </c>
    </row>
    <row r="1903" spans="1:3" ht="15">
      <c r="A1903" s="84" t="s">
        <v>405</v>
      </c>
      <c r="B1903" s="83" t="s">
        <v>3282</v>
      </c>
      <c r="C1903" s="91" t="s">
        <v>1346</v>
      </c>
    </row>
    <row r="1904" spans="1:3" ht="15">
      <c r="A1904" s="84" t="s">
        <v>405</v>
      </c>
      <c r="B1904" s="83" t="s">
        <v>3311</v>
      </c>
      <c r="C1904" s="91" t="s">
        <v>1346</v>
      </c>
    </row>
    <row r="1905" spans="1:3" ht="15">
      <c r="A1905" s="84" t="s">
        <v>405</v>
      </c>
      <c r="B1905" s="83" t="s">
        <v>2577</v>
      </c>
      <c r="C1905" s="91" t="s">
        <v>1346</v>
      </c>
    </row>
    <row r="1906" spans="1:3" ht="15">
      <c r="A1906" s="84" t="s">
        <v>405</v>
      </c>
      <c r="B1906" s="83" t="s">
        <v>2658</v>
      </c>
      <c r="C1906" s="91" t="s">
        <v>1346</v>
      </c>
    </row>
    <row r="1907" spans="1:3" ht="15">
      <c r="A1907" s="84" t="s">
        <v>405</v>
      </c>
      <c r="B1907" s="83" t="s">
        <v>2653</v>
      </c>
      <c r="C1907" s="91" t="s">
        <v>1346</v>
      </c>
    </row>
    <row r="1908" spans="1:3" ht="15">
      <c r="A1908" s="84" t="s">
        <v>405</v>
      </c>
      <c r="B1908" s="83" t="s">
        <v>2667</v>
      </c>
      <c r="C1908" s="91" t="s">
        <v>1346</v>
      </c>
    </row>
    <row r="1909" spans="1:3" ht="15">
      <c r="A1909" s="84" t="s">
        <v>405</v>
      </c>
      <c r="B1909" s="83" t="s">
        <v>2578</v>
      </c>
      <c r="C1909" s="91" t="s">
        <v>1346</v>
      </c>
    </row>
    <row r="1910" spans="1:3" ht="15">
      <c r="A1910" s="84" t="s">
        <v>405</v>
      </c>
      <c r="B1910" s="83" t="s">
        <v>2678</v>
      </c>
      <c r="C1910" s="91" t="s">
        <v>1346</v>
      </c>
    </row>
    <row r="1911" spans="1:3" ht="15">
      <c r="A1911" s="84" t="s">
        <v>405</v>
      </c>
      <c r="B1911" s="83" t="s">
        <v>3312</v>
      </c>
      <c r="C1911" s="91" t="s">
        <v>1346</v>
      </c>
    </row>
    <row r="1912" spans="1:3" ht="15">
      <c r="A1912" s="84" t="s">
        <v>405</v>
      </c>
      <c r="B1912" s="83" t="s">
        <v>3290</v>
      </c>
      <c r="C1912" s="91" t="s">
        <v>1346</v>
      </c>
    </row>
    <row r="1913" spans="1:3" ht="15">
      <c r="A1913" s="84" t="s">
        <v>405</v>
      </c>
      <c r="B1913" s="83" t="s">
        <v>3313</v>
      </c>
      <c r="C1913" s="91" t="s">
        <v>1346</v>
      </c>
    </row>
    <row r="1914" spans="1:3" ht="15">
      <c r="A1914" s="84" t="s">
        <v>405</v>
      </c>
      <c r="B1914" s="83" t="s">
        <v>3314</v>
      </c>
      <c r="C1914" s="91" t="s">
        <v>1346</v>
      </c>
    </row>
    <row r="1915" spans="1:3" ht="15">
      <c r="A1915" s="84" t="s">
        <v>405</v>
      </c>
      <c r="B1915" s="83" t="s">
        <v>3315</v>
      </c>
      <c r="C1915" s="91" t="s">
        <v>1346</v>
      </c>
    </row>
    <row r="1916" spans="1:3" ht="15">
      <c r="A1916" s="84" t="s">
        <v>405</v>
      </c>
      <c r="B1916" s="83" t="s">
        <v>586</v>
      </c>
      <c r="C1916" s="91" t="s">
        <v>1346</v>
      </c>
    </row>
    <row r="1917" spans="1:3" ht="15">
      <c r="A1917" s="84" t="s">
        <v>405</v>
      </c>
      <c r="B1917" s="83" t="s">
        <v>3258</v>
      </c>
      <c r="C1917" s="91" t="s">
        <v>1346</v>
      </c>
    </row>
    <row r="1918" spans="1:3" ht="15">
      <c r="A1918" s="84" t="s">
        <v>405</v>
      </c>
      <c r="B1918" s="83" t="s">
        <v>3316</v>
      </c>
      <c r="C1918" s="91" t="s">
        <v>1345</v>
      </c>
    </row>
    <row r="1919" spans="1:3" ht="15">
      <c r="A1919" s="84" t="s">
        <v>405</v>
      </c>
      <c r="B1919" s="83" t="s">
        <v>2610</v>
      </c>
      <c r="C1919" s="91" t="s">
        <v>1345</v>
      </c>
    </row>
    <row r="1920" spans="1:3" ht="15">
      <c r="A1920" s="84" t="s">
        <v>405</v>
      </c>
      <c r="B1920" s="83" t="s">
        <v>2936</v>
      </c>
      <c r="C1920" s="91" t="s">
        <v>1345</v>
      </c>
    </row>
    <row r="1921" spans="1:3" ht="15">
      <c r="A1921" s="84" t="s">
        <v>405</v>
      </c>
      <c r="B1921" s="83" t="s">
        <v>2937</v>
      </c>
      <c r="C1921" s="91" t="s">
        <v>1345</v>
      </c>
    </row>
    <row r="1922" spans="1:3" ht="15">
      <c r="A1922" s="84" t="s">
        <v>405</v>
      </c>
      <c r="B1922" s="83" t="s">
        <v>2576</v>
      </c>
      <c r="C1922" s="91" t="s">
        <v>1345</v>
      </c>
    </row>
    <row r="1923" spans="1:3" ht="15">
      <c r="A1923" s="84" t="s">
        <v>405</v>
      </c>
      <c r="B1923" s="83" t="s">
        <v>2938</v>
      </c>
      <c r="C1923" s="91" t="s">
        <v>1345</v>
      </c>
    </row>
    <row r="1924" spans="1:3" ht="15">
      <c r="A1924" s="84" t="s">
        <v>405</v>
      </c>
      <c r="B1924" s="83" t="s">
        <v>3203</v>
      </c>
      <c r="C1924" s="91" t="s">
        <v>1345</v>
      </c>
    </row>
    <row r="1925" spans="1:3" ht="15">
      <c r="A1925" s="84" t="s">
        <v>405</v>
      </c>
      <c r="B1925" s="83">
        <v>19</v>
      </c>
      <c r="C1925" s="91" t="s">
        <v>1345</v>
      </c>
    </row>
    <row r="1926" spans="1:3" ht="15">
      <c r="A1926" s="84" t="s">
        <v>405</v>
      </c>
      <c r="B1926" s="83" t="s">
        <v>2939</v>
      </c>
      <c r="C1926" s="91" t="s">
        <v>1345</v>
      </c>
    </row>
    <row r="1927" spans="1:3" ht="15">
      <c r="A1927" s="84" t="s">
        <v>405</v>
      </c>
      <c r="B1927" s="83" t="s">
        <v>2580</v>
      </c>
      <c r="C1927" s="91" t="s">
        <v>1345</v>
      </c>
    </row>
    <row r="1928" spans="1:3" ht="15">
      <c r="A1928" s="84" t="s">
        <v>405</v>
      </c>
      <c r="B1928" s="83" t="s">
        <v>2848</v>
      </c>
      <c r="C1928" s="91" t="s">
        <v>1345</v>
      </c>
    </row>
    <row r="1929" spans="1:3" ht="15">
      <c r="A1929" s="84" t="s">
        <v>405</v>
      </c>
      <c r="B1929" s="83" t="s">
        <v>15</v>
      </c>
      <c r="C1929" s="91" t="s">
        <v>1345</v>
      </c>
    </row>
    <row r="1930" spans="1:3" ht="15">
      <c r="A1930" s="84" t="s">
        <v>405</v>
      </c>
      <c r="B1930" s="83" t="s">
        <v>3317</v>
      </c>
      <c r="C1930" s="91" t="s">
        <v>1345</v>
      </c>
    </row>
    <row r="1931" spans="1:3" ht="15">
      <c r="A1931" s="84" t="s">
        <v>405</v>
      </c>
      <c r="B1931" s="83" t="s">
        <v>2940</v>
      </c>
      <c r="C1931" s="91" t="s">
        <v>1345</v>
      </c>
    </row>
    <row r="1932" spans="1:3" ht="15">
      <c r="A1932" s="84" t="s">
        <v>405</v>
      </c>
      <c r="B1932" s="83" t="s">
        <v>3198</v>
      </c>
      <c r="C1932" s="91" t="s">
        <v>1345</v>
      </c>
    </row>
    <row r="1933" spans="1:3" ht="15">
      <c r="A1933" s="84" t="s">
        <v>405</v>
      </c>
      <c r="B1933" s="83" t="s">
        <v>3211</v>
      </c>
      <c r="C1933" s="91" t="s">
        <v>1345</v>
      </c>
    </row>
    <row r="1934" spans="1:3" ht="15">
      <c r="A1934" s="84" t="s">
        <v>405</v>
      </c>
      <c r="B1934" s="83" t="s">
        <v>3212</v>
      </c>
      <c r="C1934" s="91" t="s">
        <v>1345</v>
      </c>
    </row>
    <row r="1935" spans="1:3" ht="15">
      <c r="A1935" s="84" t="s">
        <v>405</v>
      </c>
      <c r="B1935" s="83" t="s">
        <v>3199</v>
      </c>
      <c r="C1935" s="91" t="s">
        <v>1345</v>
      </c>
    </row>
    <row r="1936" spans="1:3" ht="15">
      <c r="A1936" s="84" t="s">
        <v>405</v>
      </c>
      <c r="B1936" s="83" t="s">
        <v>3218</v>
      </c>
      <c r="C1936" s="91" t="s">
        <v>1345</v>
      </c>
    </row>
    <row r="1937" spans="1:3" ht="15">
      <c r="A1937" s="84" t="s">
        <v>405</v>
      </c>
      <c r="B1937" s="83" t="s">
        <v>3219</v>
      </c>
      <c r="C1937" s="91" t="s">
        <v>1345</v>
      </c>
    </row>
    <row r="1938" spans="1:3" ht="15">
      <c r="A1938" s="84" t="s">
        <v>405</v>
      </c>
      <c r="B1938" s="83" t="s">
        <v>3234</v>
      </c>
      <c r="C1938" s="91" t="s">
        <v>1345</v>
      </c>
    </row>
    <row r="1939" spans="1:3" ht="15">
      <c r="A1939" s="84" t="s">
        <v>405</v>
      </c>
      <c r="B1939" s="83" t="s">
        <v>3235</v>
      </c>
      <c r="C1939" s="91" t="s">
        <v>1345</v>
      </c>
    </row>
    <row r="1940" spans="1:3" ht="15">
      <c r="A1940" s="84" t="s">
        <v>405</v>
      </c>
      <c r="B1940" s="83" t="s">
        <v>3236</v>
      </c>
      <c r="C1940" s="91" t="s">
        <v>1345</v>
      </c>
    </row>
    <row r="1941" spans="1:3" ht="15">
      <c r="A1941" s="84" t="s">
        <v>405</v>
      </c>
      <c r="B1941" s="83" t="s">
        <v>3318</v>
      </c>
      <c r="C1941" s="91" t="s">
        <v>1345</v>
      </c>
    </row>
    <row r="1942" spans="1:3" ht="15">
      <c r="A1942" s="84" t="s">
        <v>405</v>
      </c>
      <c r="B1942" s="83" t="s">
        <v>3221</v>
      </c>
      <c r="C1942" s="91" t="s">
        <v>1345</v>
      </c>
    </row>
    <row r="1943" spans="1:3" ht="15">
      <c r="A1943" s="84" t="s">
        <v>405</v>
      </c>
      <c r="B1943" s="83" t="s">
        <v>3215</v>
      </c>
      <c r="C1943" s="91" t="s">
        <v>1345</v>
      </c>
    </row>
    <row r="1944" spans="1:3" ht="15">
      <c r="A1944" s="84" t="s">
        <v>405</v>
      </c>
      <c r="B1944" s="83" t="s">
        <v>3237</v>
      </c>
      <c r="C1944" s="91" t="s">
        <v>1345</v>
      </c>
    </row>
    <row r="1945" spans="1:3" ht="15">
      <c r="A1945" s="84" t="s">
        <v>405</v>
      </c>
      <c r="B1945" s="83" t="s">
        <v>3214</v>
      </c>
      <c r="C1945" s="91" t="s">
        <v>1345</v>
      </c>
    </row>
    <row r="1946" spans="1:3" ht="15">
      <c r="A1946" s="84" t="s">
        <v>405</v>
      </c>
      <c r="B1946" s="83" t="s">
        <v>3319</v>
      </c>
      <c r="C1946" s="91" t="s">
        <v>1345</v>
      </c>
    </row>
    <row r="1947" spans="1:3" ht="15">
      <c r="A1947" s="84" t="s">
        <v>405</v>
      </c>
      <c r="B1947" s="83" t="s">
        <v>3213</v>
      </c>
      <c r="C1947" s="91" t="s">
        <v>1345</v>
      </c>
    </row>
    <row r="1948" spans="1:3" ht="15">
      <c r="A1948" s="84" t="s">
        <v>405</v>
      </c>
      <c r="B1948" s="83" t="s">
        <v>3356</v>
      </c>
      <c r="C1948" s="91" t="s">
        <v>1344</v>
      </c>
    </row>
    <row r="1949" spans="1:3" ht="15">
      <c r="A1949" s="84" t="s">
        <v>405</v>
      </c>
      <c r="B1949" s="83" t="s">
        <v>3357</v>
      </c>
      <c r="C1949" s="91" t="s">
        <v>1344</v>
      </c>
    </row>
    <row r="1950" spans="1:3" ht="15">
      <c r="A1950" s="84" t="s">
        <v>405</v>
      </c>
      <c r="B1950" s="83" t="s">
        <v>3358</v>
      </c>
      <c r="C1950" s="91" t="s">
        <v>1344</v>
      </c>
    </row>
    <row r="1951" spans="1:3" ht="15">
      <c r="A1951" s="84" t="s">
        <v>405</v>
      </c>
      <c r="B1951" s="83" t="s">
        <v>3359</v>
      </c>
      <c r="C1951" s="91" t="s">
        <v>1344</v>
      </c>
    </row>
    <row r="1952" spans="1:3" ht="15">
      <c r="A1952" s="84" t="s">
        <v>405</v>
      </c>
      <c r="B1952" s="83" t="s">
        <v>3360</v>
      </c>
      <c r="C1952" s="91" t="s">
        <v>1344</v>
      </c>
    </row>
    <row r="1953" spans="1:3" ht="15">
      <c r="A1953" s="84" t="s">
        <v>405</v>
      </c>
      <c r="B1953" s="83">
        <v>43</v>
      </c>
      <c r="C1953" s="91" t="s">
        <v>1344</v>
      </c>
    </row>
    <row r="1954" spans="1:3" ht="15">
      <c r="A1954" s="84" t="s">
        <v>405</v>
      </c>
      <c r="B1954" s="83" t="s">
        <v>3361</v>
      </c>
      <c r="C1954" s="91" t="s">
        <v>1344</v>
      </c>
    </row>
    <row r="1955" spans="1:3" ht="15">
      <c r="A1955" s="84" t="s">
        <v>405</v>
      </c>
      <c r="B1955" s="83" t="s">
        <v>3362</v>
      </c>
      <c r="C1955" s="91" t="s">
        <v>1344</v>
      </c>
    </row>
    <row r="1956" spans="1:3" ht="15">
      <c r="A1956" s="84" t="s">
        <v>405</v>
      </c>
      <c r="B1956" s="83" t="s">
        <v>3363</v>
      </c>
      <c r="C1956" s="91" t="s">
        <v>1344</v>
      </c>
    </row>
    <row r="1957" spans="1:3" ht="15">
      <c r="A1957" s="84" t="s">
        <v>405</v>
      </c>
      <c r="B1957" s="83" t="s">
        <v>2580</v>
      </c>
      <c r="C1957" s="91" t="s">
        <v>1344</v>
      </c>
    </row>
    <row r="1958" spans="1:3" ht="15">
      <c r="A1958" s="84" t="s">
        <v>405</v>
      </c>
      <c r="B1958" s="83" t="s">
        <v>3210</v>
      </c>
      <c r="C1958" s="91" t="s">
        <v>1344</v>
      </c>
    </row>
    <row r="1959" spans="1:3" ht="15">
      <c r="A1959" s="84" t="s">
        <v>405</v>
      </c>
      <c r="B1959" s="83">
        <v>19</v>
      </c>
      <c r="C1959" s="91" t="s">
        <v>1344</v>
      </c>
    </row>
    <row r="1960" spans="1:3" ht="15">
      <c r="A1960" s="84" t="s">
        <v>405</v>
      </c>
      <c r="B1960" s="83" t="s">
        <v>3364</v>
      </c>
      <c r="C1960" s="91" t="s">
        <v>1344</v>
      </c>
    </row>
    <row r="1961" spans="1:3" ht="15">
      <c r="A1961" s="84" t="s">
        <v>405</v>
      </c>
      <c r="B1961" s="83" t="s">
        <v>3211</v>
      </c>
      <c r="C1961" s="91" t="s">
        <v>1344</v>
      </c>
    </row>
    <row r="1962" spans="1:3" ht="15">
      <c r="A1962" s="84" t="s">
        <v>405</v>
      </c>
      <c r="B1962" s="83" t="s">
        <v>3212</v>
      </c>
      <c r="C1962" s="91" t="s">
        <v>1344</v>
      </c>
    </row>
    <row r="1963" spans="1:3" ht="15">
      <c r="A1963" s="84" t="s">
        <v>405</v>
      </c>
      <c r="B1963" s="83" t="s">
        <v>3198</v>
      </c>
      <c r="C1963" s="91" t="s">
        <v>1344</v>
      </c>
    </row>
    <row r="1964" spans="1:3" ht="15">
      <c r="A1964" s="84" t="s">
        <v>405</v>
      </c>
      <c r="B1964" s="83" t="s">
        <v>3213</v>
      </c>
      <c r="C1964" s="91" t="s">
        <v>1344</v>
      </c>
    </row>
    <row r="1965" spans="1:3" ht="15">
      <c r="A1965" s="84" t="s">
        <v>405</v>
      </c>
      <c r="B1965" s="83" t="s">
        <v>3214</v>
      </c>
      <c r="C1965" s="91" t="s">
        <v>1344</v>
      </c>
    </row>
    <row r="1966" spans="1:3" ht="15">
      <c r="A1966" s="84" t="s">
        <v>405</v>
      </c>
      <c r="B1966" s="83" t="s">
        <v>3215</v>
      </c>
      <c r="C1966" s="91" t="s">
        <v>1344</v>
      </c>
    </row>
    <row r="1967" spans="1:3" ht="15">
      <c r="A1967" s="84" t="s">
        <v>405</v>
      </c>
      <c r="B1967" s="83" t="s">
        <v>3216</v>
      </c>
      <c r="C1967" s="91" t="s">
        <v>1344</v>
      </c>
    </row>
    <row r="1968" spans="1:3" ht="15">
      <c r="A1968" s="84" t="s">
        <v>405</v>
      </c>
      <c r="B1968" s="83" t="s">
        <v>3199</v>
      </c>
      <c r="C1968" s="91" t="s">
        <v>1344</v>
      </c>
    </row>
    <row r="1969" spans="1:3" ht="15">
      <c r="A1969" s="84" t="s">
        <v>405</v>
      </c>
      <c r="B1969" s="83" t="s">
        <v>3218</v>
      </c>
      <c r="C1969" s="91" t="s">
        <v>1344</v>
      </c>
    </row>
    <row r="1970" spans="1:3" ht="15">
      <c r="A1970" s="84" t="s">
        <v>405</v>
      </c>
      <c r="B1970" s="83" t="s">
        <v>3235</v>
      </c>
      <c r="C1970" s="91" t="s">
        <v>1344</v>
      </c>
    </row>
    <row r="1971" spans="1:3" ht="15">
      <c r="A1971" s="84" t="s">
        <v>405</v>
      </c>
      <c r="B1971" s="83" t="s">
        <v>3236</v>
      </c>
      <c r="C1971" s="91" t="s">
        <v>1344</v>
      </c>
    </row>
    <row r="1972" spans="1:3" ht="15">
      <c r="A1972" s="84" t="s">
        <v>405</v>
      </c>
      <c r="B1972" s="83" t="s">
        <v>3318</v>
      </c>
      <c r="C1972" s="91" t="s">
        <v>1344</v>
      </c>
    </row>
    <row r="1973" spans="1:3" ht="15">
      <c r="A1973" s="84" t="s">
        <v>405</v>
      </c>
      <c r="B1973" s="83" t="s">
        <v>3220</v>
      </c>
      <c r="C1973" s="91" t="s">
        <v>1344</v>
      </c>
    </row>
    <row r="1974" spans="1:3" ht="15">
      <c r="A1974" s="84" t="s">
        <v>405</v>
      </c>
      <c r="B1974" s="83" t="s">
        <v>3221</v>
      </c>
      <c r="C1974" s="91" t="s">
        <v>1344</v>
      </c>
    </row>
    <row r="1975" spans="1:3" ht="15">
      <c r="A1975" s="84" t="s">
        <v>405</v>
      </c>
      <c r="B1975" s="83" t="s">
        <v>3237</v>
      </c>
      <c r="C1975" s="91" t="s">
        <v>1344</v>
      </c>
    </row>
    <row r="1976" spans="1:3" ht="15">
      <c r="A1976" s="84" t="s">
        <v>405</v>
      </c>
      <c r="B1976" s="83" t="s">
        <v>3310</v>
      </c>
      <c r="C1976" s="91" t="s">
        <v>1344</v>
      </c>
    </row>
    <row r="1977" spans="1:3" ht="15">
      <c r="A1977" s="84" t="s">
        <v>405</v>
      </c>
      <c r="B1977" s="83" t="s">
        <v>3335</v>
      </c>
      <c r="C1977" s="91" t="s">
        <v>1344</v>
      </c>
    </row>
    <row r="1978" spans="1:3" ht="15">
      <c r="A1978" s="84" t="s">
        <v>405</v>
      </c>
      <c r="B1978" s="83" t="s">
        <v>3284</v>
      </c>
      <c r="C1978" s="91" t="s">
        <v>1344</v>
      </c>
    </row>
    <row r="1979" spans="1:3" ht="15">
      <c r="A1979" s="84" t="s">
        <v>402</v>
      </c>
      <c r="B1979" s="83" t="s">
        <v>3268</v>
      </c>
      <c r="C1979" s="91" t="s">
        <v>1342</v>
      </c>
    </row>
    <row r="1980" spans="1:3" ht="15">
      <c r="A1980" s="84" t="s">
        <v>402</v>
      </c>
      <c r="B1980" s="83" t="s">
        <v>3269</v>
      </c>
      <c r="C1980" s="91" t="s">
        <v>1342</v>
      </c>
    </row>
    <row r="1981" spans="1:3" ht="15">
      <c r="A1981" s="84" t="s">
        <v>402</v>
      </c>
      <c r="B1981" s="83" t="s">
        <v>3203</v>
      </c>
      <c r="C1981" s="91" t="s">
        <v>1342</v>
      </c>
    </row>
    <row r="1982" spans="1:3" ht="15">
      <c r="A1982" s="84" t="s">
        <v>402</v>
      </c>
      <c r="B1982" s="83">
        <v>19</v>
      </c>
      <c r="C1982" s="91" t="s">
        <v>1342</v>
      </c>
    </row>
    <row r="1983" spans="1:3" ht="15">
      <c r="A1983" s="84" t="s">
        <v>402</v>
      </c>
      <c r="B1983" s="83" t="s">
        <v>3270</v>
      </c>
      <c r="C1983" s="91" t="s">
        <v>1342</v>
      </c>
    </row>
    <row r="1984" spans="1:3" ht="15">
      <c r="A1984" s="84" t="s">
        <v>402</v>
      </c>
      <c r="B1984" s="83" t="s">
        <v>3271</v>
      </c>
      <c r="C1984" s="91" t="s">
        <v>1342</v>
      </c>
    </row>
    <row r="1985" spans="1:3" ht="15">
      <c r="A1985" s="84" t="s">
        <v>402</v>
      </c>
      <c r="B1985" s="83" t="s">
        <v>3272</v>
      </c>
      <c r="C1985" s="91" t="s">
        <v>1342</v>
      </c>
    </row>
    <row r="1986" spans="1:3" ht="15">
      <c r="A1986" s="84" t="s">
        <v>402</v>
      </c>
      <c r="B1986" s="83" t="s">
        <v>195</v>
      </c>
      <c r="C1986" s="91" t="s">
        <v>1342</v>
      </c>
    </row>
    <row r="1987" spans="1:3" ht="15">
      <c r="A1987" s="84" t="s">
        <v>402</v>
      </c>
      <c r="B1987" s="83" t="s">
        <v>3273</v>
      </c>
      <c r="C1987" s="91" t="s">
        <v>1342</v>
      </c>
    </row>
    <row r="1988" spans="1:3" ht="15">
      <c r="A1988" s="84" t="s">
        <v>402</v>
      </c>
      <c r="B1988" s="83" t="s">
        <v>3199</v>
      </c>
      <c r="C1988" s="91" t="s">
        <v>1342</v>
      </c>
    </row>
    <row r="1989" spans="1:3" ht="15">
      <c r="A1989" s="84" t="s">
        <v>402</v>
      </c>
      <c r="B1989" s="83" t="s">
        <v>3258</v>
      </c>
      <c r="C1989" s="91" t="s">
        <v>1342</v>
      </c>
    </row>
    <row r="1990" spans="1:3" ht="15">
      <c r="A1990" s="84" t="s">
        <v>402</v>
      </c>
      <c r="B1990" s="83" t="s">
        <v>3238</v>
      </c>
      <c r="C1990" s="91" t="s">
        <v>1342</v>
      </c>
    </row>
    <row r="1991" spans="1:3" ht="15">
      <c r="A1991" s="84" t="s">
        <v>402</v>
      </c>
      <c r="B1991" s="83" t="s">
        <v>3274</v>
      </c>
      <c r="C1991" s="91" t="s">
        <v>1342</v>
      </c>
    </row>
    <row r="1992" spans="1:3" ht="15">
      <c r="A1992" s="84" t="s">
        <v>402</v>
      </c>
      <c r="B1992" s="83" t="s">
        <v>3275</v>
      </c>
      <c r="C1992" s="91" t="s">
        <v>1342</v>
      </c>
    </row>
    <row r="1993" spans="1:3" ht="15">
      <c r="A1993" s="84" t="s">
        <v>402</v>
      </c>
      <c r="B1993" s="83" t="s">
        <v>3276</v>
      </c>
      <c r="C1993" s="91" t="s">
        <v>1342</v>
      </c>
    </row>
    <row r="1994" spans="1:3" ht="15">
      <c r="A1994" s="84" t="s">
        <v>402</v>
      </c>
      <c r="B1994" s="83" t="s">
        <v>3277</v>
      </c>
      <c r="C1994" s="91" t="s">
        <v>1342</v>
      </c>
    </row>
    <row r="1995" spans="1:3" ht="15">
      <c r="A1995" s="84" t="s">
        <v>402</v>
      </c>
      <c r="B1995" s="83" t="s">
        <v>3198</v>
      </c>
      <c r="C1995" s="91" t="s">
        <v>1342</v>
      </c>
    </row>
    <row r="1996" spans="1:3" ht="15">
      <c r="A1996" s="84" t="s">
        <v>402</v>
      </c>
      <c r="B1996" s="83" t="s">
        <v>3278</v>
      </c>
      <c r="C1996" s="91" t="s">
        <v>1342</v>
      </c>
    </row>
    <row r="1997" spans="1:3" ht="15">
      <c r="A1997" s="84" t="s">
        <v>402</v>
      </c>
      <c r="B1997" s="83" t="s">
        <v>420</v>
      </c>
      <c r="C1997" s="91" t="s">
        <v>1342</v>
      </c>
    </row>
    <row r="1998" spans="1:3" ht="15">
      <c r="A1998" s="84" t="s">
        <v>402</v>
      </c>
      <c r="B1998" s="83" t="s">
        <v>2650</v>
      </c>
      <c r="C1998" s="91" t="s">
        <v>1341</v>
      </c>
    </row>
    <row r="1999" spans="1:3" ht="15">
      <c r="A1999" s="84" t="s">
        <v>402</v>
      </c>
      <c r="B1999" s="83">
        <v>15</v>
      </c>
      <c r="C1999" s="91" t="s">
        <v>1341</v>
      </c>
    </row>
    <row r="2000" spans="1:3" ht="15">
      <c r="A2000" s="84" t="s">
        <v>402</v>
      </c>
      <c r="B2000" s="83" t="s">
        <v>3264</v>
      </c>
      <c r="C2000" s="91" t="s">
        <v>1341</v>
      </c>
    </row>
    <row r="2001" spans="1:3" ht="15">
      <c r="A2001" s="84" t="s">
        <v>402</v>
      </c>
      <c r="B2001" s="83" t="s">
        <v>2853</v>
      </c>
      <c r="C2001" s="91" t="s">
        <v>1341</v>
      </c>
    </row>
    <row r="2002" spans="1:3" ht="15">
      <c r="A2002" s="84" t="s">
        <v>402</v>
      </c>
      <c r="B2002" s="83" t="s">
        <v>2590</v>
      </c>
      <c r="C2002" s="91" t="s">
        <v>1341</v>
      </c>
    </row>
    <row r="2003" spans="1:3" ht="15">
      <c r="A2003" s="84" t="s">
        <v>402</v>
      </c>
      <c r="B2003" s="83" t="s">
        <v>2742</v>
      </c>
      <c r="C2003" s="91" t="s">
        <v>1341</v>
      </c>
    </row>
    <row r="2004" spans="1:3" ht="15">
      <c r="A2004" s="84" t="s">
        <v>402</v>
      </c>
      <c r="B2004" s="83" t="s">
        <v>2854</v>
      </c>
      <c r="C2004" s="91" t="s">
        <v>1341</v>
      </c>
    </row>
    <row r="2005" spans="1:3" ht="15">
      <c r="A2005" s="84" t="s">
        <v>402</v>
      </c>
      <c r="B2005" s="83" t="s">
        <v>3348</v>
      </c>
      <c r="C2005" s="91" t="s">
        <v>1341</v>
      </c>
    </row>
    <row r="2006" spans="1:3" ht="15">
      <c r="A2006" s="84" t="s">
        <v>402</v>
      </c>
      <c r="B2006" s="83" t="s">
        <v>2735</v>
      </c>
      <c r="C2006" s="91" t="s">
        <v>1341</v>
      </c>
    </row>
    <row r="2007" spans="1:3" ht="15">
      <c r="A2007" s="84" t="s">
        <v>402</v>
      </c>
      <c r="B2007" s="83" t="s">
        <v>2634</v>
      </c>
      <c r="C2007" s="91" t="s">
        <v>1341</v>
      </c>
    </row>
    <row r="2008" spans="1:3" ht="15">
      <c r="A2008" s="84" t="s">
        <v>402</v>
      </c>
      <c r="B2008" s="83" t="s">
        <v>2855</v>
      </c>
      <c r="C2008" s="91" t="s">
        <v>1341</v>
      </c>
    </row>
    <row r="2009" spans="1:3" ht="15">
      <c r="A2009" s="84" t="s">
        <v>402</v>
      </c>
      <c r="B2009" s="83" t="s">
        <v>2578</v>
      </c>
      <c r="C2009" s="91" t="s">
        <v>1341</v>
      </c>
    </row>
    <row r="2010" spans="1:3" ht="15">
      <c r="A2010" s="84" t="s">
        <v>402</v>
      </c>
      <c r="B2010" s="83" t="s">
        <v>2657</v>
      </c>
      <c r="C2010" s="91" t="s">
        <v>1341</v>
      </c>
    </row>
    <row r="2011" spans="1:3" ht="15">
      <c r="A2011" s="84" t="s">
        <v>402</v>
      </c>
      <c r="B2011" s="83" t="s">
        <v>2736</v>
      </c>
      <c r="C2011" s="91" t="s">
        <v>1341</v>
      </c>
    </row>
    <row r="2012" spans="1:3" ht="15">
      <c r="A2012" s="84" t="s">
        <v>402</v>
      </c>
      <c r="B2012" s="83" t="s">
        <v>2569</v>
      </c>
      <c r="C2012" s="91" t="s">
        <v>1341</v>
      </c>
    </row>
    <row r="2013" spans="1:3" ht="15">
      <c r="A2013" s="84" t="s">
        <v>402</v>
      </c>
      <c r="B2013" s="83">
        <v>19</v>
      </c>
      <c r="C2013" s="91" t="s">
        <v>1341</v>
      </c>
    </row>
    <row r="2014" spans="1:3" ht="15">
      <c r="A2014" s="84" t="s">
        <v>402</v>
      </c>
      <c r="B2014" s="83" t="s">
        <v>3349</v>
      </c>
      <c r="C2014" s="91" t="s">
        <v>1341</v>
      </c>
    </row>
    <row r="2015" spans="1:3" ht="15">
      <c r="A2015" s="84" t="s">
        <v>402</v>
      </c>
      <c r="B2015" s="83" t="s">
        <v>2856</v>
      </c>
      <c r="C2015" s="91" t="s">
        <v>1341</v>
      </c>
    </row>
    <row r="2016" spans="1:3" ht="15">
      <c r="A2016" s="84" t="s">
        <v>402</v>
      </c>
      <c r="B2016" s="83" t="s">
        <v>2857</v>
      </c>
      <c r="C2016" s="91" t="s">
        <v>1341</v>
      </c>
    </row>
    <row r="2017" spans="1:3" ht="15">
      <c r="A2017" s="84" t="s">
        <v>402</v>
      </c>
      <c r="B2017" s="83" t="s">
        <v>2730</v>
      </c>
      <c r="C2017" s="91" t="s">
        <v>1341</v>
      </c>
    </row>
    <row r="2018" spans="1:3" ht="15">
      <c r="A2018" s="84" t="s">
        <v>402</v>
      </c>
      <c r="B2018" s="83" t="s">
        <v>2858</v>
      </c>
      <c r="C2018" s="91" t="s">
        <v>1341</v>
      </c>
    </row>
    <row r="2019" spans="1:3" ht="15">
      <c r="A2019" s="84" t="s">
        <v>402</v>
      </c>
      <c r="B2019" s="83" t="s">
        <v>2665</v>
      </c>
      <c r="C2019" s="91" t="s">
        <v>1341</v>
      </c>
    </row>
    <row r="2020" spans="1:3" ht="15">
      <c r="A2020" s="84" t="s">
        <v>402</v>
      </c>
      <c r="B2020" s="83" t="s">
        <v>2568</v>
      </c>
      <c r="C2020" s="91" t="s">
        <v>1341</v>
      </c>
    </row>
    <row r="2021" spans="1:3" ht="15">
      <c r="A2021" s="84" t="s">
        <v>402</v>
      </c>
      <c r="B2021" s="83" t="s">
        <v>2772</v>
      </c>
      <c r="C2021" s="91" t="s">
        <v>1341</v>
      </c>
    </row>
    <row r="2022" spans="1:3" ht="15">
      <c r="A2022" s="84" t="s">
        <v>402</v>
      </c>
      <c r="B2022" s="83" t="s">
        <v>2797</v>
      </c>
      <c r="C2022" s="91" t="s">
        <v>1341</v>
      </c>
    </row>
    <row r="2023" spans="1:3" ht="15">
      <c r="A2023" s="84" t="s">
        <v>402</v>
      </c>
      <c r="B2023" s="83" t="s">
        <v>3350</v>
      </c>
      <c r="C2023" s="91" t="s">
        <v>1341</v>
      </c>
    </row>
    <row r="2024" spans="1:3" ht="15">
      <c r="A2024" s="84" t="s">
        <v>402</v>
      </c>
      <c r="B2024" s="83" t="s">
        <v>586</v>
      </c>
      <c r="C2024" s="91" t="s">
        <v>1341</v>
      </c>
    </row>
    <row r="2025" spans="1:3" ht="15">
      <c r="A2025" s="84" t="s">
        <v>402</v>
      </c>
      <c r="B2025" s="83" t="s">
        <v>3198</v>
      </c>
      <c r="C2025" s="91" t="s">
        <v>1341</v>
      </c>
    </row>
    <row r="2026" spans="1:3" ht="15">
      <c r="A2026" s="84" t="s">
        <v>402</v>
      </c>
      <c r="B2026" s="83" t="s">
        <v>2591</v>
      </c>
      <c r="C2026" s="91" t="s">
        <v>1341</v>
      </c>
    </row>
    <row r="2027" spans="1:3" ht="15">
      <c r="A2027" s="84" t="s">
        <v>402</v>
      </c>
      <c r="B2027" s="83" t="s">
        <v>3351</v>
      </c>
      <c r="C2027" s="91" t="s">
        <v>1341</v>
      </c>
    </row>
    <row r="2028" spans="1:3" ht="15">
      <c r="A2028" s="84" t="s">
        <v>402</v>
      </c>
      <c r="B2028" s="83" t="s">
        <v>3352</v>
      </c>
      <c r="C2028" s="91" t="s">
        <v>1340</v>
      </c>
    </row>
    <row r="2029" spans="1:3" ht="15">
      <c r="A2029" s="84" t="s">
        <v>402</v>
      </c>
      <c r="B2029" s="83" t="s">
        <v>2664</v>
      </c>
      <c r="C2029" s="91" t="s">
        <v>1340</v>
      </c>
    </row>
    <row r="2030" spans="1:3" ht="15">
      <c r="A2030" s="84" t="s">
        <v>402</v>
      </c>
      <c r="B2030" s="83" t="s">
        <v>2766</v>
      </c>
      <c r="C2030" s="91" t="s">
        <v>1340</v>
      </c>
    </row>
    <row r="2031" spans="1:3" ht="15">
      <c r="A2031" s="84" t="s">
        <v>402</v>
      </c>
      <c r="B2031" s="83" t="s">
        <v>2581</v>
      </c>
      <c r="C2031" s="91" t="s">
        <v>1340</v>
      </c>
    </row>
    <row r="2032" spans="1:3" ht="15">
      <c r="A2032" s="84" t="s">
        <v>402</v>
      </c>
      <c r="B2032" s="83" t="s">
        <v>2589</v>
      </c>
      <c r="C2032" s="91" t="s">
        <v>1340</v>
      </c>
    </row>
    <row r="2033" spans="1:3" ht="15">
      <c r="A2033" s="84" t="s">
        <v>402</v>
      </c>
      <c r="B2033" s="83" t="s">
        <v>2897</v>
      </c>
      <c r="C2033" s="91" t="s">
        <v>1340</v>
      </c>
    </row>
    <row r="2034" spans="1:3" ht="15">
      <c r="A2034" s="84" t="s">
        <v>402</v>
      </c>
      <c r="B2034" s="83" t="s">
        <v>2655</v>
      </c>
      <c r="C2034" s="91" t="s">
        <v>1340</v>
      </c>
    </row>
    <row r="2035" spans="1:3" ht="15">
      <c r="A2035" s="84" t="s">
        <v>402</v>
      </c>
      <c r="B2035" s="83" t="s">
        <v>2580</v>
      </c>
      <c r="C2035" s="91" t="s">
        <v>1340</v>
      </c>
    </row>
    <row r="2036" spans="1:3" ht="15">
      <c r="A2036" s="84" t="s">
        <v>402</v>
      </c>
      <c r="B2036" s="83" t="s">
        <v>2898</v>
      </c>
      <c r="C2036" s="91" t="s">
        <v>1340</v>
      </c>
    </row>
    <row r="2037" spans="1:3" ht="15">
      <c r="A2037" s="84" t="s">
        <v>402</v>
      </c>
      <c r="B2037" s="83" t="s">
        <v>2899</v>
      </c>
      <c r="C2037" s="91" t="s">
        <v>1340</v>
      </c>
    </row>
    <row r="2038" spans="1:3" ht="15">
      <c r="A2038" s="84" t="s">
        <v>402</v>
      </c>
      <c r="B2038" s="83" t="s">
        <v>2900</v>
      </c>
      <c r="C2038" s="91" t="s">
        <v>1340</v>
      </c>
    </row>
    <row r="2039" spans="1:3" ht="15">
      <c r="A2039" s="84" t="s">
        <v>402</v>
      </c>
      <c r="B2039" s="83" t="s">
        <v>2901</v>
      </c>
      <c r="C2039" s="91" t="s">
        <v>1340</v>
      </c>
    </row>
    <row r="2040" spans="1:3" ht="15">
      <c r="A2040" s="84" t="s">
        <v>402</v>
      </c>
      <c r="B2040" s="83" t="s">
        <v>3242</v>
      </c>
      <c r="C2040" s="91" t="s">
        <v>1340</v>
      </c>
    </row>
    <row r="2041" spans="1:3" ht="15">
      <c r="A2041" s="84" t="s">
        <v>402</v>
      </c>
      <c r="B2041" s="83" t="s">
        <v>3353</v>
      </c>
      <c r="C2041" s="91" t="s">
        <v>1340</v>
      </c>
    </row>
    <row r="2042" spans="1:3" ht="15">
      <c r="A2042" s="84" t="s">
        <v>402</v>
      </c>
      <c r="B2042" s="83" t="s">
        <v>3238</v>
      </c>
      <c r="C2042" s="91" t="s">
        <v>1340</v>
      </c>
    </row>
    <row r="2043" spans="1:3" ht="15">
      <c r="A2043" s="84" t="s">
        <v>402</v>
      </c>
      <c r="B2043" s="83" t="s">
        <v>3258</v>
      </c>
      <c r="C2043" s="91" t="s">
        <v>1340</v>
      </c>
    </row>
    <row r="2044" spans="1:3" ht="15">
      <c r="A2044" s="84" t="s">
        <v>402</v>
      </c>
      <c r="B2044" s="83" t="s">
        <v>3199</v>
      </c>
      <c r="C2044" s="91" t="s">
        <v>1340</v>
      </c>
    </row>
    <row r="2045" spans="1:3" ht="15">
      <c r="A2045" s="84" t="s">
        <v>402</v>
      </c>
      <c r="B2045" s="83" t="s">
        <v>3214</v>
      </c>
      <c r="C2045" s="91" t="s">
        <v>1340</v>
      </c>
    </row>
    <row r="2046" spans="1:3" ht="15">
      <c r="A2046" s="84" t="s">
        <v>402</v>
      </c>
      <c r="B2046" s="83" t="s">
        <v>3354</v>
      </c>
      <c r="C2046" s="91" t="s">
        <v>1340</v>
      </c>
    </row>
    <row r="2047" spans="1:3" ht="15">
      <c r="A2047" s="84" t="s">
        <v>402</v>
      </c>
      <c r="B2047" s="83" t="s">
        <v>3355</v>
      </c>
      <c r="C2047" s="91" t="s">
        <v>1340</v>
      </c>
    </row>
    <row r="2048" spans="1:3" ht="15">
      <c r="A2048" s="84" t="s">
        <v>402</v>
      </c>
      <c r="B2048" s="83" t="s">
        <v>3323</v>
      </c>
      <c r="C2048" s="91" t="s">
        <v>1339</v>
      </c>
    </row>
    <row r="2049" spans="1:3" ht="15">
      <c r="A2049" s="84" t="s">
        <v>402</v>
      </c>
      <c r="B2049" s="83" t="s">
        <v>2694</v>
      </c>
      <c r="C2049" s="91" t="s">
        <v>1339</v>
      </c>
    </row>
    <row r="2050" spans="1:3" ht="15">
      <c r="A2050" s="84" t="s">
        <v>402</v>
      </c>
      <c r="B2050" s="83" t="s">
        <v>2568</v>
      </c>
      <c r="C2050" s="91" t="s">
        <v>1339</v>
      </c>
    </row>
    <row r="2051" spans="1:3" ht="15">
      <c r="A2051" s="84" t="s">
        <v>402</v>
      </c>
      <c r="B2051" s="83" t="s">
        <v>2592</v>
      </c>
      <c r="C2051" s="91" t="s">
        <v>1339</v>
      </c>
    </row>
    <row r="2052" spans="1:3" ht="15">
      <c r="A2052" s="84" t="s">
        <v>402</v>
      </c>
      <c r="B2052" s="83" t="s">
        <v>3211</v>
      </c>
      <c r="C2052" s="91" t="s">
        <v>1339</v>
      </c>
    </row>
    <row r="2053" spans="1:3" ht="15">
      <c r="A2053" s="84" t="s">
        <v>402</v>
      </c>
      <c r="B2053" s="83" t="s">
        <v>2629</v>
      </c>
      <c r="C2053" s="91" t="s">
        <v>1339</v>
      </c>
    </row>
    <row r="2054" spans="1:3" ht="15">
      <c r="A2054" s="84" t="s">
        <v>402</v>
      </c>
      <c r="B2054" s="83" t="s">
        <v>2781</v>
      </c>
      <c r="C2054" s="91" t="s">
        <v>1339</v>
      </c>
    </row>
    <row r="2055" spans="1:3" ht="15">
      <c r="A2055" s="84" t="s">
        <v>402</v>
      </c>
      <c r="B2055" s="83" t="s">
        <v>2782</v>
      </c>
      <c r="C2055" s="91" t="s">
        <v>1339</v>
      </c>
    </row>
    <row r="2056" spans="1:3" ht="15">
      <c r="A2056" s="84" t="s">
        <v>402</v>
      </c>
      <c r="B2056" s="83" t="s">
        <v>2771</v>
      </c>
      <c r="C2056" s="91" t="s">
        <v>1339</v>
      </c>
    </row>
    <row r="2057" spans="1:3" ht="15">
      <c r="A2057" s="84" t="s">
        <v>402</v>
      </c>
      <c r="B2057" s="83" t="s">
        <v>2734</v>
      </c>
      <c r="C2057" s="91" t="s">
        <v>1339</v>
      </c>
    </row>
    <row r="2058" spans="1:3" ht="15">
      <c r="A2058" s="84" t="s">
        <v>402</v>
      </c>
      <c r="B2058" s="83" t="s">
        <v>3324</v>
      </c>
      <c r="C2058" s="91" t="s">
        <v>1339</v>
      </c>
    </row>
    <row r="2059" spans="1:3" ht="15">
      <c r="A2059" s="84" t="s">
        <v>402</v>
      </c>
      <c r="B2059" s="83" t="s">
        <v>2576</v>
      </c>
      <c r="C2059" s="91" t="s">
        <v>1339</v>
      </c>
    </row>
    <row r="2060" spans="1:3" ht="15">
      <c r="A2060" s="84" t="s">
        <v>402</v>
      </c>
      <c r="B2060" s="83" t="s">
        <v>2578</v>
      </c>
      <c r="C2060" s="91" t="s">
        <v>1339</v>
      </c>
    </row>
    <row r="2061" spans="1:3" ht="15">
      <c r="A2061" s="84" t="s">
        <v>402</v>
      </c>
      <c r="B2061" s="83" t="s">
        <v>3325</v>
      </c>
      <c r="C2061" s="91" t="s">
        <v>1339</v>
      </c>
    </row>
    <row r="2062" spans="1:3" ht="15">
      <c r="A2062" s="84" t="s">
        <v>402</v>
      </c>
      <c r="B2062" s="83" t="s">
        <v>3227</v>
      </c>
      <c r="C2062" s="91" t="s">
        <v>1339</v>
      </c>
    </row>
    <row r="2063" spans="1:3" ht="15">
      <c r="A2063" s="84" t="s">
        <v>402</v>
      </c>
      <c r="B2063" s="83" t="s">
        <v>3203</v>
      </c>
      <c r="C2063" s="91" t="s">
        <v>1339</v>
      </c>
    </row>
    <row r="2064" spans="1:3" ht="15">
      <c r="A2064" s="84" t="s">
        <v>402</v>
      </c>
      <c r="B2064" s="83">
        <v>19</v>
      </c>
      <c r="C2064" s="91" t="s">
        <v>1339</v>
      </c>
    </row>
    <row r="2065" spans="1:3" ht="15">
      <c r="A2065" s="84" t="s">
        <v>402</v>
      </c>
      <c r="B2065" s="83" t="s">
        <v>3326</v>
      </c>
      <c r="C2065" s="91" t="s">
        <v>1339</v>
      </c>
    </row>
    <row r="2066" spans="1:3" ht="15">
      <c r="A2066" s="84" t="s">
        <v>402</v>
      </c>
      <c r="B2066" s="83" t="s">
        <v>3327</v>
      </c>
      <c r="C2066" s="91" t="s">
        <v>1339</v>
      </c>
    </row>
    <row r="2067" spans="1:3" ht="15">
      <c r="A2067" s="84" t="s">
        <v>402</v>
      </c>
      <c r="B2067" s="83" t="s">
        <v>2590</v>
      </c>
      <c r="C2067" s="91" t="s">
        <v>1339</v>
      </c>
    </row>
    <row r="2068" spans="1:3" ht="15">
      <c r="A2068" s="84" t="s">
        <v>402</v>
      </c>
      <c r="B2068" s="83" t="s">
        <v>3328</v>
      </c>
      <c r="C2068" s="91" t="s">
        <v>1339</v>
      </c>
    </row>
    <row r="2069" spans="1:3" ht="15">
      <c r="A2069" s="84" t="s">
        <v>402</v>
      </c>
      <c r="B2069" s="83" t="s">
        <v>3225</v>
      </c>
      <c r="C2069" s="91" t="s">
        <v>1339</v>
      </c>
    </row>
    <row r="2070" spans="1:3" ht="15">
      <c r="A2070" s="84" t="s">
        <v>402</v>
      </c>
      <c r="B2070" s="83">
        <v>13</v>
      </c>
      <c r="C2070" s="91" t="s">
        <v>1339</v>
      </c>
    </row>
    <row r="2071" spans="1:3" ht="15">
      <c r="A2071" s="84" t="s">
        <v>402</v>
      </c>
      <c r="B2071" s="83" t="s">
        <v>3329</v>
      </c>
      <c r="C2071" s="91" t="s">
        <v>1339</v>
      </c>
    </row>
    <row r="2072" spans="1:3" ht="15">
      <c r="A2072" s="84" t="s">
        <v>402</v>
      </c>
      <c r="B2072" s="83">
        <v>11</v>
      </c>
      <c r="C2072" s="91" t="s">
        <v>1339</v>
      </c>
    </row>
    <row r="2073" spans="1:3" ht="15">
      <c r="A2073" s="84" t="s">
        <v>402</v>
      </c>
      <c r="B2073" s="83">
        <v>30</v>
      </c>
      <c r="C2073" s="91" t="s">
        <v>1339</v>
      </c>
    </row>
    <row r="2074" spans="1:3" ht="15">
      <c r="A2074" s="84" t="s">
        <v>402</v>
      </c>
      <c r="B2074" s="83" t="s">
        <v>3330</v>
      </c>
      <c r="C2074" s="91" t="s">
        <v>1339</v>
      </c>
    </row>
    <row r="2075" spans="1:3" ht="15">
      <c r="A2075" s="84" t="s">
        <v>402</v>
      </c>
      <c r="B2075" s="83" t="s">
        <v>3331</v>
      </c>
      <c r="C2075" s="91" t="s">
        <v>1339</v>
      </c>
    </row>
    <row r="2076" spans="1:3" ht="15">
      <c r="A2076" s="84" t="s">
        <v>402</v>
      </c>
      <c r="B2076" s="83">
        <v>1</v>
      </c>
      <c r="C2076" s="91" t="s">
        <v>1339</v>
      </c>
    </row>
    <row r="2077" spans="1:3" ht="15">
      <c r="A2077" s="84" t="s">
        <v>402</v>
      </c>
      <c r="B2077" s="83" t="s">
        <v>3332</v>
      </c>
      <c r="C2077" s="91" t="s">
        <v>1339</v>
      </c>
    </row>
    <row r="2078" spans="1:3" ht="15">
      <c r="A2078" s="84" t="s">
        <v>402</v>
      </c>
      <c r="B2078" s="83">
        <v>2</v>
      </c>
      <c r="C2078" s="91" t="s">
        <v>1339</v>
      </c>
    </row>
    <row r="2079" spans="1:3" ht="15">
      <c r="A2079" s="84" t="s">
        <v>402</v>
      </c>
      <c r="B2079" s="83" t="s">
        <v>3333</v>
      </c>
      <c r="C2079" s="91" t="s">
        <v>1339</v>
      </c>
    </row>
    <row r="2080" spans="1:3" ht="15">
      <c r="A2080" s="84" t="s">
        <v>402</v>
      </c>
      <c r="B2080" s="83" t="s">
        <v>2664</v>
      </c>
      <c r="C2080" s="91" t="s">
        <v>1339</v>
      </c>
    </row>
    <row r="2081" spans="1:3" ht="15">
      <c r="A2081" s="84" t="s">
        <v>402</v>
      </c>
      <c r="B2081" s="83" t="s">
        <v>2794</v>
      </c>
      <c r="C2081" s="91" t="s">
        <v>1339</v>
      </c>
    </row>
    <row r="2082" spans="1:3" ht="15">
      <c r="A2082" s="84" t="s">
        <v>402</v>
      </c>
      <c r="B2082" s="83" t="s">
        <v>3334</v>
      </c>
      <c r="C2082" s="91" t="s">
        <v>1339</v>
      </c>
    </row>
    <row r="2083" spans="1:3" ht="15">
      <c r="A2083" s="84" t="s">
        <v>402</v>
      </c>
      <c r="B2083" s="83" t="s">
        <v>3335</v>
      </c>
      <c r="C2083" s="91" t="s">
        <v>1339</v>
      </c>
    </row>
    <row r="2084" spans="1:3" ht="15">
      <c r="A2084" s="84" t="s">
        <v>402</v>
      </c>
      <c r="B2084" s="83" t="s">
        <v>3238</v>
      </c>
      <c r="C2084" s="91" t="s">
        <v>1339</v>
      </c>
    </row>
    <row r="2085" spans="1:3" ht="15">
      <c r="A2085" s="84" t="s">
        <v>402</v>
      </c>
      <c r="B2085" s="83" t="s">
        <v>3199</v>
      </c>
      <c r="C2085" s="91" t="s">
        <v>1339</v>
      </c>
    </row>
    <row r="2086" spans="1:3" ht="15">
      <c r="A2086" s="84" t="s">
        <v>402</v>
      </c>
      <c r="B2086" s="83" t="s">
        <v>3245</v>
      </c>
      <c r="C2086" s="91" t="s">
        <v>1338</v>
      </c>
    </row>
    <row r="2087" spans="1:3" ht="15">
      <c r="A2087" s="84" t="s">
        <v>402</v>
      </c>
      <c r="B2087" s="83" t="s">
        <v>2767</v>
      </c>
      <c r="C2087" s="91" t="s">
        <v>1338</v>
      </c>
    </row>
    <row r="2088" spans="1:3" ht="15">
      <c r="A2088" s="84" t="s">
        <v>402</v>
      </c>
      <c r="B2088" s="83" t="s">
        <v>2817</v>
      </c>
      <c r="C2088" s="91" t="s">
        <v>1338</v>
      </c>
    </row>
    <row r="2089" spans="1:3" ht="15">
      <c r="A2089" s="84" t="s">
        <v>402</v>
      </c>
      <c r="B2089" s="83" t="s">
        <v>2773</v>
      </c>
      <c r="C2089" s="91" t="s">
        <v>1338</v>
      </c>
    </row>
    <row r="2090" spans="1:3" ht="15">
      <c r="A2090" s="84" t="s">
        <v>402</v>
      </c>
      <c r="B2090" s="83" t="s">
        <v>2568</v>
      </c>
      <c r="C2090" s="91" t="s">
        <v>1338</v>
      </c>
    </row>
    <row r="2091" spans="1:3" ht="15">
      <c r="A2091" s="84" t="s">
        <v>402</v>
      </c>
      <c r="B2091" s="83" t="s">
        <v>2818</v>
      </c>
      <c r="C2091" s="91" t="s">
        <v>1338</v>
      </c>
    </row>
    <row r="2092" spans="1:3" ht="15">
      <c r="A2092" s="84" t="s">
        <v>402</v>
      </c>
      <c r="B2092" s="83" t="s">
        <v>2819</v>
      </c>
      <c r="C2092" s="91" t="s">
        <v>1338</v>
      </c>
    </row>
    <row r="2093" spans="1:3" ht="15">
      <c r="A2093" s="84" t="s">
        <v>402</v>
      </c>
      <c r="B2093" s="83" t="s">
        <v>2607</v>
      </c>
      <c r="C2093" s="91" t="s">
        <v>1338</v>
      </c>
    </row>
    <row r="2094" spans="1:3" ht="15">
      <c r="A2094" s="84" t="s">
        <v>402</v>
      </c>
      <c r="B2094" s="83" t="s">
        <v>2820</v>
      </c>
      <c r="C2094" s="91" t="s">
        <v>1338</v>
      </c>
    </row>
    <row r="2095" spans="1:3" ht="15">
      <c r="A2095" s="84" t="s">
        <v>402</v>
      </c>
      <c r="B2095" s="83" t="s">
        <v>2743</v>
      </c>
      <c r="C2095" s="91" t="s">
        <v>1338</v>
      </c>
    </row>
    <row r="2096" spans="1:3" ht="15">
      <c r="A2096" s="84" t="s">
        <v>402</v>
      </c>
      <c r="B2096" s="83" t="s">
        <v>2821</v>
      </c>
      <c r="C2096" s="91" t="s">
        <v>1338</v>
      </c>
    </row>
    <row r="2097" spans="1:3" ht="15">
      <c r="A2097" s="84" t="s">
        <v>402</v>
      </c>
      <c r="B2097" s="83" t="s">
        <v>2577</v>
      </c>
      <c r="C2097" s="91" t="s">
        <v>1338</v>
      </c>
    </row>
    <row r="2098" spans="1:3" ht="15">
      <c r="A2098" s="84" t="s">
        <v>402</v>
      </c>
      <c r="B2098" s="83" t="s">
        <v>2822</v>
      </c>
      <c r="C2098" s="91" t="s">
        <v>1338</v>
      </c>
    </row>
    <row r="2099" spans="1:3" ht="15">
      <c r="A2099" s="84" t="s">
        <v>402</v>
      </c>
      <c r="B2099" s="83" t="s">
        <v>2823</v>
      </c>
      <c r="C2099" s="91" t="s">
        <v>1338</v>
      </c>
    </row>
    <row r="2100" spans="1:3" ht="15">
      <c r="A2100" s="84" t="s">
        <v>402</v>
      </c>
      <c r="B2100" s="83" t="s">
        <v>2824</v>
      </c>
      <c r="C2100" s="91" t="s">
        <v>1338</v>
      </c>
    </row>
    <row r="2101" spans="1:3" ht="15">
      <c r="A2101" s="84" t="s">
        <v>402</v>
      </c>
      <c r="B2101" s="83" t="s">
        <v>2694</v>
      </c>
      <c r="C2101" s="91" t="s">
        <v>1338</v>
      </c>
    </row>
    <row r="2102" spans="1:3" ht="15">
      <c r="A2102" s="84" t="s">
        <v>402</v>
      </c>
      <c r="B2102" s="83" t="s">
        <v>2636</v>
      </c>
      <c r="C2102" s="91" t="s">
        <v>1338</v>
      </c>
    </row>
    <row r="2103" spans="1:3" ht="15">
      <c r="A2103" s="84" t="s">
        <v>402</v>
      </c>
      <c r="B2103" s="83" t="s">
        <v>2825</v>
      </c>
      <c r="C2103" s="91" t="s">
        <v>1338</v>
      </c>
    </row>
    <row r="2104" spans="1:3" ht="15">
      <c r="A2104" s="84" t="s">
        <v>402</v>
      </c>
      <c r="B2104" s="83" t="s">
        <v>2665</v>
      </c>
      <c r="C2104" s="91" t="s">
        <v>1338</v>
      </c>
    </row>
    <row r="2105" spans="1:3" ht="15">
      <c r="A2105" s="84" t="s">
        <v>402</v>
      </c>
      <c r="B2105" s="83" t="s">
        <v>2826</v>
      </c>
      <c r="C2105" s="91" t="s">
        <v>1338</v>
      </c>
    </row>
    <row r="2106" spans="1:3" ht="15">
      <c r="A2106" s="84" t="s">
        <v>402</v>
      </c>
      <c r="B2106" s="83" t="s">
        <v>2827</v>
      </c>
      <c r="C2106" s="91" t="s">
        <v>1338</v>
      </c>
    </row>
    <row r="2107" spans="1:3" ht="15">
      <c r="A2107" s="84" t="s">
        <v>402</v>
      </c>
      <c r="B2107" s="83" t="s">
        <v>2895</v>
      </c>
      <c r="C2107" s="91" t="s">
        <v>1338</v>
      </c>
    </row>
    <row r="2108" spans="1:3" ht="15">
      <c r="A2108" s="84" t="s">
        <v>402</v>
      </c>
      <c r="B2108" s="83" t="s">
        <v>2569</v>
      </c>
      <c r="C2108" s="91" t="s">
        <v>1338</v>
      </c>
    </row>
    <row r="2109" spans="1:3" ht="15">
      <c r="A2109" s="84" t="s">
        <v>402</v>
      </c>
      <c r="B2109" s="83" t="s">
        <v>3365</v>
      </c>
      <c r="C2109" s="91" t="s">
        <v>1338</v>
      </c>
    </row>
    <row r="2110" spans="1:3" ht="15">
      <c r="A2110" s="84" t="s">
        <v>402</v>
      </c>
      <c r="B2110" s="83" t="s">
        <v>3366</v>
      </c>
      <c r="C2110" s="91" t="s">
        <v>1338</v>
      </c>
    </row>
    <row r="2111" spans="1:3" ht="15">
      <c r="A2111" s="84" t="s">
        <v>402</v>
      </c>
      <c r="B2111" s="83" t="s">
        <v>3367</v>
      </c>
      <c r="C2111" s="91" t="s">
        <v>1338</v>
      </c>
    </row>
    <row r="2112" spans="1:3" ht="15">
      <c r="A2112" s="84" t="s">
        <v>402</v>
      </c>
      <c r="B2112" s="83" t="s">
        <v>3199</v>
      </c>
      <c r="C2112" s="91" t="s">
        <v>1338</v>
      </c>
    </row>
    <row r="2113" spans="1:3" ht="15">
      <c r="A2113" s="84" t="s">
        <v>402</v>
      </c>
      <c r="B2113" s="83" t="s">
        <v>3238</v>
      </c>
      <c r="C2113" s="91" t="s">
        <v>1338</v>
      </c>
    </row>
    <row r="2114" spans="1:3" ht="15">
      <c r="A2114" s="84" t="s">
        <v>402</v>
      </c>
      <c r="B2114" s="83" t="s">
        <v>3214</v>
      </c>
      <c r="C2114" s="91" t="s">
        <v>1338</v>
      </c>
    </row>
    <row r="2115" spans="1:3" ht="15">
      <c r="A2115" s="84" t="s">
        <v>402</v>
      </c>
      <c r="B2115" s="83" t="s">
        <v>3368</v>
      </c>
      <c r="C2115" s="91" t="s">
        <v>1338</v>
      </c>
    </row>
    <row r="2116" spans="1:3" ht="15">
      <c r="A2116" s="84" t="s">
        <v>402</v>
      </c>
      <c r="B2116" s="83" t="s">
        <v>3213</v>
      </c>
      <c r="C2116" s="91" t="s">
        <v>1338</v>
      </c>
    </row>
    <row r="2117" spans="1:3" ht="15">
      <c r="A2117" s="84" t="s">
        <v>402</v>
      </c>
      <c r="B2117" s="83" t="s">
        <v>3258</v>
      </c>
      <c r="C2117" s="91" t="s">
        <v>1338</v>
      </c>
    </row>
    <row r="2118" spans="1:3" ht="15">
      <c r="A2118" s="84" t="s">
        <v>402</v>
      </c>
      <c r="B2118" s="83" t="s">
        <v>3369</v>
      </c>
      <c r="C2118" s="91" t="s">
        <v>1338</v>
      </c>
    </row>
    <row r="2119" spans="1:3" ht="15">
      <c r="A2119" s="84" t="s">
        <v>402</v>
      </c>
      <c r="B2119" s="83" t="s">
        <v>3210</v>
      </c>
      <c r="C2119" s="91" t="s">
        <v>1336</v>
      </c>
    </row>
    <row r="2120" spans="1:3" ht="15">
      <c r="A2120" s="84" t="s">
        <v>402</v>
      </c>
      <c r="B2120" s="83">
        <v>19</v>
      </c>
      <c r="C2120" s="91" t="s">
        <v>1336</v>
      </c>
    </row>
    <row r="2121" spans="1:3" ht="15">
      <c r="A2121" s="84" t="s">
        <v>402</v>
      </c>
      <c r="B2121" s="83" t="s">
        <v>3076</v>
      </c>
      <c r="C2121" s="91" t="s">
        <v>1336</v>
      </c>
    </row>
    <row r="2122" spans="1:3" ht="15">
      <c r="A2122" s="84" t="s">
        <v>402</v>
      </c>
      <c r="B2122" s="83" t="s">
        <v>2718</v>
      </c>
      <c r="C2122" s="91" t="s">
        <v>1336</v>
      </c>
    </row>
    <row r="2123" spans="1:3" ht="15">
      <c r="A2123" s="84" t="s">
        <v>402</v>
      </c>
      <c r="B2123" s="83" t="s">
        <v>3370</v>
      </c>
      <c r="C2123" s="91" t="s">
        <v>1336</v>
      </c>
    </row>
    <row r="2124" spans="1:3" ht="15">
      <c r="A2124" s="84" t="s">
        <v>402</v>
      </c>
      <c r="B2124" s="83" t="s">
        <v>3283</v>
      </c>
      <c r="C2124" s="91" t="s">
        <v>1336</v>
      </c>
    </row>
    <row r="2125" spans="1:3" ht="15">
      <c r="A2125" s="84" t="s">
        <v>402</v>
      </c>
      <c r="B2125" s="83" t="s">
        <v>3238</v>
      </c>
      <c r="C2125" s="91" t="s">
        <v>1336</v>
      </c>
    </row>
    <row r="2126" spans="1:3" ht="15">
      <c r="A2126" s="84" t="s">
        <v>402</v>
      </c>
      <c r="B2126" s="83" t="s">
        <v>3275</v>
      </c>
      <c r="C2126" s="91" t="s">
        <v>1336</v>
      </c>
    </row>
    <row r="2127" spans="1:3" ht="15">
      <c r="A2127" s="84" t="s">
        <v>402</v>
      </c>
      <c r="B2127" s="83" t="s">
        <v>3199</v>
      </c>
      <c r="C2127" s="91" t="s">
        <v>1336</v>
      </c>
    </row>
    <row r="2128" spans="1:3" ht="15">
      <c r="A2128" s="84" t="s">
        <v>402</v>
      </c>
      <c r="B2128" s="83" t="s">
        <v>3371</v>
      </c>
      <c r="C2128" s="91" t="s">
        <v>1336</v>
      </c>
    </row>
    <row r="2129" spans="1:3" ht="15">
      <c r="A2129" s="84" t="s">
        <v>402</v>
      </c>
      <c r="B2129" s="83" t="s">
        <v>3372</v>
      </c>
      <c r="C2129" s="91" t="s">
        <v>1336</v>
      </c>
    </row>
    <row r="2130" spans="1:3" ht="15">
      <c r="A2130" s="84" t="s">
        <v>401</v>
      </c>
      <c r="B2130" s="83" t="s">
        <v>3210</v>
      </c>
      <c r="C2130" s="91" t="s">
        <v>1335</v>
      </c>
    </row>
    <row r="2131" spans="1:3" ht="15">
      <c r="A2131" s="84" t="s">
        <v>401</v>
      </c>
      <c r="B2131" s="83">
        <v>19</v>
      </c>
      <c r="C2131" s="91" t="s">
        <v>1335</v>
      </c>
    </row>
    <row r="2132" spans="1:3" ht="15">
      <c r="A2132" s="84" t="s">
        <v>401</v>
      </c>
      <c r="B2132" s="83" t="s">
        <v>3076</v>
      </c>
      <c r="C2132" s="91" t="s">
        <v>1335</v>
      </c>
    </row>
    <row r="2133" spans="1:3" ht="15">
      <c r="A2133" s="84" t="s">
        <v>401</v>
      </c>
      <c r="B2133" s="83" t="s">
        <v>2718</v>
      </c>
      <c r="C2133" s="91" t="s">
        <v>1335</v>
      </c>
    </row>
    <row r="2134" spans="1:3" ht="15">
      <c r="A2134" s="84" t="s">
        <v>401</v>
      </c>
      <c r="B2134" s="83" t="s">
        <v>3370</v>
      </c>
      <c r="C2134" s="91" t="s">
        <v>1335</v>
      </c>
    </row>
    <row r="2135" spans="1:3" ht="15">
      <c r="A2135" s="84" t="s">
        <v>401</v>
      </c>
      <c r="B2135" s="83" t="s">
        <v>3283</v>
      </c>
      <c r="C2135" s="91" t="s">
        <v>1335</v>
      </c>
    </row>
    <row r="2136" spans="1:3" ht="15">
      <c r="A2136" s="84" t="s">
        <v>401</v>
      </c>
      <c r="B2136" s="83" t="s">
        <v>3238</v>
      </c>
      <c r="C2136" s="91" t="s">
        <v>1335</v>
      </c>
    </row>
    <row r="2137" spans="1:3" ht="15">
      <c r="A2137" s="84" t="s">
        <v>401</v>
      </c>
      <c r="B2137" s="83" t="s">
        <v>3275</v>
      </c>
      <c r="C2137" s="91" t="s">
        <v>1335</v>
      </c>
    </row>
    <row r="2138" spans="1:3" ht="15">
      <c r="A2138" s="84" t="s">
        <v>401</v>
      </c>
      <c r="B2138" s="83" t="s">
        <v>3199</v>
      </c>
      <c r="C2138" s="91" t="s">
        <v>1335</v>
      </c>
    </row>
    <row r="2139" spans="1:3" ht="15">
      <c r="A2139" s="84" t="s">
        <v>401</v>
      </c>
      <c r="B2139" s="83" t="s">
        <v>3371</v>
      </c>
      <c r="C2139" s="91" t="s">
        <v>1335</v>
      </c>
    </row>
    <row r="2140" spans="1:3" ht="15">
      <c r="A2140" s="84" t="s">
        <v>401</v>
      </c>
      <c r="B2140" s="83" t="s">
        <v>3372</v>
      </c>
      <c r="C2140" s="91" t="s">
        <v>1335</v>
      </c>
    </row>
    <row r="2141" spans="1:3" ht="15">
      <c r="A2141" s="84" t="s">
        <v>400</v>
      </c>
      <c r="B2141" s="83" t="s">
        <v>3268</v>
      </c>
      <c r="C2141" s="91" t="s">
        <v>1334</v>
      </c>
    </row>
    <row r="2142" spans="1:3" ht="15">
      <c r="A2142" s="84" t="s">
        <v>400</v>
      </c>
      <c r="B2142" s="83" t="s">
        <v>3269</v>
      </c>
      <c r="C2142" s="91" t="s">
        <v>1334</v>
      </c>
    </row>
    <row r="2143" spans="1:3" ht="15">
      <c r="A2143" s="84" t="s">
        <v>400</v>
      </c>
      <c r="B2143" s="83" t="s">
        <v>3203</v>
      </c>
      <c r="C2143" s="91" t="s">
        <v>1334</v>
      </c>
    </row>
    <row r="2144" spans="1:3" ht="15">
      <c r="A2144" s="84" t="s">
        <v>400</v>
      </c>
      <c r="B2144" s="83">
        <v>19</v>
      </c>
      <c r="C2144" s="91" t="s">
        <v>1334</v>
      </c>
    </row>
    <row r="2145" spans="1:3" ht="15">
      <c r="A2145" s="84" t="s">
        <v>400</v>
      </c>
      <c r="B2145" s="83" t="s">
        <v>3270</v>
      </c>
      <c r="C2145" s="91" t="s">
        <v>1334</v>
      </c>
    </row>
    <row r="2146" spans="1:3" ht="15">
      <c r="A2146" s="84" t="s">
        <v>400</v>
      </c>
      <c r="B2146" s="83" t="s">
        <v>3271</v>
      </c>
      <c r="C2146" s="91" t="s">
        <v>1334</v>
      </c>
    </row>
    <row r="2147" spans="1:3" ht="15">
      <c r="A2147" s="84" t="s">
        <v>400</v>
      </c>
      <c r="B2147" s="83" t="s">
        <v>3272</v>
      </c>
      <c r="C2147" s="91" t="s">
        <v>1334</v>
      </c>
    </row>
    <row r="2148" spans="1:3" ht="15">
      <c r="A2148" s="84" t="s">
        <v>400</v>
      </c>
      <c r="B2148" s="83" t="s">
        <v>195</v>
      </c>
      <c r="C2148" s="91" t="s">
        <v>1334</v>
      </c>
    </row>
    <row r="2149" spans="1:3" ht="15">
      <c r="A2149" s="84" t="s">
        <v>400</v>
      </c>
      <c r="B2149" s="83" t="s">
        <v>3273</v>
      </c>
      <c r="C2149" s="91" t="s">
        <v>1334</v>
      </c>
    </row>
    <row r="2150" spans="1:3" ht="15">
      <c r="A2150" s="84" t="s">
        <v>400</v>
      </c>
      <c r="B2150" s="83" t="s">
        <v>3199</v>
      </c>
      <c r="C2150" s="91" t="s">
        <v>1334</v>
      </c>
    </row>
    <row r="2151" spans="1:3" ht="15">
      <c r="A2151" s="84" t="s">
        <v>400</v>
      </c>
      <c r="B2151" s="83" t="s">
        <v>3258</v>
      </c>
      <c r="C2151" s="91" t="s">
        <v>1334</v>
      </c>
    </row>
    <row r="2152" spans="1:3" ht="15">
      <c r="A2152" s="84" t="s">
        <v>400</v>
      </c>
      <c r="B2152" s="83" t="s">
        <v>3238</v>
      </c>
      <c r="C2152" s="91" t="s">
        <v>1334</v>
      </c>
    </row>
    <row r="2153" spans="1:3" ht="15">
      <c r="A2153" s="84" t="s">
        <v>400</v>
      </c>
      <c r="B2153" s="83" t="s">
        <v>3274</v>
      </c>
      <c r="C2153" s="91" t="s">
        <v>1334</v>
      </c>
    </row>
    <row r="2154" spans="1:3" ht="15">
      <c r="A2154" s="84" t="s">
        <v>400</v>
      </c>
      <c r="B2154" s="83" t="s">
        <v>3275</v>
      </c>
      <c r="C2154" s="91" t="s">
        <v>1334</v>
      </c>
    </row>
    <row r="2155" spans="1:3" ht="15">
      <c r="A2155" s="84" t="s">
        <v>400</v>
      </c>
      <c r="B2155" s="83" t="s">
        <v>3276</v>
      </c>
      <c r="C2155" s="91" t="s">
        <v>1334</v>
      </c>
    </row>
    <row r="2156" spans="1:3" ht="15">
      <c r="A2156" s="84" t="s">
        <v>400</v>
      </c>
      <c r="B2156" s="83" t="s">
        <v>3277</v>
      </c>
      <c r="C2156" s="91" t="s">
        <v>1334</v>
      </c>
    </row>
    <row r="2157" spans="1:3" ht="15">
      <c r="A2157" s="84" t="s">
        <v>400</v>
      </c>
      <c r="B2157" s="83" t="s">
        <v>3198</v>
      </c>
      <c r="C2157" s="91" t="s">
        <v>1334</v>
      </c>
    </row>
    <row r="2158" spans="1:3" ht="15">
      <c r="A2158" s="84" t="s">
        <v>400</v>
      </c>
      <c r="B2158" s="83" t="s">
        <v>3278</v>
      </c>
      <c r="C2158" s="91" t="s">
        <v>1334</v>
      </c>
    </row>
    <row r="2159" spans="1:3" ht="15">
      <c r="A2159" s="84" t="s">
        <v>400</v>
      </c>
      <c r="B2159" s="83" t="s">
        <v>420</v>
      </c>
      <c r="C2159" s="91" t="s">
        <v>1334</v>
      </c>
    </row>
    <row r="2160" spans="1:3" ht="15">
      <c r="A2160" s="84" t="s">
        <v>400</v>
      </c>
      <c r="B2160" s="83" t="s">
        <v>3352</v>
      </c>
      <c r="C2160" s="91" t="s">
        <v>1333</v>
      </c>
    </row>
    <row r="2161" spans="1:3" ht="15">
      <c r="A2161" s="84" t="s">
        <v>400</v>
      </c>
      <c r="B2161" s="83" t="s">
        <v>2664</v>
      </c>
      <c r="C2161" s="91" t="s">
        <v>1333</v>
      </c>
    </row>
    <row r="2162" spans="1:3" ht="15">
      <c r="A2162" s="84" t="s">
        <v>400</v>
      </c>
      <c r="B2162" s="83" t="s">
        <v>2766</v>
      </c>
      <c r="C2162" s="91" t="s">
        <v>1333</v>
      </c>
    </row>
    <row r="2163" spans="1:3" ht="15">
      <c r="A2163" s="84" t="s">
        <v>400</v>
      </c>
      <c r="B2163" s="83" t="s">
        <v>2581</v>
      </c>
      <c r="C2163" s="91" t="s">
        <v>1333</v>
      </c>
    </row>
    <row r="2164" spans="1:3" ht="15">
      <c r="A2164" s="84" t="s">
        <v>400</v>
      </c>
      <c r="B2164" s="83" t="s">
        <v>2589</v>
      </c>
      <c r="C2164" s="91" t="s">
        <v>1333</v>
      </c>
    </row>
    <row r="2165" spans="1:3" ht="15">
      <c r="A2165" s="84" t="s">
        <v>400</v>
      </c>
      <c r="B2165" s="83" t="s">
        <v>2897</v>
      </c>
      <c r="C2165" s="91" t="s">
        <v>1333</v>
      </c>
    </row>
    <row r="2166" spans="1:3" ht="15">
      <c r="A2166" s="84" t="s">
        <v>400</v>
      </c>
      <c r="B2166" s="83" t="s">
        <v>2655</v>
      </c>
      <c r="C2166" s="91" t="s">
        <v>1333</v>
      </c>
    </row>
    <row r="2167" spans="1:3" ht="15">
      <c r="A2167" s="84" t="s">
        <v>400</v>
      </c>
      <c r="B2167" s="83" t="s">
        <v>2580</v>
      </c>
      <c r="C2167" s="91" t="s">
        <v>1333</v>
      </c>
    </row>
    <row r="2168" spans="1:3" ht="15">
      <c r="A2168" s="84" t="s">
        <v>400</v>
      </c>
      <c r="B2168" s="83" t="s">
        <v>2898</v>
      </c>
      <c r="C2168" s="91" t="s">
        <v>1333</v>
      </c>
    </row>
    <row r="2169" spans="1:3" ht="15">
      <c r="A2169" s="84" t="s">
        <v>400</v>
      </c>
      <c r="B2169" s="83" t="s">
        <v>2899</v>
      </c>
      <c r="C2169" s="91" t="s">
        <v>1333</v>
      </c>
    </row>
    <row r="2170" spans="1:3" ht="15">
      <c r="A2170" s="84" t="s">
        <v>400</v>
      </c>
      <c r="B2170" s="83" t="s">
        <v>2900</v>
      </c>
      <c r="C2170" s="91" t="s">
        <v>1333</v>
      </c>
    </row>
    <row r="2171" spans="1:3" ht="15">
      <c r="A2171" s="84" t="s">
        <v>400</v>
      </c>
      <c r="B2171" s="83" t="s">
        <v>2901</v>
      </c>
      <c r="C2171" s="91" t="s">
        <v>1333</v>
      </c>
    </row>
    <row r="2172" spans="1:3" ht="15">
      <c r="A2172" s="84" t="s">
        <v>400</v>
      </c>
      <c r="B2172" s="83" t="s">
        <v>3242</v>
      </c>
      <c r="C2172" s="91" t="s">
        <v>1333</v>
      </c>
    </row>
    <row r="2173" spans="1:3" ht="15">
      <c r="A2173" s="84" t="s">
        <v>400</v>
      </c>
      <c r="B2173" s="83" t="s">
        <v>3353</v>
      </c>
      <c r="C2173" s="91" t="s">
        <v>1333</v>
      </c>
    </row>
    <row r="2174" spans="1:3" ht="15">
      <c r="A2174" s="84" t="s">
        <v>400</v>
      </c>
      <c r="B2174" s="83" t="s">
        <v>3238</v>
      </c>
      <c r="C2174" s="91" t="s">
        <v>1333</v>
      </c>
    </row>
    <row r="2175" spans="1:3" ht="15">
      <c r="A2175" s="84" t="s">
        <v>400</v>
      </c>
      <c r="B2175" s="83" t="s">
        <v>3258</v>
      </c>
      <c r="C2175" s="91" t="s">
        <v>1333</v>
      </c>
    </row>
    <row r="2176" spans="1:3" ht="15">
      <c r="A2176" s="84" t="s">
        <v>400</v>
      </c>
      <c r="B2176" s="83" t="s">
        <v>3199</v>
      </c>
      <c r="C2176" s="91" t="s">
        <v>1333</v>
      </c>
    </row>
    <row r="2177" spans="1:3" ht="15">
      <c r="A2177" s="84" t="s">
        <v>400</v>
      </c>
      <c r="B2177" s="83" t="s">
        <v>3214</v>
      </c>
      <c r="C2177" s="91" t="s">
        <v>1333</v>
      </c>
    </row>
    <row r="2178" spans="1:3" ht="15">
      <c r="A2178" s="84" t="s">
        <v>400</v>
      </c>
      <c r="B2178" s="83" t="s">
        <v>3354</v>
      </c>
      <c r="C2178" s="91" t="s">
        <v>1333</v>
      </c>
    </row>
    <row r="2179" spans="1:3" ht="15">
      <c r="A2179" s="84" t="s">
        <v>400</v>
      </c>
      <c r="B2179" s="83" t="s">
        <v>3355</v>
      </c>
      <c r="C2179" s="91" t="s">
        <v>1333</v>
      </c>
    </row>
    <row r="2180" spans="1:3" ht="15">
      <c r="A2180" s="84" t="s">
        <v>400</v>
      </c>
      <c r="B2180" s="83" t="s">
        <v>3250</v>
      </c>
      <c r="C2180" s="91" t="s">
        <v>1332</v>
      </c>
    </row>
    <row r="2181" spans="1:3" ht="15">
      <c r="A2181" s="84" t="s">
        <v>400</v>
      </c>
      <c r="B2181" s="83" t="s">
        <v>2692</v>
      </c>
      <c r="C2181" s="91" t="s">
        <v>1332</v>
      </c>
    </row>
    <row r="2182" spans="1:3" ht="15">
      <c r="A2182" s="84" t="s">
        <v>400</v>
      </c>
      <c r="B2182" s="83" t="s">
        <v>2712</v>
      </c>
      <c r="C2182" s="91" t="s">
        <v>1332</v>
      </c>
    </row>
    <row r="2183" spans="1:3" ht="15">
      <c r="A2183" s="84" t="s">
        <v>400</v>
      </c>
      <c r="B2183" s="83" t="s">
        <v>2578</v>
      </c>
      <c r="C2183" s="91" t="s">
        <v>1332</v>
      </c>
    </row>
    <row r="2184" spans="1:3" ht="15">
      <c r="A2184" s="84" t="s">
        <v>400</v>
      </c>
      <c r="B2184" s="83" t="s">
        <v>2637</v>
      </c>
      <c r="C2184" s="91" t="s">
        <v>1332</v>
      </c>
    </row>
    <row r="2185" spans="1:3" ht="15">
      <c r="A2185" s="84" t="s">
        <v>400</v>
      </c>
      <c r="B2185" s="83" t="s">
        <v>3203</v>
      </c>
      <c r="C2185" s="91" t="s">
        <v>1332</v>
      </c>
    </row>
    <row r="2186" spans="1:3" ht="15">
      <c r="A2186" s="84" t="s">
        <v>400</v>
      </c>
      <c r="B2186" s="91" t="s">
        <v>3287</v>
      </c>
      <c r="C2186" s="91" t="s">
        <v>1332</v>
      </c>
    </row>
    <row r="2187" spans="1:3" ht="15">
      <c r="A2187" s="84" t="s">
        <v>400</v>
      </c>
      <c r="B2187" s="83" t="s">
        <v>3288</v>
      </c>
      <c r="C2187" s="91" t="s">
        <v>1332</v>
      </c>
    </row>
    <row r="2188" spans="1:3" ht="15">
      <c r="A2188" s="84" t="s">
        <v>400</v>
      </c>
      <c r="B2188" s="83" t="s">
        <v>3289</v>
      </c>
      <c r="C2188" s="91" t="s">
        <v>1332</v>
      </c>
    </row>
    <row r="2189" spans="1:3" ht="15">
      <c r="A2189" s="84" t="s">
        <v>400</v>
      </c>
      <c r="B2189" s="83" t="s">
        <v>2632</v>
      </c>
      <c r="C2189" s="91" t="s">
        <v>1332</v>
      </c>
    </row>
    <row r="2190" spans="1:3" ht="15">
      <c r="A2190" s="84" t="s">
        <v>400</v>
      </c>
      <c r="B2190" s="83" t="s">
        <v>435</v>
      </c>
      <c r="C2190" s="91" t="s">
        <v>1332</v>
      </c>
    </row>
    <row r="2191" spans="1:3" ht="15">
      <c r="A2191" s="84" t="s">
        <v>400</v>
      </c>
      <c r="B2191" s="83" t="s">
        <v>3290</v>
      </c>
      <c r="C2191" s="91" t="s">
        <v>1332</v>
      </c>
    </row>
    <row r="2192" spans="1:3" ht="15">
      <c r="A2192" s="84" t="s">
        <v>400</v>
      </c>
      <c r="B2192" s="83" t="s">
        <v>3213</v>
      </c>
      <c r="C2192" s="91" t="s">
        <v>1332</v>
      </c>
    </row>
    <row r="2193" spans="1:3" ht="15">
      <c r="A2193" s="84" t="s">
        <v>400</v>
      </c>
      <c r="B2193" s="83" t="s">
        <v>3291</v>
      </c>
      <c r="C2193" s="91" t="s">
        <v>1332</v>
      </c>
    </row>
    <row r="2194" spans="1:3" ht="15">
      <c r="A2194" s="84" t="s">
        <v>400</v>
      </c>
      <c r="B2194" s="83" t="s">
        <v>3292</v>
      </c>
      <c r="C2194" s="91" t="s">
        <v>1332</v>
      </c>
    </row>
    <row r="2195" spans="1:3" ht="15">
      <c r="A2195" s="84" t="s">
        <v>400</v>
      </c>
      <c r="B2195" s="83" t="s">
        <v>3293</v>
      </c>
      <c r="C2195" s="91" t="s">
        <v>1332</v>
      </c>
    </row>
    <row r="2196" spans="1:3" ht="15">
      <c r="A2196" s="84" t="s">
        <v>400</v>
      </c>
      <c r="B2196" s="83" t="s">
        <v>3294</v>
      </c>
      <c r="C2196" s="91" t="s">
        <v>1332</v>
      </c>
    </row>
    <row r="2197" spans="1:3" ht="15">
      <c r="A2197" s="84" t="s">
        <v>400</v>
      </c>
      <c r="B2197" s="83" t="s">
        <v>3295</v>
      </c>
      <c r="C2197" s="91" t="s">
        <v>1332</v>
      </c>
    </row>
    <row r="2198" spans="1:3" ht="15">
      <c r="A2198" s="84" t="s">
        <v>400</v>
      </c>
      <c r="B2198" s="83" t="s">
        <v>3237</v>
      </c>
      <c r="C2198" s="91" t="s">
        <v>1332</v>
      </c>
    </row>
    <row r="2199" spans="1:3" ht="15">
      <c r="A2199" s="84" t="s">
        <v>400</v>
      </c>
      <c r="B2199" s="83" t="s">
        <v>3296</v>
      </c>
      <c r="C2199" s="91" t="s">
        <v>1332</v>
      </c>
    </row>
    <row r="2200" spans="1:3" ht="15">
      <c r="A2200" s="84" t="s">
        <v>400</v>
      </c>
      <c r="B2200" s="83" t="s">
        <v>3297</v>
      </c>
      <c r="C2200" s="91" t="s">
        <v>1332</v>
      </c>
    </row>
    <row r="2201" spans="1:3" ht="15">
      <c r="A2201" s="84" t="s">
        <v>400</v>
      </c>
      <c r="B2201" s="83" t="s">
        <v>3218</v>
      </c>
      <c r="C2201" s="91" t="s">
        <v>1332</v>
      </c>
    </row>
    <row r="2202" spans="1:3" ht="15">
      <c r="A2202" s="84" t="s">
        <v>400</v>
      </c>
      <c r="B2202" s="83" t="s">
        <v>3298</v>
      </c>
      <c r="C2202" s="91" t="s">
        <v>1332</v>
      </c>
    </row>
    <row r="2203" spans="1:3" ht="15">
      <c r="A2203" s="84" t="s">
        <v>400</v>
      </c>
      <c r="B2203" s="83" t="s">
        <v>3299</v>
      </c>
      <c r="C2203" s="91" t="s">
        <v>1332</v>
      </c>
    </row>
    <row r="2204" spans="1:3" ht="15">
      <c r="A2204" s="84" t="s">
        <v>400</v>
      </c>
      <c r="B2204" s="83" t="s">
        <v>2179</v>
      </c>
      <c r="C2204" s="91" t="s">
        <v>1332</v>
      </c>
    </row>
    <row r="2205" spans="1:3" ht="15">
      <c r="A2205" s="84" t="s">
        <v>400</v>
      </c>
      <c r="B2205" s="83" t="s">
        <v>3300</v>
      </c>
      <c r="C2205" s="91" t="s">
        <v>1332</v>
      </c>
    </row>
    <row r="2206" spans="1:3" ht="15">
      <c r="A2206" s="84" t="s">
        <v>400</v>
      </c>
      <c r="B2206" s="83" t="s">
        <v>3301</v>
      </c>
      <c r="C2206" s="91" t="s">
        <v>1332</v>
      </c>
    </row>
    <row r="2207" spans="1:3" ht="15">
      <c r="A2207" s="84" t="s">
        <v>400</v>
      </c>
      <c r="B2207" s="83" t="s">
        <v>3199</v>
      </c>
      <c r="C2207" s="91" t="s">
        <v>1332</v>
      </c>
    </row>
    <row r="2208" spans="1:3" ht="15">
      <c r="A2208" s="84" t="s">
        <v>400</v>
      </c>
      <c r="B2208" s="83" t="s">
        <v>3214</v>
      </c>
      <c r="C2208" s="91" t="s">
        <v>1332</v>
      </c>
    </row>
    <row r="2209" spans="1:3" ht="15">
      <c r="A2209" s="84" t="s">
        <v>400</v>
      </c>
      <c r="B2209" s="83" t="s">
        <v>3302</v>
      </c>
      <c r="C2209" s="91" t="s">
        <v>1332</v>
      </c>
    </row>
    <row r="2210" spans="1:3" ht="15">
      <c r="A2210" s="84" t="s">
        <v>400</v>
      </c>
      <c r="B2210" s="83" t="s">
        <v>3303</v>
      </c>
      <c r="C2210" s="91" t="s">
        <v>1332</v>
      </c>
    </row>
    <row r="2211" spans="1:3" ht="15">
      <c r="A2211" s="84" t="s">
        <v>400</v>
      </c>
      <c r="B2211" s="83" t="s">
        <v>3304</v>
      </c>
      <c r="C2211" s="91" t="s">
        <v>1331</v>
      </c>
    </row>
    <row r="2212" spans="1:3" ht="15">
      <c r="A2212" s="84" t="s">
        <v>400</v>
      </c>
      <c r="B2212" s="83" t="s">
        <v>2716</v>
      </c>
      <c r="C2212" s="91" t="s">
        <v>1331</v>
      </c>
    </row>
    <row r="2213" spans="1:3" ht="15">
      <c r="A2213" s="84" t="s">
        <v>400</v>
      </c>
      <c r="B2213" s="83" t="s">
        <v>3205</v>
      </c>
      <c r="C2213" s="91" t="s">
        <v>1331</v>
      </c>
    </row>
    <row r="2214" spans="1:3" ht="15">
      <c r="A2214" s="84" t="s">
        <v>400</v>
      </c>
      <c r="B2214" s="83" t="s">
        <v>2672</v>
      </c>
      <c r="C2214" s="91" t="s">
        <v>1331</v>
      </c>
    </row>
    <row r="2215" spans="1:3" ht="15">
      <c r="A2215" s="84" t="s">
        <v>400</v>
      </c>
      <c r="B2215" s="83" t="s">
        <v>2809</v>
      </c>
      <c r="C2215" s="91" t="s">
        <v>1331</v>
      </c>
    </row>
    <row r="2216" spans="1:3" ht="15">
      <c r="A2216" s="84" t="s">
        <v>400</v>
      </c>
      <c r="B2216" s="83" t="s">
        <v>2810</v>
      </c>
      <c r="C2216" s="91" t="s">
        <v>1331</v>
      </c>
    </row>
    <row r="2217" spans="1:3" ht="15">
      <c r="A2217" s="84" t="s">
        <v>400</v>
      </c>
      <c r="B2217" s="83" t="s">
        <v>2811</v>
      </c>
      <c r="C2217" s="91" t="s">
        <v>1331</v>
      </c>
    </row>
    <row r="2218" spans="1:3" ht="15">
      <c r="A2218" s="84" t="s">
        <v>400</v>
      </c>
      <c r="B2218" s="83" t="s">
        <v>2576</v>
      </c>
      <c r="C2218" s="91" t="s">
        <v>1331</v>
      </c>
    </row>
    <row r="2219" spans="1:3" ht="15">
      <c r="A2219" s="84" t="s">
        <v>400</v>
      </c>
      <c r="B2219" s="83" t="s">
        <v>2589</v>
      </c>
      <c r="C2219" s="91" t="s">
        <v>1331</v>
      </c>
    </row>
    <row r="2220" spans="1:3" ht="15">
      <c r="A2220" s="84" t="s">
        <v>400</v>
      </c>
      <c r="B2220" s="83" t="s">
        <v>2812</v>
      </c>
      <c r="C2220" s="91" t="s">
        <v>1331</v>
      </c>
    </row>
    <row r="2221" spans="1:3" ht="15">
      <c r="A2221" s="84" t="s">
        <v>400</v>
      </c>
      <c r="B2221" s="83" t="s">
        <v>2668</v>
      </c>
      <c r="C2221" s="91" t="s">
        <v>1331</v>
      </c>
    </row>
    <row r="2222" spans="1:3" ht="15">
      <c r="A2222" s="84" t="s">
        <v>400</v>
      </c>
      <c r="B2222" s="83" t="s">
        <v>2814</v>
      </c>
      <c r="C2222" s="91" t="s">
        <v>1331</v>
      </c>
    </row>
    <row r="2223" spans="1:3" ht="15">
      <c r="A2223" s="84" t="s">
        <v>400</v>
      </c>
      <c r="B2223" s="83" t="s">
        <v>3305</v>
      </c>
      <c r="C2223" s="91" t="s">
        <v>1331</v>
      </c>
    </row>
    <row r="2224" spans="1:3" ht="15">
      <c r="A2224" s="84" t="s">
        <v>400</v>
      </c>
      <c r="B2224" s="83" t="s">
        <v>3306</v>
      </c>
      <c r="C2224" s="91" t="s">
        <v>1331</v>
      </c>
    </row>
    <row r="2225" spans="1:3" ht="15">
      <c r="A2225" s="84" t="s">
        <v>400</v>
      </c>
      <c r="B2225" s="83" t="s">
        <v>3290</v>
      </c>
      <c r="C2225" s="91" t="s">
        <v>1331</v>
      </c>
    </row>
    <row r="2226" spans="1:3" ht="15">
      <c r="A2226" s="84" t="s">
        <v>400</v>
      </c>
      <c r="B2226" s="83" t="s">
        <v>3213</v>
      </c>
      <c r="C2226" s="91" t="s">
        <v>1331</v>
      </c>
    </row>
    <row r="2227" spans="1:3" ht="15">
      <c r="A2227" s="84" t="s">
        <v>400</v>
      </c>
      <c r="B2227" s="83" t="s">
        <v>3291</v>
      </c>
      <c r="C2227" s="91" t="s">
        <v>1331</v>
      </c>
    </row>
    <row r="2228" spans="1:3" ht="15">
      <c r="A2228" s="84" t="s">
        <v>400</v>
      </c>
      <c r="B2228" s="83" t="s">
        <v>3292</v>
      </c>
      <c r="C2228" s="91" t="s">
        <v>1331</v>
      </c>
    </row>
    <row r="2229" spans="1:3" ht="15">
      <c r="A2229" s="84" t="s">
        <v>400</v>
      </c>
      <c r="B2229" s="83" t="s">
        <v>3307</v>
      </c>
      <c r="C2229" s="91" t="s">
        <v>1331</v>
      </c>
    </row>
    <row r="2230" spans="1:3" ht="15">
      <c r="A2230" s="84" t="s">
        <v>400</v>
      </c>
      <c r="B2230" s="83" t="s">
        <v>2179</v>
      </c>
      <c r="C2230" s="91" t="s">
        <v>1331</v>
      </c>
    </row>
    <row r="2231" spans="1:3" ht="15">
      <c r="A2231" s="84" t="s">
        <v>400</v>
      </c>
      <c r="B2231" s="83" t="s">
        <v>3301</v>
      </c>
      <c r="C2231" s="91" t="s">
        <v>1331</v>
      </c>
    </row>
    <row r="2232" spans="1:3" ht="15">
      <c r="A2232" s="84" t="s">
        <v>400</v>
      </c>
      <c r="B2232" s="83" t="s">
        <v>3302</v>
      </c>
      <c r="C2232" s="91" t="s">
        <v>1331</v>
      </c>
    </row>
    <row r="2233" spans="1:3" ht="15">
      <c r="A2233" s="84" t="s">
        <v>400</v>
      </c>
      <c r="B2233" s="83" t="s">
        <v>3303</v>
      </c>
      <c r="C2233" s="91" t="s">
        <v>1331</v>
      </c>
    </row>
    <row r="2234" spans="1:3" ht="15">
      <c r="A2234" s="84" t="s">
        <v>400</v>
      </c>
      <c r="B2234" s="83" t="s">
        <v>3199</v>
      </c>
      <c r="C2234" s="91" t="s">
        <v>1331</v>
      </c>
    </row>
    <row r="2235" spans="1:3" ht="15">
      <c r="A2235" s="84" t="s">
        <v>400</v>
      </c>
      <c r="B2235" s="83" t="s">
        <v>3294</v>
      </c>
      <c r="C2235" s="91" t="s">
        <v>1331</v>
      </c>
    </row>
    <row r="2236" spans="1:3" ht="15">
      <c r="A2236" s="84" t="s">
        <v>400</v>
      </c>
      <c r="B2236" s="83" t="s">
        <v>3295</v>
      </c>
      <c r="C2236" s="91" t="s">
        <v>1331</v>
      </c>
    </row>
    <row r="2237" spans="1:3" ht="15">
      <c r="A2237" s="84" t="s">
        <v>400</v>
      </c>
      <c r="B2237" s="83" t="s">
        <v>3237</v>
      </c>
      <c r="C2237" s="91" t="s">
        <v>1331</v>
      </c>
    </row>
    <row r="2238" spans="1:3" ht="15">
      <c r="A2238" s="84" t="s">
        <v>400</v>
      </c>
      <c r="B2238" s="83" t="s">
        <v>3296</v>
      </c>
      <c r="C2238" s="91" t="s">
        <v>1331</v>
      </c>
    </row>
    <row r="2239" spans="1:3" ht="15">
      <c r="A2239" s="84" t="s">
        <v>400</v>
      </c>
      <c r="B2239" s="83" t="s">
        <v>3297</v>
      </c>
      <c r="C2239" s="91" t="s">
        <v>1331</v>
      </c>
    </row>
    <row r="2240" spans="1:3" ht="15">
      <c r="A2240" s="84" t="s">
        <v>400</v>
      </c>
      <c r="B2240" s="83" t="s">
        <v>3218</v>
      </c>
      <c r="C2240" s="91" t="s">
        <v>1331</v>
      </c>
    </row>
    <row r="2241" spans="1:3" ht="15">
      <c r="A2241" s="84" t="s">
        <v>400</v>
      </c>
      <c r="B2241" s="83" t="s">
        <v>3293</v>
      </c>
      <c r="C2241" s="91" t="s">
        <v>1331</v>
      </c>
    </row>
    <row r="2242" spans="1:3" ht="15">
      <c r="A2242" s="84" t="s">
        <v>400</v>
      </c>
      <c r="B2242" s="83" t="s">
        <v>3298</v>
      </c>
      <c r="C2242" s="91" t="s">
        <v>1331</v>
      </c>
    </row>
    <row r="2243" spans="1:3" ht="15">
      <c r="A2243" s="84" t="s">
        <v>400</v>
      </c>
      <c r="B2243" s="83" t="s">
        <v>3299</v>
      </c>
      <c r="C2243" s="91" t="s">
        <v>1331</v>
      </c>
    </row>
    <row r="2244" spans="1:3" ht="15">
      <c r="A2244" s="84" t="s">
        <v>400</v>
      </c>
      <c r="B2244" s="83" t="s">
        <v>3245</v>
      </c>
      <c r="C2244" s="91" t="s">
        <v>1330</v>
      </c>
    </row>
    <row r="2245" spans="1:3" ht="15">
      <c r="A2245" s="84" t="s">
        <v>400</v>
      </c>
      <c r="B2245" s="83" t="s">
        <v>2767</v>
      </c>
      <c r="C2245" s="91" t="s">
        <v>1330</v>
      </c>
    </row>
    <row r="2246" spans="1:3" ht="15">
      <c r="A2246" s="84" t="s">
        <v>400</v>
      </c>
      <c r="B2246" s="83" t="s">
        <v>2817</v>
      </c>
      <c r="C2246" s="91" t="s">
        <v>1330</v>
      </c>
    </row>
    <row r="2247" spans="1:3" ht="15">
      <c r="A2247" s="84" t="s">
        <v>400</v>
      </c>
      <c r="B2247" s="83" t="s">
        <v>2773</v>
      </c>
      <c r="C2247" s="91" t="s">
        <v>1330</v>
      </c>
    </row>
    <row r="2248" spans="1:3" ht="15">
      <c r="A2248" s="84" t="s">
        <v>400</v>
      </c>
      <c r="B2248" s="83" t="s">
        <v>2568</v>
      </c>
      <c r="C2248" s="91" t="s">
        <v>1330</v>
      </c>
    </row>
    <row r="2249" spans="1:3" ht="15">
      <c r="A2249" s="84" t="s">
        <v>400</v>
      </c>
      <c r="B2249" s="83" t="s">
        <v>2818</v>
      </c>
      <c r="C2249" s="91" t="s">
        <v>1330</v>
      </c>
    </row>
    <row r="2250" spans="1:3" ht="15">
      <c r="A2250" s="84" t="s">
        <v>400</v>
      </c>
      <c r="B2250" s="83" t="s">
        <v>2819</v>
      </c>
      <c r="C2250" s="91" t="s">
        <v>1330</v>
      </c>
    </row>
    <row r="2251" spans="1:3" ht="15">
      <c r="A2251" s="84" t="s">
        <v>400</v>
      </c>
      <c r="B2251" s="83" t="s">
        <v>2607</v>
      </c>
      <c r="C2251" s="91" t="s">
        <v>1330</v>
      </c>
    </row>
    <row r="2252" spans="1:3" ht="15">
      <c r="A2252" s="84" t="s">
        <v>400</v>
      </c>
      <c r="B2252" s="83" t="s">
        <v>2820</v>
      </c>
      <c r="C2252" s="91" t="s">
        <v>1330</v>
      </c>
    </row>
    <row r="2253" spans="1:3" ht="15">
      <c r="A2253" s="84" t="s">
        <v>400</v>
      </c>
      <c r="B2253" s="83" t="s">
        <v>2743</v>
      </c>
      <c r="C2253" s="91" t="s">
        <v>1330</v>
      </c>
    </row>
    <row r="2254" spans="1:3" ht="15">
      <c r="A2254" s="84" t="s">
        <v>400</v>
      </c>
      <c r="B2254" s="83" t="s">
        <v>2821</v>
      </c>
      <c r="C2254" s="91" t="s">
        <v>1330</v>
      </c>
    </row>
    <row r="2255" spans="1:3" ht="15">
      <c r="A2255" s="84" t="s">
        <v>400</v>
      </c>
      <c r="B2255" s="83" t="s">
        <v>2577</v>
      </c>
      <c r="C2255" s="91" t="s">
        <v>1330</v>
      </c>
    </row>
    <row r="2256" spans="1:3" ht="15">
      <c r="A2256" s="84" t="s">
        <v>400</v>
      </c>
      <c r="B2256" s="83" t="s">
        <v>2822</v>
      </c>
      <c r="C2256" s="91" t="s">
        <v>1330</v>
      </c>
    </row>
    <row r="2257" spans="1:3" ht="15">
      <c r="A2257" s="84" t="s">
        <v>400</v>
      </c>
      <c r="B2257" s="83" t="s">
        <v>2823</v>
      </c>
      <c r="C2257" s="91" t="s">
        <v>1330</v>
      </c>
    </row>
    <row r="2258" spans="1:3" ht="15">
      <c r="A2258" s="84" t="s">
        <v>400</v>
      </c>
      <c r="B2258" s="83" t="s">
        <v>2824</v>
      </c>
      <c r="C2258" s="91" t="s">
        <v>1330</v>
      </c>
    </row>
    <row r="2259" spans="1:3" ht="15">
      <c r="A2259" s="84" t="s">
        <v>400</v>
      </c>
      <c r="B2259" s="83" t="s">
        <v>2694</v>
      </c>
      <c r="C2259" s="91" t="s">
        <v>1330</v>
      </c>
    </row>
    <row r="2260" spans="1:3" ht="15">
      <c r="A2260" s="84" t="s">
        <v>400</v>
      </c>
      <c r="B2260" s="83" t="s">
        <v>2636</v>
      </c>
      <c r="C2260" s="91" t="s">
        <v>1330</v>
      </c>
    </row>
    <row r="2261" spans="1:3" ht="15">
      <c r="A2261" s="84" t="s">
        <v>400</v>
      </c>
      <c r="B2261" s="83" t="s">
        <v>2825</v>
      </c>
      <c r="C2261" s="91" t="s">
        <v>1330</v>
      </c>
    </row>
    <row r="2262" spans="1:3" ht="15">
      <c r="A2262" s="84" t="s">
        <v>400</v>
      </c>
      <c r="B2262" s="83" t="s">
        <v>2665</v>
      </c>
      <c r="C2262" s="91" t="s">
        <v>1330</v>
      </c>
    </row>
    <row r="2263" spans="1:3" ht="15">
      <c r="A2263" s="84" t="s">
        <v>400</v>
      </c>
      <c r="B2263" s="83" t="s">
        <v>2826</v>
      </c>
      <c r="C2263" s="91" t="s">
        <v>1330</v>
      </c>
    </row>
    <row r="2264" spans="1:3" ht="15">
      <c r="A2264" s="84" t="s">
        <v>400</v>
      </c>
      <c r="B2264" s="83" t="s">
        <v>2827</v>
      </c>
      <c r="C2264" s="91" t="s">
        <v>1330</v>
      </c>
    </row>
    <row r="2265" spans="1:3" ht="15">
      <c r="A2265" s="84" t="s">
        <v>400</v>
      </c>
      <c r="B2265" s="83" t="s">
        <v>2895</v>
      </c>
      <c r="C2265" s="91" t="s">
        <v>1330</v>
      </c>
    </row>
    <row r="2266" spans="1:3" ht="15">
      <c r="A2266" s="84" t="s">
        <v>400</v>
      </c>
      <c r="B2266" s="83" t="s">
        <v>2569</v>
      </c>
      <c r="C2266" s="91" t="s">
        <v>1330</v>
      </c>
    </row>
    <row r="2267" spans="1:3" ht="15">
      <c r="A2267" s="84" t="s">
        <v>400</v>
      </c>
      <c r="B2267" s="83" t="s">
        <v>3365</v>
      </c>
      <c r="C2267" s="91" t="s">
        <v>1330</v>
      </c>
    </row>
    <row r="2268" spans="1:3" ht="15">
      <c r="A2268" s="84" t="s">
        <v>400</v>
      </c>
      <c r="B2268" s="83" t="s">
        <v>3366</v>
      </c>
      <c r="C2268" s="91" t="s">
        <v>1330</v>
      </c>
    </row>
    <row r="2269" spans="1:3" ht="15">
      <c r="A2269" s="84" t="s">
        <v>400</v>
      </c>
      <c r="B2269" s="83" t="s">
        <v>3367</v>
      </c>
      <c r="C2269" s="91" t="s">
        <v>1330</v>
      </c>
    </row>
    <row r="2270" spans="1:3" ht="15">
      <c r="A2270" s="84" t="s">
        <v>400</v>
      </c>
      <c r="B2270" s="83" t="s">
        <v>3199</v>
      </c>
      <c r="C2270" s="91" t="s">
        <v>1330</v>
      </c>
    </row>
    <row r="2271" spans="1:3" ht="15">
      <c r="A2271" s="84" t="s">
        <v>400</v>
      </c>
      <c r="B2271" s="83" t="s">
        <v>3238</v>
      </c>
      <c r="C2271" s="91" t="s">
        <v>1330</v>
      </c>
    </row>
    <row r="2272" spans="1:3" ht="15">
      <c r="A2272" s="84" t="s">
        <v>400</v>
      </c>
      <c r="B2272" s="83" t="s">
        <v>3214</v>
      </c>
      <c r="C2272" s="91" t="s">
        <v>1330</v>
      </c>
    </row>
    <row r="2273" spans="1:3" ht="15">
      <c r="A2273" s="84" t="s">
        <v>400</v>
      </c>
      <c r="B2273" s="83" t="s">
        <v>3368</v>
      </c>
      <c r="C2273" s="91" t="s">
        <v>1330</v>
      </c>
    </row>
    <row r="2274" spans="1:3" ht="15">
      <c r="A2274" s="84" t="s">
        <v>400</v>
      </c>
      <c r="B2274" s="83" t="s">
        <v>3213</v>
      </c>
      <c r="C2274" s="91" t="s">
        <v>1330</v>
      </c>
    </row>
    <row r="2275" spans="1:3" ht="15">
      <c r="A2275" s="84" t="s">
        <v>400</v>
      </c>
      <c r="B2275" s="83" t="s">
        <v>3258</v>
      </c>
      <c r="C2275" s="91" t="s">
        <v>1330</v>
      </c>
    </row>
    <row r="2276" spans="1:3" ht="15">
      <c r="A2276" s="84" t="s">
        <v>400</v>
      </c>
      <c r="B2276" s="83" t="s">
        <v>3369</v>
      </c>
      <c r="C2276" s="91" t="s">
        <v>1330</v>
      </c>
    </row>
    <row r="2277" spans="1:3" ht="15">
      <c r="A2277" s="84" t="s">
        <v>400</v>
      </c>
      <c r="B2277" s="83" t="s">
        <v>3267</v>
      </c>
      <c r="C2277" s="91" t="s">
        <v>1329</v>
      </c>
    </row>
    <row r="2278" spans="1:3" ht="15">
      <c r="A2278" s="84" t="s">
        <v>400</v>
      </c>
      <c r="B2278" s="83" t="s">
        <v>2581</v>
      </c>
      <c r="C2278" s="91" t="s">
        <v>1329</v>
      </c>
    </row>
    <row r="2279" spans="1:3" ht="15">
      <c r="A2279" s="84" t="s">
        <v>400</v>
      </c>
      <c r="B2279" s="83" t="s">
        <v>2586</v>
      </c>
      <c r="C2279" s="91" t="s">
        <v>1329</v>
      </c>
    </row>
    <row r="2280" spans="1:3" ht="15">
      <c r="A2280" s="84" t="s">
        <v>400</v>
      </c>
      <c r="B2280" s="83" t="s">
        <v>2595</v>
      </c>
      <c r="C2280" s="91" t="s">
        <v>1329</v>
      </c>
    </row>
    <row r="2281" spans="1:3" ht="15">
      <c r="A2281" s="84" t="s">
        <v>400</v>
      </c>
      <c r="B2281" s="83" t="s">
        <v>2568</v>
      </c>
      <c r="C2281" s="91" t="s">
        <v>1329</v>
      </c>
    </row>
    <row r="2282" spans="1:3" ht="15">
      <c r="A2282" s="84" t="s">
        <v>400</v>
      </c>
      <c r="B2282" s="83" t="s">
        <v>2592</v>
      </c>
      <c r="C2282" s="91" t="s">
        <v>1329</v>
      </c>
    </row>
    <row r="2283" spans="1:3" ht="15">
      <c r="A2283" s="84" t="s">
        <v>400</v>
      </c>
      <c r="B2283" s="83" t="s">
        <v>3213</v>
      </c>
      <c r="C2283" s="91" t="s">
        <v>1329</v>
      </c>
    </row>
    <row r="2284" spans="1:3" ht="15">
      <c r="A2284" s="84" t="s">
        <v>400</v>
      </c>
      <c r="B2284" s="83" t="s">
        <v>2576</v>
      </c>
      <c r="C2284" s="91" t="s">
        <v>1329</v>
      </c>
    </row>
    <row r="2285" spans="1:3" ht="15">
      <c r="A2285" s="84" t="s">
        <v>400</v>
      </c>
      <c r="B2285" s="83" t="s">
        <v>3229</v>
      </c>
      <c r="C2285" s="91" t="s">
        <v>1329</v>
      </c>
    </row>
    <row r="2286" spans="1:3" ht="15">
      <c r="A2286" s="84" t="s">
        <v>400</v>
      </c>
      <c r="B2286" s="83" t="s">
        <v>3230</v>
      </c>
      <c r="C2286" s="91" t="s">
        <v>1329</v>
      </c>
    </row>
    <row r="2287" spans="1:3" ht="15">
      <c r="A2287" s="84" t="s">
        <v>400</v>
      </c>
      <c r="B2287" s="83" t="s">
        <v>2598</v>
      </c>
      <c r="C2287" s="91" t="s">
        <v>1329</v>
      </c>
    </row>
    <row r="2288" spans="1:3" ht="15">
      <c r="A2288" s="84" t="s">
        <v>400</v>
      </c>
      <c r="B2288" s="83" t="s">
        <v>3231</v>
      </c>
      <c r="C2288" s="91" t="s">
        <v>1329</v>
      </c>
    </row>
    <row r="2289" spans="1:3" ht="15">
      <c r="A2289" s="84" t="s">
        <v>400</v>
      </c>
      <c r="B2289" s="83" t="s">
        <v>3232</v>
      </c>
      <c r="C2289" s="91" t="s">
        <v>1329</v>
      </c>
    </row>
    <row r="2290" spans="1:3" ht="15">
      <c r="A2290" s="84" t="s">
        <v>400</v>
      </c>
      <c r="B2290" s="83" t="s">
        <v>3233</v>
      </c>
      <c r="C2290" s="91" t="s">
        <v>1329</v>
      </c>
    </row>
    <row r="2291" spans="1:3" ht="15">
      <c r="A2291" s="84" t="s">
        <v>400</v>
      </c>
      <c r="B2291" s="83" t="s">
        <v>3211</v>
      </c>
      <c r="C2291" s="91" t="s">
        <v>1329</v>
      </c>
    </row>
    <row r="2292" spans="1:3" ht="15">
      <c r="A2292" s="84" t="s">
        <v>400</v>
      </c>
      <c r="B2292" s="83" t="s">
        <v>3199</v>
      </c>
      <c r="C2292" s="91" t="s">
        <v>1329</v>
      </c>
    </row>
    <row r="2293" spans="1:3" ht="15">
      <c r="A2293" s="84" t="s">
        <v>400</v>
      </c>
      <c r="B2293" s="83" t="s">
        <v>3218</v>
      </c>
      <c r="C2293" s="91" t="s">
        <v>1329</v>
      </c>
    </row>
    <row r="2294" spans="1:3" ht="15">
      <c r="A2294" s="84" t="s">
        <v>400</v>
      </c>
      <c r="B2294" s="83" t="s">
        <v>3234</v>
      </c>
      <c r="C2294" s="91" t="s">
        <v>1329</v>
      </c>
    </row>
    <row r="2295" spans="1:3" ht="15">
      <c r="A2295" s="84" t="s">
        <v>400</v>
      </c>
      <c r="B2295" s="83" t="s">
        <v>3235</v>
      </c>
      <c r="C2295" s="91" t="s">
        <v>1329</v>
      </c>
    </row>
    <row r="2296" spans="1:3" ht="15">
      <c r="A2296" s="84" t="s">
        <v>400</v>
      </c>
      <c r="B2296" s="83" t="s">
        <v>3236</v>
      </c>
      <c r="C2296" s="91" t="s">
        <v>1329</v>
      </c>
    </row>
    <row r="2297" spans="1:3" ht="15">
      <c r="A2297" s="84" t="s">
        <v>400</v>
      </c>
      <c r="B2297" s="83" t="s">
        <v>3237</v>
      </c>
      <c r="C2297" s="91" t="s">
        <v>1329</v>
      </c>
    </row>
    <row r="2298" spans="1:3" ht="15">
      <c r="A2298" s="84" t="s">
        <v>400</v>
      </c>
      <c r="B2298" s="83" t="s">
        <v>3238</v>
      </c>
      <c r="C2298" s="91" t="s">
        <v>1329</v>
      </c>
    </row>
    <row r="2299" spans="1:3" ht="15">
      <c r="A2299" s="84" t="s">
        <v>400</v>
      </c>
      <c r="B2299" s="83" t="s">
        <v>3239</v>
      </c>
      <c r="C2299" s="91" t="s">
        <v>1329</v>
      </c>
    </row>
    <row r="2300" spans="1:3" ht="15">
      <c r="A2300" s="84" t="s">
        <v>400</v>
      </c>
      <c r="B2300" s="83" t="s">
        <v>3240</v>
      </c>
      <c r="C2300" s="91" t="s">
        <v>1329</v>
      </c>
    </row>
    <row r="2301" spans="1:3" ht="15">
      <c r="A2301" s="84" t="s">
        <v>400</v>
      </c>
      <c r="B2301" s="83" t="s">
        <v>3241</v>
      </c>
      <c r="C2301" s="91" t="s">
        <v>1329</v>
      </c>
    </row>
    <row r="2302" spans="1:3" ht="15">
      <c r="A2302" s="84" t="s">
        <v>400</v>
      </c>
      <c r="B2302" s="83" t="s">
        <v>3242</v>
      </c>
      <c r="C2302" s="91" t="s">
        <v>1329</v>
      </c>
    </row>
    <row r="2303" spans="1:3" ht="15">
      <c r="A2303" s="84" t="s">
        <v>400</v>
      </c>
      <c r="B2303" s="83" t="s">
        <v>2767</v>
      </c>
      <c r="C2303" s="91" t="s">
        <v>1329</v>
      </c>
    </row>
    <row r="2304" spans="1:3" ht="15">
      <c r="A2304" s="84" t="s">
        <v>400</v>
      </c>
      <c r="B2304" s="83" t="s">
        <v>3243</v>
      </c>
      <c r="C2304" s="91" t="s">
        <v>1329</v>
      </c>
    </row>
    <row r="2305" spans="1:3" ht="15">
      <c r="A2305" s="84" t="s">
        <v>400</v>
      </c>
      <c r="B2305" s="83" t="s">
        <v>3244</v>
      </c>
      <c r="C2305" s="91" t="s">
        <v>1329</v>
      </c>
    </row>
    <row r="2306" spans="1:3" ht="15">
      <c r="A2306" s="84" t="s">
        <v>400</v>
      </c>
      <c r="B2306" s="83" t="s">
        <v>3223</v>
      </c>
      <c r="C2306" s="91" t="s">
        <v>1329</v>
      </c>
    </row>
    <row r="2307" spans="1:3" ht="15">
      <c r="A2307" s="84" t="s">
        <v>399</v>
      </c>
      <c r="B2307" s="83" t="s">
        <v>3268</v>
      </c>
      <c r="C2307" s="91" t="s">
        <v>1328</v>
      </c>
    </row>
    <row r="2308" spans="1:3" ht="15">
      <c r="A2308" s="84" t="s">
        <v>399</v>
      </c>
      <c r="B2308" s="83" t="s">
        <v>3269</v>
      </c>
      <c r="C2308" s="91" t="s">
        <v>1328</v>
      </c>
    </row>
    <row r="2309" spans="1:3" ht="15">
      <c r="A2309" s="84" t="s">
        <v>399</v>
      </c>
      <c r="B2309" s="83" t="s">
        <v>3203</v>
      </c>
      <c r="C2309" s="91" t="s">
        <v>1328</v>
      </c>
    </row>
    <row r="2310" spans="1:3" ht="15">
      <c r="A2310" s="84" t="s">
        <v>399</v>
      </c>
      <c r="B2310" s="83">
        <v>19</v>
      </c>
      <c r="C2310" s="91" t="s">
        <v>1328</v>
      </c>
    </row>
    <row r="2311" spans="1:3" ht="15">
      <c r="A2311" s="84" t="s">
        <v>399</v>
      </c>
      <c r="B2311" s="83" t="s">
        <v>3270</v>
      </c>
      <c r="C2311" s="91" t="s">
        <v>1328</v>
      </c>
    </row>
    <row r="2312" spans="1:3" ht="15">
      <c r="A2312" s="84" t="s">
        <v>399</v>
      </c>
      <c r="B2312" s="83" t="s">
        <v>3271</v>
      </c>
      <c r="C2312" s="91" t="s">
        <v>1328</v>
      </c>
    </row>
    <row r="2313" spans="1:3" ht="15">
      <c r="A2313" s="84" t="s">
        <v>399</v>
      </c>
      <c r="B2313" s="83" t="s">
        <v>3272</v>
      </c>
      <c r="C2313" s="91" t="s">
        <v>1328</v>
      </c>
    </row>
    <row r="2314" spans="1:3" ht="15">
      <c r="A2314" s="84" t="s">
        <v>399</v>
      </c>
      <c r="B2314" s="83" t="s">
        <v>195</v>
      </c>
      <c r="C2314" s="91" t="s">
        <v>1328</v>
      </c>
    </row>
    <row r="2315" spans="1:3" ht="15">
      <c r="A2315" s="84" t="s">
        <v>399</v>
      </c>
      <c r="B2315" s="83" t="s">
        <v>3273</v>
      </c>
      <c r="C2315" s="91" t="s">
        <v>1328</v>
      </c>
    </row>
    <row r="2316" spans="1:3" ht="15">
      <c r="A2316" s="84" t="s">
        <v>399</v>
      </c>
      <c r="B2316" s="83" t="s">
        <v>3199</v>
      </c>
      <c r="C2316" s="91" t="s">
        <v>1328</v>
      </c>
    </row>
    <row r="2317" spans="1:3" ht="15">
      <c r="A2317" s="84" t="s">
        <v>399</v>
      </c>
      <c r="B2317" s="83" t="s">
        <v>3258</v>
      </c>
      <c r="C2317" s="91" t="s">
        <v>1328</v>
      </c>
    </row>
    <row r="2318" spans="1:3" ht="15">
      <c r="A2318" s="84" t="s">
        <v>399</v>
      </c>
      <c r="B2318" s="83" t="s">
        <v>3238</v>
      </c>
      <c r="C2318" s="91" t="s">
        <v>1328</v>
      </c>
    </row>
    <row r="2319" spans="1:3" ht="15">
      <c r="A2319" s="84" t="s">
        <v>399</v>
      </c>
      <c r="B2319" s="83" t="s">
        <v>3274</v>
      </c>
      <c r="C2319" s="91" t="s">
        <v>1328</v>
      </c>
    </row>
    <row r="2320" spans="1:3" ht="15">
      <c r="A2320" s="84" t="s">
        <v>399</v>
      </c>
      <c r="B2320" s="83" t="s">
        <v>3275</v>
      </c>
      <c r="C2320" s="91" t="s">
        <v>1328</v>
      </c>
    </row>
    <row r="2321" spans="1:3" ht="15">
      <c r="A2321" s="84" t="s">
        <v>399</v>
      </c>
      <c r="B2321" s="83" t="s">
        <v>3276</v>
      </c>
      <c r="C2321" s="91" t="s">
        <v>1328</v>
      </c>
    </row>
    <row r="2322" spans="1:3" ht="15">
      <c r="A2322" s="84" t="s">
        <v>399</v>
      </c>
      <c r="B2322" s="83" t="s">
        <v>3277</v>
      </c>
      <c r="C2322" s="91" t="s">
        <v>1328</v>
      </c>
    </row>
    <row r="2323" spans="1:3" ht="15">
      <c r="A2323" s="84" t="s">
        <v>399</v>
      </c>
      <c r="B2323" s="83" t="s">
        <v>3198</v>
      </c>
      <c r="C2323" s="91" t="s">
        <v>1328</v>
      </c>
    </row>
    <row r="2324" spans="1:3" ht="15">
      <c r="A2324" s="84" t="s">
        <v>399</v>
      </c>
      <c r="B2324" s="83" t="s">
        <v>3278</v>
      </c>
      <c r="C2324" s="91" t="s">
        <v>1328</v>
      </c>
    </row>
    <row r="2325" spans="1:3" ht="15">
      <c r="A2325" s="84" t="s">
        <v>399</v>
      </c>
      <c r="B2325" s="83" t="s">
        <v>420</v>
      </c>
      <c r="C2325" s="91" t="s">
        <v>1328</v>
      </c>
    </row>
    <row r="2326" spans="1:3" ht="15">
      <c r="A2326" s="84" t="s">
        <v>399</v>
      </c>
      <c r="B2326" s="83" t="s">
        <v>3245</v>
      </c>
      <c r="C2326" s="91" t="s">
        <v>1327</v>
      </c>
    </row>
    <row r="2327" spans="1:3" ht="15">
      <c r="A2327" s="84" t="s">
        <v>399</v>
      </c>
      <c r="B2327" s="83" t="s">
        <v>2767</v>
      </c>
      <c r="C2327" s="91" t="s">
        <v>1327</v>
      </c>
    </row>
    <row r="2328" spans="1:3" ht="15">
      <c r="A2328" s="84" t="s">
        <v>399</v>
      </c>
      <c r="B2328" s="83" t="s">
        <v>2817</v>
      </c>
      <c r="C2328" s="91" t="s">
        <v>1327</v>
      </c>
    </row>
    <row r="2329" spans="1:3" ht="15">
      <c r="A2329" s="84" t="s">
        <v>399</v>
      </c>
      <c r="B2329" s="83" t="s">
        <v>2773</v>
      </c>
      <c r="C2329" s="91" t="s">
        <v>1327</v>
      </c>
    </row>
    <row r="2330" spans="1:3" ht="15">
      <c r="A2330" s="84" t="s">
        <v>399</v>
      </c>
      <c r="B2330" s="83" t="s">
        <v>2568</v>
      </c>
      <c r="C2330" s="91" t="s">
        <v>1327</v>
      </c>
    </row>
    <row r="2331" spans="1:3" ht="15">
      <c r="A2331" s="84" t="s">
        <v>399</v>
      </c>
      <c r="B2331" s="83" t="s">
        <v>2818</v>
      </c>
      <c r="C2331" s="91" t="s">
        <v>1327</v>
      </c>
    </row>
    <row r="2332" spans="1:3" ht="15">
      <c r="A2332" s="84" t="s">
        <v>399</v>
      </c>
      <c r="B2332" s="83" t="s">
        <v>2819</v>
      </c>
      <c r="C2332" s="91" t="s">
        <v>1327</v>
      </c>
    </row>
    <row r="2333" spans="1:3" ht="15">
      <c r="A2333" s="84" t="s">
        <v>399</v>
      </c>
      <c r="B2333" s="83" t="s">
        <v>2607</v>
      </c>
      <c r="C2333" s="91" t="s">
        <v>1327</v>
      </c>
    </row>
    <row r="2334" spans="1:3" ht="15">
      <c r="A2334" s="84" t="s">
        <v>399</v>
      </c>
      <c r="B2334" s="83" t="s">
        <v>2820</v>
      </c>
      <c r="C2334" s="91" t="s">
        <v>1327</v>
      </c>
    </row>
    <row r="2335" spans="1:3" ht="15">
      <c r="A2335" s="84" t="s">
        <v>399</v>
      </c>
      <c r="B2335" s="83" t="s">
        <v>2743</v>
      </c>
      <c r="C2335" s="91" t="s">
        <v>1327</v>
      </c>
    </row>
    <row r="2336" spans="1:3" ht="15">
      <c r="A2336" s="84" t="s">
        <v>399</v>
      </c>
      <c r="B2336" s="83" t="s">
        <v>2821</v>
      </c>
      <c r="C2336" s="91" t="s">
        <v>1327</v>
      </c>
    </row>
    <row r="2337" spans="1:3" ht="15">
      <c r="A2337" s="84" t="s">
        <v>399</v>
      </c>
      <c r="B2337" s="83" t="s">
        <v>2577</v>
      </c>
      <c r="C2337" s="91" t="s">
        <v>1327</v>
      </c>
    </row>
    <row r="2338" spans="1:3" ht="15">
      <c r="A2338" s="84" t="s">
        <v>399</v>
      </c>
      <c r="B2338" s="83" t="s">
        <v>2822</v>
      </c>
      <c r="C2338" s="91" t="s">
        <v>1327</v>
      </c>
    </row>
    <row r="2339" spans="1:3" ht="15">
      <c r="A2339" s="84" t="s">
        <v>399</v>
      </c>
      <c r="B2339" s="83" t="s">
        <v>2823</v>
      </c>
      <c r="C2339" s="91" t="s">
        <v>1327</v>
      </c>
    </row>
    <row r="2340" spans="1:3" ht="15">
      <c r="A2340" s="84" t="s">
        <v>399</v>
      </c>
      <c r="B2340" s="83" t="s">
        <v>2824</v>
      </c>
      <c r="C2340" s="91" t="s">
        <v>1327</v>
      </c>
    </row>
    <row r="2341" spans="1:3" ht="15">
      <c r="A2341" s="84" t="s">
        <v>399</v>
      </c>
      <c r="B2341" s="83" t="s">
        <v>2694</v>
      </c>
      <c r="C2341" s="91" t="s">
        <v>1327</v>
      </c>
    </row>
    <row r="2342" spans="1:3" ht="15">
      <c r="A2342" s="84" t="s">
        <v>399</v>
      </c>
      <c r="B2342" s="83" t="s">
        <v>2636</v>
      </c>
      <c r="C2342" s="91" t="s">
        <v>1327</v>
      </c>
    </row>
    <row r="2343" spans="1:3" ht="15">
      <c r="A2343" s="84" t="s">
        <v>399</v>
      </c>
      <c r="B2343" s="83" t="s">
        <v>2825</v>
      </c>
      <c r="C2343" s="91" t="s">
        <v>1327</v>
      </c>
    </row>
    <row r="2344" spans="1:3" ht="15">
      <c r="A2344" s="84" t="s">
        <v>399</v>
      </c>
      <c r="B2344" s="83" t="s">
        <v>2665</v>
      </c>
      <c r="C2344" s="91" t="s">
        <v>1327</v>
      </c>
    </row>
    <row r="2345" spans="1:3" ht="15">
      <c r="A2345" s="84" t="s">
        <v>399</v>
      </c>
      <c r="B2345" s="83" t="s">
        <v>2826</v>
      </c>
      <c r="C2345" s="91" t="s">
        <v>1327</v>
      </c>
    </row>
    <row r="2346" spans="1:3" ht="15">
      <c r="A2346" s="84" t="s">
        <v>399</v>
      </c>
      <c r="B2346" s="83" t="s">
        <v>2827</v>
      </c>
      <c r="C2346" s="91" t="s">
        <v>1327</v>
      </c>
    </row>
    <row r="2347" spans="1:3" ht="15">
      <c r="A2347" s="84" t="s">
        <v>399</v>
      </c>
      <c r="B2347" s="83" t="s">
        <v>2895</v>
      </c>
      <c r="C2347" s="91" t="s">
        <v>1327</v>
      </c>
    </row>
    <row r="2348" spans="1:3" ht="15">
      <c r="A2348" s="84" t="s">
        <v>399</v>
      </c>
      <c r="B2348" s="83" t="s">
        <v>2569</v>
      </c>
      <c r="C2348" s="91" t="s">
        <v>1327</v>
      </c>
    </row>
    <row r="2349" spans="1:3" ht="15">
      <c r="A2349" s="84" t="s">
        <v>399</v>
      </c>
      <c r="B2349" s="83" t="s">
        <v>3365</v>
      </c>
      <c r="C2349" s="91" t="s">
        <v>1327</v>
      </c>
    </row>
    <row r="2350" spans="1:3" ht="15">
      <c r="A2350" s="84" t="s">
        <v>399</v>
      </c>
      <c r="B2350" s="83" t="s">
        <v>3366</v>
      </c>
      <c r="C2350" s="91" t="s">
        <v>1327</v>
      </c>
    </row>
    <row r="2351" spans="1:3" ht="15">
      <c r="A2351" s="84" t="s">
        <v>399</v>
      </c>
      <c r="B2351" s="83" t="s">
        <v>3367</v>
      </c>
      <c r="C2351" s="91" t="s">
        <v>1327</v>
      </c>
    </row>
    <row r="2352" spans="1:3" ht="15">
      <c r="A2352" s="84" t="s">
        <v>399</v>
      </c>
      <c r="B2352" s="83" t="s">
        <v>3199</v>
      </c>
      <c r="C2352" s="91" t="s">
        <v>1327</v>
      </c>
    </row>
    <row r="2353" spans="1:3" ht="15">
      <c r="A2353" s="84" t="s">
        <v>399</v>
      </c>
      <c r="B2353" s="83" t="s">
        <v>3238</v>
      </c>
      <c r="C2353" s="91" t="s">
        <v>1327</v>
      </c>
    </row>
    <row r="2354" spans="1:3" ht="15">
      <c r="A2354" s="84" t="s">
        <v>399</v>
      </c>
      <c r="B2354" s="83" t="s">
        <v>3214</v>
      </c>
      <c r="C2354" s="91" t="s">
        <v>1327</v>
      </c>
    </row>
    <row r="2355" spans="1:3" ht="15">
      <c r="A2355" s="84" t="s">
        <v>399</v>
      </c>
      <c r="B2355" s="83" t="s">
        <v>3368</v>
      </c>
      <c r="C2355" s="91" t="s">
        <v>1327</v>
      </c>
    </row>
    <row r="2356" spans="1:3" ht="15">
      <c r="A2356" s="84" t="s">
        <v>399</v>
      </c>
      <c r="B2356" s="83" t="s">
        <v>3213</v>
      </c>
      <c r="C2356" s="91" t="s">
        <v>1327</v>
      </c>
    </row>
    <row r="2357" spans="1:3" ht="15">
      <c r="A2357" s="84" t="s">
        <v>399</v>
      </c>
      <c r="B2357" s="83" t="s">
        <v>3258</v>
      </c>
      <c r="C2357" s="91" t="s">
        <v>1327</v>
      </c>
    </row>
    <row r="2358" spans="1:3" ht="15">
      <c r="A2358" s="84" t="s">
        <v>399</v>
      </c>
      <c r="B2358" s="83" t="s">
        <v>3369</v>
      </c>
      <c r="C2358" s="91" t="s">
        <v>1327</v>
      </c>
    </row>
    <row r="2359" spans="1:3" ht="15">
      <c r="A2359" s="84" t="s">
        <v>399</v>
      </c>
      <c r="B2359" s="83" t="s">
        <v>3373</v>
      </c>
      <c r="C2359" s="91" t="s">
        <v>1326</v>
      </c>
    </row>
    <row r="2360" spans="1:3" ht="15">
      <c r="A2360" s="84" t="s">
        <v>399</v>
      </c>
      <c r="B2360" s="83" t="s">
        <v>2861</v>
      </c>
      <c r="C2360" s="91" t="s">
        <v>1326</v>
      </c>
    </row>
    <row r="2361" spans="1:3" ht="15">
      <c r="A2361" s="84" t="s">
        <v>399</v>
      </c>
      <c r="B2361" s="83" t="s">
        <v>2582</v>
      </c>
      <c r="C2361" s="91" t="s">
        <v>1326</v>
      </c>
    </row>
    <row r="2362" spans="1:3" ht="15">
      <c r="A2362" s="84" t="s">
        <v>399</v>
      </c>
      <c r="B2362" s="83" t="s">
        <v>3374</v>
      </c>
      <c r="C2362" s="91" t="s">
        <v>1326</v>
      </c>
    </row>
    <row r="2363" spans="1:3" ht="15">
      <c r="A2363" s="84" t="s">
        <v>399</v>
      </c>
      <c r="B2363" s="83" t="s">
        <v>2736</v>
      </c>
      <c r="C2363" s="91" t="s">
        <v>1326</v>
      </c>
    </row>
    <row r="2364" spans="1:3" ht="15">
      <c r="A2364" s="84" t="s">
        <v>399</v>
      </c>
      <c r="B2364" s="83" t="s">
        <v>3242</v>
      </c>
      <c r="C2364" s="91" t="s">
        <v>1326</v>
      </c>
    </row>
    <row r="2365" spans="1:3" ht="15">
      <c r="A2365" s="84" t="s">
        <v>399</v>
      </c>
      <c r="B2365" s="83" t="s">
        <v>3375</v>
      </c>
      <c r="C2365" s="91" t="s">
        <v>1326</v>
      </c>
    </row>
    <row r="2366" spans="1:3" ht="15">
      <c r="A2366" s="84" t="s">
        <v>399</v>
      </c>
      <c r="B2366" s="83" t="s">
        <v>2648</v>
      </c>
      <c r="C2366" s="91" t="s">
        <v>1326</v>
      </c>
    </row>
    <row r="2367" spans="1:3" ht="15">
      <c r="A2367" s="84" t="s">
        <v>399</v>
      </c>
      <c r="B2367" s="83" t="s">
        <v>2831</v>
      </c>
      <c r="C2367" s="91" t="s">
        <v>1326</v>
      </c>
    </row>
    <row r="2368" spans="1:3" ht="15">
      <c r="A2368" s="84" t="s">
        <v>399</v>
      </c>
      <c r="B2368" s="83" t="s">
        <v>2636</v>
      </c>
      <c r="C2368" s="91" t="s">
        <v>1326</v>
      </c>
    </row>
    <row r="2369" spans="1:3" ht="15">
      <c r="A2369" s="84" t="s">
        <v>399</v>
      </c>
      <c r="B2369" s="83" t="s">
        <v>2863</v>
      </c>
      <c r="C2369" s="91" t="s">
        <v>1326</v>
      </c>
    </row>
    <row r="2370" spans="1:3" ht="15">
      <c r="A2370" s="84" t="s">
        <v>399</v>
      </c>
      <c r="B2370" s="83" t="s">
        <v>2607</v>
      </c>
      <c r="C2370" s="91" t="s">
        <v>1326</v>
      </c>
    </row>
    <row r="2371" spans="1:3" ht="15">
      <c r="A2371" s="84" t="s">
        <v>399</v>
      </c>
      <c r="B2371" s="83" t="s">
        <v>3376</v>
      </c>
      <c r="C2371" s="91" t="s">
        <v>1326</v>
      </c>
    </row>
    <row r="2372" spans="1:3" ht="15">
      <c r="A2372" s="84" t="s">
        <v>399</v>
      </c>
      <c r="B2372" s="83" t="s">
        <v>3377</v>
      </c>
      <c r="C2372" s="91" t="s">
        <v>1326</v>
      </c>
    </row>
    <row r="2373" spans="1:3" ht="15">
      <c r="A2373" s="84" t="s">
        <v>399</v>
      </c>
      <c r="B2373" s="83" t="s">
        <v>2720</v>
      </c>
      <c r="C2373" s="91" t="s">
        <v>1326</v>
      </c>
    </row>
    <row r="2374" spans="1:3" ht="15">
      <c r="A2374" s="84" t="s">
        <v>399</v>
      </c>
      <c r="B2374" s="83" t="s">
        <v>3378</v>
      </c>
      <c r="C2374" s="91" t="s">
        <v>1326</v>
      </c>
    </row>
    <row r="2375" spans="1:3" ht="15">
      <c r="A2375" s="84" t="s">
        <v>399</v>
      </c>
      <c r="B2375" s="83" t="s">
        <v>3184</v>
      </c>
      <c r="C2375" s="91" t="s">
        <v>1326</v>
      </c>
    </row>
    <row r="2376" spans="1:3" ht="15">
      <c r="A2376" s="84" t="s">
        <v>399</v>
      </c>
      <c r="B2376" s="83" t="s">
        <v>2581</v>
      </c>
      <c r="C2376" s="91" t="s">
        <v>1326</v>
      </c>
    </row>
    <row r="2377" spans="1:3" ht="15">
      <c r="A2377" s="84" t="s">
        <v>399</v>
      </c>
      <c r="B2377" s="83" t="s">
        <v>3379</v>
      </c>
      <c r="C2377" s="91" t="s">
        <v>1326</v>
      </c>
    </row>
    <row r="2378" spans="1:3" ht="15">
      <c r="A2378" s="84" t="s">
        <v>399</v>
      </c>
      <c r="B2378" s="83" t="s">
        <v>3380</v>
      </c>
      <c r="C2378" s="91" t="s">
        <v>1326</v>
      </c>
    </row>
    <row r="2379" spans="1:3" ht="15">
      <c r="A2379" s="84" t="s">
        <v>399</v>
      </c>
      <c r="B2379" s="83" t="s">
        <v>3381</v>
      </c>
      <c r="C2379" s="91" t="s">
        <v>1326</v>
      </c>
    </row>
    <row r="2380" spans="1:3" ht="15">
      <c r="A2380" s="84" t="s">
        <v>399</v>
      </c>
      <c r="B2380" s="83" t="s">
        <v>3281</v>
      </c>
      <c r="C2380" s="91" t="s">
        <v>1326</v>
      </c>
    </row>
    <row r="2381" spans="1:3" ht="15">
      <c r="A2381" s="84" t="s">
        <v>399</v>
      </c>
      <c r="B2381" s="83" t="s">
        <v>1597</v>
      </c>
      <c r="C2381" s="91" t="s">
        <v>1326</v>
      </c>
    </row>
    <row r="2382" spans="1:3" ht="15">
      <c r="A2382" s="84" t="s">
        <v>399</v>
      </c>
      <c r="B2382" s="83" t="s">
        <v>3382</v>
      </c>
      <c r="C2382" s="91" t="s">
        <v>1326</v>
      </c>
    </row>
    <row r="2383" spans="1:3" ht="15">
      <c r="A2383" s="84" t="s">
        <v>399</v>
      </c>
      <c r="B2383" s="83" t="s">
        <v>3383</v>
      </c>
      <c r="C2383" s="91" t="s">
        <v>1326</v>
      </c>
    </row>
    <row r="2384" spans="1:3" ht="15">
      <c r="A2384" s="84" t="s">
        <v>399</v>
      </c>
      <c r="B2384" s="83" t="s">
        <v>3384</v>
      </c>
      <c r="C2384" s="91" t="s">
        <v>1326</v>
      </c>
    </row>
    <row r="2385" spans="1:3" ht="15">
      <c r="A2385" s="84" t="s">
        <v>399</v>
      </c>
      <c r="B2385" s="83" t="s">
        <v>3385</v>
      </c>
      <c r="C2385" s="91" t="s">
        <v>1326</v>
      </c>
    </row>
    <row r="2386" spans="1:3" ht="15">
      <c r="A2386" s="84" t="s">
        <v>399</v>
      </c>
      <c r="B2386" s="83" t="s">
        <v>586</v>
      </c>
      <c r="C2386" s="91" t="s">
        <v>1326</v>
      </c>
    </row>
    <row r="2387" spans="1:3" ht="15">
      <c r="A2387" s="84" t="s">
        <v>399</v>
      </c>
      <c r="B2387" s="83" t="s">
        <v>3386</v>
      </c>
      <c r="C2387" s="91" t="s">
        <v>1326</v>
      </c>
    </row>
    <row r="2388" spans="1:3" ht="15">
      <c r="A2388" s="84" t="s">
        <v>399</v>
      </c>
      <c r="B2388" s="83" t="s">
        <v>3298</v>
      </c>
      <c r="C2388" s="91" t="s">
        <v>1326</v>
      </c>
    </row>
    <row r="2389" spans="1:3" ht="15">
      <c r="A2389" s="84" t="s">
        <v>399</v>
      </c>
      <c r="B2389" s="83" t="s">
        <v>2873</v>
      </c>
      <c r="C2389" s="91" t="s">
        <v>1326</v>
      </c>
    </row>
    <row r="2390" spans="1:3" ht="15">
      <c r="A2390" s="84" t="s">
        <v>399</v>
      </c>
      <c r="B2390" s="83" t="s">
        <v>3387</v>
      </c>
      <c r="C2390" s="91" t="s">
        <v>1326</v>
      </c>
    </row>
    <row r="2391" spans="1:3" ht="15">
      <c r="A2391" s="84" t="s">
        <v>397</v>
      </c>
      <c r="B2391" s="83" t="s">
        <v>3268</v>
      </c>
      <c r="C2391" s="91" t="s">
        <v>1324</v>
      </c>
    </row>
    <row r="2392" spans="1:3" ht="15">
      <c r="A2392" s="84" t="s">
        <v>397</v>
      </c>
      <c r="B2392" s="83" t="s">
        <v>3269</v>
      </c>
      <c r="C2392" s="91" t="s">
        <v>1324</v>
      </c>
    </row>
    <row r="2393" spans="1:3" ht="15">
      <c r="A2393" s="84" t="s">
        <v>397</v>
      </c>
      <c r="B2393" s="83" t="s">
        <v>3203</v>
      </c>
      <c r="C2393" s="91" t="s">
        <v>1324</v>
      </c>
    </row>
    <row r="2394" spans="1:3" ht="15">
      <c r="A2394" s="84" t="s">
        <v>397</v>
      </c>
      <c r="B2394" s="83">
        <v>19</v>
      </c>
      <c r="C2394" s="91" t="s">
        <v>1324</v>
      </c>
    </row>
    <row r="2395" spans="1:3" ht="15">
      <c r="A2395" s="84" t="s">
        <v>397</v>
      </c>
      <c r="B2395" s="83" t="s">
        <v>3270</v>
      </c>
      <c r="C2395" s="91" t="s">
        <v>1324</v>
      </c>
    </row>
    <row r="2396" spans="1:3" ht="15">
      <c r="A2396" s="84" t="s">
        <v>397</v>
      </c>
      <c r="B2396" s="83" t="s">
        <v>3271</v>
      </c>
      <c r="C2396" s="91" t="s">
        <v>1324</v>
      </c>
    </row>
    <row r="2397" spans="1:3" ht="15">
      <c r="A2397" s="84" t="s">
        <v>397</v>
      </c>
      <c r="B2397" s="83" t="s">
        <v>3272</v>
      </c>
      <c r="C2397" s="91" t="s">
        <v>1324</v>
      </c>
    </row>
    <row r="2398" spans="1:3" ht="15">
      <c r="A2398" s="84" t="s">
        <v>397</v>
      </c>
      <c r="B2398" s="83" t="s">
        <v>195</v>
      </c>
      <c r="C2398" s="91" t="s">
        <v>1324</v>
      </c>
    </row>
    <row r="2399" spans="1:3" ht="15">
      <c r="A2399" s="84" t="s">
        <v>397</v>
      </c>
      <c r="B2399" s="83" t="s">
        <v>3273</v>
      </c>
      <c r="C2399" s="91" t="s">
        <v>1324</v>
      </c>
    </row>
    <row r="2400" spans="1:3" ht="15">
      <c r="A2400" s="84" t="s">
        <v>397</v>
      </c>
      <c r="B2400" s="83" t="s">
        <v>3199</v>
      </c>
      <c r="C2400" s="91" t="s">
        <v>1324</v>
      </c>
    </row>
    <row r="2401" spans="1:3" ht="15">
      <c r="A2401" s="84" t="s">
        <v>397</v>
      </c>
      <c r="B2401" s="83" t="s">
        <v>3258</v>
      </c>
      <c r="C2401" s="91" t="s">
        <v>1324</v>
      </c>
    </row>
    <row r="2402" spans="1:3" ht="15">
      <c r="A2402" s="84" t="s">
        <v>397</v>
      </c>
      <c r="B2402" s="83" t="s">
        <v>3238</v>
      </c>
      <c r="C2402" s="91" t="s">
        <v>1324</v>
      </c>
    </row>
    <row r="2403" spans="1:3" ht="15">
      <c r="A2403" s="84" t="s">
        <v>397</v>
      </c>
      <c r="B2403" s="83" t="s">
        <v>3274</v>
      </c>
      <c r="C2403" s="91" t="s">
        <v>1324</v>
      </c>
    </row>
    <row r="2404" spans="1:3" ht="15">
      <c r="A2404" s="84" t="s">
        <v>397</v>
      </c>
      <c r="B2404" s="83" t="s">
        <v>3275</v>
      </c>
      <c r="C2404" s="91" t="s">
        <v>1324</v>
      </c>
    </row>
    <row r="2405" spans="1:3" ht="15">
      <c r="A2405" s="84" t="s">
        <v>397</v>
      </c>
      <c r="B2405" s="83" t="s">
        <v>3276</v>
      </c>
      <c r="C2405" s="91" t="s">
        <v>1324</v>
      </c>
    </row>
    <row r="2406" spans="1:3" ht="15">
      <c r="A2406" s="84" t="s">
        <v>397</v>
      </c>
      <c r="B2406" s="83" t="s">
        <v>3277</v>
      </c>
      <c r="C2406" s="91" t="s">
        <v>1324</v>
      </c>
    </row>
    <row r="2407" spans="1:3" ht="15">
      <c r="A2407" s="84" t="s">
        <v>397</v>
      </c>
      <c r="B2407" s="83" t="s">
        <v>3198</v>
      </c>
      <c r="C2407" s="91" t="s">
        <v>1324</v>
      </c>
    </row>
    <row r="2408" spans="1:3" ht="15">
      <c r="A2408" s="84" t="s">
        <v>397</v>
      </c>
      <c r="B2408" s="83" t="s">
        <v>3278</v>
      </c>
      <c r="C2408" s="91" t="s">
        <v>1324</v>
      </c>
    </row>
    <row r="2409" spans="1:3" ht="15">
      <c r="A2409" s="84" t="s">
        <v>397</v>
      </c>
      <c r="B2409" s="83" t="s">
        <v>420</v>
      </c>
      <c r="C2409" s="91" t="s">
        <v>1324</v>
      </c>
    </row>
    <row r="2410" spans="1:3" ht="15">
      <c r="A2410" s="84" t="s">
        <v>397</v>
      </c>
      <c r="B2410" s="83" t="s">
        <v>3304</v>
      </c>
      <c r="C2410" s="91" t="s">
        <v>1323</v>
      </c>
    </row>
    <row r="2411" spans="1:3" ht="15">
      <c r="A2411" s="84" t="s">
        <v>397</v>
      </c>
      <c r="B2411" s="83" t="s">
        <v>2716</v>
      </c>
      <c r="C2411" s="91" t="s">
        <v>1323</v>
      </c>
    </row>
    <row r="2412" spans="1:3" ht="15">
      <c r="A2412" s="84" t="s">
        <v>397</v>
      </c>
      <c r="B2412" s="83" t="s">
        <v>3205</v>
      </c>
      <c r="C2412" s="91" t="s">
        <v>1323</v>
      </c>
    </row>
    <row r="2413" spans="1:3" ht="15">
      <c r="A2413" s="84" t="s">
        <v>397</v>
      </c>
      <c r="B2413" s="83" t="s">
        <v>2672</v>
      </c>
      <c r="C2413" s="91" t="s">
        <v>1323</v>
      </c>
    </row>
    <row r="2414" spans="1:3" ht="15">
      <c r="A2414" s="84" t="s">
        <v>397</v>
      </c>
      <c r="B2414" s="83" t="s">
        <v>2809</v>
      </c>
      <c r="C2414" s="91" t="s">
        <v>1323</v>
      </c>
    </row>
    <row r="2415" spans="1:3" ht="15">
      <c r="A2415" s="84" t="s">
        <v>397</v>
      </c>
      <c r="B2415" s="83" t="s">
        <v>2810</v>
      </c>
      <c r="C2415" s="91" t="s">
        <v>1323</v>
      </c>
    </row>
    <row r="2416" spans="1:3" ht="15">
      <c r="A2416" s="84" t="s">
        <v>397</v>
      </c>
      <c r="B2416" s="83" t="s">
        <v>2811</v>
      </c>
      <c r="C2416" s="91" t="s">
        <v>1323</v>
      </c>
    </row>
    <row r="2417" spans="1:3" ht="15">
      <c r="A2417" s="84" t="s">
        <v>397</v>
      </c>
      <c r="B2417" s="83" t="s">
        <v>2576</v>
      </c>
      <c r="C2417" s="91" t="s">
        <v>1323</v>
      </c>
    </row>
    <row r="2418" spans="1:3" ht="15">
      <c r="A2418" s="84" t="s">
        <v>397</v>
      </c>
      <c r="B2418" s="83" t="s">
        <v>2589</v>
      </c>
      <c r="C2418" s="91" t="s">
        <v>1323</v>
      </c>
    </row>
    <row r="2419" spans="1:3" ht="15">
      <c r="A2419" s="84" t="s">
        <v>397</v>
      </c>
      <c r="B2419" s="83" t="s">
        <v>2812</v>
      </c>
      <c r="C2419" s="91" t="s">
        <v>1323</v>
      </c>
    </row>
    <row r="2420" spans="1:3" ht="15">
      <c r="A2420" s="84" t="s">
        <v>397</v>
      </c>
      <c r="B2420" s="83" t="s">
        <v>2668</v>
      </c>
      <c r="C2420" s="91" t="s">
        <v>1323</v>
      </c>
    </row>
    <row r="2421" spans="1:3" ht="15">
      <c r="A2421" s="84" t="s">
        <v>397</v>
      </c>
      <c r="B2421" s="83" t="s">
        <v>2814</v>
      </c>
      <c r="C2421" s="91" t="s">
        <v>1323</v>
      </c>
    </row>
    <row r="2422" spans="1:3" ht="15">
      <c r="A2422" s="84" t="s">
        <v>397</v>
      </c>
      <c r="B2422" s="83" t="s">
        <v>3305</v>
      </c>
      <c r="C2422" s="91" t="s">
        <v>1323</v>
      </c>
    </row>
    <row r="2423" spans="1:3" ht="15">
      <c r="A2423" s="84" t="s">
        <v>397</v>
      </c>
      <c r="B2423" s="83" t="s">
        <v>3306</v>
      </c>
      <c r="C2423" s="91" t="s">
        <v>1323</v>
      </c>
    </row>
    <row r="2424" spans="1:3" ht="15">
      <c r="A2424" s="84" t="s">
        <v>397</v>
      </c>
      <c r="B2424" s="83" t="s">
        <v>3290</v>
      </c>
      <c r="C2424" s="91" t="s">
        <v>1323</v>
      </c>
    </row>
    <row r="2425" spans="1:3" ht="15">
      <c r="A2425" s="84" t="s">
        <v>397</v>
      </c>
      <c r="B2425" s="83" t="s">
        <v>3213</v>
      </c>
      <c r="C2425" s="91" t="s">
        <v>1323</v>
      </c>
    </row>
    <row r="2426" spans="1:3" ht="15">
      <c r="A2426" s="84" t="s">
        <v>397</v>
      </c>
      <c r="B2426" s="83" t="s">
        <v>3291</v>
      </c>
      <c r="C2426" s="91" t="s">
        <v>1323</v>
      </c>
    </row>
    <row r="2427" spans="1:3" ht="15">
      <c r="A2427" s="84" t="s">
        <v>397</v>
      </c>
      <c r="B2427" s="83" t="s">
        <v>3292</v>
      </c>
      <c r="C2427" s="91" t="s">
        <v>1323</v>
      </c>
    </row>
    <row r="2428" spans="1:3" ht="15">
      <c r="A2428" s="84" t="s">
        <v>397</v>
      </c>
      <c r="B2428" s="83" t="s">
        <v>3307</v>
      </c>
      <c r="C2428" s="91" t="s">
        <v>1323</v>
      </c>
    </row>
    <row r="2429" spans="1:3" ht="15">
      <c r="A2429" s="84" t="s">
        <v>397</v>
      </c>
      <c r="B2429" s="83" t="s">
        <v>2179</v>
      </c>
      <c r="C2429" s="91" t="s">
        <v>1323</v>
      </c>
    </row>
    <row r="2430" spans="1:3" ht="15">
      <c r="A2430" s="84" t="s">
        <v>397</v>
      </c>
      <c r="B2430" s="83" t="s">
        <v>3301</v>
      </c>
      <c r="C2430" s="91" t="s">
        <v>1323</v>
      </c>
    </row>
    <row r="2431" spans="1:3" ht="15">
      <c r="A2431" s="84" t="s">
        <v>397</v>
      </c>
      <c r="B2431" s="83" t="s">
        <v>3302</v>
      </c>
      <c r="C2431" s="91" t="s">
        <v>1323</v>
      </c>
    </row>
    <row r="2432" spans="1:3" ht="15">
      <c r="A2432" s="84" t="s">
        <v>397</v>
      </c>
      <c r="B2432" s="83" t="s">
        <v>3303</v>
      </c>
      <c r="C2432" s="91" t="s">
        <v>1323</v>
      </c>
    </row>
    <row r="2433" spans="1:3" ht="15">
      <c r="A2433" s="84" t="s">
        <v>397</v>
      </c>
      <c r="B2433" s="83" t="s">
        <v>3199</v>
      </c>
      <c r="C2433" s="91" t="s">
        <v>1323</v>
      </c>
    </row>
    <row r="2434" spans="1:3" ht="15">
      <c r="A2434" s="84" t="s">
        <v>397</v>
      </c>
      <c r="B2434" s="83" t="s">
        <v>3294</v>
      </c>
      <c r="C2434" s="91" t="s">
        <v>1323</v>
      </c>
    </row>
    <row r="2435" spans="1:3" ht="15">
      <c r="A2435" s="84" t="s">
        <v>397</v>
      </c>
      <c r="B2435" s="83" t="s">
        <v>3295</v>
      </c>
      <c r="C2435" s="91" t="s">
        <v>1323</v>
      </c>
    </row>
    <row r="2436" spans="1:3" ht="15">
      <c r="A2436" s="84" t="s">
        <v>397</v>
      </c>
      <c r="B2436" s="83" t="s">
        <v>3237</v>
      </c>
      <c r="C2436" s="91" t="s">
        <v>1323</v>
      </c>
    </row>
    <row r="2437" spans="1:3" ht="15">
      <c r="A2437" s="84" t="s">
        <v>397</v>
      </c>
      <c r="B2437" s="83" t="s">
        <v>3296</v>
      </c>
      <c r="C2437" s="91" t="s">
        <v>1323</v>
      </c>
    </row>
    <row r="2438" spans="1:3" ht="15">
      <c r="A2438" s="84" t="s">
        <v>397</v>
      </c>
      <c r="B2438" s="83" t="s">
        <v>3297</v>
      </c>
      <c r="C2438" s="91" t="s">
        <v>1323</v>
      </c>
    </row>
    <row r="2439" spans="1:3" ht="15">
      <c r="A2439" s="84" t="s">
        <v>397</v>
      </c>
      <c r="B2439" s="83" t="s">
        <v>3218</v>
      </c>
      <c r="C2439" s="91" t="s">
        <v>1323</v>
      </c>
    </row>
    <row r="2440" spans="1:3" ht="15">
      <c r="A2440" s="84" t="s">
        <v>397</v>
      </c>
      <c r="B2440" s="83" t="s">
        <v>3293</v>
      </c>
      <c r="C2440" s="91" t="s">
        <v>1323</v>
      </c>
    </row>
    <row r="2441" spans="1:3" ht="15">
      <c r="A2441" s="84" t="s">
        <v>397</v>
      </c>
      <c r="B2441" s="83" t="s">
        <v>3298</v>
      </c>
      <c r="C2441" s="91" t="s">
        <v>1323</v>
      </c>
    </row>
    <row r="2442" spans="1:3" ht="15">
      <c r="A2442" s="84" t="s">
        <v>397</v>
      </c>
      <c r="B2442" s="83" t="s">
        <v>3299</v>
      </c>
      <c r="C2442" s="91" t="s">
        <v>1323</v>
      </c>
    </row>
    <row r="2443" spans="1:3" ht="15">
      <c r="A2443" s="84" t="s">
        <v>397</v>
      </c>
      <c r="B2443" s="83" t="s">
        <v>3267</v>
      </c>
      <c r="C2443" s="91" t="s">
        <v>1322</v>
      </c>
    </row>
    <row r="2444" spans="1:3" ht="15">
      <c r="A2444" s="84" t="s">
        <v>397</v>
      </c>
      <c r="B2444" s="83" t="s">
        <v>2581</v>
      </c>
      <c r="C2444" s="91" t="s">
        <v>1322</v>
      </c>
    </row>
    <row r="2445" spans="1:3" ht="15">
      <c r="A2445" s="84" t="s">
        <v>397</v>
      </c>
      <c r="B2445" s="83" t="s">
        <v>2586</v>
      </c>
      <c r="C2445" s="91" t="s">
        <v>1322</v>
      </c>
    </row>
    <row r="2446" spans="1:3" ht="15">
      <c r="A2446" s="84" t="s">
        <v>397</v>
      </c>
      <c r="B2446" s="83" t="s">
        <v>2595</v>
      </c>
      <c r="C2446" s="91" t="s">
        <v>1322</v>
      </c>
    </row>
    <row r="2447" spans="1:3" ht="15">
      <c r="A2447" s="84" t="s">
        <v>397</v>
      </c>
      <c r="B2447" s="83" t="s">
        <v>2568</v>
      </c>
      <c r="C2447" s="91" t="s">
        <v>1322</v>
      </c>
    </row>
    <row r="2448" spans="1:3" ht="15">
      <c r="A2448" s="84" t="s">
        <v>397</v>
      </c>
      <c r="B2448" s="83" t="s">
        <v>2592</v>
      </c>
      <c r="C2448" s="91" t="s">
        <v>1322</v>
      </c>
    </row>
    <row r="2449" spans="1:3" ht="15">
      <c r="A2449" s="84" t="s">
        <v>397</v>
      </c>
      <c r="B2449" s="83" t="s">
        <v>3213</v>
      </c>
      <c r="C2449" s="91" t="s">
        <v>1322</v>
      </c>
    </row>
    <row r="2450" spans="1:3" ht="15">
      <c r="A2450" s="84" t="s">
        <v>397</v>
      </c>
      <c r="B2450" s="83" t="s">
        <v>2576</v>
      </c>
      <c r="C2450" s="91" t="s">
        <v>1322</v>
      </c>
    </row>
    <row r="2451" spans="1:3" ht="15">
      <c r="A2451" s="84" t="s">
        <v>397</v>
      </c>
      <c r="B2451" s="83" t="s">
        <v>3229</v>
      </c>
      <c r="C2451" s="91" t="s">
        <v>1322</v>
      </c>
    </row>
    <row r="2452" spans="1:3" ht="15">
      <c r="A2452" s="84" t="s">
        <v>397</v>
      </c>
      <c r="B2452" s="83" t="s">
        <v>3230</v>
      </c>
      <c r="C2452" s="91" t="s">
        <v>1322</v>
      </c>
    </row>
    <row r="2453" spans="1:3" ht="15">
      <c r="A2453" s="84" t="s">
        <v>397</v>
      </c>
      <c r="B2453" s="83" t="s">
        <v>2598</v>
      </c>
      <c r="C2453" s="91" t="s">
        <v>1322</v>
      </c>
    </row>
    <row r="2454" spans="1:3" ht="15">
      <c r="A2454" s="84" t="s">
        <v>397</v>
      </c>
      <c r="B2454" s="83" t="s">
        <v>3231</v>
      </c>
      <c r="C2454" s="91" t="s">
        <v>1322</v>
      </c>
    </row>
    <row r="2455" spans="1:3" ht="15">
      <c r="A2455" s="84" t="s">
        <v>397</v>
      </c>
      <c r="B2455" s="83" t="s">
        <v>3232</v>
      </c>
      <c r="C2455" s="91" t="s">
        <v>1322</v>
      </c>
    </row>
    <row r="2456" spans="1:3" ht="15">
      <c r="A2456" s="84" t="s">
        <v>397</v>
      </c>
      <c r="B2456" s="83" t="s">
        <v>3233</v>
      </c>
      <c r="C2456" s="91" t="s">
        <v>1322</v>
      </c>
    </row>
    <row r="2457" spans="1:3" ht="15">
      <c r="A2457" s="84" t="s">
        <v>397</v>
      </c>
      <c r="B2457" s="83" t="s">
        <v>3211</v>
      </c>
      <c r="C2457" s="91" t="s">
        <v>1322</v>
      </c>
    </row>
    <row r="2458" spans="1:3" ht="15">
      <c r="A2458" s="84" t="s">
        <v>397</v>
      </c>
      <c r="B2458" s="83" t="s">
        <v>3199</v>
      </c>
      <c r="C2458" s="91" t="s">
        <v>1322</v>
      </c>
    </row>
    <row r="2459" spans="1:3" ht="15">
      <c r="A2459" s="84" t="s">
        <v>397</v>
      </c>
      <c r="B2459" s="83" t="s">
        <v>3218</v>
      </c>
      <c r="C2459" s="91" t="s">
        <v>1322</v>
      </c>
    </row>
    <row r="2460" spans="1:3" ht="15">
      <c r="A2460" s="84" t="s">
        <v>397</v>
      </c>
      <c r="B2460" s="83" t="s">
        <v>3234</v>
      </c>
      <c r="C2460" s="91" t="s">
        <v>1322</v>
      </c>
    </row>
    <row r="2461" spans="1:3" ht="15">
      <c r="A2461" s="84" t="s">
        <v>397</v>
      </c>
      <c r="B2461" s="83" t="s">
        <v>3235</v>
      </c>
      <c r="C2461" s="91" t="s">
        <v>1322</v>
      </c>
    </row>
    <row r="2462" spans="1:3" ht="15">
      <c r="A2462" s="84" t="s">
        <v>397</v>
      </c>
      <c r="B2462" s="83" t="s">
        <v>3236</v>
      </c>
      <c r="C2462" s="91" t="s">
        <v>1322</v>
      </c>
    </row>
    <row r="2463" spans="1:3" ht="15">
      <c r="A2463" s="84" t="s">
        <v>397</v>
      </c>
      <c r="B2463" s="83" t="s">
        <v>3237</v>
      </c>
      <c r="C2463" s="91" t="s">
        <v>1322</v>
      </c>
    </row>
    <row r="2464" spans="1:3" ht="15">
      <c r="A2464" s="84" t="s">
        <v>397</v>
      </c>
      <c r="B2464" s="83" t="s">
        <v>3238</v>
      </c>
      <c r="C2464" s="91" t="s">
        <v>1322</v>
      </c>
    </row>
    <row r="2465" spans="1:3" ht="15">
      <c r="A2465" s="84" t="s">
        <v>397</v>
      </c>
      <c r="B2465" s="83" t="s">
        <v>3239</v>
      </c>
      <c r="C2465" s="91" t="s">
        <v>1322</v>
      </c>
    </row>
    <row r="2466" spans="1:3" ht="15">
      <c r="A2466" s="84" t="s">
        <v>397</v>
      </c>
      <c r="B2466" s="83" t="s">
        <v>3240</v>
      </c>
      <c r="C2466" s="91" t="s">
        <v>1322</v>
      </c>
    </row>
    <row r="2467" spans="1:3" ht="15">
      <c r="A2467" s="84" t="s">
        <v>397</v>
      </c>
      <c r="B2467" s="83" t="s">
        <v>3241</v>
      </c>
      <c r="C2467" s="91" t="s">
        <v>1322</v>
      </c>
    </row>
    <row r="2468" spans="1:3" ht="15">
      <c r="A2468" s="84" t="s">
        <v>397</v>
      </c>
      <c r="B2468" s="83" t="s">
        <v>3242</v>
      </c>
      <c r="C2468" s="91" t="s">
        <v>1322</v>
      </c>
    </row>
    <row r="2469" spans="1:3" ht="15">
      <c r="A2469" s="84" t="s">
        <v>397</v>
      </c>
      <c r="B2469" s="83" t="s">
        <v>2767</v>
      </c>
      <c r="C2469" s="91" t="s">
        <v>1322</v>
      </c>
    </row>
    <row r="2470" spans="1:3" ht="15">
      <c r="A2470" s="84" t="s">
        <v>397</v>
      </c>
      <c r="B2470" s="83" t="s">
        <v>3243</v>
      </c>
      <c r="C2470" s="91" t="s">
        <v>1322</v>
      </c>
    </row>
    <row r="2471" spans="1:3" ht="15">
      <c r="A2471" s="84" t="s">
        <v>397</v>
      </c>
      <c r="B2471" s="83" t="s">
        <v>3244</v>
      </c>
      <c r="C2471" s="91" t="s">
        <v>1322</v>
      </c>
    </row>
    <row r="2472" spans="1:3" ht="15">
      <c r="A2472" s="84" t="s">
        <v>397</v>
      </c>
      <c r="B2472" s="83" t="s">
        <v>3223</v>
      </c>
      <c r="C2472" s="91" t="s">
        <v>1322</v>
      </c>
    </row>
    <row r="2473" spans="1:3" ht="15">
      <c r="A2473" s="84" t="s">
        <v>396</v>
      </c>
      <c r="B2473" s="83" t="s">
        <v>3268</v>
      </c>
      <c r="C2473" s="91" t="s">
        <v>1321</v>
      </c>
    </row>
    <row r="2474" spans="1:3" ht="15">
      <c r="A2474" s="84" t="s">
        <v>396</v>
      </c>
      <c r="B2474" s="83" t="s">
        <v>3269</v>
      </c>
      <c r="C2474" s="91" t="s">
        <v>1321</v>
      </c>
    </row>
    <row r="2475" spans="1:3" ht="15">
      <c r="A2475" s="84" t="s">
        <v>396</v>
      </c>
      <c r="B2475" s="83" t="s">
        <v>3203</v>
      </c>
      <c r="C2475" s="91" t="s">
        <v>1321</v>
      </c>
    </row>
    <row r="2476" spans="1:3" ht="15">
      <c r="A2476" s="84" t="s">
        <v>396</v>
      </c>
      <c r="B2476" s="83">
        <v>19</v>
      </c>
      <c r="C2476" s="91" t="s">
        <v>1321</v>
      </c>
    </row>
    <row r="2477" spans="1:3" ht="15">
      <c r="A2477" s="84" t="s">
        <v>396</v>
      </c>
      <c r="B2477" s="83" t="s">
        <v>3270</v>
      </c>
      <c r="C2477" s="91" t="s">
        <v>1321</v>
      </c>
    </row>
    <row r="2478" spans="1:3" ht="15">
      <c r="A2478" s="84" t="s">
        <v>396</v>
      </c>
      <c r="B2478" s="83" t="s">
        <v>3271</v>
      </c>
      <c r="C2478" s="91" t="s">
        <v>1321</v>
      </c>
    </row>
    <row r="2479" spans="1:3" ht="15">
      <c r="A2479" s="84" t="s">
        <v>396</v>
      </c>
      <c r="B2479" s="83" t="s">
        <v>3272</v>
      </c>
      <c r="C2479" s="91" t="s">
        <v>1321</v>
      </c>
    </row>
    <row r="2480" spans="1:3" ht="15">
      <c r="A2480" s="84" t="s">
        <v>396</v>
      </c>
      <c r="B2480" s="83" t="s">
        <v>195</v>
      </c>
      <c r="C2480" s="91" t="s">
        <v>1321</v>
      </c>
    </row>
    <row r="2481" spans="1:3" ht="15">
      <c r="A2481" s="84" t="s">
        <v>396</v>
      </c>
      <c r="B2481" s="83" t="s">
        <v>3273</v>
      </c>
      <c r="C2481" s="91" t="s">
        <v>1321</v>
      </c>
    </row>
    <row r="2482" spans="1:3" ht="15">
      <c r="A2482" s="84" t="s">
        <v>396</v>
      </c>
      <c r="B2482" s="83" t="s">
        <v>3199</v>
      </c>
      <c r="C2482" s="91" t="s">
        <v>1321</v>
      </c>
    </row>
    <row r="2483" spans="1:3" ht="15">
      <c r="A2483" s="84" t="s">
        <v>396</v>
      </c>
      <c r="B2483" s="83" t="s">
        <v>3258</v>
      </c>
      <c r="C2483" s="91" t="s">
        <v>1321</v>
      </c>
    </row>
    <row r="2484" spans="1:3" ht="15">
      <c r="A2484" s="84" t="s">
        <v>396</v>
      </c>
      <c r="B2484" s="83" t="s">
        <v>3238</v>
      </c>
      <c r="C2484" s="91" t="s">
        <v>1321</v>
      </c>
    </row>
    <row r="2485" spans="1:3" ht="15">
      <c r="A2485" s="84" t="s">
        <v>396</v>
      </c>
      <c r="B2485" s="83" t="s">
        <v>3274</v>
      </c>
      <c r="C2485" s="91" t="s">
        <v>1321</v>
      </c>
    </row>
    <row r="2486" spans="1:3" ht="15">
      <c r="A2486" s="84" t="s">
        <v>396</v>
      </c>
      <c r="B2486" s="83" t="s">
        <v>3275</v>
      </c>
      <c r="C2486" s="91" t="s">
        <v>1321</v>
      </c>
    </row>
    <row r="2487" spans="1:3" ht="15">
      <c r="A2487" s="84" t="s">
        <v>396</v>
      </c>
      <c r="B2487" s="83" t="s">
        <v>3276</v>
      </c>
      <c r="C2487" s="91" t="s">
        <v>1321</v>
      </c>
    </row>
    <row r="2488" spans="1:3" ht="15">
      <c r="A2488" s="84" t="s">
        <v>396</v>
      </c>
      <c r="B2488" s="83" t="s">
        <v>3277</v>
      </c>
      <c r="C2488" s="91" t="s">
        <v>1321</v>
      </c>
    </row>
    <row r="2489" spans="1:3" ht="15">
      <c r="A2489" s="84" t="s">
        <v>396</v>
      </c>
      <c r="B2489" s="83" t="s">
        <v>3198</v>
      </c>
      <c r="C2489" s="91" t="s">
        <v>1321</v>
      </c>
    </row>
    <row r="2490" spans="1:3" ht="15">
      <c r="A2490" s="84" t="s">
        <v>396</v>
      </c>
      <c r="B2490" s="83" t="s">
        <v>3278</v>
      </c>
      <c r="C2490" s="91" t="s">
        <v>1321</v>
      </c>
    </row>
    <row r="2491" spans="1:3" ht="15">
      <c r="A2491" s="84" t="s">
        <v>396</v>
      </c>
      <c r="B2491" s="83" t="s">
        <v>420</v>
      </c>
      <c r="C2491" s="91" t="s">
        <v>1321</v>
      </c>
    </row>
    <row r="2492" spans="1:3" ht="15">
      <c r="A2492" s="84" t="s">
        <v>396</v>
      </c>
      <c r="B2492" s="83" t="s">
        <v>3245</v>
      </c>
      <c r="C2492" s="91" t="s">
        <v>1320</v>
      </c>
    </row>
    <row r="2493" spans="1:3" ht="15">
      <c r="A2493" s="84" t="s">
        <v>396</v>
      </c>
      <c r="B2493" s="83" t="s">
        <v>2767</v>
      </c>
      <c r="C2493" s="91" t="s">
        <v>1320</v>
      </c>
    </row>
    <row r="2494" spans="1:3" ht="15">
      <c r="A2494" s="84" t="s">
        <v>396</v>
      </c>
      <c r="B2494" s="83" t="s">
        <v>2817</v>
      </c>
      <c r="C2494" s="91" t="s">
        <v>1320</v>
      </c>
    </row>
    <row r="2495" spans="1:3" ht="15">
      <c r="A2495" s="84" t="s">
        <v>396</v>
      </c>
      <c r="B2495" s="83" t="s">
        <v>2773</v>
      </c>
      <c r="C2495" s="91" t="s">
        <v>1320</v>
      </c>
    </row>
    <row r="2496" spans="1:3" ht="15">
      <c r="A2496" s="84" t="s">
        <v>396</v>
      </c>
      <c r="B2496" s="83" t="s">
        <v>2568</v>
      </c>
      <c r="C2496" s="91" t="s">
        <v>1320</v>
      </c>
    </row>
    <row r="2497" spans="1:3" ht="15">
      <c r="A2497" s="84" t="s">
        <v>396</v>
      </c>
      <c r="B2497" s="83" t="s">
        <v>2818</v>
      </c>
      <c r="C2497" s="91" t="s">
        <v>1320</v>
      </c>
    </row>
    <row r="2498" spans="1:3" ht="15">
      <c r="A2498" s="84" t="s">
        <v>396</v>
      </c>
      <c r="B2498" s="83" t="s">
        <v>2819</v>
      </c>
      <c r="C2498" s="91" t="s">
        <v>1320</v>
      </c>
    </row>
    <row r="2499" spans="1:3" ht="15">
      <c r="A2499" s="84" t="s">
        <v>396</v>
      </c>
      <c r="B2499" s="83" t="s">
        <v>2607</v>
      </c>
      <c r="C2499" s="91" t="s">
        <v>1320</v>
      </c>
    </row>
    <row r="2500" spans="1:3" ht="15">
      <c r="A2500" s="84" t="s">
        <v>396</v>
      </c>
      <c r="B2500" s="83" t="s">
        <v>2820</v>
      </c>
      <c r="C2500" s="91" t="s">
        <v>1320</v>
      </c>
    </row>
    <row r="2501" spans="1:3" ht="15">
      <c r="A2501" s="84" t="s">
        <v>396</v>
      </c>
      <c r="B2501" s="83" t="s">
        <v>2743</v>
      </c>
      <c r="C2501" s="91" t="s">
        <v>1320</v>
      </c>
    </row>
    <row r="2502" spans="1:3" ht="15">
      <c r="A2502" s="84" t="s">
        <v>396</v>
      </c>
      <c r="B2502" s="83" t="s">
        <v>2821</v>
      </c>
      <c r="C2502" s="91" t="s">
        <v>1320</v>
      </c>
    </row>
    <row r="2503" spans="1:3" ht="15">
      <c r="A2503" s="84" t="s">
        <v>396</v>
      </c>
      <c r="B2503" s="83" t="s">
        <v>2577</v>
      </c>
      <c r="C2503" s="91" t="s">
        <v>1320</v>
      </c>
    </row>
    <row r="2504" spans="1:3" ht="15">
      <c r="A2504" s="84" t="s">
        <v>396</v>
      </c>
      <c r="B2504" s="83" t="s">
        <v>2822</v>
      </c>
      <c r="C2504" s="91" t="s">
        <v>1320</v>
      </c>
    </row>
    <row r="2505" spans="1:3" ht="15">
      <c r="A2505" s="84" t="s">
        <v>396</v>
      </c>
      <c r="B2505" s="83" t="s">
        <v>2823</v>
      </c>
      <c r="C2505" s="91" t="s">
        <v>1320</v>
      </c>
    </row>
    <row r="2506" spans="1:3" ht="15">
      <c r="A2506" s="84" t="s">
        <v>396</v>
      </c>
      <c r="B2506" s="83" t="s">
        <v>2824</v>
      </c>
      <c r="C2506" s="91" t="s">
        <v>1320</v>
      </c>
    </row>
    <row r="2507" spans="1:3" ht="15">
      <c r="A2507" s="84" t="s">
        <v>396</v>
      </c>
      <c r="B2507" s="83" t="s">
        <v>2694</v>
      </c>
      <c r="C2507" s="91" t="s">
        <v>1320</v>
      </c>
    </row>
    <row r="2508" spans="1:3" ht="15">
      <c r="A2508" s="84" t="s">
        <v>396</v>
      </c>
      <c r="B2508" s="83" t="s">
        <v>2636</v>
      </c>
      <c r="C2508" s="91" t="s">
        <v>1320</v>
      </c>
    </row>
    <row r="2509" spans="1:3" ht="15">
      <c r="A2509" s="84" t="s">
        <v>396</v>
      </c>
      <c r="B2509" s="83" t="s">
        <v>2825</v>
      </c>
      <c r="C2509" s="91" t="s">
        <v>1320</v>
      </c>
    </row>
    <row r="2510" spans="1:3" ht="15">
      <c r="A2510" s="84" t="s">
        <v>396</v>
      </c>
      <c r="B2510" s="83" t="s">
        <v>2665</v>
      </c>
      <c r="C2510" s="91" t="s">
        <v>1320</v>
      </c>
    </row>
    <row r="2511" spans="1:3" ht="15">
      <c r="A2511" s="84" t="s">
        <v>396</v>
      </c>
      <c r="B2511" s="83" t="s">
        <v>2826</v>
      </c>
      <c r="C2511" s="91" t="s">
        <v>1320</v>
      </c>
    </row>
    <row r="2512" spans="1:3" ht="15">
      <c r="A2512" s="84" t="s">
        <v>396</v>
      </c>
      <c r="B2512" s="83" t="s">
        <v>2827</v>
      </c>
      <c r="C2512" s="91" t="s">
        <v>1320</v>
      </c>
    </row>
    <row r="2513" spans="1:3" ht="15">
      <c r="A2513" s="84" t="s">
        <v>396</v>
      </c>
      <c r="B2513" s="83" t="s">
        <v>2895</v>
      </c>
      <c r="C2513" s="91" t="s">
        <v>1320</v>
      </c>
    </row>
    <row r="2514" spans="1:3" ht="15">
      <c r="A2514" s="84" t="s">
        <v>396</v>
      </c>
      <c r="B2514" s="83" t="s">
        <v>2569</v>
      </c>
      <c r="C2514" s="91" t="s">
        <v>1320</v>
      </c>
    </row>
    <row r="2515" spans="1:3" ht="15">
      <c r="A2515" s="84" t="s">
        <v>396</v>
      </c>
      <c r="B2515" s="83" t="s">
        <v>3365</v>
      </c>
      <c r="C2515" s="91" t="s">
        <v>1320</v>
      </c>
    </row>
    <row r="2516" spans="1:3" ht="15">
      <c r="A2516" s="84" t="s">
        <v>396</v>
      </c>
      <c r="B2516" s="83" t="s">
        <v>3366</v>
      </c>
      <c r="C2516" s="91" t="s">
        <v>1320</v>
      </c>
    </row>
    <row r="2517" spans="1:3" ht="15">
      <c r="A2517" s="84" t="s">
        <v>396</v>
      </c>
      <c r="B2517" s="83" t="s">
        <v>3367</v>
      </c>
      <c r="C2517" s="91" t="s">
        <v>1320</v>
      </c>
    </row>
    <row r="2518" spans="1:3" ht="15">
      <c r="A2518" s="84" t="s">
        <v>396</v>
      </c>
      <c r="B2518" s="83" t="s">
        <v>3199</v>
      </c>
      <c r="C2518" s="91" t="s">
        <v>1320</v>
      </c>
    </row>
    <row r="2519" spans="1:3" ht="15">
      <c r="A2519" s="84" t="s">
        <v>396</v>
      </c>
      <c r="B2519" s="83" t="s">
        <v>3238</v>
      </c>
      <c r="C2519" s="91" t="s">
        <v>1320</v>
      </c>
    </row>
    <row r="2520" spans="1:3" ht="15">
      <c r="A2520" s="84" t="s">
        <v>396</v>
      </c>
      <c r="B2520" s="83" t="s">
        <v>3214</v>
      </c>
      <c r="C2520" s="91" t="s">
        <v>1320</v>
      </c>
    </row>
    <row r="2521" spans="1:3" ht="15">
      <c r="A2521" s="84" t="s">
        <v>396</v>
      </c>
      <c r="B2521" s="83" t="s">
        <v>3368</v>
      </c>
      <c r="C2521" s="91" t="s">
        <v>1320</v>
      </c>
    </row>
    <row r="2522" spans="1:3" ht="15">
      <c r="A2522" s="84" t="s">
        <v>396</v>
      </c>
      <c r="B2522" s="83" t="s">
        <v>3213</v>
      </c>
      <c r="C2522" s="91" t="s">
        <v>1320</v>
      </c>
    </row>
    <row r="2523" spans="1:3" ht="15">
      <c r="A2523" s="84" t="s">
        <v>396</v>
      </c>
      <c r="B2523" s="83" t="s">
        <v>3258</v>
      </c>
      <c r="C2523" s="91" t="s">
        <v>1320</v>
      </c>
    </row>
    <row r="2524" spans="1:3" ht="15">
      <c r="A2524" s="84" t="s">
        <v>396</v>
      </c>
      <c r="B2524" s="83" t="s">
        <v>3369</v>
      </c>
      <c r="C2524" s="91" t="s">
        <v>1320</v>
      </c>
    </row>
    <row r="2525" spans="1:3" ht="15">
      <c r="A2525" s="84" t="s">
        <v>396</v>
      </c>
      <c r="B2525" s="83" t="s">
        <v>3373</v>
      </c>
      <c r="C2525" s="91" t="s">
        <v>1319</v>
      </c>
    </row>
    <row r="2526" spans="1:3" ht="15">
      <c r="A2526" s="84" t="s">
        <v>396</v>
      </c>
      <c r="B2526" s="83" t="s">
        <v>2861</v>
      </c>
      <c r="C2526" s="91" t="s">
        <v>1319</v>
      </c>
    </row>
    <row r="2527" spans="1:3" ht="15">
      <c r="A2527" s="84" t="s">
        <v>396</v>
      </c>
      <c r="B2527" s="83" t="s">
        <v>2582</v>
      </c>
      <c r="C2527" s="91" t="s">
        <v>1319</v>
      </c>
    </row>
    <row r="2528" spans="1:3" ht="15">
      <c r="A2528" s="84" t="s">
        <v>396</v>
      </c>
      <c r="B2528" s="83" t="s">
        <v>3374</v>
      </c>
      <c r="C2528" s="91" t="s">
        <v>1319</v>
      </c>
    </row>
    <row r="2529" spans="1:3" ht="15">
      <c r="A2529" s="84" t="s">
        <v>396</v>
      </c>
      <c r="B2529" s="83" t="s">
        <v>2736</v>
      </c>
      <c r="C2529" s="91" t="s">
        <v>1319</v>
      </c>
    </row>
    <row r="2530" spans="1:3" ht="15">
      <c r="A2530" s="84" t="s">
        <v>396</v>
      </c>
      <c r="B2530" s="83" t="s">
        <v>3242</v>
      </c>
      <c r="C2530" s="91" t="s">
        <v>1319</v>
      </c>
    </row>
    <row r="2531" spans="1:3" ht="15">
      <c r="A2531" s="84" t="s">
        <v>396</v>
      </c>
      <c r="B2531" s="83" t="s">
        <v>3375</v>
      </c>
      <c r="C2531" s="91" t="s">
        <v>1319</v>
      </c>
    </row>
    <row r="2532" spans="1:3" ht="15">
      <c r="A2532" s="84" t="s">
        <v>396</v>
      </c>
      <c r="B2532" s="83" t="s">
        <v>2648</v>
      </c>
      <c r="C2532" s="91" t="s">
        <v>1319</v>
      </c>
    </row>
    <row r="2533" spans="1:3" ht="15">
      <c r="A2533" s="84" t="s">
        <v>396</v>
      </c>
      <c r="B2533" s="83" t="s">
        <v>2831</v>
      </c>
      <c r="C2533" s="91" t="s">
        <v>1319</v>
      </c>
    </row>
    <row r="2534" spans="1:3" ht="15">
      <c r="A2534" s="84" t="s">
        <v>396</v>
      </c>
      <c r="B2534" s="83" t="s">
        <v>2636</v>
      </c>
      <c r="C2534" s="91" t="s">
        <v>1319</v>
      </c>
    </row>
    <row r="2535" spans="1:3" ht="15">
      <c r="A2535" s="84" t="s">
        <v>396</v>
      </c>
      <c r="B2535" s="83" t="s">
        <v>2863</v>
      </c>
      <c r="C2535" s="91" t="s">
        <v>1319</v>
      </c>
    </row>
    <row r="2536" spans="1:3" ht="15">
      <c r="A2536" s="84" t="s">
        <v>396</v>
      </c>
      <c r="B2536" s="83" t="s">
        <v>2607</v>
      </c>
      <c r="C2536" s="91" t="s">
        <v>1319</v>
      </c>
    </row>
    <row r="2537" spans="1:3" ht="15">
      <c r="A2537" s="84" t="s">
        <v>396</v>
      </c>
      <c r="B2537" s="83" t="s">
        <v>3376</v>
      </c>
      <c r="C2537" s="91" t="s">
        <v>1319</v>
      </c>
    </row>
    <row r="2538" spans="1:3" ht="15">
      <c r="A2538" s="84" t="s">
        <v>396</v>
      </c>
      <c r="B2538" s="83" t="s">
        <v>3377</v>
      </c>
      <c r="C2538" s="91" t="s">
        <v>1319</v>
      </c>
    </row>
    <row r="2539" spans="1:3" ht="15">
      <c r="A2539" s="84" t="s">
        <v>396</v>
      </c>
      <c r="B2539" s="83" t="s">
        <v>2720</v>
      </c>
      <c r="C2539" s="91" t="s">
        <v>1319</v>
      </c>
    </row>
    <row r="2540" spans="1:3" ht="15">
      <c r="A2540" s="84" t="s">
        <v>396</v>
      </c>
      <c r="B2540" s="83" t="s">
        <v>3378</v>
      </c>
      <c r="C2540" s="91" t="s">
        <v>1319</v>
      </c>
    </row>
    <row r="2541" spans="1:3" ht="15">
      <c r="A2541" s="84" t="s">
        <v>396</v>
      </c>
      <c r="B2541" s="83" t="s">
        <v>3184</v>
      </c>
      <c r="C2541" s="91" t="s">
        <v>1319</v>
      </c>
    </row>
    <row r="2542" spans="1:3" ht="15">
      <c r="A2542" s="84" t="s">
        <v>396</v>
      </c>
      <c r="B2542" s="83" t="s">
        <v>2581</v>
      </c>
      <c r="C2542" s="91" t="s">
        <v>1319</v>
      </c>
    </row>
    <row r="2543" spans="1:3" ht="15">
      <c r="A2543" s="84" t="s">
        <v>396</v>
      </c>
      <c r="B2543" s="83" t="s">
        <v>3379</v>
      </c>
      <c r="C2543" s="91" t="s">
        <v>1319</v>
      </c>
    </row>
    <row r="2544" spans="1:3" ht="15">
      <c r="A2544" s="84" t="s">
        <v>396</v>
      </c>
      <c r="B2544" s="83" t="s">
        <v>3380</v>
      </c>
      <c r="C2544" s="91" t="s">
        <v>1319</v>
      </c>
    </row>
    <row r="2545" spans="1:3" ht="15">
      <c r="A2545" s="84" t="s">
        <v>396</v>
      </c>
      <c r="B2545" s="83" t="s">
        <v>3381</v>
      </c>
      <c r="C2545" s="91" t="s">
        <v>1319</v>
      </c>
    </row>
    <row r="2546" spans="1:3" ht="15">
      <c r="A2546" s="84" t="s">
        <v>396</v>
      </c>
      <c r="B2546" s="83" t="s">
        <v>3281</v>
      </c>
      <c r="C2546" s="91" t="s">
        <v>1319</v>
      </c>
    </row>
    <row r="2547" spans="1:3" ht="15">
      <c r="A2547" s="84" t="s">
        <v>396</v>
      </c>
      <c r="B2547" s="83" t="s">
        <v>1597</v>
      </c>
      <c r="C2547" s="91" t="s">
        <v>1319</v>
      </c>
    </row>
    <row r="2548" spans="1:3" ht="15">
      <c r="A2548" s="84" t="s">
        <v>396</v>
      </c>
      <c r="B2548" s="83" t="s">
        <v>3382</v>
      </c>
      <c r="C2548" s="91" t="s">
        <v>1319</v>
      </c>
    </row>
    <row r="2549" spans="1:3" ht="15">
      <c r="A2549" s="84" t="s">
        <v>396</v>
      </c>
      <c r="B2549" s="83" t="s">
        <v>3383</v>
      </c>
      <c r="C2549" s="91" t="s">
        <v>1319</v>
      </c>
    </row>
    <row r="2550" spans="1:3" ht="15">
      <c r="A2550" s="84" t="s">
        <v>396</v>
      </c>
      <c r="B2550" s="83" t="s">
        <v>3384</v>
      </c>
      <c r="C2550" s="91" t="s">
        <v>1319</v>
      </c>
    </row>
    <row r="2551" spans="1:3" ht="15">
      <c r="A2551" s="84" t="s">
        <v>396</v>
      </c>
      <c r="B2551" s="83" t="s">
        <v>3385</v>
      </c>
      <c r="C2551" s="91" t="s">
        <v>1319</v>
      </c>
    </row>
    <row r="2552" spans="1:3" ht="15">
      <c r="A2552" s="84" t="s">
        <v>396</v>
      </c>
      <c r="B2552" s="83" t="s">
        <v>586</v>
      </c>
      <c r="C2552" s="91" t="s">
        <v>1319</v>
      </c>
    </row>
    <row r="2553" spans="1:3" ht="15">
      <c r="A2553" s="84" t="s">
        <v>396</v>
      </c>
      <c r="B2553" s="83" t="s">
        <v>3386</v>
      </c>
      <c r="C2553" s="91" t="s">
        <v>1319</v>
      </c>
    </row>
    <row r="2554" spans="1:3" ht="15">
      <c r="A2554" s="84" t="s">
        <v>396</v>
      </c>
      <c r="B2554" s="83" t="s">
        <v>3298</v>
      </c>
      <c r="C2554" s="91" t="s">
        <v>1319</v>
      </c>
    </row>
    <row r="2555" spans="1:3" ht="15">
      <c r="A2555" s="84" t="s">
        <v>396</v>
      </c>
      <c r="B2555" s="83" t="s">
        <v>2873</v>
      </c>
      <c r="C2555" s="91" t="s">
        <v>1319</v>
      </c>
    </row>
    <row r="2556" spans="1:3" ht="15">
      <c r="A2556" s="84" t="s">
        <v>396</v>
      </c>
      <c r="B2556" s="83" t="s">
        <v>3387</v>
      </c>
      <c r="C2556" s="91" t="s">
        <v>1319</v>
      </c>
    </row>
    <row r="2557" spans="1:3" ht="15">
      <c r="A2557" s="84" t="s">
        <v>396</v>
      </c>
      <c r="B2557" s="83" t="s">
        <v>3373</v>
      </c>
      <c r="C2557" s="91" t="s">
        <v>1318</v>
      </c>
    </row>
    <row r="2558" spans="1:3" ht="15">
      <c r="A2558" s="84" t="s">
        <v>396</v>
      </c>
      <c r="B2558" s="83" t="s">
        <v>2861</v>
      </c>
      <c r="C2558" s="91" t="s">
        <v>1318</v>
      </c>
    </row>
    <row r="2559" spans="1:3" ht="15">
      <c r="A2559" s="84" t="s">
        <v>396</v>
      </c>
      <c r="B2559" s="83" t="s">
        <v>2582</v>
      </c>
      <c r="C2559" s="91" t="s">
        <v>1318</v>
      </c>
    </row>
    <row r="2560" spans="1:3" ht="15">
      <c r="A2560" s="84" t="s">
        <v>396</v>
      </c>
      <c r="B2560" s="83" t="s">
        <v>3374</v>
      </c>
      <c r="C2560" s="91" t="s">
        <v>1318</v>
      </c>
    </row>
    <row r="2561" spans="1:3" ht="15">
      <c r="A2561" s="84" t="s">
        <v>396</v>
      </c>
      <c r="B2561" s="83" t="s">
        <v>2736</v>
      </c>
      <c r="C2561" s="91" t="s">
        <v>1318</v>
      </c>
    </row>
    <row r="2562" spans="1:3" ht="15">
      <c r="A2562" s="84" t="s">
        <v>396</v>
      </c>
      <c r="B2562" s="83" t="s">
        <v>3242</v>
      </c>
      <c r="C2562" s="91" t="s">
        <v>1318</v>
      </c>
    </row>
    <row r="2563" spans="1:3" ht="15">
      <c r="A2563" s="84" t="s">
        <v>396</v>
      </c>
      <c r="B2563" s="83" t="s">
        <v>3375</v>
      </c>
      <c r="C2563" s="91" t="s">
        <v>1318</v>
      </c>
    </row>
    <row r="2564" spans="1:3" ht="15">
      <c r="A2564" s="84" t="s">
        <v>396</v>
      </c>
      <c r="B2564" s="83" t="s">
        <v>2648</v>
      </c>
      <c r="C2564" s="91" t="s">
        <v>1318</v>
      </c>
    </row>
    <row r="2565" spans="1:3" ht="15">
      <c r="A2565" s="84" t="s">
        <v>396</v>
      </c>
      <c r="B2565" s="83" t="s">
        <v>2831</v>
      </c>
      <c r="C2565" s="91" t="s">
        <v>1318</v>
      </c>
    </row>
    <row r="2566" spans="1:3" ht="15">
      <c r="A2566" s="84" t="s">
        <v>396</v>
      </c>
      <c r="B2566" s="83" t="s">
        <v>2636</v>
      </c>
      <c r="C2566" s="91" t="s">
        <v>1318</v>
      </c>
    </row>
    <row r="2567" spans="1:3" ht="15">
      <c r="A2567" s="84" t="s">
        <v>396</v>
      </c>
      <c r="B2567" s="83" t="s">
        <v>2863</v>
      </c>
      <c r="C2567" s="91" t="s">
        <v>1318</v>
      </c>
    </row>
    <row r="2568" spans="1:3" ht="15">
      <c r="A2568" s="84" t="s">
        <v>396</v>
      </c>
      <c r="B2568" s="83" t="s">
        <v>2607</v>
      </c>
      <c r="C2568" s="91" t="s">
        <v>1318</v>
      </c>
    </row>
    <row r="2569" spans="1:3" ht="15">
      <c r="A2569" s="84" t="s">
        <v>396</v>
      </c>
      <c r="B2569" s="83" t="s">
        <v>3376</v>
      </c>
      <c r="C2569" s="91" t="s">
        <v>1318</v>
      </c>
    </row>
    <row r="2570" spans="1:3" ht="15">
      <c r="A2570" s="84" t="s">
        <v>396</v>
      </c>
      <c r="B2570" s="83" t="s">
        <v>3377</v>
      </c>
      <c r="C2570" s="91" t="s">
        <v>1318</v>
      </c>
    </row>
    <row r="2571" spans="1:3" ht="15">
      <c r="A2571" s="84" t="s">
        <v>396</v>
      </c>
      <c r="B2571" s="83" t="s">
        <v>2720</v>
      </c>
      <c r="C2571" s="91" t="s">
        <v>1318</v>
      </c>
    </row>
    <row r="2572" spans="1:3" ht="15">
      <c r="A2572" s="84" t="s">
        <v>396</v>
      </c>
      <c r="B2572" s="83" t="s">
        <v>3378</v>
      </c>
      <c r="C2572" s="91" t="s">
        <v>1318</v>
      </c>
    </row>
    <row r="2573" spans="1:3" ht="15">
      <c r="A2573" s="84" t="s">
        <v>396</v>
      </c>
      <c r="B2573" s="83" t="s">
        <v>3184</v>
      </c>
      <c r="C2573" s="91" t="s">
        <v>1318</v>
      </c>
    </row>
    <row r="2574" spans="1:3" ht="15">
      <c r="A2574" s="84" t="s">
        <v>396</v>
      </c>
      <c r="B2574" s="83" t="s">
        <v>2581</v>
      </c>
      <c r="C2574" s="91" t="s">
        <v>1318</v>
      </c>
    </row>
    <row r="2575" spans="1:3" ht="15">
      <c r="A2575" s="84" t="s">
        <v>396</v>
      </c>
      <c r="B2575" s="83" t="s">
        <v>3379</v>
      </c>
      <c r="C2575" s="91" t="s">
        <v>1318</v>
      </c>
    </row>
    <row r="2576" spans="1:3" ht="15">
      <c r="A2576" s="84" t="s">
        <v>396</v>
      </c>
      <c r="B2576" s="83" t="s">
        <v>3380</v>
      </c>
      <c r="C2576" s="91" t="s">
        <v>1318</v>
      </c>
    </row>
    <row r="2577" spans="1:3" ht="15">
      <c r="A2577" s="84" t="s">
        <v>396</v>
      </c>
      <c r="B2577" s="83" t="s">
        <v>3381</v>
      </c>
      <c r="C2577" s="91" t="s">
        <v>1318</v>
      </c>
    </row>
    <row r="2578" spans="1:3" ht="15">
      <c r="A2578" s="84" t="s">
        <v>396</v>
      </c>
      <c r="B2578" s="83" t="s">
        <v>3281</v>
      </c>
      <c r="C2578" s="91" t="s">
        <v>1318</v>
      </c>
    </row>
    <row r="2579" spans="1:3" ht="15">
      <c r="A2579" s="84" t="s">
        <v>396</v>
      </c>
      <c r="B2579" s="83" t="s">
        <v>1597</v>
      </c>
      <c r="C2579" s="91" t="s">
        <v>1318</v>
      </c>
    </row>
    <row r="2580" spans="1:3" ht="15">
      <c r="A2580" s="84" t="s">
        <v>396</v>
      </c>
      <c r="B2580" s="83" t="s">
        <v>3382</v>
      </c>
      <c r="C2580" s="91" t="s">
        <v>1318</v>
      </c>
    </row>
    <row r="2581" spans="1:3" ht="15">
      <c r="A2581" s="84" t="s">
        <v>396</v>
      </c>
      <c r="B2581" s="83" t="s">
        <v>3383</v>
      </c>
      <c r="C2581" s="91" t="s">
        <v>1318</v>
      </c>
    </row>
    <row r="2582" spans="1:3" ht="15">
      <c r="A2582" s="84" t="s">
        <v>396</v>
      </c>
      <c r="B2582" s="83" t="s">
        <v>3384</v>
      </c>
      <c r="C2582" s="91" t="s">
        <v>1318</v>
      </c>
    </row>
    <row r="2583" spans="1:3" ht="15">
      <c r="A2583" s="84" t="s">
        <v>396</v>
      </c>
      <c r="B2583" s="83" t="s">
        <v>3385</v>
      </c>
      <c r="C2583" s="91" t="s">
        <v>1318</v>
      </c>
    </row>
    <row r="2584" spans="1:3" ht="15">
      <c r="A2584" s="84" t="s">
        <v>396</v>
      </c>
      <c r="B2584" s="83" t="s">
        <v>586</v>
      </c>
      <c r="C2584" s="91" t="s">
        <v>1318</v>
      </c>
    </row>
    <row r="2585" spans="1:3" ht="15">
      <c r="A2585" s="84" t="s">
        <v>396</v>
      </c>
      <c r="B2585" s="83" t="s">
        <v>3386</v>
      </c>
      <c r="C2585" s="91" t="s">
        <v>1318</v>
      </c>
    </row>
    <row r="2586" spans="1:3" ht="15">
      <c r="A2586" s="84" t="s">
        <v>396</v>
      </c>
      <c r="B2586" s="83" t="s">
        <v>3298</v>
      </c>
      <c r="C2586" s="91" t="s">
        <v>1318</v>
      </c>
    </row>
    <row r="2587" spans="1:3" ht="15">
      <c r="A2587" s="84" t="s">
        <v>396</v>
      </c>
      <c r="B2587" s="83" t="s">
        <v>2873</v>
      </c>
      <c r="C2587" s="91" t="s">
        <v>1318</v>
      </c>
    </row>
    <row r="2588" spans="1:3" ht="15">
      <c r="A2588" s="84" t="s">
        <v>396</v>
      </c>
      <c r="B2588" s="83" t="s">
        <v>3387</v>
      </c>
      <c r="C2588" s="91" t="s">
        <v>1318</v>
      </c>
    </row>
    <row r="2589" spans="1:3" ht="15">
      <c r="A2589" s="84" t="s">
        <v>419</v>
      </c>
      <c r="B2589" s="83" t="s">
        <v>3268</v>
      </c>
      <c r="C2589" s="91" t="s">
        <v>1410</v>
      </c>
    </row>
    <row r="2590" spans="1:3" ht="15">
      <c r="A2590" s="84" t="s">
        <v>419</v>
      </c>
      <c r="B2590" s="83" t="s">
        <v>3269</v>
      </c>
      <c r="C2590" s="91" t="s">
        <v>1410</v>
      </c>
    </row>
    <row r="2591" spans="1:3" ht="15">
      <c r="A2591" s="84" t="s">
        <v>419</v>
      </c>
      <c r="B2591" s="83" t="s">
        <v>3203</v>
      </c>
      <c r="C2591" s="91" t="s">
        <v>1410</v>
      </c>
    </row>
    <row r="2592" spans="1:3" ht="15">
      <c r="A2592" s="84" t="s">
        <v>419</v>
      </c>
      <c r="B2592" s="83">
        <v>19</v>
      </c>
      <c r="C2592" s="91" t="s">
        <v>1410</v>
      </c>
    </row>
    <row r="2593" spans="1:3" ht="15">
      <c r="A2593" s="84" t="s">
        <v>419</v>
      </c>
      <c r="B2593" s="83" t="s">
        <v>3270</v>
      </c>
      <c r="C2593" s="91" t="s">
        <v>1410</v>
      </c>
    </row>
    <row r="2594" spans="1:3" ht="15">
      <c r="A2594" s="84" t="s">
        <v>419</v>
      </c>
      <c r="B2594" s="83" t="s">
        <v>3271</v>
      </c>
      <c r="C2594" s="91" t="s">
        <v>1410</v>
      </c>
    </row>
    <row r="2595" spans="1:3" ht="15">
      <c r="A2595" s="84" t="s">
        <v>419</v>
      </c>
      <c r="B2595" s="83" t="s">
        <v>3272</v>
      </c>
      <c r="C2595" s="91" t="s">
        <v>1410</v>
      </c>
    </row>
    <row r="2596" spans="1:3" ht="15">
      <c r="A2596" s="84" t="s">
        <v>419</v>
      </c>
      <c r="B2596" s="83" t="s">
        <v>195</v>
      </c>
      <c r="C2596" s="91" t="s">
        <v>1410</v>
      </c>
    </row>
    <row r="2597" spans="1:3" ht="15">
      <c r="A2597" s="84" t="s">
        <v>419</v>
      </c>
      <c r="B2597" s="83" t="s">
        <v>3273</v>
      </c>
      <c r="C2597" s="91" t="s">
        <v>1410</v>
      </c>
    </row>
    <row r="2598" spans="1:3" ht="15">
      <c r="A2598" s="84" t="s">
        <v>419</v>
      </c>
      <c r="B2598" s="83" t="s">
        <v>3199</v>
      </c>
      <c r="C2598" s="91" t="s">
        <v>1410</v>
      </c>
    </row>
    <row r="2599" spans="1:3" ht="15">
      <c r="A2599" s="84" t="s">
        <v>419</v>
      </c>
      <c r="B2599" s="83" t="s">
        <v>3258</v>
      </c>
      <c r="C2599" s="91" t="s">
        <v>1410</v>
      </c>
    </row>
    <row r="2600" spans="1:3" ht="15">
      <c r="A2600" s="84" t="s">
        <v>419</v>
      </c>
      <c r="B2600" s="83" t="s">
        <v>3238</v>
      </c>
      <c r="C2600" s="91" t="s">
        <v>1410</v>
      </c>
    </row>
    <row r="2601" spans="1:3" ht="15">
      <c r="A2601" s="84" t="s">
        <v>419</v>
      </c>
      <c r="B2601" s="83" t="s">
        <v>3274</v>
      </c>
      <c r="C2601" s="91" t="s">
        <v>1410</v>
      </c>
    </row>
    <row r="2602" spans="1:3" ht="15">
      <c r="A2602" s="84" t="s">
        <v>419</v>
      </c>
      <c r="B2602" s="83" t="s">
        <v>3275</v>
      </c>
      <c r="C2602" s="91" t="s">
        <v>1410</v>
      </c>
    </row>
    <row r="2603" spans="1:3" ht="15">
      <c r="A2603" s="84" t="s">
        <v>419</v>
      </c>
      <c r="B2603" s="83" t="s">
        <v>3276</v>
      </c>
      <c r="C2603" s="91" t="s">
        <v>1410</v>
      </c>
    </row>
    <row r="2604" spans="1:3" ht="15">
      <c r="A2604" s="84" t="s">
        <v>419</v>
      </c>
      <c r="B2604" s="83" t="s">
        <v>3277</v>
      </c>
      <c r="C2604" s="91" t="s">
        <v>1410</v>
      </c>
    </row>
    <row r="2605" spans="1:3" ht="15">
      <c r="A2605" s="84" t="s">
        <v>419</v>
      </c>
      <c r="B2605" s="83" t="s">
        <v>3198</v>
      </c>
      <c r="C2605" s="91" t="s">
        <v>1410</v>
      </c>
    </row>
    <row r="2606" spans="1:3" ht="15">
      <c r="A2606" s="84" t="s">
        <v>419</v>
      </c>
      <c r="B2606" s="83" t="s">
        <v>3278</v>
      </c>
      <c r="C2606" s="91" t="s">
        <v>1410</v>
      </c>
    </row>
    <row r="2607" spans="1:3" ht="15">
      <c r="A2607" s="84" t="s">
        <v>419</v>
      </c>
      <c r="B2607" s="83" t="s">
        <v>420</v>
      </c>
      <c r="C2607" s="91" t="s">
        <v>1410</v>
      </c>
    </row>
    <row r="2608" spans="1:3" ht="15">
      <c r="A2608" s="84" t="s">
        <v>420</v>
      </c>
      <c r="B2608" s="83" t="s">
        <v>3268</v>
      </c>
      <c r="C2608" s="91" t="s">
        <v>1411</v>
      </c>
    </row>
    <row r="2609" spans="1:3" ht="15">
      <c r="A2609" s="84" t="s">
        <v>420</v>
      </c>
      <c r="B2609" s="83" t="s">
        <v>3269</v>
      </c>
      <c r="C2609" s="91" t="s">
        <v>1411</v>
      </c>
    </row>
    <row r="2610" spans="1:3" ht="15">
      <c r="A2610" s="84" t="s">
        <v>420</v>
      </c>
      <c r="B2610" s="83" t="s">
        <v>3203</v>
      </c>
      <c r="C2610" s="91" t="s">
        <v>1411</v>
      </c>
    </row>
    <row r="2611" spans="1:3" ht="15">
      <c r="A2611" s="84" t="s">
        <v>420</v>
      </c>
      <c r="B2611" s="83">
        <v>19</v>
      </c>
      <c r="C2611" s="91" t="s">
        <v>1411</v>
      </c>
    </row>
    <row r="2612" spans="1:3" ht="15">
      <c r="A2612" s="84" t="s">
        <v>420</v>
      </c>
      <c r="B2612" s="83" t="s">
        <v>3270</v>
      </c>
      <c r="C2612" s="91" t="s">
        <v>1411</v>
      </c>
    </row>
    <row r="2613" spans="1:3" ht="15">
      <c r="A2613" s="84" t="s">
        <v>420</v>
      </c>
      <c r="B2613" s="83" t="s">
        <v>3271</v>
      </c>
      <c r="C2613" s="91" t="s">
        <v>1411</v>
      </c>
    </row>
    <row r="2614" spans="1:3" ht="15">
      <c r="A2614" s="84" t="s">
        <v>420</v>
      </c>
      <c r="B2614" s="83" t="s">
        <v>3272</v>
      </c>
      <c r="C2614" s="91" t="s">
        <v>1411</v>
      </c>
    </row>
    <row r="2615" spans="1:3" ht="15">
      <c r="A2615" s="84" t="s">
        <v>420</v>
      </c>
      <c r="B2615" s="83" t="s">
        <v>195</v>
      </c>
      <c r="C2615" s="91" t="s">
        <v>1411</v>
      </c>
    </row>
    <row r="2616" spans="1:3" ht="15">
      <c r="A2616" s="84" t="s">
        <v>420</v>
      </c>
      <c r="B2616" s="83" t="s">
        <v>3273</v>
      </c>
      <c r="C2616" s="91" t="s">
        <v>1411</v>
      </c>
    </row>
    <row r="2617" spans="1:3" ht="15">
      <c r="A2617" s="84" t="s">
        <v>420</v>
      </c>
      <c r="B2617" s="83" t="s">
        <v>3199</v>
      </c>
      <c r="C2617" s="91" t="s">
        <v>1411</v>
      </c>
    </row>
    <row r="2618" spans="1:3" ht="15">
      <c r="A2618" s="84" t="s">
        <v>420</v>
      </c>
      <c r="B2618" s="83" t="s">
        <v>3258</v>
      </c>
      <c r="C2618" s="91" t="s">
        <v>1411</v>
      </c>
    </row>
    <row r="2619" spans="1:3" ht="15">
      <c r="A2619" s="84" t="s">
        <v>420</v>
      </c>
      <c r="B2619" s="83" t="s">
        <v>3238</v>
      </c>
      <c r="C2619" s="91" t="s">
        <v>1411</v>
      </c>
    </row>
    <row r="2620" spans="1:3" ht="15">
      <c r="A2620" s="84" t="s">
        <v>420</v>
      </c>
      <c r="B2620" s="83" t="s">
        <v>3274</v>
      </c>
      <c r="C2620" s="91" t="s">
        <v>1411</v>
      </c>
    </row>
    <row r="2621" spans="1:3" ht="15">
      <c r="A2621" s="84" t="s">
        <v>420</v>
      </c>
      <c r="B2621" s="83" t="s">
        <v>3275</v>
      </c>
      <c r="C2621" s="91" t="s">
        <v>1411</v>
      </c>
    </row>
    <row r="2622" spans="1:3" ht="15">
      <c r="A2622" s="84" t="s">
        <v>420</v>
      </c>
      <c r="B2622" s="83" t="s">
        <v>3276</v>
      </c>
      <c r="C2622" s="91" t="s">
        <v>1411</v>
      </c>
    </row>
    <row r="2623" spans="1:3" ht="15">
      <c r="A2623" s="84" t="s">
        <v>420</v>
      </c>
      <c r="B2623" s="83" t="s">
        <v>3277</v>
      </c>
      <c r="C2623" s="91" t="s">
        <v>1411</v>
      </c>
    </row>
    <row r="2624" spans="1:3" ht="15">
      <c r="A2624" s="84" t="s">
        <v>420</v>
      </c>
      <c r="B2624" s="83" t="s">
        <v>3198</v>
      </c>
      <c r="C2624" s="91" t="s">
        <v>1411</v>
      </c>
    </row>
    <row r="2625" spans="1:3" ht="15">
      <c r="A2625" s="84" t="s">
        <v>420</v>
      </c>
      <c r="B2625" s="83" t="s">
        <v>3278</v>
      </c>
      <c r="C2625" s="91" t="s">
        <v>1411</v>
      </c>
    </row>
    <row r="2626" spans="1:3" ht="15">
      <c r="A2626" s="84" t="s">
        <v>420</v>
      </c>
      <c r="B2626" s="83" t="s">
        <v>420</v>
      </c>
      <c r="C2626" s="91" t="s">
        <v>1411</v>
      </c>
    </row>
    <row r="2627" spans="1:3" ht="15">
      <c r="A2627" s="84" t="s">
        <v>395</v>
      </c>
      <c r="B2627" s="83" t="s">
        <v>3268</v>
      </c>
      <c r="C2627" s="91" t="s">
        <v>1317</v>
      </c>
    </row>
    <row r="2628" spans="1:3" ht="15">
      <c r="A2628" s="84" t="s">
        <v>395</v>
      </c>
      <c r="B2628" s="83" t="s">
        <v>3269</v>
      </c>
      <c r="C2628" s="91" t="s">
        <v>1317</v>
      </c>
    </row>
    <row r="2629" spans="1:3" ht="15">
      <c r="A2629" s="84" t="s">
        <v>395</v>
      </c>
      <c r="B2629" s="83" t="s">
        <v>3203</v>
      </c>
      <c r="C2629" s="91" t="s">
        <v>1317</v>
      </c>
    </row>
    <row r="2630" spans="1:3" ht="15">
      <c r="A2630" s="84" t="s">
        <v>395</v>
      </c>
      <c r="B2630" s="83">
        <v>19</v>
      </c>
      <c r="C2630" s="91" t="s">
        <v>1317</v>
      </c>
    </row>
    <row r="2631" spans="1:3" ht="15">
      <c r="A2631" s="84" t="s">
        <v>395</v>
      </c>
      <c r="B2631" s="83" t="s">
        <v>3270</v>
      </c>
      <c r="C2631" s="91" t="s">
        <v>1317</v>
      </c>
    </row>
    <row r="2632" spans="1:3" ht="15">
      <c r="A2632" s="84" t="s">
        <v>395</v>
      </c>
      <c r="B2632" s="83" t="s">
        <v>3271</v>
      </c>
      <c r="C2632" s="91" t="s">
        <v>1317</v>
      </c>
    </row>
    <row r="2633" spans="1:3" ht="15">
      <c r="A2633" s="84" t="s">
        <v>395</v>
      </c>
      <c r="B2633" s="83" t="s">
        <v>3272</v>
      </c>
      <c r="C2633" s="91" t="s">
        <v>1317</v>
      </c>
    </row>
    <row r="2634" spans="1:3" ht="15">
      <c r="A2634" s="84" t="s">
        <v>395</v>
      </c>
      <c r="B2634" s="83" t="s">
        <v>195</v>
      </c>
      <c r="C2634" s="91" t="s">
        <v>1317</v>
      </c>
    </row>
    <row r="2635" spans="1:3" ht="15">
      <c r="A2635" s="84" t="s">
        <v>395</v>
      </c>
      <c r="B2635" s="83" t="s">
        <v>3273</v>
      </c>
      <c r="C2635" s="91" t="s">
        <v>1317</v>
      </c>
    </row>
    <row r="2636" spans="1:3" ht="15">
      <c r="A2636" s="84" t="s">
        <v>395</v>
      </c>
      <c r="B2636" s="83" t="s">
        <v>3199</v>
      </c>
      <c r="C2636" s="91" t="s">
        <v>1317</v>
      </c>
    </row>
    <row r="2637" spans="1:3" ht="15">
      <c r="A2637" s="84" t="s">
        <v>395</v>
      </c>
      <c r="B2637" s="83" t="s">
        <v>3258</v>
      </c>
      <c r="C2637" s="91" t="s">
        <v>1317</v>
      </c>
    </row>
    <row r="2638" spans="1:3" ht="15">
      <c r="A2638" s="84" t="s">
        <v>395</v>
      </c>
      <c r="B2638" s="83" t="s">
        <v>3238</v>
      </c>
      <c r="C2638" s="91" t="s">
        <v>1317</v>
      </c>
    </row>
    <row r="2639" spans="1:3" ht="15">
      <c r="A2639" s="84" t="s">
        <v>395</v>
      </c>
      <c r="B2639" s="83" t="s">
        <v>3274</v>
      </c>
      <c r="C2639" s="91" t="s">
        <v>1317</v>
      </c>
    </row>
    <row r="2640" spans="1:3" ht="15">
      <c r="A2640" s="84" t="s">
        <v>395</v>
      </c>
      <c r="B2640" s="83" t="s">
        <v>3275</v>
      </c>
      <c r="C2640" s="91" t="s">
        <v>1317</v>
      </c>
    </row>
    <row r="2641" spans="1:3" ht="15">
      <c r="A2641" s="84" t="s">
        <v>395</v>
      </c>
      <c r="B2641" s="83" t="s">
        <v>3276</v>
      </c>
      <c r="C2641" s="91" t="s">
        <v>1317</v>
      </c>
    </row>
    <row r="2642" spans="1:3" ht="15">
      <c r="A2642" s="84" t="s">
        <v>395</v>
      </c>
      <c r="B2642" s="83" t="s">
        <v>3277</v>
      </c>
      <c r="C2642" s="91" t="s">
        <v>1317</v>
      </c>
    </row>
    <row r="2643" spans="1:3" ht="15">
      <c r="A2643" s="84" t="s">
        <v>395</v>
      </c>
      <c r="B2643" s="83" t="s">
        <v>3198</v>
      </c>
      <c r="C2643" s="91" t="s">
        <v>1317</v>
      </c>
    </row>
    <row r="2644" spans="1:3" ht="15">
      <c r="A2644" s="84" t="s">
        <v>395</v>
      </c>
      <c r="B2644" s="83" t="s">
        <v>3278</v>
      </c>
      <c r="C2644" s="91" t="s">
        <v>1317</v>
      </c>
    </row>
    <row r="2645" spans="1:3" ht="15">
      <c r="A2645" s="84" t="s">
        <v>395</v>
      </c>
      <c r="B2645" s="83" t="s">
        <v>420</v>
      </c>
      <c r="C2645" s="91" t="s">
        <v>1317</v>
      </c>
    </row>
    <row r="2646" spans="1:3" ht="15">
      <c r="A2646" s="84" t="s">
        <v>395</v>
      </c>
      <c r="B2646" s="83" t="s">
        <v>3352</v>
      </c>
      <c r="C2646" s="91" t="s">
        <v>1316</v>
      </c>
    </row>
    <row r="2647" spans="1:3" ht="15">
      <c r="A2647" s="84" t="s">
        <v>395</v>
      </c>
      <c r="B2647" s="83" t="s">
        <v>2664</v>
      </c>
      <c r="C2647" s="91" t="s">
        <v>1316</v>
      </c>
    </row>
    <row r="2648" spans="1:3" ht="15">
      <c r="A2648" s="84" t="s">
        <v>395</v>
      </c>
      <c r="B2648" s="83" t="s">
        <v>2766</v>
      </c>
      <c r="C2648" s="91" t="s">
        <v>1316</v>
      </c>
    </row>
    <row r="2649" spans="1:3" ht="15">
      <c r="A2649" s="84" t="s">
        <v>395</v>
      </c>
      <c r="B2649" s="83" t="s">
        <v>2581</v>
      </c>
      <c r="C2649" s="91" t="s">
        <v>1316</v>
      </c>
    </row>
    <row r="2650" spans="1:3" ht="15">
      <c r="A2650" s="84" t="s">
        <v>395</v>
      </c>
      <c r="B2650" s="83" t="s">
        <v>2589</v>
      </c>
      <c r="C2650" s="91" t="s">
        <v>1316</v>
      </c>
    </row>
    <row r="2651" spans="1:3" ht="15">
      <c r="A2651" s="84" t="s">
        <v>395</v>
      </c>
      <c r="B2651" s="83" t="s">
        <v>2897</v>
      </c>
      <c r="C2651" s="91" t="s">
        <v>1316</v>
      </c>
    </row>
    <row r="2652" spans="1:3" ht="15">
      <c r="A2652" s="84" t="s">
        <v>395</v>
      </c>
      <c r="B2652" s="83" t="s">
        <v>2655</v>
      </c>
      <c r="C2652" s="91" t="s">
        <v>1316</v>
      </c>
    </row>
    <row r="2653" spans="1:3" ht="15">
      <c r="A2653" s="84" t="s">
        <v>395</v>
      </c>
      <c r="B2653" s="83" t="s">
        <v>2580</v>
      </c>
      <c r="C2653" s="91" t="s">
        <v>1316</v>
      </c>
    </row>
    <row r="2654" spans="1:3" ht="15">
      <c r="A2654" s="84" t="s">
        <v>395</v>
      </c>
      <c r="B2654" s="83" t="s">
        <v>2898</v>
      </c>
      <c r="C2654" s="91" t="s">
        <v>1316</v>
      </c>
    </row>
    <row r="2655" spans="1:3" ht="15">
      <c r="A2655" s="84" t="s">
        <v>395</v>
      </c>
      <c r="B2655" s="83" t="s">
        <v>2899</v>
      </c>
      <c r="C2655" s="91" t="s">
        <v>1316</v>
      </c>
    </row>
    <row r="2656" spans="1:3" ht="15">
      <c r="A2656" s="84" t="s">
        <v>395</v>
      </c>
      <c r="B2656" s="83" t="s">
        <v>2900</v>
      </c>
      <c r="C2656" s="91" t="s">
        <v>1316</v>
      </c>
    </row>
    <row r="2657" spans="1:3" ht="15">
      <c r="A2657" s="84" t="s">
        <v>395</v>
      </c>
      <c r="B2657" s="83" t="s">
        <v>2901</v>
      </c>
      <c r="C2657" s="91" t="s">
        <v>1316</v>
      </c>
    </row>
    <row r="2658" spans="1:3" ht="15">
      <c r="A2658" s="84" t="s">
        <v>395</v>
      </c>
      <c r="B2658" s="83" t="s">
        <v>3242</v>
      </c>
      <c r="C2658" s="91" t="s">
        <v>1316</v>
      </c>
    </row>
    <row r="2659" spans="1:3" ht="15">
      <c r="A2659" s="84" t="s">
        <v>395</v>
      </c>
      <c r="B2659" s="83" t="s">
        <v>3353</v>
      </c>
      <c r="C2659" s="91" t="s">
        <v>1316</v>
      </c>
    </row>
    <row r="2660" spans="1:3" ht="15">
      <c r="A2660" s="84" t="s">
        <v>395</v>
      </c>
      <c r="B2660" s="83" t="s">
        <v>3238</v>
      </c>
      <c r="C2660" s="91" t="s">
        <v>1316</v>
      </c>
    </row>
    <row r="2661" spans="1:3" ht="15">
      <c r="A2661" s="84" t="s">
        <v>395</v>
      </c>
      <c r="B2661" s="83" t="s">
        <v>3258</v>
      </c>
      <c r="C2661" s="91" t="s">
        <v>1316</v>
      </c>
    </row>
    <row r="2662" spans="1:3" ht="15">
      <c r="A2662" s="84" t="s">
        <v>395</v>
      </c>
      <c r="B2662" s="83" t="s">
        <v>3199</v>
      </c>
      <c r="C2662" s="91" t="s">
        <v>1316</v>
      </c>
    </row>
    <row r="2663" spans="1:3" ht="15">
      <c r="A2663" s="84" t="s">
        <v>395</v>
      </c>
      <c r="B2663" s="83" t="s">
        <v>3214</v>
      </c>
      <c r="C2663" s="91" t="s">
        <v>1316</v>
      </c>
    </row>
    <row r="2664" spans="1:3" ht="15">
      <c r="A2664" s="84" t="s">
        <v>395</v>
      </c>
      <c r="B2664" s="83" t="s">
        <v>3354</v>
      </c>
      <c r="C2664" s="91" t="s">
        <v>1316</v>
      </c>
    </row>
    <row r="2665" spans="1:3" ht="15">
      <c r="A2665" s="84" t="s">
        <v>395</v>
      </c>
      <c r="B2665" s="83" t="s">
        <v>3355</v>
      </c>
      <c r="C2665" s="91" t="s">
        <v>1316</v>
      </c>
    </row>
    <row r="2666" spans="1:3" ht="15">
      <c r="A2666" s="84" t="s">
        <v>395</v>
      </c>
      <c r="B2666" s="83" t="s">
        <v>3320</v>
      </c>
      <c r="C2666" s="91" t="s">
        <v>1312</v>
      </c>
    </row>
    <row r="2667" spans="1:3" ht="15">
      <c r="A2667" s="84" t="s">
        <v>395</v>
      </c>
      <c r="B2667" s="83" t="s">
        <v>394</v>
      </c>
      <c r="C2667" s="91" t="s">
        <v>1312</v>
      </c>
    </row>
    <row r="2668" spans="1:3" ht="15">
      <c r="A2668" s="84" t="s">
        <v>395</v>
      </c>
      <c r="B2668" s="83" t="s">
        <v>415</v>
      </c>
      <c r="C2668" s="91" t="s">
        <v>1312</v>
      </c>
    </row>
    <row r="2669" spans="1:3" ht="15">
      <c r="A2669" s="84" t="s">
        <v>395</v>
      </c>
      <c r="B2669" s="83" t="s">
        <v>3316</v>
      </c>
      <c r="C2669" s="91" t="s">
        <v>1312</v>
      </c>
    </row>
    <row r="2670" spans="1:3" ht="15">
      <c r="A2670" s="84" t="s">
        <v>395</v>
      </c>
      <c r="B2670" s="83" t="s">
        <v>3388</v>
      </c>
      <c r="C2670" s="91" t="s">
        <v>1312</v>
      </c>
    </row>
    <row r="2671" spans="1:3" ht="15">
      <c r="A2671" s="84" t="s">
        <v>395</v>
      </c>
      <c r="B2671" s="83" t="s">
        <v>2580</v>
      </c>
      <c r="C2671" s="91" t="s">
        <v>1312</v>
      </c>
    </row>
    <row r="2672" spans="1:3" ht="15">
      <c r="A2672" s="84" t="s">
        <v>395</v>
      </c>
      <c r="B2672" s="83" t="s">
        <v>3389</v>
      </c>
      <c r="C2672" s="91" t="s">
        <v>1312</v>
      </c>
    </row>
    <row r="2673" spans="1:3" ht="15">
      <c r="A2673" s="84" t="s">
        <v>395</v>
      </c>
      <c r="B2673" s="83" t="s">
        <v>2568</v>
      </c>
      <c r="C2673" s="91" t="s">
        <v>1312</v>
      </c>
    </row>
    <row r="2674" spans="1:3" ht="15">
      <c r="A2674" s="84" t="s">
        <v>395</v>
      </c>
      <c r="B2674" s="83" t="s">
        <v>3390</v>
      </c>
      <c r="C2674" s="91" t="s">
        <v>1312</v>
      </c>
    </row>
    <row r="2675" spans="1:3" ht="15">
      <c r="A2675" s="84" t="s">
        <v>395</v>
      </c>
      <c r="B2675" s="83" t="s">
        <v>3391</v>
      </c>
      <c r="C2675" s="91" t="s">
        <v>1312</v>
      </c>
    </row>
    <row r="2676" spans="1:3" ht="15">
      <c r="A2676" s="84" t="s">
        <v>395</v>
      </c>
      <c r="B2676" s="83" t="s">
        <v>3392</v>
      </c>
      <c r="C2676" s="91" t="s">
        <v>1312</v>
      </c>
    </row>
    <row r="2677" spans="1:3" ht="15">
      <c r="A2677" s="84" t="s">
        <v>395</v>
      </c>
      <c r="B2677" s="83" t="s">
        <v>3198</v>
      </c>
      <c r="C2677" s="91" t="s">
        <v>1312</v>
      </c>
    </row>
    <row r="2678" spans="1:3" ht="15">
      <c r="A2678" s="84" t="s">
        <v>395</v>
      </c>
      <c r="B2678" s="83" t="s">
        <v>3211</v>
      </c>
      <c r="C2678" s="91" t="s">
        <v>1312</v>
      </c>
    </row>
    <row r="2679" spans="1:3" ht="15">
      <c r="A2679" s="84" t="s">
        <v>395</v>
      </c>
      <c r="B2679" s="83" t="s">
        <v>3212</v>
      </c>
      <c r="C2679" s="91" t="s">
        <v>1312</v>
      </c>
    </row>
    <row r="2680" spans="1:3" ht="15">
      <c r="A2680" s="84" t="s">
        <v>395</v>
      </c>
      <c r="B2680" s="83" t="s">
        <v>3213</v>
      </c>
      <c r="C2680" s="91" t="s">
        <v>1312</v>
      </c>
    </row>
    <row r="2681" spans="1:3" ht="15">
      <c r="A2681" s="84" t="s">
        <v>395</v>
      </c>
      <c r="B2681" s="83" t="s">
        <v>3199</v>
      </c>
      <c r="C2681" s="91" t="s">
        <v>1312</v>
      </c>
    </row>
    <row r="2682" spans="1:3" ht="15">
      <c r="A2682" s="84" t="s">
        <v>395</v>
      </c>
      <c r="B2682" s="83" t="s">
        <v>3218</v>
      </c>
      <c r="C2682" s="91" t="s">
        <v>1312</v>
      </c>
    </row>
    <row r="2683" spans="1:3" ht="15">
      <c r="A2683" s="84" t="s">
        <v>395</v>
      </c>
      <c r="B2683" s="83" t="s">
        <v>3235</v>
      </c>
      <c r="C2683" s="91" t="s">
        <v>1312</v>
      </c>
    </row>
    <row r="2684" spans="1:3" ht="15">
      <c r="A2684" s="84" t="s">
        <v>395</v>
      </c>
      <c r="B2684" s="83" t="s">
        <v>3236</v>
      </c>
      <c r="C2684" s="91" t="s">
        <v>1312</v>
      </c>
    </row>
    <row r="2685" spans="1:3" ht="15">
      <c r="A2685" s="84" t="s">
        <v>395</v>
      </c>
      <c r="B2685" s="83" t="s">
        <v>3221</v>
      </c>
      <c r="C2685" s="91" t="s">
        <v>1312</v>
      </c>
    </row>
    <row r="2686" spans="1:3" ht="15">
      <c r="A2686" s="84" t="s">
        <v>395</v>
      </c>
      <c r="B2686" s="83" t="s">
        <v>3222</v>
      </c>
      <c r="C2686" s="91" t="s">
        <v>1312</v>
      </c>
    </row>
    <row r="2687" spans="1:3" ht="15">
      <c r="A2687" s="84" t="s">
        <v>395</v>
      </c>
      <c r="B2687" s="83" t="s">
        <v>3215</v>
      </c>
      <c r="C2687" s="91" t="s">
        <v>1312</v>
      </c>
    </row>
    <row r="2688" spans="1:3" ht="15">
      <c r="A2688" s="84" t="s">
        <v>395</v>
      </c>
      <c r="B2688" s="83" t="s">
        <v>3237</v>
      </c>
      <c r="C2688" s="91" t="s">
        <v>1312</v>
      </c>
    </row>
    <row r="2689" spans="1:3" ht="15">
      <c r="A2689" s="84" t="s">
        <v>395</v>
      </c>
      <c r="B2689" s="83" t="s">
        <v>3310</v>
      </c>
      <c r="C2689" s="91" t="s">
        <v>1312</v>
      </c>
    </row>
    <row r="2690" spans="1:3" ht="15">
      <c r="A2690" s="84" t="s">
        <v>395</v>
      </c>
      <c r="B2690" s="83" t="s">
        <v>3284</v>
      </c>
      <c r="C2690" s="91" t="s">
        <v>1312</v>
      </c>
    </row>
    <row r="2691" spans="1:3" ht="15">
      <c r="A2691" s="84" t="s">
        <v>395</v>
      </c>
      <c r="B2691" s="83" t="s">
        <v>3393</v>
      </c>
      <c r="C2691" s="91" t="s">
        <v>1312</v>
      </c>
    </row>
    <row r="2692" spans="1:3" ht="15">
      <c r="A2692" s="84" t="s">
        <v>395</v>
      </c>
      <c r="B2692" s="83" t="s">
        <v>3319</v>
      </c>
      <c r="C2692" s="91" t="s">
        <v>1312</v>
      </c>
    </row>
    <row r="2693" spans="1:3" ht="15">
      <c r="A2693" s="84" t="s">
        <v>395</v>
      </c>
      <c r="B2693" s="83" t="s">
        <v>3394</v>
      </c>
      <c r="C2693" s="91" t="s">
        <v>1312</v>
      </c>
    </row>
    <row r="2694" spans="1:3" ht="15">
      <c r="A2694" s="84" t="s">
        <v>395</v>
      </c>
      <c r="B2694" s="83" t="s">
        <v>3340</v>
      </c>
      <c r="C2694" s="91" t="s">
        <v>1315</v>
      </c>
    </row>
    <row r="2695" spans="1:3" ht="15">
      <c r="A2695" s="84" t="s">
        <v>395</v>
      </c>
      <c r="B2695" s="83" t="s">
        <v>3213</v>
      </c>
      <c r="C2695" s="91" t="s">
        <v>1315</v>
      </c>
    </row>
    <row r="2696" spans="1:3" ht="15">
      <c r="A2696" s="84" t="s">
        <v>395</v>
      </c>
      <c r="B2696" s="83" t="s">
        <v>3341</v>
      </c>
      <c r="C2696" s="91" t="s">
        <v>1315</v>
      </c>
    </row>
    <row r="2697" spans="1:3" ht="15">
      <c r="A2697" s="84" t="s">
        <v>395</v>
      </c>
      <c r="B2697" s="83" t="s">
        <v>3342</v>
      </c>
      <c r="C2697" s="91" t="s">
        <v>1315</v>
      </c>
    </row>
    <row r="2698" spans="1:3" ht="15">
      <c r="A2698" s="84" t="s">
        <v>395</v>
      </c>
      <c r="B2698" s="83" t="s">
        <v>3343</v>
      </c>
      <c r="C2698" s="91" t="s">
        <v>1315</v>
      </c>
    </row>
    <row r="2699" spans="1:3" ht="15">
      <c r="A2699" s="84" t="s">
        <v>395</v>
      </c>
      <c r="B2699" s="83" t="s">
        <v>3344</v>
      </c>
      <c r="C2699" s="91" t="s">
        <v>1315</v>
      </c>
    </row>
    <row r="2700" spans="1:3" ht="15">
      <c r="A2700" s="84" t="s">
        <v>395</v>
      </c>
      <c r="B2700" s="83" t="s">
        <v>3345</v>
      </c>
      <c r="C2700" s="91" t="s">
        <v>1315</v>
      </c>
    </row>
    <row r="2701" spans="1:3" ht="15">
      <c r="A2701" s="84" t="s">
        <v>395</v>
      </c>
      <c r="B2701" s="83" t="s">
        <v>3290</v>
      </c>
      <c r="C2701" s="91" t="s">
        <v>1315</v>
      </c>
    </row>
    <row r="2702" spans="1:3" ht="15">
      <c r="A2702" s="84" t="s">
        <v>395</v>
      </c>
      <c r="B2702" s="83" t="s">
        <v>2179</v>
      </c>
      <c r="C2702" s="91" t="s">
        <v>1315</v>
      </c>
    </row>
    <row r="2703" spans="1:3" ht="15">
      <c r="A2703" s="84" t="s">
        <v>395</v>
      </c>
      <c r="B2703" s="83" t="s">
        <v>3300</v>
      </c>
      <c r="C2703" s="91" t="s">
        <v>1315</v>
      </c>
    </row>
    <row r="2704" spans="1:3" ht="15">
      <c r="A2704" s="84" t="s">
        <v>395</v>
      </c>
      <c r="B2704" s="83" t="s">
        <v>3301</v>
      </c>
      <c r="C2704" s="91" t="s">
        <v>1315</v>
      </c>
    </row>
    <row r="2705" spans="1:3" ht="15">
      <c r="A2705" s="84" t="s">
        <v>395</v>
      </c>
      <c r="B2705" s="83" t="s">
        <v>3302</v>
      </c>
      <c r="C2705" s="91" t="s">
        <v>1315</v>
      </c>
    </row>
    <row r="2706" spans="1:3" ht="15">
      <c r="A2706" s="84" t="s">
        <v>395</v>
      </c>
      <c r="B2706" s="83" t="s">
        <v>3303</v>
      </c>
      <c r="C2706" s="91" t="s">
        <v>1315</v>
      </c>
    </row>
    <row r="2707" spans="1:3" ht="15">
      <c r="A2707" s="84" t="s">
        <v>395</v>
      </c>
      <c r="B2707" s="83" t="s">
        <v>3291</v>
      </c>
      <c r="C2707" s="91" t="s">
        <v>1315</v>
      </c>
    </row>
    <row r="2708" spans="1:3" ht="15">
      <c r="A2708" s="84" t="s">
        <v>395</v>
      </c>
      <c r="B2708" s="83" t="s">
        <v>3292</v>
      </c>
      <c r="C2708" s="91" t="s">
        <v>1315</v>
      </c>
    </row>
    <row r="2709" spans="1:3" ht="15">
      <c r="A2709" s="84" t="s">
        <v>395</v>
      </c>
      <c r="B2709" s="83" t="s">
        <v>3293</v>
      </c>
      <c r="C2709" s="91" t="s">
        <v>1315</v>
      </c>
    </row>
    <row r="2710" spans="1:3" ht="15">
      <c r="A2710" s="84" t="s">
        <v>395</v>
      </c>
      <c r="B2710" s="83" t="s">
        <v>3294</v>
      </c>
      <c r="C2710" s="91" t="s">
        <v>1315</v>
      </c>
    </row>
    <row r="2711" spans="1:3" ht="15">
      <c r="A2711" s="84" t="s">
        <v>395</v>
      </c>
      <c r="B2711" s="83" t="s">
        <v>3295</v>
      </c>
      <c r="C2711" s="91" t="s">
        <v>1315</v>
      </c>
    </row>
    <row r="2712" spans="1:3" ht="15">
      <c r="A2712" s="84" t="s">
        <v>395</v>
      </c>
      <c r="B2712" s="83" t="s">
        <v>3237</v>
      </c>
      <c r="C2712" s="91" t="s">
        <v>1315</v>
      </c>
    </row>
    <row r="2713" spans="1:3" ht="15">
      <c r="A2713" s="84" t="s">
        <v>395</v>
      </c>
      <c r="B2713" s="83" t="s">
        <v>3296</v>
      </c>
      <c r="C2713" s="91" t="s">
        <v>1315</v>
      </c>
    </row>
    <row r="2714" spans="1:3" ht="15">
      <c r="A2714" s="84" t="s">
        <v>395</v>
      </c>
      <c r="B2714" s="83" t="s">
        <v>3297</v>
      </c>
      <c r="C2714" s="91" t="s">
        <v>1315</v>
      </c>
    </row>
    <row r="2715" spans="1:3" ht="15">
      <c r="A2715" s="84" t="s">
        <v>395</v>
      </c>
      <c r="B2715" s="83" t="s">
        <v>3218</v>
      </c>
      <c r="C2715" s="91" t="s">
        <v>1315</v>
      </c>
    </row>
    <row r="2716" spans="1:3" ht="15">
      <c r="A2716" s="84" t="s">
        <v>395</v>
      </c>
      <c r="B2716" s="83" t="s">
        <v>3346</v>
      </c>
      <c r="C2716" s="91" t="s">
        <v>1315</v>
      </c>
    </row>
    <row r="2717" spans="1:3" ht="15">
      <c r="A2717" s="84" t="s">
        <v>395</v>
      </c>
      <c r="B2717" s="83" t="s">
        <v>3298</v>
      </c>
      <c r="C2717" s="91" t="s">
        <v>1315</v>
      </c>
    </row>
    <row r="2718" spans="1:3" ht="15">
      <c r="A2718" s="84" t="s">
        <v>395</v>
      </c>
      <c r="B2718" s="83" t="s">
        <v>3299</v>
      </c>
      <c r="C2718" s="91" t="s">
        <v>1315</v>
      </c>
    </row>
    <row r="2719" spans="1:3" ht="15">
      <c r="A2719" s="84" t="s">
        <v>395</v>
      </c>
      <c r="B2719" s="83" t="s">
        <v>3199</v>
      </c>
      <c r="C2719" s="91" t="s">
        <v>1315</v>
      </c>
    </row>
    <row r="2720" spans="1:3" ht="15">
      <c r="A2720" s="84" t="s">
        <v>395</v>
      </c>
      <c r="B2720" s="83" t="s">
        <v>3347</v>
      </c>
      <c r="C2720" s="91" t="s">
        <v>1315</v>
      </c>
    </row>
    <row r="2721" spans="1:3" ht="15">
      <c r="A2721" s="84" t="s">
        <v>395</v>
      </c>
      <c r="B2721" s="83" t="s">
        <v>3308</v>
      </c>
      <c r="C2721" s="91" t="s">
        <v>1314</v>
      </c>
    </row>
    <row r="2722" spans="1:3" ht="15">
      <c r="A2722" s="84" t="s">
        <v>395</v>
      </c>
      <c r="B2722" s="83" t="s">
        <v>2568</v>
      </c>
      <c r="C2722" s="91" t="s">
        <v>1314</v>
      </c>
    </row>
    <row r="2723" spans="1:3" ht="15">
      <c r="A2723" s="84" t="s">
        <v>395</v>
      </c>
      <c r="B2723" s="83" t="s">
        <v>3203</v>
      </c>
      <c r="C2723" s="91" t="s">
        <v>1314</v>
      </c>
    </row>
    <row r="2724" spans="1:3" ht="15">
      <c r="A2724" s="84" t="s">
        <v>395</v>
      </c>
      <c r="B2724" s="83">
        <v>19</v>
      </c>
      <c r="C2724" s="91" t="s">
        <v>1314</v>
      </c>
    </row>
    <row r="2725" spans="1:3" ht="15">
      <c r="A2725" s="84" t="s">
        <v>395</v>
      </c>
      <c r="B2725" s="83" t="s">
        <v>3309</v>
      </c>
      <c r="C2725" s="91" t="s">
        <v>1314</v>
      </c>
    </row>
    <row r="2726" spans="1:3" ht="15">
      <c r="A2726" s="84" t="s">
        <v>395</v>
      </c>
      <c r="B2726" s="83" t="s">
        <v>2666</v>
      </c>
      <c r="C2726" s="91" t="s">
        <v>1314</v>
      </c>
    </row>
    <row r="2727" spans="1:3" ht="15">
      <c r="A2727" s="84" t="s">
        <v>395</v>
      </c>
      <c r="B2727" s="83" t="s">
        <v>2630</v>
      </c>
      <c r="C2727" s="91" t="s">
        <v>1314</v>
      </c>
    </row>
    <row r="2728" spans="1:3" ht="15">
      <c r="A2728" s="84" t="s">
        <v>395</v>
      </c>
      <c r="B2728" s="83" t="s">
        <v>2676</v>
      </c>
      <c r="C2728" s="91" t="s">
        <v>1314</v>
      </c>
    </row>
    <row r="2729" spans="1:3" ht="15">
      <c r="A2729" s="84" t="s">
        <v>395</v>
      </c>
      <c r="B2729" s="83" t="s">
        <v>2580</v>
      </c>
      <c r="C2729" s="91" t="s">
        <v>1314</v>
      </c>
    </row>
    <row r="2730" spans="1:3" ht="15">
      <c r="A2730" s="84" t="s">
        <v>395</v>
      </c>
      <c r="B2730" s="83" t="s">
        <v>2677</v>
      </c>
      <c r="C2730" s="91" t="s">
        <v>1314</v>
      </c>
    </row>
    <row r="2731" spans="1:3" ht="15">
      <c r="A2731" s="84" t="s">
        <v>395</v>
      </c>
      <c r="B2731" s="83" t="s">
        <v>3310</v>
      </c>
      <c r="C2731" s="91" t="s">
        <v>1314</v>
      </c>
    </row>
    <row r="2732" spans="1:3" ht="15">
      <c r="A2732" s="84" t="s">
        <v>395</v>
      </c>
      <c r="B2732" s="83" t="s">
        <v>3282</v>
      </c>
      <c r="C2732" s="91" t="s">
        <v>1314</v>
      </c>
    </row>
    <row r="2733" spans="1:3" ht="15">
      <c r="A2733" s="84" t="s">
        <v>395</v>
      </c>
      <c r="B2733" s="83" t="s">
        <v>3311</v>
      </c>
      <c r="C2733" s="91" t="s">
        <v>1314</v>
      </c>
    </row>
    <row r="2734" spans="1:3" ht="15">
      <c r="A2734" s="84" t="s">
        <v>395</v>
      </c>
      <c r="B2734" s="83" t="s">
        <v>2577</v>
      </c>
      <c r="C2734" s="91" t="s">
        <v>1314</v>
      </c>
    </row>
    <row r="2735" spans="1:3" ht="15">
      <c r="A2735" s="84" t="s">
        <v>395</v>
      </c>
      <c r="B2735" s="83" t="s">
        <v>2658</v>
      </c>
      <c r="C2735" s="91" t="s">
        <v>1314</v>
      </c>
    </row>
    <row r="2736" spans="1:3" ht="15">
      <c r="A2736" s="84" t="s">
        <v>395</v>
      </c>
      <c r="B2736" s="83" t="s">
        <v>2653</v>
      </c>
      <c r="C2736" s="91" t="s">
        <v>1314</v>
      </c>
    </row>
    <row r="2737" spans="1:3" ht="15">
      <c r="A2737" s="84" t="s">
        <v>395</v>
      </c>
      <c r="B2737" s="83" t="s">
        <v>2667</v>
      </c>
      <c r="C2737" s="91" t="s">
        <v>1314</v>
      </c>
    </row>
    <row r="2738" spans="1:3" ht="15">
      <c r="A2738" s="84" t="s">
        <v>395</v>
      </c>
      <c r="B2738" s="83" t="s">
        <v>2578</v>
      </c>
      <c r="C2738" s="91" t="s">
        <v>1314</v>
      </c>
    </row>
    <row r="2739" spans="1:3" ht="15">
      <c r="A2739" s="84" t="s">
        <v>395</v>
      </c>
      <c r="B2739" s="83" t="s">
        <v>2678</v>
      </c>
      <c r="C2739" s="91" t="s">
        <v>1314</v>
      </c>
    </row>
    <row r="2740" spans="1:3" ht="15">
      <c r="A2740" s="84" t="s">
        <v>395</v>
      </c>
      <c r="B2740" s="83" t="s">
        <v>3312</v>
      </c>
      <c r="C2740" s="91" t="s">
        <v>1314</v>
      </c>
    </row>
    <row r="2741" spans="1:3" ht="15">
      <c r="A2741" s="84" t="s">
        <v>395</v>
      </c>
      <c r="B2741" s="83" t="s">
        <v>3290</v>
      </c>
      <c r="C2741" s="91" t="s">
        <v>1314</v>
      </c>
    </row>
    <row r="2742" spans="1:3" ht="15">
      <c r="A2742" s="84" t="s">
        <v>395</v>
      </c>
      <c r="B2742" s="83" t="s">
        <v>3313</v>
      </c>
      <c r="C2742" s="91" t="s">
        <v>1314</v>
      </c>
    </row>
    <row r="2743" spans="1:3" ht="15">
      <c r="A2743" s="84" t="s">
        <v>395</v>
      </c>
      <c r="B2743" s="83" t="s">
        <v>3314</v>
      </c>
      <c r="C2743" s="91" t="s">
        <v>1314</v>
      </c>
    </row>
    <row r="2744" spans="1:3" ht="15">
      <c r="A2744" s="84" t="s">
        <v>395</v>
      </c>
      <c r="B2744" s="83" t="s">
        <v>3315</v>
      </c>
      <c r="C2744" s="91" t="s">
        <v>1314</v>
      </c>
    </row>
    <row r="2745" spans="1:3" ht="15">
      <c r="A2745" s="84" t="s">
        <v>395</v>
      </c>
      <c r="B2745" s="83" t="s">
        <v>586</v>
      </c>
      <c r="C2745" s="91" t="s">
        <v>1314</v>
      </c>
    </row>
    <row r="2746" spans="1:3" ht="15">
      <c r="A2746" s="84" t="s">
        <v>395</v>
      </c>
      <c r="B2746" s="83" t="s">
        <v>3258</v>
      </c>
      <c r="C2746" s="91" t="s">
        <v>1314</v>
      </c>
    </row>
    <row r="2747" spans="1:3" ht="15">
      <c r="A2747" s="84" t="s">
        <v>393</v>
      </c>
      <c r="B2747" s="83" t="s">
        <v>3279</v>
      </c>
      <c r="C2747" s="91" t="s">
        <v>1309</v>
      </c>
    </row>
    <row r="2748" spans="1:3" ht="15">
      <c r="A2748" s="84" t="s">
        <v>393</v>
      </c>
      <c r="B2748" s="83" t="s">
        <v>3280</v>
      </c>
      <c r="C2748" s="91" t="s">
        <v>1309</v>
      </c>
    </row>
    <row r="2749" spans="1:3" ht="15">
      <c r="A2749" s="84" t="s">
        <v>393</v>
      </c>
      <c r="B2749" s="83" t="s">
        <v>2581</v>
      </c>
      <c r="C2749" s="91" t="s">
        <v>1309</v>
      </c>
    </row>
    <row r="2750" spans="1:3" ht="15">
      <c r="A2750" s="84" t="s">
        <v>393</v>
      </c>
      <c r="B2750" s="83" t="s">
        <v>2675</v>
      </c>
      <c r="C2750" s="91" t="s">
        <v>1309</v>
      </c>
    </row>
    <row r="2751" spans="1:3" ht="15">
      <c r="A2751" s="84" t="s">
        <v>393</v>
      </c>
      <c r="B2751" s="83" t="s">
        <v>3281</v>
      </c>
      <c r="C2751" s="91" t="s">
        <v>1309</v>
      </c>
    </row>
    <row r="2752" spans="1:3" ht="15">
      <c r="A2752" s="84" t="s">
        <v>393</v>
      </c>
      <c r="B2752" s="83" t="s">
        <v>3213</v>
      </c>
      <c r="C2752" s="91" t="s">
        <v>1309</v>
      </c>
    </row>
    <row r="2753" spans="1:3" ht="15">
      <c r="A2753" s="84" t="s">
        <v>393</v>
      </c>
      <c r="B2753" s="83" t="s">
        <v>3266</v>
      </c>
      <c r="C2753" s="91" t="s">
        <v>1309</v>
      </c>
    </row>
    <row r="2754" spans="1:3" ht="15">
      <c r="A2754" s="84" t="s">
        <v>393</v>
      </c>
      <c r="B2754" s="83" t="s">
        <v>2577</v>
      </c>
      <c r="C2754" s="91" t="s">
        <v>1309</v>
      </c>
    </row>
    <row r="2755" spans="1:3" ht="15">
      <c r="A2755" s="84" t="s">
        <v>393</v>
      </c>
      <c r="B2755" s="83" t="s">
        <v>3198</v>
      </c>
      <c r="C2755" s="91" t="s">
        <v>1309</v>
      </c>
    </row>
    <row r="2756" spans="1:3" ht="15">
      <c r="A2756" s="84" t="s">
        <v>393</v>
      </c>
      <c r="B2756" s="83" t="s">
        <v>3282</v>
      </c>
      <c r="C2756" s="91" t="s">
        <v>1309</v>
      </c>
    </row>
    <row r="2757" spans="1:3" ht="15">
      <c r="A2757" s="84" t="s">
        <v>393</v>
      </c>
      <c r="B2757" s="83" t="s">
        <v>3283</v>
      </c>
      <c r="C2757" s="91" t="s">
        <v>1309</v>
      </c>
    </row>
    <row r="2758" spans="1:3" ht="15">
      <c r="A2758" s="84" t="s">
        <v>393</v>
      </c>
      <c r="B2758" s="83" t="s">
        <v>3214</v>
      </c>
      <c r="C2758" s="91" t="s">
        <v>1309</v>
      </c>
    </row>
    <row r="2759" spans="1:3" ht="15">
      <c r="A2759" s="84" t="s">
        <v>393</v>
      </c>
      <c r="B2759" s="83" t="s">
        <v>3211</v>
      </c>
      <c r="C2759" s="91" t="s">
        <v>1309</v>
      </c>
    </row>
    <row r="2760" spans="1:3" ht="15">
      <c r="A2760" s="84" t="s">
        <v>393</v>
      </c>
      <c r="B2760" s="83" t="s">
        <v>3215</v>
      </c>
      <c r="C2760" s="91" t="s">
        <v>1309</v>
      </c>
    </row>
    <row r="2761" spans="1:3" ht="15">
      <c r="A2761" s="84" t="s">
        <v>393</v>
      </c>
      <c r="B2761" s="83" t="s">
        <v>3199</v>
      </c>
      <c r="C2761" s="91" t="s">
        <v>1309</v>
      </c>
    </row>
    <row r="2762" spans="1:3" ht="15">
      <c r="A2762" s="84" t="s">
        <v>393</v>
      </c>
      <c r="B2762" s="83" t="s">
        <v>3218</v>
      </c>
      <c r="C2762" s="91" t="s">
        <v>1309</v>
      </c>
    </row>
    <row r="2763" spans="1:3" ht="15">
      <c r="A2763" s="84" t="s">
        <v>393</v>
      </c>
      <c r="B2763" s="83" t="s">
        <v>3235</v>
      </c>
      <c r="C2763" s="91" t="s">
        <v>1309</v>
      </c>
    </row>
    <row r="2764" spans="1:3" ht="15">
      <c r="A2764" s="84" t="s">
        <v>393</v>
      </c>
      <c r="B2764" s="83" t="s">
        <v>3236</v>
      </c>
      <c r="C2764" s="91" t="s">
        <v>1309</v>
      </c>
    </row>
    <row r="2765" spans="1:3" ht="15">
      <c r="A2765" s="84" t="s">
        <v>393</v>
      </c>
      <c r="B2765" s="83" t="s">
        <v>3220</v>
      </c>
      <c r="C2765" s="91" t="s">
        <v>1309</v>
      </c>
    </row>
    <row r="2766" spans="1:3" ht="15">
      <c r="A2766" s="84" t="s">
        <v>393</v>
      </c>
      <c r="B2766" s="83" t="s">
        <v>3221</v>
      </c>
      <c r="C2766" s="91" t="s">
        <v>1309</v>
      </c>
    </row>
    <row r="2767" spans="1:3" ht="15">
      <c r="A2767" s="84" t="s">
        <v>393</v>
      </c>
      <c r="B2767" s="83" t="s">
        <v>3237</v>
      </c>
      <c r="C2767" s="91" t="s">
        <v>1309</v>
      </c>
    </row>
    <row r="2768" spans="1:3" ht="15">
      <c r="A2768" s="84" t="s">
        <v>393</v>
      </c>
      <c r="B2768" s="83" t="s">
        <v>3284</v>
      </c>
      <c r="C2768" s="91" t="s">
        <v>1309</v>
      </c>
    </row>
    <row r="2769" spans="1:3" ht="15">
      <c r="A2769" s="84" t="s">
        <v>393</v>
      </c>
      <c r="B2769" s="83" t="s">
        <v>3285</v>
      </c>
      <c r="C2769" s="91" t="s">
        <v>1309</v>
      </c>
    </row>
    <row r="2770" spans="1:3" ht="15">
      <c r="A2770" s="84" t="s">
        <v>393</v>
      </c>
      <c r="B2770" s="83" t="s">
        <v>2632</v>
      </c>
      <c r="C2770" s="91" t="s">
        <v>1309</v>
      </c>
    </row>
    <row r="2771" spans="1:3" ht="15">
      <c r="A2771" s="84" t="s">
        <v>393</v>
      </c>
      <c r="B2771" s="83" t="s">
        <v>3286</v>
      </c>
      <c r="C2771" s="91" t="s">
        <v>1309</v>
      </c>
    </row>
    <row r="2772" spans="1:3" ht="15">
      <c r="A2772" s="84" t="s">
        <v>393</v>
      </c>
      <c r="B2772" s="83" t="s">
        <v>3226</v>
      </c>
      <c r="C2772" s="91" t="s">
        <v>1308</v>
      </c>
    </row>
    <row r="2773" spans="1:3" ht="15">
      <c r="A2773" s="84" t="s">
        <v>393</v>
      </c>
      <c r="B2773" s="83" t="s">
        <v>3227</v>
      </c>
      <c r="C2773" s="91" t="s">
        <v>1308</v>
      </c>
    </row>
    <row r="2774" spans="1:3" ht="15">
      <c r="A2774" s="84" t="s">
        <v>393</v>
      </c>
      <c r="B2774" s="83" t="s">
        <v>2607</v>
      </c>
      <c r="C2774" s="91" t="s">
        <v>1308</v>
      </c>
    </row>
    <row r="2775" spans="1:3" ht="15">
      <c r="A2775" s="84" t="s">
        <v>393</v>
      </c>
      <c r="B2775" s="83" t="s">
        <v>2698</v>
      </c>
      <c r="C2775" s="91" t="s">
        <v>1308</v>
      </c>
    </row>
    <row r="2776" spans="1:3" ht="15">
      <c r="A2776" s="84" t="s">
        <v>393</v>
      </c>
      <c r="B2776" s="83" t="s">
        <v>2699</v>
      </c>
      <c r="C2776" s="91" t="s">
        <v>1308</v>
      </c>
    </row>
    <row r="2777" spans="1:3" ht="15">
      <c r="A2777" s="84" t="s">
        <v>393</v>
      </c>
      <c r="B2777" s="83" t="s">
        <v>3228</v>
      </c>
      <c r="C2777" s="91" t="s">
        <v>1308</v>
      </c>
    </row>
    <row r="2778" spans="1:3" ht="15">
      <c r="A2778" s="84" t="s">
        <v>393</v>
      </c>
      <c r="B2778" s="83" t="s">
        <v>2581</v>
      </c>
      <c r="C2778" s="91" t="s">
        <v>1308</v>
      </c>
    </row>
    <row r="2779" spans="1:3" ht="15">
      <c r="A2779" s="84" t="s">
        <v>393</v>
      </c>
      <c r="B2779" s="83" t="s">
        <v>2586</v>
      </c>
      <c r="C2779" s="91" t="s">
        <v>1308</v>
      </c>
    </row>
    <row r="2780" spans="1:3" ht="15">
      <c r="A2780" s="84" t="s">
        <v>393</v>
      </c>
      <c r="B2780" s="83" t="s">
        <v>2595</v>
      </c>
      <c r="C2780" s="91" t="s">
        <v>1308</v>
      </c>
    </row>
    <row r="2781" spans="1:3" ht="15">
      <c r="A2781" s="84" t="s">
        <v>393</v>
      </c>
      <c r="B2781" s="83" t="s">
        <v>2568</v>
      </c>
      <c r="C2781" s="91" t="s">
        <v>1308</v>
      </c>
    </row>
    <row r="2782" spans="1:3" ht="15">
      <c r="A2782" s="84" t="s">
        <v>393</v>
      </c>
      <c r="B2782" s="83" t="s">
        <v>2592</v>
      </c>
      <c r="C2782" s="91" t="s">
        <v>1308</v>
      </c>
    </row>
    <row r="2783" spans="1:3" ht="15">
      <c r="A2783" s="84" t="s">
        <v>393</v>
      </c>
      <c r="B2783" s="83" t="s">
        <v>3213</v>
      </c>
      <c r="C2783" s="91" t="s">
        <v>1308</v>
      </c>
    </row>
    <row r="2784" spans="1:3" ht="15">
      <c r="A2784" s="84" t="s">
        <v>393</v>
      </c>
      <c r="B2784" s="83" t="s">
        <v>2576</v>
      </c>
      <c r="C2784" s="91" t="s">
        <v>1308</v>
      </c>
    </row>
    <row r="2785" spans="1:3" ht="15">
      <c r="A2785" s="84" t="s">
        <v>393</v>
      </c>
      <c r="B2785" s="83" t="s">
        <v>3229</v>
      </c>
      <c r="C2785" s="91" t="s">
        <v>1308</v>
      </c>
    </row>
    <row r="2786" spans="1:3" ht="15">
      <c r="A2786" s="84" t="s">
        <v>393</v>
      </c>
      <c r="B2786" s="83" t="s">
        <v>3230</v>
      </c>
      <c r="C2786" s="91" t="s">
        <v>1308</v>
      </c>
    </row>
    <row r="2787" spans="1:3" ht="15">
      <c r="A2787" s="84" t="s">
        <v>393</v>
      </c>
      <c r="B2787" s="83" t="s">
        <v>2598</v>
      </c>
      <c r="C2787" s="91" t="s">
        <v>1308</v>
      </c>
    </row>
    <row r="2788" spans="1:3" ht="15">
      <c r="A2788" s="84" t="s">
        <v>393</v>
      </c>
      <c r="B2788" s="83" t="s">
        <v>3231</v>
      </c>
      <c r="C2788" s="91" t="s">
        <v>1308</v>
      </c>
    </row>
    <row r="2789" spans="1:3" ht="15">
      <c r="A2789" s="84" t="s">
        <v>393</v>
      </c>
      <c r="B2789" s="83" t="s">
        <v>3232</v>
      </c>
      <c r="C2789" s="91" t="s">
        <v>1308</v>
      </c>
    </row>
    <row r="2790" spans="1:3" ht="15">
      <c r="A2790" s="84" t="s">
        <v>393</v>
      </c>
      <c r="B2790" s="83" t="s">
        <v>3233</v>
      </c>
      <c r="C2790" s="91" t="s">
        <v>1308</v>
      </c>
    </row>
    <row r="2791" spans="1:3" ht="15">
      <c r="A2791" s="84" t="s">
        <v>393</v>
      </c>
      <c r="B2791" s="83" t="s">
        <v>3211</v>
      </c>
      <c r="C2791" s="91" t="s">
        <v>1308</v>
      </c>
    </row>
    <row r="2792" spans="1:3" ht="15">
      <c r="A2792" s="84" t="s">
        <v>393</v>
      </c>
      <c r="B2792" s="83" t="s">
        <v>3199</v>
      </c>
      <c r="C2792" s="91" t="s">
        <v>1308</v>
      </c>
    </row>
    <row r="2793" spans="1:3" ht="15">
      <c r="A2793" s="84" t="s">
        <v>393</v>
      </c>
      <c r="B2793" s="83" t="s">
        <v>3218</v>
      </c>
      <c r="C2793" s="91" t="s">
        <v>1308</v>
      </c>
    </row>
    <row r="2794" spans="1:3" ht="15">
      <c r="A2794" s="84" t="s">
        <v>393</v>
      </c>
      <c r="B2794" s="83" t="s">
        <v>3234</v>
      </c>
      <c r="C2794" s="91" t="s">
        <v>1308</v>
      </c>
    </row>
    <row r="2795" spans="1:3" ht="15">
      <c r="A2795" s="84" t="s">
        <v>393</v>
      </c>
      <c r="B2795" s="83" t="s">
        <v>3235</v>
      </c>
      <c r="C2795" s="91" t="s">
        <v>1308</v>
      </c>
    </row>
    <row r="2796" spans="1:3" ht="15">
      <c r="A2796" s="84" t="s">
        <v>393</v>
      </c>
      <c r="B2796" s="83" t="s">
        <v>3236</v>
      </c>
      <c r="C2796" s="91" t="s">
        <v>1308</v>
      </c>
    </row>
    <row r="2797" spans="1:3" ht="15">
      <c r="A2797" s="84" t="s">
        <v>393</v>
      </c>
      <c r="B2797" s="83" t="s">
        <v>3237</v>
      </c>
      <c r="C2797" s="91" t="s">
        <v>1308</v>
      </c>
    </row>
    <row r="2798" spans="1:3" ht="15">
      <c r="A2798" s="84" t="s">
        <v>393</v>
      </c>
      <c r="B2798" s="83" t="s">
        <v>3238</v>
      </c>
      <c r="C2798" s="91" t="s">
        <v>1308</v>
      </c>
    </row>
    <row r="2799" spans="1:3" ht="15">
      <c r="A2799" s="84" t="s">
        <v>393</v>
      </c>
      <c r="B2799" s="83" t="s">
        <v>3239</v>
      </c>
      <c r="C2799" s="91" t="s">
        <v>1308</v>
      </c>
    </row>
    <row r="2800" spans="1:3" ht="15">
      <c r="A2800" s="84" t="s">
        <v>393</v>
      </c>
      <c r="B2800" s="83" t="s">
        <v>3240</v>
      </c>
      <c r="C2800" s="91" t="s">
        <v>1308</v>
      </c>
    </row>
    <row r="2801" spans="1:3" ht="15">
      <c r="A2801" s="84" t="s">
        <v>393</v>
      </c>
      <c r="B2801" s="83" t="s">
        <v>3241</v>
      </c>
      <c r="C2801" s="91" t="s">
        <v>1308</v>
      </c>
    </row>
    <row r="2802" spans="1:3" ht="15">
      <c r="A2802" s="84" t="s">
        <v>393</v>
      </c>
      <c r="B2802" s="83" t="s">
        <v>3242</v>
      </c>
      <c r="C2802" s="91" t="s">
        <v>1308</v>
      </c>
    </row>
    <row r="2803" spans="1:3" ht="15">
      <c r="A2803" s="84" t="s">
        <v>393</v>
      </c>
      <c r="B2803" s="83" t="s">
        <v>2767</v>
      </c>
      <c r="C2803" s="91" t="s">
        <v>1308</v>
      </c>
    </row>
    <row r="2804" spans="1:3" ht="15">
      <c r="A2804" s="84" t="s">
        <v>393</v>
      </c>
      <c r="B2804" s="83" t="s">
        <v>3243</v>
      </c>
      <c r="C2804" s="91" t="s">
        <v>1308</v>
      </c>
    </row>
    <row r="2805" spans="1:3" ht="15">
      <c r="A2805" s="84" t="s">
        <v>393</v>
      </c>
      <c r="B2805" s="83" t="s">
        <v>3395</v>
      </c>
      <c r="C2805" s="91" t="s">
        <v>1308</v>
      </c>
    </row>
    <row r="2806" spans="1:3" ht="15">
      <c r="A2806" s="84" t="s">
        <v>393</v>
      </c>
      <c r="B2806" s="83" t="s">
        <v>3279</v>
      </c>
      <c r="C2806" s="91" t="s">
        <v>1307</v>
      </c>
    </row>
    <row r="2807" spans="1:3" ht="15">
      <c r="A2807" s="84" t="s">
        <v>393</v>
      </c>
      <c r="B2807" s="83" t="s">
        <v>3280</v>
      </c>
      <c r="C2807" s="91" t="s">
        <v>1307</v>
      </c>
    </row>
    <row r="2808" spans="1:3" ht="15">
      <c r="A2808" s="84" t="s">
        <v>393</v>
      </c>
      <c r="B2808" s="83" t="s">
        <v>2581</v>
      </c>
      <c r="C2808" s="91" t="s">
        <v>1307</v>
      </c>
    </row>
    <row r="2809" spans="1:3" ht="15">
      <c r="A2809" s="84" t="s">
        <v>393</v>
      </c>
      <c r="B2809" s="83" t="s">
        <v>2675</v>
      </c>
      <c r="C2809" s="91" t="s">
        <v>1307</v>
      </c>
    </row>
    <row r="2810" spans="1:3" ht="15">
      <c r="A2810" s="84" t="s">
        <v>393</v>
      </c>
      <c r="B2810" s="83" t="s">
        <v>3281</v>
      </c>
      <c r="C2810" s="91" t="s">
        <v>1307</v>
      </c>
    </row>
    <row r="2811" spans="1:3" ht="15">
      <c r="A2811" s="84" t="s">
        <v>393</v>
      </c>
      <c r="B2811" s="83" t="s">
        <v>3213</v>
      </c>
      <c r="C2811" s="91" t="s">
        <v>1307</v>
      </c>
    </row>
    <row r="2812" spans="1:3" ht="15">
      <c r="A2812" s="84" t="s">
        <v>393</v>
      </c>
      <c r="B2812" s="83" t="s">
        <v>3266</v>
      </c>
      <c r="C2812" s="91" t="s">
        <v>1307</v>
      </c>
    </row>
    <row r="2813" spans="1:3" ht="15">
      <c r="A2813" s="84" t="s">
        <v>393</v>
      </c>
      <c r="B2813" s="83" t="s">
        <v>2577</v>
      </c>
      <c r="C2813" s="91" t="s">
        <v>1307</v>
      </c>
    </row>
    <row r="2814" spans="1:3" ht="15">
      <c r="A2814" s="84" t="s">
        <v>393</v>
      </c>
      <c r="B2814" s="83" t="s">
        <v>3198</v>
      </c>
      <c r="C2814" s="91" t="s">
        <v>1307</v>
      </c>
    </row>
    <row r="2815" spans="1:3" ht="15">
      <c r="A2815" s="84" t="s">
        <v>393</v>
      </c>
      <c r="B2815" s="83" t="s">
        <v>3282</v>
      </c>
      <c r="C2815" s="91" t="s">
        <v>1307</v>
      </c>
    </row>
    <row r="2816" spans="1:3" ht="15">
      <c r="A2816" s="84" t="s">
        <v>393</v>
      </c>
      <c r="B2816" s="83" t="s">
        <v>3283</v>
      </c>
      <c r="C2816" s="91" t="s">
        <v>1307</v>
      </c>
    </row>
    <row r="2817" spans="1:3" ht="15">
      <c r="A2817" s="84" t="s">
        <v>393</v>
      </c>
      <c r="B2817" s="83" t="s">
        <v>3214</v>
      </c>
      <c r="C2817" s="91" t="s">
        <v>1307</v>
      </c>
    </row>
    <row r="2818" spans="1:3" ht="15">
      <c r="A2818" s="84" t="s">
        <v>393</v>
      </c>
      <c r="B2818" s="83" t="s">
        <v>3211</v>
      </c>
      <c r="C2818" s="91" t="s">
        <v>1307</v>
      </c>
    </row>
    <row r="2819" spans="1:3" ht="15">
      <c r="A2819" s="84" t="s">
        <v>393</v>
      </c>
      <c r="B2819" s="83" t="s">
        <v>3215</v>
      </c>
      <c r="C2819" s="91" t="s">
        <v>1307</v>
      </c>
    </row>
    <row r="2820" spans="1:3" ht="15">
      <c r="A2820" s="84" t="s">
        <v>393</v>
      </c>
      <c r="B2820" s="83" t="s">
        <v>3199</v>
      </c>
      <c r="C2820" s="91" t="s">
        <v>1307</v>
      </c>
    </row>
    <row r="2821" spans="1:3" ht="15">
      <c r="A2821" s="84" t="s">
        <v>393</v>
      </c>
      <c r="B2821" s="83" t="s">
        <v>3218</v>
      </c>
      <c r="C2821" s="91" t="s">
        <v>1307</v>
      </c>
    </row>
    <row r="2822" spans="1:3" ht="15">
      <c r="A2822" s="84" t="s">
        <v>393</v>
      </c>
      <c r="B2822" s="83" t="s">
        <v>3235</v>
      </c>
      <c r="C2822" s="91" t="s">
        <v>1307</v>
      </c>
    </row>
    <row r="2823" spans="1:3" ht="15">
      <c r="A2823" s="84" t="s">
        <v>393</v>
      </c>
      <c r="B2823" s="83" t="s">
        <v>3236</v>
      </c>
      <c r="C2823" s="91" t="s">
        <v>1307</v>
      </c>
    </row>
    <row r="2824" spans="1:3" ht="15">
      <c r="A2824" s="84" t="s">
        <v>393</v>
      </c>
      <c r="B2824" s="83" t="s">
        <v>3220</v>
      </c>
      <c r="C2824" s="91" t="s">
        <v>1307</v>
      </c>
    </row>
    <row r="2825" spans="1:3" ht="15">
      <c r="A2825" s="84" t="s">
        <v>393</v>
      </c>
      <c r="B2825" s="83" t="s">
        <v>3221</v>
      </c>
      <c r="C2825" s="91" t="s">
        <v>1307</v>
      </c>
    </row>
    <row r="2826" spans="1:3" ht="15">
      <c r="A2826" s="84" t="s">
        <v>393</v>
      </c>
      <c r="B2826" s="83" t="s">
        <v>3237</v>
      </c>
      <c r="C2826" s="91" t="s">
        <v>1307</v>
      </c>
    </row>
    <row r="2827" spans="1:3" ht="15">
      <c r="A2827" s="84" t="s">
        <v>393</v>
      </c>
      <c r="B2827" s="83" t="s">
        <v>3284</v>
      </c>
      <c r="C2827" s="91" t="s">
        <v>1307</v>
      </c>
    </row>
    <row r="2828" spans="1:3" ht="15">
      <c r="A2828" s="84" t="s">
        <v>393</v>
      </c>
      <c r="B2828" s="83" t="s">
        <v>3285</v>
      </c>
      <c r="C2828" s="91" t="s">
        <v>1307</v>
      </c>
    </row>
    <row r="2829" spans="1:3" ht="15">
      <c r="A2829" s="84" t="s">
        <v>393</v>
      </c>
      <c r="B2829" s="83" t="s">
        <v>2632</v>
      </c>
      <c r="C2829" s="91" t="s">
        <v>1307</v>
      </c>
    </row>
    <row r="2830" spans="1:3" ht="15">
      <c r="A2830" s="84" t="s">
        <v>393</v>
      </c>
      <c r="B2830" s="83" t="s">
        <v>3286</v>
      </c>
      <c r="C2830" s="91" t="s">
        <v>1307</v>
      </c>
    </row>
    <row r="2831" spans="1:3" ht="15">
      <c r="A2831" s="84" t="s">
        <v>393</v>
      </c>
      <c r="B2831" s="83" t="s">
        <v>3250</v>
      </c>
      <c r="C2831" s="91" t="s">
        <v>1306</v>
      </c>
    </row>
    <row r="2832" spans="1:3" ht="15">
      <c r="A2832" s="84" t="s">
        <v>393</v>
      </c>
      <c r="B2832" s="83" t="s">
        <v>2692</v>
      </c>
      <c r="C2832" s="91" t="s">
        <v>1306</v>
      </c>
    </row>
    <row r="2833" spans="1:3" ht="15">
      <c r="A2833" s="84" t="s">
        <v>393</v>
      </c>
      <c r="B2833" s="83" t="s">
        <v>2712</v>
      </c>
      <c r="C2833" s="91" t="s">
        <v>1306</v>
      </c>
    </row>
    <row r="2834" spans="1:3" ht="15">
      <c r="A2834" s="84" t="s">
        <v>393</v>
      </c>
      <c r="B2834" s="83" t="s">
        <v>2578</v>
      </c>
      <c r="C2834" s="91" t="s">
        <v>1306</v>
      </c>
    </row>
    <row r="2835" spans="1:3" ht="15">
      <c r="A2835" s="84" t="s">
        <v>393</v>
      </c>
      <c r="B2835" s="83" t="s">
        <v>2637</v>
      </c>
      <c r="C2835" s="91" t="s">
        <v>1306</v>
      </c>
    </row>
    <row r="2836" spans="1:3" ht="15">
      <c r="A2836" s="84" t="s">
        <v>393</v>
      </c>
      <c r="B2836" s="83" t="s">
        <v>3203</v>
      </c>
      <c r="C2836" s="91" t="s">
        <v>1306</v>
      </c>
    </row>
    <row r="2837" spans="1:3" ht="15">
      <c r="A2837" s="84" t="s">
        <v>393</v>
      </c>
      <c r="B2837" s="91" t="s">
        <v>3287</v>
      </c>
      <c r="C2837" s="91" t="s">
        <v>1306</v>
      </c>
    </row>
    <row r="2838" spans="1:3" ht="15">
      <c r="A2838" s="84" t="s">
        <v>393</v>
      </c>
      <c r="B2838" s="83" t="s">
        <v>3288</v>
      </c>
      <c r="C2838" s="91" t="s">
        <v>1306</v>
      </c>
    </row>
    <row r="2839" spans="1:3" ht="15">
      <c r="A2839" s="84" t="s">
        <v>393</v>
      </c>
      <c r="B2839" s="83" t="s">
        <v>3289</v>
      </c>
      <c r="C2839" s="91" t="s">
        <v>1306</v>
      </c>
    </row>
    <row r="2840" spans="1:3" ht="15">
      <c r="A2840" s="84" t="s">
        <v>393</v>
      </c>
      <c r="B2840" s="83" t="s">
        <v>2632</v>
      </c>
      <c r="C2840" s="91" t="s">
        <v>1306</v>
      </c>
    </row>
    <row r="2841" spans="1:3" ht="15">
      <c r="A2841" s="84" t="s">
        <v>393</v>
      </c>
      <c r="B2841" s="83" t="s">
        <v>435</v>
      </c>
      <c r="C2841" s="91" t="s">
        <v>1306</v>
      </c>
    </row>
    <row r="2842" spans="1:3" ht="15">
      <c r="A2842" s="84" t="s">
        <v>393</v>
      </c>
      <c r="B2842" s="83" t="s">
        <v>3290</v>
      </c>
      <c r="C2842" s="91" t="s">
        <v>1306</v>
      </c>
    </row>
    <row r="2843" spans="1:3" ht="15">
      <c r="A2843" s="84" t="s">
        <v>393</v>
      </c>
      <c r="B2843" s="83" t="s">
        <v>3213</v>
      </c>
      <c r="C2843" s="91" t="s">
        <v>1306</v>
      </c>
    </row>
    <row r="2844" spans="1:3" ht="15">
      <c r="A2844" s="84" t="s">
        <v>393</v>
      </c>
      <c r="B2844" s="83" t="s">
        <v>3291</v>
      </c>
      <c r="C2844" s="91" t="s">
        <v>1306</v>
      </c>
    </row>
    <row r="2845" spans="1:3" ht="15">
      <c r="A2845" s="84" t="s">
        <v>393</v>
      </c>
      <c r="B2845" s="83" t="s">
        <v>3292</v>
      </c>
      <c r="C2845" s="91" t="s">
        <v>1306</v>
      </c>
    </row>
    <row r="2846" spans="1:3" ht="15">
      <c r="A2846" s="84" t="s">
        <v>393</v>
      </c>
      <c r="B2846" s="83" t="s">
        <v>3293</v>
      </c>
      <c r="C2846" s="91" t="s">
        <v>1306</v>
      </c>
    </row>
    <row r="2847" spans="1:3" ht="15">
      <c r="A2847" s="84" t="s">
        <v>393</v>
      </c>
      <c r="B2847" s="83" t="s">
        <v>3294</v>
      </c>
      <c r="C2847" s="91" t="s">
        <v>1306</v>
      </c>
    </row>
    <row r="2848" spans="1:3" ht="15">
      <c r="A2848" s="84" t="s">
        <v>393</v>
      </c>
      <c r="B2848" s="83" t="s">
        <v>3295</v>
      </c>
      <c r="C2848" s="91" t="s">
        <v>1306</v>
      </c>
    </row>
    <row r="2849" spans="1:3" ht="15">
      <c r="A2849" s="84" t="s">
        <v>393</v>
      </c>
      <c r="B2849" s="83" t="s">
        <v>3237</v>
      </c>
      <c r="C2849" s="91" t="s">
        <v>1306</v>
      </c>
    </row>
    <row r="2850" spans="1:3" ht="15">
      <c r="A2850" s="84" t="s">
        <v>393</v>
      </c>
      <c r="B2850" s="83" t="s">
        <v>3296</v>
      </c>
      <c r="C2850" s="91" t="s">
        <v>1306</v>
      </c>
    </row>
    <row r="2851" spans="1:3" ht="15">
      <c r="A2851" s="84" t="s">
        <v>393</v>
      </c>
      <c r="B2851" s="83" t="s">
        <v>3297</v>
      </c>
      <c r="C2851" s="91" t="s">
        <v>1306</v>
      </c>
    </row>
    <row r="2852" spans="1:3" ht="15">
      <c r="A2852" s="84" t="s">
        <v>393</v>
      </c>
      <c r="B2852" s="83" t="s">
        <v>3218</v>
      </c>
      <c r="C2852" s="91" t="s">
        <v>1306</v>
      </c>
    </row>
    <row r="2853" spans="1:3" ht="15">
      <c r="A2853" s="84" t="s">
        <v>393</v>
      </c>
      <c r="B2853" s="83" t="s">
        <v>3298</v>
      </c>
      <c r="C2853" s="91" t="s">
        <v>1306</v>
      </c>
    </row>
    <row r="2854" spans="1:3" ht="15">
      <c r="A2854" s="84" t="s">
        <v>393</v>
      </c>
      <c r="B2854" s="83" t="s">
        <v>3299</v>
      </c>
      <c r="C2854" s="91" t="s">
        <v>1306</v>
      </c>
    </row>
    <row r="2855" spans="1:3" ht="15">
      <c r="A2855" s="84" t="s">
        <v>393</v>
      </c>
      <c r="B2855" s="83" t="s">
        <v>2179</v>
      </c>
      <c r="C2855" s="91" t="s">
        <v>1306</v>
      </c>
    </row>
    <row r="2856" spans="1:3" ht="15">
      <c r="A2856" s="84" t="s">
        <v>393</v>
      </c>
      <c r="B2856" s="83" t="s">
        <v>3300</v>
      </c>
      <c r="C2856" s="91" t="s">
        <v>1306</v>
      </c>
    </row>
    <row r="2857" spans="1:3" ht="15">
      <c r="A2857" s="84" t="s">
        <v>393</v>
      </c>
      <c r="B2857" s="83" t="s">
        <v>3301</v>
      </c>
      <c r="C2857" s="91" t="s">
        <v>1306</v>
      </c>
    </row>
    <row r="2858" spans="1:3" ht="15">
      <c r="A2858" s="84" t="s">
        <v>393</v>
      </c>
      <c r="B2858" s="83" t="s">
        <v>3199</v>
      </c>
      <c r="C2858" s="91" t="s">
        <v>1306</v>
      </c>
    </row>
    <row r="2859" spans="1:3" ht="15">
      <c r="A2859" s="84" t="s">
        <v>393</v>
      </c>
      <c r="B2859" s="83" t="s">
        <v>3214</v>
      </c>
      <c r="C2859" s="91" t="s">
        <v>1306</v>
      </c>
    </row>
    <row r="2860" spans="1:3" ht="15">
      <c r="A2860" s="84" t="s">
        <v>393</v>
      </c>
      <c r="B2860" s="83" t="s">
        <v>3302</v>
      </c>
      <c r="C2860" s="91" t="s">
        <v>1306</v>
      </c>
    </row>
    <row r="2861" spans="1:3" ht="15">
      <c r="A2861" s="84" t="s">
        <v>393</v>
      </c>
      <c r="B2861" s="83" t="s">
        <v>3303</v>
      </c>
      <c r="C2861" s="91" t="s">
        <v>1306</v>
      </c>
    </row>
    <row r="2862" spans="1:3" ht="15">
      <c r="A2862" s="84" t="s">
        <v>393</v>
      </c>
      <c r="B2862" s="83" t="s">
        <v>3340</v>
      </c>
      <c r="C2862" s="91" t="s">
        <v>1305</v>
      </c>
    </row>
    <row r="2863" spans="1:3" ht="15">
      <c r="A2863" s="84" t="s">
        <v>393</v>
      </c>
      <c r="B2863" s="83" t="s">
        <v>3213</v>
      </c>
      <c r="C2863" s="91" t="s">
        <v>1305</v>
      </c>
    </row>
    <row r="2864" spans="1:3" ht="15">
      <c r="A2864" s="84" t="s">
        <v>393</v>
      </c>
      <c r="B2864" s="83" t="s">
        <v>3341</v>
      </c>
      <c r="C2864" s="91" t="s">
        <v>1305</v>
      </c>
    </row>
    <row r="2865" spans="1:3" ht="15">
      <c r="A2865" s="84" t="s">
        <v>393</v>
      </c>
      <c r="B2865" s="83" t="s">
        <v>3342</v>
      </c>
      <c r="C2865" s="91" t="s">
        <v>1305</v>
      </c>
    </row>
    <row r="2866" spans="1:3" ht="15">
      <c r="A2866" s="84" t="s">
        <v>393</v>
      </c>
      <c r="B2866" s="83" t="s">
        <v>3343</v>
      </c>
      <c r="C2866" s="91" t="s">
        <v>1305</v>
      </c>
    </row>
    <row r="2867" spans="1:3" ht="15">
      <c r="A2867" s="84" t="s">
        <v>393</v>
      </c>
      <c r="B2867" s="83" t="s">
        <v>3344</v>
      </c>
      <c r="C2867" s="91" t="s">
        <v>1305</v>
      </c>
    </row>
    <row r="2868" spans="1:3" ht="15">
      <c r="A2868" s="84" t="s">
        <v>393</v>
      </c>
      <c r="B2868" s="83" t="s">
        <v>3345</v>
      </c>
      <c r="C2868" s="91" t="s">
        <v>1305</v>
      </c>
    </row>
    <row r="2869" spans="1:3" ht="15">
      <c r="A2869" s="84" t="s">
        <v>393</v>
      </c>
      <c r="B2869" s="83" t="s">
        <v>3290</v>
      </c>
      <c r="C2869" s="91" t="s">
        <v>1305</v>
      </c>
    </row>
    <row r="2870" spans="1:3" ht="15">
      <c r="A2870" s="84" t="s">
        <v>393</v>
      </c>
      <c r="B2870" s="83" t="s">
        <v>2179</v>
      </c>
      <c r="C2870" s="91" t="s">
        <v>1305</v>
      </c>
    </row>
    <row r="2871" spans="1:3" ht="15">
      <c r="A2871" s="84" t="s">
        <v>393</v>
      </c>
      <c r="B2871" s="83" t="s">
        <v>3300</v>
      </c>
      <c r="C2871" s="91" t="s">
        <v>1305</v>
      </c>
    </row>
    <row r="2872" spans="1:3" ht="15">
      <c r="A2872" s="84" t="s">
        <v>393</v>
      </c>
      <c r="B2872" s="83" t="s">
        <v>3301</v>
      </c>
      <c r="C2872" s="91" t="s">
        <v>1305</v>
      </c>
    </row>
    <row r="2873" spans="1:3" ht="15">
      <c r="A2873" s="84" t="s">
        <v>393</v>
      </c>
      <c r="B2873" s="83" t="s">
        <v>3302</v>
      </c>
      <c r="C2873" s="91" t="s">
        <v>1305</v>
      </c>
    </row>
    <row r="2874" spans="1:3" ht="15">
      <c r="A2874" s="84" t="s">
        <v>393</v>
      </c>
      <c r="B2874" s="83" t="s">
        <v>3303</v>
      </c>
      <c r="C2874" s="91" t="s">
        <v>1305</v>
      </c>
    </row>
    <row r="2875" spans="1:3" ht="15">
      <c r="A2875" s="84" t="s">
        <v>393</v>
      </c>
      <c r="B2875" s="83" t="s">
        <v>3291</v>
      </c>
      <c r="C2875" s="91" t="s">
        <v>1305</v>
      </c>
    </row>
    <row r="2876" spans="1:3" ht="15">
      <c r="A2876" s="84" t="s">
        <v>393</v>
      </c>
      <c r="B2876" s="83" t="s">
        <v>3292</v>
      </c>
      <c r="C2876" s="91" t="s">
        <v>1305</v>
      </c>
    </row>
    <row r="2877" spans="1:3" ht="15">
      <c r="A2877" s="84" t="s">
        <v>393</v>
      </c>
      <c r="B2877" s="83" t="s">
        <v>3293</v>
      </c>
      <c r="C2877" s="91" t="s">
        <v>1305</v>
      </c>
    </row>
    <row r="2878" spans="1:3" ht="15">
      <c r="A2878" s="84" t="s">
        <v>393</v>
      </c>
      <c r="B2878" s="83" t="s">
        <v>3294</v>
      </c>
      <c r="C2878" s="91" t="s">
        <v>1305</v>
      </c>
    </row>
    <row r="2879" spans="1:3" ht="15">
      <c r="A2879" s="84" t="s">
        <v>393</v>
      </c>
      <c r="B2879" s="83" t="s">
        <v>3295</v>
      </c>
      <c r="C2879" s="91" t="s">
        <v>1305</v>
      </c>
    </row>
    <row r="2880" spans="1:3" ht="15">
      <c r="A2880" s="84" t="s">
        <v>393</v>
      </c>
      <c r="B2880" s="83" t="s">
        <v>3237</v>
      </c>
      <c r="C2880" s="91" t="s">
        <v>1305</v>
      </c>
    </row>
    <row r="2881" spans="1:3" ht="15">
      <c r="A2881" s="84" t="s">
        <v>393</v>
      </c>
      <c r="B2881" s="83" t="s">
        <v>3296</v>
      </c>
      <c r="C2881" s="91" t="s">
        <v>1305</v>
      </c>
    </row>
    <row r="2882" spans="1:3" ht="15">
      <c r="A2882" s="84" t="s">
        <v>393</v>
      </c>
      <c r="B2882" s="83" t="s">
        <v>3297</v>
      </c>
      <c r="C2882" s="91" t="s">
        <v>1305</v>
      </c>
    </row>
    <row r="2883" spans="1:3" ht="15">
      <c r="A2883" s="84" t="s">
        <v>393</v>
      </c>
      <c r="B2883" s="83" t="s">
        <v>3218</v>
      </c>
      <c r="C2883" s="91" t="s">
        <v>1305</v>
      </c>
    </row>
    <row r="2884" spans="1:3" ht="15">
      <c r="A2884" s="84" t="s">
        <v>393</v>
      </c>
      <c r="B2884" s="83" t="s">
        <v>3346</v>
      </c>
      <c r="C2884" s="91" t="s">
        <v>1305</v>
      </c>
    </row>
    <row r="2885" spans="1:3" ht="15">
      <c r="A2885" s="84" t="s">
        <v>393</v>
      </c>
      <c r="B2885" s="83" t="s">
        <v>3298</v>
      </c>
      <c r="C2885" s="91" t="s">
        <v>1305</v>
      </c>
    </row>
    <row r="2886" spans="1:3" ht="15">
      <c r="A2886" s="84" t="s">
        <v>393</v>
      </c>
      <c r="B2886" s="83" t="s">
        <v>3299</v>
      </c>
      <c r="C2886" s="91" t="s">
        <v>1305</v>
      </c>
    </row>
    <row r="2887" spans="1:3" ht="15">
      <c r="A2887" s="84" t="s">
        <v>393</v>
      </c>
      <c r="B2887" s="83" t="s">
        <v>3199</v>
      </c>
      <c r="C2887" s="91" t="s">
        <v>1305</v>
      </c>
    </row>
    <row r="2888" spans="1:3" ht="15">
      <c r="A2888" s="84" t="s">
        <v>393</v>
      </c>
      <c r="B2888" s="83" t="s">
        <v>3347</v>
      </c>
      <c r="C2888" s="91" t="s">
        <v>1305</v>
      </c>
    </row>
    <row r="2889" spans="1:3" ht="15">
      <c r="A2889" s="84" t="s">
        <v>393</v>
      </c>
      <c r="B2889" s="83" t="s">
        <v>3228</v>
      </c>
      <c r="C2889" s="91" t="s">
        <v>1304</v>
      </c>
    </row>
    <row r="2890" spans="1:3" ht="15">
      <c r="A2890" s="84" t="s">
        <v>393</v>
      </c>
      <c r="B2890" s="83" t="s">
        <v>2581</v>
      </c>
      <c r="C2890" s="91" t="s">
        <v>1304</v>
      </c>
    </row>
    <row r="2891" spans="1:3" ht="15">
      <c r="A2891" s="84" t="s">
        <v>393</v>
      </c>
      <c r="B2891" s="83" t="s">
        <v>2586</v>
      </c>
      <c r="C2891" s="91" t="s">
        <v>1304</v>
      </c>
    </row>
    <row r="2892" spans="1:3" ht="15">
      <c r="A2892" s="84" t="s">
        <v>393</v>
      </c>
      <c r="B2892" s="83" t="s">
        <v>2595</v>
      </c>
      <c r="C2892" s="91" t="s">
        <v>1304</v>
      </c>
    </row>
    <row r="2893" spans="1:3" ht="15">
      <c r="A2893" s="84" t="s">
        <v>393</v>
      </c>
      <c r="B2893" s="83" t="s">
        <v>2568</v>
      </c>
      <c r="C2893" s="91" t="s">
        <v>1304</v>
      </c>
    </row>
    <row r="2894" spans="1:3" ht="15">
      <c r="A2894" s="84" t="s">
        <v>393</v>
      </c>
      <c r="B2894" s="83" t="s">
        <v>2592</v>
      </c>
      <c r="C2894" s="91" t="s">
        <v>1304</v>
      </c>
    </row>
    <row r="2895" spans="1:3" ht="15">
      <c r="A2895" s="84" t="s">
        <v>393</v>
      </c>
      <c r="B2895" s="83" t="s">
        <v>3213</v>
      </c>
      <c r="C2895" s="91" t="s">
        <v>1304</v>
      </c>
    </row>
    <row r="2896" spans="1:3" ht="15">
      <c r="A2896" s="84" t="s">
        <v>393</v>
      </c>
      <c r="B2896" s="83" t="s">
        <v>2576</v>
      </c>
      <c r="C2896" s="91" t="s">
        <v>1304</v>
      </c>
    </row>
    <row r="2897" spans="1:3" ht="15">
      <c r="A2897" s="84" t="s">
        <v>393</v>
      </c>
      <c r="B2897" s="83" t="s">
        <v>3229</v>
      </c>
      <c r="C2897" s="91" t="s">
        <v>1304</v>
      </c>
    </row>
    <row r="2898" spans="1:3" ht="15">
      <c r="A2898" s="84" t="s">
        <v>393</v>
      </c>
      <c r="B2898" s="83" t="s">
        <v>3230</v>
      </c>
      <c r="C2898" s="91" t="s">
        <v>1304</v>
      </c>
    </row>
    <row r="2899" spans="1:3" ht="15">
      <c r="A2899" s="84" t="s">
        <v>393</v>
      </c>
      <c r="B2899" s="83" t="s">
        <v>2598</v>
      </c>
      <c r="C2899" s="91" t="s">
        <v>1304</v>
      </c>
    </row>
    <row r="2900" spans="1:3" ht="15">
      <c r="A2900" s="84" t="s">
        <v>393</v>
      </c>
      <c r="B2900" s="83" t="s">
        <v>3231</v>
      </c>
      <c r="C2900" s="91" t="s">
        <v>1304</v>
      </c>
    </row>
    <row r="2901" spans="1:3" ht="15">
      <c r="A2901" s="84" t="s">
        <v>393</v>
      </c>
      <c r="B2901" s="83" t="s">
        <v>3232</v>
      </c>
      <c r="C2901" s="91" t="s">
        <v>1304</v>
      </c>
    </row>
    <row r="2902" spans="1:3" ht="15">
      <c r="A2902" s="84" t="s">
        <v>393</v>
      </c>
      <c r="B2902" s="83" t="s">
        <v>3233</v>
      </c>
      <c r="C2902" s="91" t="s">
        <v>1304</v>
      </c>
    </row>
    <row r="2903" spans="1:3" ht="15">
      <c r="A2903" s="84" t="s">
        <v>393</v>
      </c>
      <c r="B2903" s="83" t="s">
        <v>3211</v>
      </c>
      <c r="C2903" s="91" t="s">
        <v>1304</v>
      </c>
    </row>
    <row r="2904" spans="1:3" ht="15">
      <c r="A2904" s="84" t="s">
        <v>393</v>
      </c>
      <c r="B2904" s="83" t="s">
        <v>3199</v>
      </c>
      <c r="C2904" s="91" t="s">
        <v>1304</v>
      </c>
    </row>
    <row r="2905" spans="1:3" ht="15">
      <c r="A2905" s="84" t="s">
        <v>393</v>
      </c>
      <c r="B2905" s="83" t="s">
        <v>3218</v>
      </c>
      <c r="C2905" s="91" t="s">
        <v>1304</v>
      </c>
    </row>
    <row r="2906" spans="1:3" ht="15">
      <c r="A2906" s="84" t="s">
        <v>393</v>
      </c>
      <c r="B2906" s="83" t="s">
        <v>3234</v>
      </c>
      <c r="C2906" s="91" t="s">
        <v>1304</v>
      </c>
    </row>
    <row r="2907" spans="1:3" ht="15">
      <c r="A2907" s="84" t="s">
        <v>393</v>
      </c>
      <c r="B2907" s="83" t="s">
        <v>3235</v>
      </c>
      <c r="C2907" s="91" t="s">
        <v>1304</v>
      </c>
    </row>
    <row r="2908" spans="1:3" ht="15">
      <c r="A2908" s="84" t="s">
        <v>393</v>
      </c>
      <c r="B2908" s="83" t="s">
        <v>3236</v>
      </c>
      <c r="C2908" s="91" t="s">
        <v>1304</v>
      </c>
    </row>
    <row r="2909" spans="1:3" ht="15">
      <c r="A2909" s="84" t="s">
        <v>393</v>
      </c>
      <c r="B2909" s="83" t="s">
        <v>3237</v>
      </c>
      <c r="C2909" s="91" t="s">
        <v>1304</v>
      </c>
    </row>
    <row r="2910" spans="1:3" ht="15">
      <c r="A2910" s="84" t="s">
        <v>393</v>
      </c>
      <c r="B2910" s="83" t="s">
        <v>3238</v>
      </c>
      <c r="C2910" s="91" t="s">
        <v>1304</v>
      </c>
    </row>
    <row r="2911" spans="1:3" ht="15">
      <c r="A2911" s="84" t="s">
        <v>393</v>
      </c>
      <c r="B2911" s="83" t="s">
        <v>3239</v>
      </c>
      <c r="C2911" s="91" t="s">
        <v>1304</v>
      </c>
    </row>
    <row r="2912" spans="1:3" ht="15">
      <c r="A2912" s="84" t="s">
        <v>393</v>
      </c>
      <c r="B2912" s="83" t="s">
        <v>3240</v>
      </c>
      <c r="C2912" s="91" t="s">
        <v>1304</v>
      </c>
    </row>
    <row r="2913" spans="1:3" ht="15">
      <c r="A2913" s="84" t="s">
        <v>393</v>
      </c>
      <c r="B2913" s="83" t="s">
        <v>3241</v>
      </c>
      <c r="C2913" s="91" t="s">
        <v>1304</v>
      </c>
    </row>
    <row r="2914" spans="1:3" ht="15">
      <c r="A2914" s="84" t="s">
        <v>393</v>
      </c>
      <c r="B2914" s="83" t="s">
        <v>3242</v>
      </c>
      <c r="C2914" s="91" t="s">
        <v>1304</v>
      </c>
    </row>
    <row r="2915" spans="1:3" ht="15">
      <c r="A2915" s="84" t="s">
        <v>393</v>
      </c>
      <c r="B2915" s="83" t="s">
        <v>2767</v>
      </c>
      <c r="C2915" s="91" t="s">
        <v>1304</v>
      </c>
    </row>
    <row r="2916" spans="1:3" ht="15">
      <c r="A2916" s="84" t="s">
        <v>393</v>
      </c>
      <c r="B2916" s="83" t="s">
        <v>3243</v>
      </c>
      <c r="C2916" s="91" t="s">
        <v>1304</v>
      </c>
    </row>
    <row r="2917" spans="1:3" ht="15">
      <c r="A2917" s="84" t="s">
        <v>393</v>
      </c>
      <c r="B2917" s="83" t="s">
        <v>3244</v>
      </c>
      <c r="C2917" s="91" t="s">
        <v>1304</v>
      </c>
    </row>
    <row r="2918" spans="1:3" ht="15">
      <c r="A2918" s="84" t="s">
        <v>393</v>
      </c>
      <c r="B2918" s="83" t="s">
        <v>3223</v>
      </c>
      <c r="C2918" s="91" t="s">
        <v>1304</v>
      </c>
    </row>
    <row r="2919" spans="1:3" ht="15">
      <c r="A2919" s="84" t="s">
        <v>393</v>
      </c>
      <c r="B2919" s="83" t="s">
        <v>3266</v>
      </c>
      <c r="C2919" s="91" t="s">
        <v>1304</v>
      </c>
    </row>
    <row r="2920" spans="1:3" ht="15">
      <c r="A2920" s="84" t="s">
        <v>393</v>
      </c>
      <c r="B2920" s="83" t="s">
        <v>3267</v>
      </c>
      <c r="C2920" s="91" t="s">
        <v>1303</v>
      </c>
    </row>
    <row r="2921" spans="1:3" ht="15">
      <c r="A2921" s="84" t="s">
        <v>393</v>
      </c>
      <c r="B2921" s="83" t="s">
        <v>2581</v>
      </c>
      <c r="C2921" s="91" t="s">
        <v>1303</v>
      </c>
    </row>
    <row r="2922" spans="1:3" ht="15">
      <c r="A2922" s="84" t="s">
        <v>393</v>
      </c>
      <c r="B2922" s="83" t="s">
        <v>2586</v>
      </c>
      <c r="C2922" s="91" t="s">
        <v>1303</v>
      </c>
    </row>
    <row r="2923" spans="1:3" ht="15">
      <c r="A2923" s="84" t="s">
        <v>393</v>
      </c>
      <c r="B2923" s="83" t="s">
        <v>2595</v>
      </c>
      <c r="C2923" s="91" t="s">
        <v>1303</v>
      </c>
    </row>
    <row r="2924" spans="1:3" ht="15">
      <c r="A2924" s="84" t="s">
        <v>393</v>
      </c>
      <c r="B2924" s="83" t="s">
        <v>2568</v>
      </c>
      <c r="C2924" s="91" t="s">
        <v>1303</v>
      </c>
    </row>
    <row r="2925" spans="1:3" ht="15">
      <c r="A2925" s="84" t="s">
        <v>393</v>
      </c>
      <c r="B2925" s="83" t="s">
        <v>2592</v>
      </c>
      <c r="C2925" s="91" t="s">
        <v>1303</v>
      </c>
    </row>
    <row r="2926" spans="1:3" ht="15">
      <c r="A2926" s="84" t="s">
        <v>393</v>
      </c>
      <c r="B2926" s="83" t="s">
        <v>3213</v>
      </c>
      <c r="C2926" s="91" t="s">
        <v>1303</v>
      </c>
    </row>
    <row r="2927" spans="1:3" ht="15">
      <c r="A2927" s="84" t="s">
        <v>393</v>
      </c>
      <c r="B2927" s="83" t="s">
        <v>2576</v>
      </c>
      <c r="C2927" s="91" t="s">
        <v>1303</v>
      </c>
    </row>
    <row r="2928" spans="1:3" ht="15">
      <c r="A2928" s="84" t="s">
        <v>393</v>
      </c>
      <c r="B2928" s="83" t="s">
        <v>3229</v>
      </c>
      <c r="C2928" s="91" t="s">
        <v>1303</v>
      </c>
    </row>
    <row r="2929" spans="1:3" ht="15">
      <c r="A2929" s="84" t="s">
        <v>393</v>
      </c>
      <c r="B2929" s="83" t="s">
        <v>3230</v>
      </c>
      <c r="C2929" s="91" t="s">
        <v>1303</v>
      </c>
    </row>
    <row r="2930" spans="1:3" ht="15">
      <c r="A2930" s="84" t="s">
        <v>393</v>
      </c>
      <c r="B2930" s="83" t="s">
        <v>2598</v>
      </c>
      <c r="C2930" s="91" t="s">
        <v>1303</v>
      </c>
    </row>
    <row r="2931" spans="1:3" ht="15">
      <c r="A2931" s="84" t="s">
        <v>393</v>
      </c>
      <c r="B2931" s="83" t="s">
        <v>3231</v>
      </c>
      <c r="C2931" s="91" t="s">
        <v>1303</v>
      </c>
    </row>
    <row r="2932" spans="1:3" ht="15">
      <c r="A2932" s="84" t="s">
        <v>393</v>
      </c>
      <c r="B2932" s="83" t="s">
        <v>3232</v>
      </c>
      <c r="C2932" s="91" t="s">
        <v>1303</v>
      </c>
    </row>
    <row r="2933" spans="1:3" ht="15">
      <c r="A2933" s="84" t="s">
        <v>393</v>
      </c>
      <c r="B2933" s="83" t="s">
        <v>3233</v>
      </c>
      <c r="C2933" s="91" t="s">
        <v>1303</v>
      </c>
    </row>
    <row r="2934" spans="1:3" ht="15">
      <c r="A2934" s="84" t="s">
        <v>393</v>
      </c>
      <c r="B2934" s="83" t="s">
        <v>3211</v>
      </c>
      <c r="C2934" s="91" t="s">
        <v>1303</v>
      </c>
    </row>
    <row r="2935" spans="1:3" ht="15">
      <c r="A2935" s="84" t="s">
        <v>393</v>
      </c>
      <c r="B2935" s="83" t="s">
        <v>3199</v>
      </c>
      <c r="C2935" s="91" t="s">
        <v>1303</v>
      </c>
    </row>
    <row r="2936" spans="1:3" ht="15">
      <c r="A2936" s="84" t="s">
        <v>393</v>
      </c>
      <c r="B2936" s="83" t="s">
        <v>3218</v>
      </c>
      <c r="C2936" s="91" t="s">
        <v>1303</v>
      </c>
    </row>
    <row r="2937" spans="1:3" ht="15">
      <c r="A2937" s="84" t="s">
        <v>393</v>
      </c>
      <c r="B2937" s="83" t="s">
        <v>3234</v>
      </c>
      <c r="C2937" s="91" t="s">
        <v>1303</v>
      </c>
    </row>
    <row r="2938" spans="1:3" ht="15">
      <c r="A2938" s="84" t="s">
        <v>393</v>
      </c>
      <c r="B2938" s="83" t="s">
        <v>3235</v>
      </c>
      <c r="C2938" s="91" t="s">
        <v>1303</v>
      </c>
    </row>
    <row r="2939" spans="1:3" ht="15">
      <c r="A2939" s="84" t="s">
        <v>393</v>
      </c>
      <c r="B2939" s="83" t="s">
        <v>3236</v>
      </c>
      <c r="C2939" s="91" t="s">
        <v>1303</v>
      </c>
    </row>
    <row r="2940" spans="1:3" ht="15">
      <c r="A2940" s="84" t="s">
        <v>393</v>
      </c>
      <c r="B2940" s="83" t="s">
        <v>3237</v>
      </c>
      <c r="C2940" s="91" t="s">
        <v>1303</v>
      </c>
    </row>
    <row r="2941" spans="1:3" ht="15">
      <c r="A2941" s="84" t="s">
        <v>393</v>
      </c>
      <c r="B2941" s="83" t="s">
        <v>3238</v>
      </c>
      <c r="C2941" s="91" t="s">
        <v>1303</v>
      </c>
    </row>
    <row r="2942" spans="1:3" ht="15">
      <c r="A2942" s="84" t="s">
        <v>393</v>
      </c>
      <c r="B2942" s="83" t="s">
        <v>3239</v>
      </c>
      <c r="C2942" s="91" t="s">
        <v>1303</v>
      </c>
    </row>
    <row r="2943" spans="1:3" ht="15">
      <c r="A2943" s="84" t="s">
        <v>393</v>
      </c>
      <c r="B2943" s="83" t="s">
        <v>3240</v>
      </c>
      <c r="C2943" s="91" t="s">
        <v>1303</v>
      </c>
    </row>
    <row r="2944" spans="1:3" ht="15">
      <c r="A2944" s="84" t="s">
        <v>393</v>
      </c>
      <c r="B2944" s="83" t="s">
        <v>3241</v>
      </c>
      <c r="C2944" s="91" t="s">
        <v>1303</v>
      </c>
    </row>
    <row r="2945" spans="1:3" ht="15">
      <c r="A2945" s="84" t="s">
        <v>393</v>
      </c>
      <c r="B2945" s="83" t="s">
        <v>3242</v>
      </c>
      <c r="C2945" s="91" t="s">
        <v>1303</v>
      </c>
    </row>
    <row r="2946" spans="1:3" ht="15">
      <c r="A2946" s="84" t="s">
        <v>393</v>
      </c>
      <c r="B2946" s="83" t="s">
        <v>2767</v>
      </c>
      <c r="C2946" s="91" t="s">
        <v>1303</v>
      </c>
    </row>
    <row r="2947" spans="1:3" ht="15">
      <c r="A2947" s="84" t="s">
        <v>393</v>
      </c>
      <c r="B2947" s="83" t="s">
        <v>3243</v>
      </c>
      <c r="C2947" s="91" t="s">
        <v>1303</v>
      </c>
    </row>
    <row r="2948" spans="1:3" ht="15">
      <c r="A2948" s="84" t="s">
        <v>393</v>
      </c>
      <c r="B2948" s="83" t="s">
        <v>3244</v>
      </c>
      <c r="C2948" s="91" t="s">
        <v>1303</v>
      </c>
    </row>
    <row r="2949" spans="1:3" ht="15">
      <c r="A2949" s="84" t="s">
        <v>393</v>
      </c>
      <c r="B2949" s="83" t="s">
        <v>3223</v>
      </c>
      <c r="C2949" s="91" t="s">
        <v>1303</v>
      </c>
    </row>
    <row r="2950" spans="1:3" ht="15">
      <c r="A2950" s="84" t="s">
        <v>393</v>
      </c>
      <c r="B2950" s="83" t="s">
        <v>3228</v>
      </c>
      <c r="C2950" s="91" t="s">
        <v>1302</v>
      </c>
    </row>
    <row r="2951" spans="1:3" ht="15">
      <c r="A2951" s="84" t="s">
        <v>393</v>
      </c>
      <c r="B2951" s="83" t="s">
        <v>2581</v>
      </c>
      <c r="C2951" s="91" t="s">
        <v>1302</v>
      </c>
    </row>
    <row r="2952" spans="1:3" ht="15">
      <c r="A2952" s="84" t="s">
        <v>393</v>
      </c>
      <c r="B2952" s="83" t="s">
        <v>2586</v>
      </c>
      <c r="C2952" s="91" t="s">
        <v>1302</v>
      </c>
    </row>
    <row r="2953" spans="1:3" ht="15">
      <c r="A2953" s="84" t="s">
        <v>393</v>
      </c>
      <c r="B2953" s="83" t="s">
        <v>2595</v>
      </c>
      <c r="C2953" s="91" t="s">
        <v>1302</v>
      </c>
    </row>
    <row r="2954" spans="1:3" ht="15">
      <c r="A2954" s="84" t="s">
        <v>393</v>
      </c>
      <c r="B2954" s="83" t="s">
        <v>2568</v>
      </c>
      <c r="C2954" s="91" t="s">
        <v>1302</v>
      </c>
    </row>
    <row r="2955" spans="1:3" ht="15">
      <c r="A2955" s="84" t="s">
        <v>393</v>
      </c>
      <c r="B2955" s="83" t="s">
        <v>2592</v>
      </c>
      <c r="C2955" s="91" t="s">
        <v>1302</v>
      </c>
    </row>
    <row r="2956" spans="1:3" ht="15">
      <c r="A2956" s="84" t="s">
        <v>393</v>
      </c>
      <c r="B2956" s="83" t="s">
        <v>3213</v>
      </c>
      <c r="C2956" s="91" t="s">
        <v>1302</v>
      </c>
    </row>
    <row r="2957" spans="1:3" ht="15">
      <c r="A2957" s="84" t="s">
        <v>393</v>
      </c>
      <c r="B2957" s="83" t="s">
        <v>2576</v>
      </c>
      <c r="C2957" s="91" t="s">
        <v>1302</v>
      </c>
    </row>
    <row r="2958" spans="1:3" ht="15">
      <c r="A2958" s="84" t="s">
        <v>393</v>
      </c>
      <c r="B2958" s="83" t="s">
        <v>3229</v>
      </c>
      <c r="C2958" s="91" t="s">
        <v>1302</v>
      </c>
    </row>
    <row r="2959" spans="1:3" ht="15">
      <c r="A2959" s="84" t="s">
        <v>393</v>
      </c>
      <c r="B2959" s="83" t="s">
        <v>3230</v>
      </c>
      <c r="C2959" s="91" t="s">
        <v>1302</v>
      </c>
    </row>
    <row r="2960" spans="1:3" ht="15">
      <c r="A2960" s="84" t="s">
        <v>393</v>
      </c>
      <c r="B2960" s="83" t="s">
        <v>2598</v>
      </c>
      <c r="C2960" s="91" t="s">
        <v>1302</v>
      </c>
    </row>
    <row r="2961" spans="1:3" ht="15">
      <c r="A2961" s="84" t="s">
        <v>393</v>
      </c>
      <c r="B2961" s="83" t="s">
        <v>3231</v>
      </c>
      <c r="C2961" s="91" t="s">
        <v>1302</v>
      </c>
    </row>
    <row r="2962" spans="1:3" ht="15">
      <c r="A2962" s="84" t="s">
        <v>393</v>
      </c>
      <c r="B2962" s="83" t="s">
        <v>3232</v>
      </c>
      <c r="C2962" s="91" t="s">
        <v>1302</v>
      </c>
    </row>
    <row r="2963" spans="1:3" ht="15">
      <c r="A2963" s="84" t="s">
        <v>393</v>
      </c>
      <c r="B2963" s="83" t="s">
        <v>3233</v>
      </c>
      <c r="C2963" s="91" t="s">
        <v>1302</v>
      </c>
    </row>
    <row r="2964" spans="1:3" ht="15">
      <c r="A2964" s="84" t="s">
        <v>393</v>
      </c>
      <c r="B2964" s="83" t="s">
        <v>3211</v>
      </c>
      <c r="C2964" s="91" t="s">
        <v>1302</v>
      </c>
    </row>
    <row r="2965" spans="1:3" ht="15">
      <c r="A2965" s="84" t="s">
        <v>393</v>
      </c>
      <c r="B2965" s="83" t="s">
        <v>3199</v>
      </c>
      <c r="C2965" s="91" t="s">
        <v>1302</v>
      </c>
    </row>
    <row r="2966" spans="1:3" ht="15">
      <c r="A2966" s="84" t="s">
        <v>393</v>
      </c>
      <c r="B2966" s="83" t="s">
        <v>3218</v>
      </c>
      <c r="C2966" s="91" t="s">
        <v>1302</v>
      </c>
    </row>
    <row r="2967" spans="1:3" ht="15">
      <c r="A2967" s="84" t="s">
        <v>393</v>
      </c>
      <c r="B2967" s="83" t="s">
        <v>3234</v>
      </c>
      <c r="C2967" s="91" t="s">
        <v>1302</v>
      </c>
    </row>
    <row r="2968" spans="1:3" ht="15">
      <c r="A2968" s="84" t="s">
        <v>393</v>
      </c>
      <c r="B2968" s="83" t="s">
        <v>3235</v>
      </c>
      <c r="C2968" s="91" t="s">
        <v>1302</v>
      </c>
    </row>
    <row r="2969" spans="1:3" ht="15">
      <c r="A2969" s="84" t="s">
        <v>393</v>
      </c>
      <c r="B2969" s="83" t="s">
        <v>3236</v>
      </c>
      <c r="C2969" s="91" t="s">
        <v>1302</v>
      </c>
    </row>
    <row r="2970" spans="1:3" ht="15">
      <c r="A2970" s="84" t="s">
        <v>393</v>
      </c>
      <c r="B2970" s="83" t="s">
        <v>3237</v>
      </c>
      <c r="C2970" s="91" t="s">
        <v>1302</v>
      </c>
    </row>
    <row r="2971" spans="1:3" ht="15">
      <c r="A2971" s="84" t="s">
        <v>393</v>
      </c>
      <c r="B2971" s="83" t="s">
        <v>3238</v>
      </c>
      <c r="C2971" s="91" t="s">
        <v>1302</v>
      </c>
    </row>
    <row r="2972" spans="1:3" ht="15">
      <c r="A2972" s="84" t="s">
        <v>393</v>
      </c>
      <c r="B2972" s="83" t="s">
        <v>3239</v>
      </c>
      <c r="C2972" s="91" t="s">
        <v>1302</v>
      </c>
    </row>
    <row r="2973" spans="1:3" ht="15">
      <c r="A2973" s="84" t="s">
        <v>393</v>
      </c>
      <c r="B2973" s="83" t="s">
        <v>3240</v>
      </c>
      <c r="C2973" s="91" t="s">
        <v>1302</v>
      </c>
    </row>
    <row r="2974" spans="1:3" ht="15">
      <c r="A2974" s="84" t="s">
        <v>393</v>
      </c>
      <c r="B2974" s="83" t="s">
        <v>3241</v>
      </c>
      <c r="C2974" s="91" t="s">
        <v>1302</v>
      </c>
    </row>
    <row r="2975" spans="1:3" ht="15">
      <c r="A2975" s="84" t="s">
        <v>393</v>
      </c>
      <c r="B2975" s="83" t="s">
        <v>3242</v>
      </c>
      <c r="C2975" s="91" t="s">
        <v>1302</v>
      </c>
    </row>
    <row r="2976" spans="1:3" ht="15">
      <c r="A2976" s="84" t="s">
        <v>393</v>
      </c>
      <c r="B2976" s="83" t="s">
        <v>2767</v>
      </c>
      <c r="C2976" s="91" t="s">
        <v>1302</v>
      </c>
    </row>
    <row r="2977" spans="1:3" ht="15">
      <c r="A2977" s="84" t="s">
        <v>393</v>
      </c>
      <c r="B2977" s="83" t="s">
        <v>3243</v>
      </c>
      <c r="C2977" s="91" t="s">
        <v>1302</v>
      </c>
    </row>
    <row r="2978" spans="1:3" ht="15">
      <c r="A2978" s="84" t="s">
        <v>393</v>
      </c>
      <c r="B2978" s="83" t="s">
        <v>3244</v>
      </c>
      <c r="C2978" s="91" t="s">
        <v>1302</v>
      </c>
    </row>
    <row r="2979" spans="1:3" ht="15">
      <c r="A2979" s="84" t="s">
        <v>393</v>
      </c>
      <c r="B2979" s="83" t="s">
        <v>3223</v>
      </c>
      <c r="C2979" s="91" t="s">
        <v>1302</v>
      </c>
    </row>
    <row r="2980" spans="1:3" ht="15">
      <c r="A2980" s="84" t="s">
        <v>393</v>
      </c>
      <c r="B2980" s="83" t="s">
        <v>3266</v>
      </c>
      <c r="C2980" s="91" t="s">
        <v>1302</v>
      </c>
    </row>
    <row r="2981" spans="1:3" ht="15">
      <c r="A2981" s="84" t="s">
        <v>393</v>
      </c>
      <c r="B2981" s="83" t="s">
        <v>3304</v>
      </c>
      <c r="C2981" s="91" t="s">
        <v>1301</v>
      </c>
    </row>
    <row r="2982" spans="1:3" ht="15">
      <c r="A2982" s="84" t="s">
        <v>393</v>
      </c>
      <c r="B2982" s="83" t="s">
        <v>2716</v>
      </c>
      <c r="C2982" s="91" t="s">
        <v>1301</v>
      </c>
    </row>
    <row r="2983" spans="1:3" ht="15">
      <c r="A2983" s="84" t="s">
        <v>393</v>
      </c>
      <c r="B2983" s="83" t="s">
        <v>3205</v>
      </c>
      <c r="C2983" s="91" t="s">
        <v>1301</v>
      </c>
    </row>
    <row r="2984" spans="1:3" ht="15">
      <c r="A2984" s="84" t="s">
        <v>393</v>
      </c>
      <c r="B2984" s="83" t="s">
        <v>2672</v>
      </c>
      <c r="C2984" s="91" t="s">
        <v>1301</v>
      </c>
    </row>
    <row r="2985" spans="1:3" ht="15">
      <c r="A2985" s="84" t="s">
        <v>393</v>
      </c>
      <c r="B2985" s="83" t="s">
        <v>2809</v>
      </c>
      <c r="C2985" s="91" t="s">
        <v>1301</v>
      </c>
    </row>
    <row r="2986" spans="1:3" ht="15">
      <c r="A2986" s="84" t="s">
        <v>393</v>
      </c>
      <c r="B2986" s="83" t="s">
        <v>2810</v>
      </c>
      <c r="C2986" s="91" t="s">
        <v>1301</v>
      </c>
    </row>
    <row r="2987" spans="1:3" ht="15">
      <c r="A2987" s="84" t="s">
        <v>393</v>
      </c>
      <c r="B2987" s="83" t="s">
        <v>2811</v>
      </c>
      <c r="C2987" s="91" t="s">
        <v>1301</v>
      </c>
    </row>
    <row r="2988" spans="1:3" ht="15">
      <c r="A2988" s="84" t="s">
        <v>393</v>
      </c>
      <c r="B2988" s="83" t="s">
        <v>2576</v>
      </c>
      <c r="C2988" s="91" t="s">
        <v>1301</v>
      </c>
    </row>
    <row r="2989" spans="1:3" ht="15">
      <c r="A2989" s="84" t="s">
        <v>393</v>
      </c>
      <c r="B2989" s="83" t="s">
        <v>2589</v>
      </c>
      <c r="C2989" s="91" t="s">
        <v>1301</v>
      </c>
    </row>
    <row r="2990" spans="1:3" ht="15">
      <c r="A2990" s="84" t="s">
        <v>393</v>
      </c>
      <c r="B2990" s="83" t="s">
        <v>2812</v>
      </c>
      <c r="C2990" s="91" t="s">
        <v>1301</v>
      </c>
    </row>
    <row r="2991" spans="1:3" ht="15">
      <c r="A2991" s="84" t="s">
        <v>393</v>
      </c>
      <c r="B2991" s="83" t="s">
        <v>2668</v>
      </c>
      <c r="C2991" s="91" t="s">
        <v>1301</v>
      </c>
    </row>
    <row r="2992" spans="1:3" ht="15">
      <c r="A2992" s="84" t="s">
        <v>393</v>
      </c>
      <c r="B2992" s="83" t="s">
        <v>2814</v>
      </c>
      <c r="C2992" s="91" t="s">
        <v>1301</v>
      </c>
    </row>
    <row r="2993" spans="1:3" ht="15">
      <c r="A2993" s="84" t="s">
        <v>393</v>
      </c>
      <c r="B2993" s="83" t="s">
        <v>3305</v>
      </c>
      <c r="C2993" s="91" t="s">
        <v>1301</v>
      </c>
    </row>
    <row r="2994" spans="1:3" ht="15">
      <c r="A2994" s="84" t="s">
        <v>393</v>
      </c>
      <c r="B2994" s="83" t="s">
        <v>3306</v>
      </c>
      <c r="C2994" s="91" t="s">
        <v>1301</v>
      </c>
    </row>
    <row r="2995" spans="1:3" ht="15">
      <c r="A2995" s="84" t="s">
        <v>393</v>
      </c>
      <c r="B2995" s="83" t="s">
        <v>3290</v>
      </c>
      <c r="C2995" s="91" t="s">
        <v>1301</v>
      </c>
    </row>
    <row r="2996" spans="1:3" ht="15">
      <c r="A2996" s="84" t="s">
        <v>393</v>
      </c>
      <c r="B2996" s="83" t="s">
        <v>3213</v>
      </c>
      <c r="C2996" s="91" t="s">
        <v>1301</v>
      </c>
    </row>
    <row r="2997" spans="1:3" ht="15">
      <c r="A2997" s="84" t="s">
        <v>393</v>
      </c>
      <c r="B2997" s="83" t="s">
        <v>3291</v>
      </c>
      <c r="C2997" s="91" t="s">
        <v>1301</v>
      </c>
    </row>
    <row r="2998" spans="1:3" ht="15">
      <c r="A2998" s="84" t="s">
        <v>393</v>
      </c>
      <c r="B2998" s="83" t="s">
        <v>3292</v>
      </c>
      <c r="C2998" s="91" t="s">
        <v>1301</v>
      </c>
    </row>
    <row r="2999" spans="1:3" ht="15">
      <c r="A2999" s="84" t="s">
        <v>393</v>
      </c>
      <c r="B2999" s="83" t="s">
        <v>3307</v>
      </c>
      <c r="C2999" s="91" t="s">
        <v>1301</v>
      </c>
    </row>
    <row r="3000" spans="1:3" ht="15">
      <c r="A3000" s="84" t="s">
        <v>393</v>
      </c>
      <c r="B3000" s="83" t="s">
        <v>2179</v>
      </c>
      <c r="C3000" s="91" t="s">
        <v>1301</v>
      </c>
    </row>
    <row r="3001" spans="1:3" ht="15">
      <c r="A3001" s="84" t="s">
        <v>393</v>
      </c>
      <c r="B3001" s="83" t="s">
        <v>3301</v>
      </c>
      <c r="C3001" s="91" t="s">
        <v>1301</v>
      </c>
    </row>
    <row r="3002" spans="1:3" ht="15">
      <c r="A3002" s="84" t="s">
        <v>393</v>
      </c>
      <c r="B3002" s="83" t="s">
        <v>3302</v>
      </c>
      <c r="C3002" s="91" t="s">
        <v>1301</v>
      </c>
    </row>
    <row r="3003" spans="1:3" ht="15">
      <c r="A3003" s="84" t="s">
        <v>393</v>
      </c>
      <c r="B3003" s="83" t="s">
        <v>3303</v>
      </c>
      <c r="C3003" s="91" t="s">
        <v>1301</v>
      </c>
    </row>
    <row r="3004" spans="1:3" ht="15">
      <c r="A3004" s="84" t="s">
        <v>393</v>
      </c>
      <c r="B3004" s="83" t="s">
        <v>3199</v>
      </c>
      <c r="C3004" s="91" t="s">
        <v>1301</v>
      </c>
    </row>
    <row r="3005" spans="1:3" ht="15">
      <c r="A3005" s="84" t="s">
        <v>393</v>
      </c>
      <c r="B3005" s="83" t="s">
        <v>3294</v>
      </c>
      <c r="C3005" s="91" t="s">
        <v>1301</v>
      </c>
    </row>
    <row r="3006" spans="1:3" ht="15">
      <c r="A3006" s="84" t="s">
        <v>393</v>
      </c>
      <c r="B3006" s="83" t="s">
        <v>3295</v>
      </c>
      <c r="C3006" s="91" t="s">
        <v>1301</v>
      </c>
    </row>
    <row r="3007" spans="1:3" ht="15">
      <c r="A3007" s="84" t="s">
        <v>393</v>
      </c>
      <c r="B3007" s="83" t="s">
        <v>3237</v>
      </c>
      <c r="C3007" s="91" t="s">
        <v>1301</v>
      </c>
    </row>
    <row r="3008" spans="1:3" ht="15">
      <c r="A3008" s="84" t="s">
        <v>393</v>
      </c>
      <c r="B3008" s="83" t="s">
        <v>3296</v>
      </c>
      <c r="C3008" s="91" t="s">
        <v>1301</v>
      </c>
    </row>
    <row r="3009" spans="1:3" ht="15">
      <c r="A3009" s="84" t="s">
        <v>393</v>
      </c>
      <c r="B3009" s="83" t="s">
        <v>3297</v>
      </c>
      <c r="C3009" s="91" t="s">
        <v>1301</v>
      </c>
    </row>
    <row r="3010" spans="1:3" ht="15">
      <c r="A3010" s="84" t="s">
        <v>393</v>
      </c>
      <c r="B3010" s="83" t="s">
        <v>3218</v>
      </c>
      <c r="C3010" s="91" t="s">
        <v>1301</v>
      </c>
    </row>
    <row r="3011" spans="1:3" ht="15">
      <c r="A3011" s="84" t="s">
        <v>393</v>
      </c>
      <c r="B3011" s="83" t="s">
        <v>3293</v>
      </c>
      <c r="C3011" s="91" t="s">
        <v>1301</v>
      </c>
    </row>
    <row r="3012" spans="1:3" ht="15">
      <c r="A3012" s="84" t="s">
        <v>393</v>
      </c>
      <c r="B3012" s="83" t="s">
        <v>3298</v>
      </c>
      <c r="C3012" s="91" t="s">
        <v>1301</v>
      </c>
    </row>
    <row r="3013" spans="1:3" ht="15">
      <c r="A3013" s="84" t="s">
        <v>393</v>
      </c>
      <c r="B3013" s="83" t="s">
        <v>3299</v>
      </c>
      <c r="C3013" s="91" t="s">
        <v>1301</v>
      </c>
    </row>
    <row r="3014" spans="1:3" ht="15">
      <c r="A3014" s="84" t="s">
        <v>393</v>
      </c>
      <c r="B3014" s="83" t="s">
        <v>3267</v>
      </c>
      <c r="C3014" s="91" t="s">
        <v>1300</v>
      </c>
    </row>
    <row r="3015" spans="1:3" ht="15">
      <c r="A3015" s="84" t="s">
        <v>393</v>
      </c>
      <c r="B3015" s="83" t="s">
        <v>2581</v>
      </c>
      <c r="C3015" s="91" t="s">
        <v>1300</v>
      </c>
    </row>
    <row r="3016" spans="1:3" ht="15">
      <c r="A3016" s="84" t="s">
        <v>393</v>
      </c>
      <c r="B3016" s="83" t="s">
        <v>2586</v>
      </c>
      <c r="C3016" s="91" t="s">
        <v>1300</v>
      </c>
    </row>
    <row r="3017" spans="1:3" ht="15">
      <c r="A3017" s="84" t="s">
        <v>393</v>
      </c>
      <c r="B3017" s="83" t="s">
        <v>2595</v>
      </c>
      <c r="C3017" s="91" t="s">
        <v>1300</v>
      </c>
    </row>
    <row r="3018" spans="1:3" ht="15">
      <c r="A3018" s="84" t="s">
        <v>393</v>
      </c>
      <c r="B3018" s="83" t="s">
        <v>2568</v>
      </c>
      <c r="C3018" s="91" t="s">
        <v>1300</v>
      </c>
    </row>
    <row r="3019" spans="1:3" ht="15">
      <c r="A3019" s="84" t="s">
        <v>393</v>
      </c>
      <c r="B3019" s="83" t="s">
        <v>2592</v>
      </c>
      <c r="C3019" s="91" t="s">
        <v>1300</v>
      </c>
    </row>
    <row r="3020" spans="1:3" ht="15">
      <c r="A3020" s="84" t="s">
        <v>393</v>
      </c>
      <c r="B3020" s="83" t="s">
        <v>3213</v>
      </c>
      <c r="C3020" s="91" t="s">
        <v>1300</v>
      </c>
    </row>
    <row r="3021" spans="1:3" ht="15">
      <c r="A3021" s="84" t="s">
        <v>393</v>
      </c>
      <c r="B3021" s="83" t="s">
        <v>2576</v>
      </c>
      <c r="C3021" s="91" t="s">
        <v>1300</v>
      </c>
    </row>
    <row r="3022" spans="1:3" ht="15">
      <c r="A3022" s="84" t="s">
        <v>393</v>
      </c>
      <c r="B3022" s="83" t="s">
        <v>3229</v>
      </c>
      <c r="C3022" s="91" t="s">
        <v>1300</v>
      </c>
    </row>
    <row r="3023" spans="1:3" ht="15">
      <c r="A3023" s="84" t="s">
        <v>393</v>
      </c>
      <c r="B3023" s="83" t="s">
        <v>3230</v>
      </c>
      <c r="C3023" s="91" t="s">
        <v>1300</v>
      </c>
    </row>
    <row r="3024" spans="1:3" ht="15">
      <c r="A3024" s="84" t="s">
        <v>393</v>
      </c>
      <c r="B3024" s="83" t="s">
        <v>2598</v>
      </c>
      <c r="C3024" s="91" t="s">
        <v>1300</v>
      </c>
    </row>
    <row r="3025" spans="1:3" ht="15">
      <c r="A3025" s="84" t="s">
        <v>393</v>
      </c>
      <c r="B3025" s="83" t="s">
        <v>3231</v>
      </c>
      <c r="C3025" s="91" t="s">
        <v>1300</v>
      </c>
    </row>
    <row r="3026" spans="1:3" ht="15">
      <c r="A3026" s="84" t="s">
        <v>393</v>
      </c>
      <c r="B3026" s="83" t="s">
        <v>3232</v>
      </c>
      <c r="C3026" s="91" t="s">
        <v>1300</v>
      </c>
    </row>
    <row r="3027" spans="1:3" ht="15">
      <c r="A3027" s="84" t="s">
        <v>393</v>
      </c>
      <c r="B3027" s="83" t="s">
        <v>3233</v>
      </c>
      <c r="C3027" s="91" t="s">
        <v>1300</v>
      </c>
    </row>
    <row r="3028" spans="1:3" ht="15">
      <c r="A3028" s="84" t="s">
        <v>393</v>
      </c>
      <c r="B3028" s="83" t="s">
        <v>3211</v>
      </c>
      <c r="C3028" s="91" t="s">
        <v>1300</v>
      </c>
    </row>
    <row r="3029" spans="1:3" ht="15">
      <c r="A3029" s="84" t="s">
        <v>393</v>
      </c>
      <c r="B3029" s="83" t="s">
        <v>3199</v>
      </c>
      <c r="C3029" s="91" t="s">
        <v>1300</v>
      </c>
    </row>
    <row r="3030" spans="1:3" ht="15">
      <c r="A3030" s="84" t="s">
        <v>393</v>
      </c>
      <c r="B3030" s="83" t="s">
        <v>3218</v>
      </c>
      <c r="C3030" s="91" t="s">
        <v>1300</v>
      </c>
    </row>
    <row r="3031" spans="1:3" ht="15">
      <c r="A3031" s="84" t="s">
        <v>393</v>
      </c>
      <c r="B3031" s="83" t="s">
        <v>3234</v>
      </c>
      <c r="C3031" s="91" t="s">
        <v>1300</v>
      </c>
    </row>
    <row r="3032" spans="1:3" ht="15">
      <c r="A3032" s="84" t="s">
        <v>393</v>
      </c>
      <c r="B3032" s="83" t="s">
        <v>3235</v>
      </c>
      <c r="C3032" s="91" t="s">
        <v>1300</v>
      </c>
    </row>
    <row r="3033" spans="1:3" ht="15">
      <c r="A3033" s="84" t="s">
        <v>393</v>
      </c>
      <c r="B3033" s="83" t="s">
        <v>3236</v>
      </c>
      <c r="C3033" s="91" t="s">
        <v>1300</v>
      </c>
    </row>
    <row r="3034" spans="1:3" ht="15">
      <c r="A3034" s="84" t="s">
        <v>393</v>
      </c>
      <c r="B3034" s="83" t="s">
        <v>3237</v>
      </c>
      <c r="C3034" s="91" t="s">
        <v>1300</v>
      </c>
    </row>
    <row r="3035" spans="1:3" ht="15">
      <c r="A3035" s="84" t="s">
        <v>393</v>
      </c>
      <c r="B3035" s="83" t="s">
        <v>3238</v>
      </c>
      <c r="C3035" s="91" t="s">
        <v>1300</v>
      </c>
    </row>
    <row r="3036" spans="1:3" ht="15">
      <c r="A3036" s="84" t="s">
        <v>393</v>
      </c>
      <c r="B3036" s="83" t="s">
        <v>3239</v>
      </c>
      <c r="C3036" s="91" t="s">
        <v>1300</v>
      </c>
    </row>
    <row r="3037" spans="1:3" ht="15">
      <c r="A3037" s="84" t="s">
        <v>393</v>
      </c>
      <c r="B3037" s="83" t="s">
        <v>3240</v>
      </c>
      <c r="C3037" s="91" t="s">
        <v>1300</v>
      </c>
    </row>
    <row r="3038" spans="1:3" ht="15">
      <c r="A3038" s="84" t="s">
        <v>393</v>
      </c>
      <c r="B3038" s="83" t="s">
        <v>3241</v>
      </c>
      <c r="C3038" s="91" t="s">
        <v>1300</v>
      </c>
    </row>
    <row r="3039" spans="1:3" ht="15">
      <c r="A3039" s="84" t="s">
        <v>393</v>
      </c>
      <c r="B3039" s="83" t="s">
        <v>3242</v>
      </c>
      <c r="C3039" s="91" t="s">
        <v>1300</v>
      </c>
    </row>
    <row r="3040" spans="1:3" ht="15">
      <c r="A3040" s="84" t="s">
        <v>393</v>
      </c>
      <c r="B3040" s="83" t="s">
        <v>2767</v>
      </c>
      <c r="C3040" s="91" t="s">
        <v>1300</v>
      </c>
    </row>
    <row r="3041" spans="1:3" ht="15">
      <c r="A3041" s="84" t="s">
        <v>393</v>
      </c>
      <c r="B3041" s="83" t="s">
        <v>3243</v>
      </c>
      <c r="C3041" s="91" t="s">
        <v>1300</v>
      </c>
    </row>
    <row r="3042" spans="1:3" ht="15">
      <c r="A3042" s="84" t="s">
        <v>393</v>
      </c>
      <c r="B3042" s="83" t="s">
        <v>3244</v>
      </c>
      <c r="C3042" s="91" t="s">
        <v>1300</v>
      </c>
    </row>
    <row r="3043" spans="1:3" ht="15">
      <c r="A3043" s="84" t="s">
        <v>393</v>
      </c>
      <c r="B3043" s="83" t="s">
        <v>3223</v>
      </c>
      <c r="C3043" s="91" t="s">
        <v>1300</v>
      </c>
    </row>
    <row r="3044" spans="1:3" ht="15">
      <c r="A3044" s="84" t="s">
        <v>393</v>
      </c>
      <c r="B3044" s="83" t="s">
        <v>3267</v>
      </c>
      <c r="C3044" s="91" t="s">
        <v>1299</v>
      </c>
    </row>
    <row r="3045" spans="1:3" ht="15">
      <c r="A3045" s="84" t="s">
        <v>393</v>
      </c>
      <c r="B3045" s="83" t="s">
        <v>2581</v>
      </c>
      <c r="C3045" s="91" t="s">
        <v>1299</v>
      </c>
    </row>
    <row r="3046" spans="1:3" ht="15">
      <c r="A3046" s="84" t="s">
        <v>393</v>
      </c>
      <c r="B3046" s="83" t="s">
        <v>2586</v>
      </c>
      <c r="C3046" s="91" t="s">
        <v>1299</v>
      </c>
    </row>
    <row r="3047" spans="1:3" ht="15">
      <c r="A3047" s="84" t="s">
        <v>393</v>
      </c>
      <c r="B3047" s="83" t="s">
        <v>2595</v>
      </c>
      <c r="C3047" s="91" t="s">
        <v>1299</v>
      </c>
    </row>
    <row r="3048" spans="1:3" ht="15">
      <c r="A3048" s="84" t="s">
        <v>393</v>
      </c>
      <c r="B3048" s="83" t="s">
        <v>2568</v>
      </c>
      <c r="C3048" s="91" t="s">
        <v>1299</v>
      </c>
    </row>
    <row r="3049" spans="1:3" ht="15">
      <c r="A3049" s="84" t="s">
        <v>393</v>
      </c>
      <c r="B3049" s="83" t="s">
        <v>2592</v>
      </c>
      <c r="C3049" s="91" t="s">
        <v>1299</v>
      </c>
    </row>
    <row r="3050" spans="1:3" ht="15">
      <c r="A3050" s="84" t="s">
        <v>393</v>
      </c>
      <c r="B3050" s="83" t="s">
        <v>3213</v>
      </c>
      <c r="C3050" s="91" t="s">
        <v>1299</v>
      </c>
    </row>
    <row r="3051" spans="1:3" ht="15">
      <c r="A3051" s="84" t="s">
        <v>393</v>
      </c>
      <c r="B3051" s="83" t="s">
        <v>2576</v>
      </c>
      <c r="C3051" s="91" t="s">
        <v>1299</v>
      </c>
    </row>
    <row r="3052" spans="1:3" ht="15">
      <c r="A3052" s="84" t="s">
        <v>393</v>
      </c>
      <c r="B3052" s="83" t="s">
        <v>3229</v>
      </c>
      <c r="C3052" s="91" t="s">
        <v>1299</v>
      </c>
    </row>
    <row r="3053" spans="1:3" ht="15">
      <c r="A3053" s="84" t="s">
        <v>393</v>
      </c>
      <c r="B3053" s="83" t="s">
        <v>3230</v>
      </c>
      <c r="C3053" s="91" t="s">
        <v>1299</v>
      </c>
    </row>
    <row r="3054" spans="1:3" ht="15">
      <c r="A3054" s="84" t="s">
        <v>393</v>
      </c>
      <c r="B3054" s="83" t="s">
        <v>2598</v>
      </c>
      <c r="C3054" s="91" t="s">
        <v>1299</v>
      </c>
    </row>
    <row r="3055" spans="1:3" ht="15">
      <c r="A3055" s="84" t="s">
        <v>393</v>
      </c>
      <c r="B3055" s="83" t="s">
        <v>3231</v>
      </c>
      <c r="C3055" s="91" t="s">
        <v>1299</v>
      </c>
    </row>
    <row r="3056" spans="1:3" ht="15">
      <c r="A3056" s="84" t="s">
        <v>393</v>
      </c>
      <c r="B3056" s="83" t="s">
        <v>3232</v>
      </c>
      <c r="C3056" s="91" t="s">
        <v>1299</v>
      </c>
    </row>
    <row r="3057" spans="1:3" ht="15">
      <c r="A3057" s="84" t="s">
        <v>393</v>
      </c>
      <c r="B3057" s="83" t="s">
        <v>3233</v>
      </c>
      <c r="C3057" s="91" t="s">
        <v>1299</v>
      </c>
    </row>
    <row r="3058" spans="1:3" ht="15">
      <c r="A3058" s="84" t="s">
        <v>393</v>
      </c>
      <c r="B3058" s="83" t="s">
        <v>3211</v>
      </c>
      <c r="C3058" s="91" t="s">
        <v>1299</v>
      </c>
    </row>
    <row r="3059" spans="1:3" ht="15">
      <c r="A3059" s="84" t="s">
        <v>393</v>
      </c>
      <c r="B3059" s="83" t="s">
        <v>3199</v>
      </c>
      <c r="C3059" s="91" t="s">
        <v>1299</v>
      </c>
    </row>
    <row r="3060" spans="1:3" ht="15">
      <c r="A3060" s="84" t="s">
        <v>393</v>
      </c>
      <c r="B3060" s="83" t="s">
        <v>3218</v>
      </c>
      <c r="C3060" s="91" t="s">
        <v>1299</v>
      </c>
    </row>
    <row r="3061" spans="1:3" ht="15">
      <c r="A3061" s="84" t="s">
        <v>393</v>
      </c>
      <c r="B3061" s="83" t="s">
        <v>3234</v>
      </c>
      <c r="C3061" s="91" t="s">
        <v>1299</v>
      </c>
    </row>
    <row r="3062" spans="1:3" ht="15">
      <c r="A3062" s="84" t="s">
        <v>393</v>
      </c>
      <c r="B3062" s="83" t="s">
        <v>3235</v>
      </c>
      <c r="C3062" s="91" t="s">
        <v>1299</v>
      </c>
    </row>
    <row r="3063" spans="1:3" ht="15">
      <c r="A3063" s="84" t="s">
        <v>393</v>
      </c>
      <c r="B3063" s="83" t="s">
        <v>3236</v>
      </c>
      <c r="C3063" s="91" t="s">
        <v>1299</v>
      </c>
    </row>
    <row r="3064" spans="1:3" ht="15">
      <c r="A3064" s="84" t="s">
        <v>393</v>
      </c>
      <c r="B3064" s="83" t="s">
        <v>3237</v>
      </c>
      <c r="C3064" s="91" t="s">
        <v>1299</v>
      </c>
    </row>
    <row r="3065" spans="1:3" ht="15">
      <c r="A3065" s="84" t="s">
        <v>393</v>
      </c>
      <c r="B3065" s="83" t="s">
        <v>3238</v>
      </c>
      <c r="C3065" s="91" t="s">
        <v>1299</v>
      </c>
    </row>
    <row r="3066" spans="1:3" ht="15">
      <c r="A3066" s="84" t="s">
        <v>393</v>
      </c>
      <c r="B3066" s="83" t="s">
        <v>3239</v>
      </c>
      <c r="C3066" s="91" t="s">
        <v>1299</v>
      </c>
    </row>
    <row r="3067" spans="1:3" ht="15">
      <c r="A3067" s="84" t="s">
        <v>393</v>
      </c>
      <c r="B3067" s="83" t="s">
        <v>3240</v>
      </c>
      <c r="C3067" s="91" t="s">
        <v>1299</v>
      </c>
    </row>
    <row r="3068" spans="1:3" ht="15">
      <c r="A3068" s="84" t="s">
        <v>393</v>
      </c>
      <c r="B3068" s="83" t="s">
        <v>3241</v>
      </c>
      <c r="C3068" s="91" t="s">
        <v>1299</v>
      </c>
    </row>
    <row r="3069" spans="1:3" ht="15">
      <c r="A3069" s="84" t="s">
        <v>393</v>
      </c>
      <c r="B3069" s="83" t="s">
        <v>3242</v>
      </c>
      <c r="C3069" s="91" t="s">
        <v>1299</v>
      </c>
    </row>
    <row r="3070" spans="1:3" ht="15">
      <c r="A3070" s="84" t="s">
        <v>393</v>
      </c>
      <c r="B3070" s="83" t="s">
        <v>2767</v>
      </c>
      <c r="C3070" s="91" t="s">
        <v>1299</v>
      </c>
    </row>
    <row r="3071" spans="1:3" ht="15">
      <c r="A3071" s="84" t="s">
        <v>393</v>
      </c>
      <c r="B3071" s="83" t="s">
        <v>3243</v>
      </c>
      <c r="C3071" s="91" t="s">
        <v>1299</v>
      </c>
    </row>
    <row r="3072" spans="1:3" ht="15">
      <c r="A3072" s="84" t="s">
        <v>393</v>
      </c>
      <c r="B3072" s="83" t="s">
        <v>3244</v>
      </c>
      <c r="C3072" s="91" t="s">
        <v>1299</v>
      </c>
    </row>
    <row r="3073" spans="1:3" ht="15">
      <c r="A3073" s="84" t="s">
        <v>393</v>
      </c>
      <c r="B3073" s="83" t="s">
        <v>3223</v>
      </c>
      <c r="C3073" s="91" t="s">
        <v>1299</v>
      </c>
    </row>
    <row r="3074" spans="1:3" ht="15">
      <c r="A3074" s="84" t="s">
        <v>393</v>
      </c>
      <c r="B3074" s="83" t="s">
        <v>3226</v>
      </c>
      <c r="C3074" s="91" t="s">
        <v>1298</v>
      </c>
    </row>
    <row r="3075" spans="1:3" ht="15">
      <c r="A3075" s="84" t="s">
        <v>393</v>
      </c>
      <c r="B3075" s="83" t="s">
        <v>3227</v>
      </c>
      <c r="C3075" s="91" t="s">
        <v>1298</v>
      </c>
    </row>
    <row r="3076" spans="1:3" ht="15">
      <c r="A3076" s="84" t="s">
        <v>393</v>
      </c>
      <c r="B3076" s="83" t="s">
        <v>2607</v>
      </c>
      <c r="C3076" s="91" t="s">
        <v>1298</v>
      </c>
    </row>
    <row r="3077" spans="1:3" ht="15">
      <c r="A3077" s="84" t="s">
        <v>393</v>
      </c>
      <c r="B3077" s="83" t="s">
        <v>2698</v>
      </c>
      <c r="C3077" s="91" t="s">
        <v>1298</v>
      </c>
    </row>
    <row r="3078" spans="1:3" ht="15">
      <c r="A3078" s="84" t="s">
        <v>393</v>
      </c>
      <c r="B3078" s="83" t="s">
        <v>2699</v>
      </c>
      <c r="C3078" s="91" t="s">
        <v>1298</v>
      </c>
    </row>
    <row r="3079" spans="1:3" ht="15">
      <c r="A3079" s="84" t="s">
        <v>393</v>
      </c>
      <c r="B3079" s="83" t="s">
        <v>3228</v>
      </c>
      <c r="C3079" s="91" t="s">
        <v>1298</v>
      </c>
    </row>
    <row r="3080" spans="1:3" ht="15">
      <c r="A3080" s="84" t="s">
        <v>393</v>
      </c>
      <c r="B3080" s="83" t="s">
        <v>2581</v>
      </c>
      <c r="C3080" s="91" t="s">
        <v>1298</v>
      </c>
    </row>
    <row r="3081" spans="1:3" ht="15">
      <c r="A3081" s="84" t="s">
        <v>393</v>
      </c>
      <c r="B3081" s="83" t="s">
        <v>2586</v>
      </c>
      <c r="C3081" s="91" t="s">
        <v>1298</v>
      </c>
    </row>
    <row r="3082" spans="1:3" ht="15">
      <c r="A3082" s="84" t="s">
        <v>393</v>
      </c>
      <c r="B3082" s="83" t="s">
        <v>2595</v>
      </c>
      <c r="C3082" s="91" t="s">
        <v>1298</v>
      </c>
    </row>
    <row r="3083" spans="1:3" ht="15">
      <c r="A3083" s="84" t="s">
        <v>393</v>
      </c>
      <c r="B3083" s="83" t="s">
        <v>2568</v>
      </c>
      <c r="C3083" s="91" t="s">
        <v>1298</v>
      </c>
    </row>
    <row r="3084" spans="1:3" ht="15">
      <c r="A3084" s="84" t="s">
        <v>393</v>
      </c>
      <c r="B3084" s="83" t="s">
        <v>2592</v>
      </c>
      <c r="C3084" s="91" t="s">
        <v>1298</v>
      </c>
    </row>
    <row r="3085" spans="1:3" ht="15">
      <c r="A3085" s="84" t="s">
        <v>393</v>
      </c>
      <c r="B3085" s="83" t="s">
        <v>3213</v>
      </c>
      <c r="C3085" s="91" t="s">
        <v>1298</v>
      </c>
    </row>
    <row r="3086" spans="1:3" ht="15">
      <c r="A3086" s="84" t="s">
        <v>393</v>
      </c>
      <c r="B3086" s="83" t="s">
        <v>2576</v>
      </c>
      <c r="C3086" s="91" t="s">
        <v>1298</v>
      </c>
    </row>
    <row r="3087" spans="1:3" ht="15">
      <c r="A3087" s="84" t="s">
        <v>393</v>
      </c>
      <c r="B3087" s="83" t="s">
        <v>3229</v>
      </c>
      <c r="C3087" s="91" t="s">
        <v>1298</v>
      </c>
    </row>
    <row r="3088" spans="1:3" ht="15">
      <c r="A3088" s="84" t="s">
        <v>393</v>
      </c>
      <c r="B3088" s="83" t="s">
        <v>3230</v>
      </c>
      <c r="C3088" s="91" t="s">
        <v>1298</v>
      </c>
    </row>
    <row r="3089" spans="1:3" ht="15">
      <c r="A3089" s="84" t="s">
        <v>393</v>
      </c>
      <c r="B3089" s="83" t="s">
        <v>2598</v>
      </c>
      <c r="C3089" s="91" t="s">
        <v>1298</v>
      </c>
    </row>
    <row r="3090" spans="1:3" ht="15">
      <c r="A3090" s="84" t="s">
        <v>393</v>
      </c>
      <c r="B3090" s="83" t="s">
        <v>3231</v>
      </c>
      <c r="C3090" s="91" t="s">
        <v>1298</v>
      </c>
    </row>
    <row r="3091" spans="1:3" ht="15">
      <c r="A3091" s="84" t="s">
        <v>393</v>
      </c>
      <c r="B3091" s="83" t="s">
        <v>3232</v>
      </c>
      <c r="C3091" s="91" t="s">
        <v>1298</v>
      </c>
    </row>
    <row r="3092" spans="1:3" ht="15">
      <c r="A3092" s="84" t="s">
        <v>393</v>
      </c>
      <c r="B3092" s="83" t="s">
        <v>3233</v>
      </c>
      <c r="C3092" s="91" t="s">
        <v>1298</v>
      </c>
    </row>
    <row r="3093" spans="1:3" ht="15">
      <c r="A3093" s="84" t="s">
        <v>393</v>
      </c>
      <c r="B3093" s="83" t="s">
        <v>3211</v>
      </c>
      <c r="C3093" s="91" t="s">
        <v>1298</v>
      </c>
    </row>
    <row r="3094" spans="1:3" ht="15">
      <c r="A3094" s="84" t="s">
        <v>393</v>
      </c>
      <c r="B3094" s="83" t="s">
        <v>3199</v>
      </c>
      <c r="C3094" s="91" t="s">
        <v>1298</v>
      </c>
    </row>
    <row r="3095" spans="1:3" ht="15">
      <c r="A3095" s="84" t="s">
        <v>393</v>
      </c>
      <c r="B3095" s="83" t="s">
        <v>3218</v>
      </c>
      <c r="C3095" s="91" t="s">
        <v>1298</v>
      </c>
    </row>
    <row r="3096" spans="1:3" ht="15">
      <c r="A3096" s="84" t="s">
        <v>393</v>
      </c>
      <c r="B3096" s="83" t="s">
        <v>3234</v>
      </c>
      <c r="C3096" s="91" t="s">
        <v>1298</v>
      </c>
    </row>
    <row r="3097" spans="1:3" ht="15">
      <c r="A3097" s="84" t="s">
        <v>393</v>
      </c>
      <c r="B3097" s="83" t="s">
        <v>3235</v>
      </c>
      <c r="C3097" s="91" t="s">
        <v>1298</v>
      </c>
    </row>
    <row r="3098" spans="1:3" ht="15">
      <c r="A3098" s="84" t="s">
        <v>393</v>
      </c>
      <c r="B3098" s="83" t="s">
        <v>3236</v>
      </c>
      <c r="C3098" s="91" t="s">
        <v>1298</v>
      </c>
    </row>
    <row r="3099" spans="1:3" ht="15">
      <c r="A3099" s="84" t="s">
        <v>393</v>
      </c>
      <c r="B3099" s="83" t="s">
        <v>3237</v>
      </c>
      <c r="C3099" s="91" t="s">
        <v>1298</v>
      </c>
    </row>
    <row r="3100" spans="1:3" ht="15">
      <c r="A3100" s="84" t="s">
        <v>393</v>
      </c>
      <c r="B3100" s="83" t="s">
        <v>3238</v>
      </c>
      <c r="C3100" s="91" t="s">
        <v>1298</v>
      </c>
    </row>
    <row r="3101" spans="1:3" ht="15">
      <c r="A3101" s="84" t="s">
        <v>393</v>
      </c>
      <c r="B3101" s="83" t="s">
        <v>3239</v>
      </c>
      <c r="C3101" s="91" t="s">
        <v>1298</v>
      </c>
    </row>
    <row r="3102" spans="1:3" ht="15">
      <c r="A3102" s="84" t="s">
        <v>393</v>
      </c>
      <c r="B3102" s="83" t="s">
        <v>3240</v>
      </c>
      <c r="C3102" s="91" t="s">
        <v>1298</v>
      </c>
    </row>
    <row r="3103" spans="1:3" ht="15">
      <c r="A3103" s="84" t="s">
        <v>393</v>
      </c>
      <c r="B3103" s="83" t="s">
        <v>3241</v>
      </c>
      <c r="C3103" s="91" t="s">
        <v>1298</v>
      </c>
    </row>
    <row r="3104" spans="1:3" ht="15">
      <c r="A3104" s="84" t="s">
        <v>393</v>
      </c>
      <c r="B3104" s="83" t="s">
        <v>3242</v>
      </c>
      <c r="C3104" s="91" t="s">
        <v>1298</v>
      </c>
    </row>
    <row r="3105" spans="1:3" ht="15">
      <c r="A3105" s="84" t="s">
        <v>393</v>
      </c>
      <c r="B3105" s="83" t="s">
        <v>2767</v>
      </c>
      <c r="C3105" s="91" t="s">
        <v>1298</v>
      </c>
    </row>
    <row r="3106" spans="1:3" ht="15">
      <c r="A3106" s="84" t="s">
        <v>393</v>
      </c>
      <c r="B3106" s="83" t="s">
        <v>3243</v>
      </c>
      <c r="C3106" s="91" t="s">
        <v>1298</v>
      </c>
    </row>
    <row r="3107" spans="1:3" ht="15">
      <c r="A3107" s="84" t="s">
        <v>393</v>
      </c>
      <c r="B3107" s="83" t="s">
        <v>3244</v>
      </c>
      <c r="C3107" s="91" t="s">
        <v>1298</v>
      </c>
    </row>
    <row r="3108" spans="1:3" ht="15">
      <c r="A3108" s="84" t="s">
        <v>393</v>
      </c>
      <c r="B3108" s="83" t="s">
        <v>3356</v>
      </c>
      <c r="C3108" s="91" t="s">
        <v>1297</v>
      </c>
    </row>
    <row r="3109" spans="1:3" ht="15">
      <c r="A3109" s="84" t="s">
        <v>393</v>
      </c>
      <c r="B3109" s="83" t="s">
        <v>3357</v>
      </c>
      <c r="C3109" s="91" t="s">
        <v>1297</v>
      </c>
    </row>
    <row r="3110" spans="1:3" ht="15">
      <c r="A3110" s="84" t="s">
        <v>393</v>
      </c>
      <c r="B3110" s="83" t="s">
        <v>3358</v>
      </c>
      <c r="C3110" s="91" t="s">
        <v>1297</v>
      </c>
    </row>
    <row r="3111" spans="1:3" ht="15">
      <c r="A3111" s="84" t="s">
        <v>393</v>
      </c>
      <c r="B3111" s="83" t="s">
        <v>3359</v>
      </c>
      <c r="C3111" s="91" t="s">
        <v>1297</v>
      </c>
    </row>
    <row r="3112" spans="1:3" ht="15">
      <c r="A3112" s="84" t="s">
        <v>393</v>
      </c>
      <c r="B3112" s="83" t="s">
        <v>3360</v>
      </c>
      <c r="C3112" s="91" t="s">
        <v>1297</v>
      </c>
    </row>
    <row r="3113" spans="1:3" ht="15">
      <c r="A3113" s="84" t="s">
        <v>393</v>
      </c>
      <c r="B3113" s="83">
        <v>43</v>
      </c>
      <c r="C3113" s="91" t="s">
        <v>1297</v>
      </c>
    </row>
    <row r="3114" spans="1:3" ht="15">
      <c r="A3114" s="84" t="s">
        <v>393</v>
      </c>
      <c r="B3114" s="83" t="s">
        <v>3361</v>
      </c>
      <c r="C3114" s="91" t="s">
        <v>1297</v>
      </c>
    </row>
    <row r="3115" spans="1:3" ht="15">
      <c r="A3115" s="84" t="s">
        <v>393</v>
      </c>
      <c r="B3115" s="83" t="s">
        <v>3362</v>
      </c>
      <c r="C3115" s="91" t="s">
        <v>1297</v>
      </c>
    </row>
    <row r="3116" spans="1:3" ht="15">
      <c r="A3116" s="84" t="s">
        <v>393</v>
      </c>
      <c r="B3116" s="83" t="s">
        <v>3363</v>
      </c>
      <c r="C3116" s="91" t="s">
        <v>1297</v>
      </c>
    </row>
    <row r="3117" spans="1:3" ht="15">
      <c r="A3117" s="84" t="s">
        <v>393</v>
      </c>
      <c r="B3117" s="83" t="s">
        <v>2580</v>
      </c>
      <c r="C3117" s="91" t="s">
        <v>1297</v>
      </c>
    </row>
    <row r="3118" spans="1:3" ht="15">
      <c r="A3118" s="84" t="s">
        <v>393</v>
      </c>
      <c r="B3118" s="83" t="s">
        <v>3210</v>
      </c>
      <c r="C3118" s="91" t="s">
        <v>1297</v>
      </c>
    </row>
    <row r="3119" spans="1:3" ht="15">
      <c r="A3119" s="84" t="s">
        <v>393</v>
      </c>
      <c r="B3119" s="83">
        <v>19</v>
      </c>
      <c r="C3119" s="91" t="s">
        <v>1297</v>
      </c>
    </row>
    <row r="3120" spans="1:3" ht="15">
      <c r="A3120" s="84" t="s">
        <v>393</v>
      </c>
      <c r="B3120" s="83" t="s">
        <v>3364</v>
      </c>
      <c r="C3120" s="91" t="s">
        <v>1297</v>
      </c>
    </row>
    <row r="3121" spans="1:3" ht="15">
      <c r="A3121" s="84" t="s">
        <v>393</v>
      </c>
      <c r="B3121" s="83" t="s">
        <v>3211</v>
      </c>
      <c r="C3121" s="91" t="s">
        <v>1297</v>
      </c>
    </row>
    <row r="3122" spans="1:3" ht="15">
      <c r="A3122" s="84" t="s">
        <v>393</v>
      </c>
      <c r="B3122" s="83" t="s">
        <v>3212</v>
      </c>
      <c r="C3122" s="91" t="s">
        <v>1297</v>
      </c>
    </row>
    <row r="3123" spans="1:3" ht="15">
      <c r="A3123" s="84" t="s">
        <v>393</v>
      </c>
      <c r="B3123" s="83" t="s">
        <v>3198</v>
      </c>
      <c r="C3123" s="91" t="s">
        <v>1297</v>
      </c>
    </row>
    <row r="3124" spans="1:3" ht="15">
      <c r="A3124" s="84" t="s">
        <v>393</v>
      </c>
      <c r="B3124" s="83" t="s">
        <v>3213</v>
      </c>
      <c r="C3124" s="91" t="s">
        <v>1297</v>
      </c>
    </row>
    <row r="3125" spans="1:3" ht="15">
      <c r="A3125" s="84" t="s">
        <v>393</v>
      </c>
      <c r="B3125" s="83" t="s">
        <v>3214</v>
      </c>
      <c r="C3125" s="91" t="s">
        <v>1297</v>
      </c>
    </row>
    <row r="3126" spans="1:3" ht="15">
      <c r="A3126" s="84" t="s">
        <v>393</v>
      </c>
      <c r="B3126" s="83" t="s">
        <v>3215</v>
      </c>
      <c r="C3126" s="91" t="s">
        <v>1297</v>
      </c>
    </row>
    <row r="3127" spans="1:3" ht="15">
      <c r="A3127" s="84" t="s">
        <v>393</v>
      </c>
      <c r="B3127" s="83" t="s">
        <v>3216</v>
      </c>
      <c r="C3127" s="91" t="s">
        <v>1297</v>
      </c>
    </row>
    <row r="3128" spans="1:3" ht="15">
      <c r="A3128" s="84" t="s">
        <v>393</v>
      </c>
      <c r="B3128" s="83" t="s">
        <v>3199</v>
      </c>
      <c r="C3128" s="91" t="s">
        <v>1297</v>
      </c>
    </row>
    <row r="3129" spans="1:3" ht="15">
      <c r="A3129" s="84" t="s">
        <v>393</v>
      </c>
      <c r="B3129" s="83" t="s">
        <v>3218</v>
      </c>
      <c r="C3129" s="91" t="s">
        <v>1297</v>
      </c>
    </row>
    <row r="3130" spans="1:3" ht="15">
      <c r="A3130" s="84" t="s">
        <v>393</v>
      </c>
      <c r="B3130" s="83" t="s">
        <v>3235</v>
      </c>
      <c r="C3130" s="91" t="s">
        <v>1297</v>
      </c>
    </row>
    <row r="3131" spans="1:3" ht="15">
      <c r="A3131" s="84" t="s">
        <v>393</v>
      </c>
      <c r="B3131" s="83" t="s">
        <v>3236</v>
      </c>
      <c r="C3131" s="91" t="s">
        <v>1297</v>
      </c>
    </row>
    <row r="3132" spans="1:3" ht="15">
      <c r="A3132" s="84" t="s">
        <v>393</v>
      </c>
      <c r="B3132" s="83" t="s">
        <v>3318</v>
      </c>
      <c r="C3132" s="91" t="s">
        <v>1297</v>
      </c>
    </row>
    <row r="3133" spans="1:3" ht="15">
      <c r="A3133" s="84" t="s">
        <v>393</v>
      </c>
      <c r="B3133" s="83" t="s">
        <v>3220</v>
      </c>
      <c r="C3133" s="91" t="s">
        <v>1297</v>
      </c>
    </row>
    <row r="3134" spans="1:3" ht="15">
      <c r="A3134" s="84" t="s">
        <v>393</v>
      </c>
      <c r="B3134" s="83" t="s">
        <v>3221</v>
      </c>
      <c r="C3134" s="91" t="s">
        <v>1297</v>
      </c>
    </row>
    <row r="3135" spans="1:3" ht="15">
      <c r="A3135" s="84" t="s">
        <v>393</v>
      </c>
      <c r="B3135" s="83" t="s">
        <v>3237</v>
      </c>
      <c r="C3135" s="91" t="s">
        <v>1297</v>
      </c>
    </row>
    <row r="3136" spans="1:3" ht="15">
      <c r="A3136" s="84" t="s">
        <v>393</v>
      </c>
      <c r="B3136" s="83" t="s">
        <v>3310</v>
      </c>
      <c r="C3136" s="91" t="s">
        <v>1297</v>
      </c>
    </row>
    <row r="3137" spans="1:3" ht="15">
      <c r="A3137" s="84" t="s">
        <v>393</v>
      </c>
      <c r="B3137" s="83" t="s">
        <v>3335</v>
      </c>
      <c r="C3137" s="91" t="s">
        <v>1297</v>
      </c>
    </row>
    <row r="3138" spans="1:3" ht="15">
      <c r="A3138" s="84" t="s">
        <v>393</v>
      </c>
      <c r="B3138" s="83" t="s">
        <v>3284</v>
      </c>
      <c r="C3138" s="91" t="s">
        <v>1297</v>
      </c>
    </row>
    <row r="3139" spans="1:3" ht="15">
      <c r="A3139" s="84" t="s">
        <v>393</v>
      </c>
      <c r="B3139" s="83" t="s">
        <v>3226</v>
      </c>
      <c r="C3139" s="91" t="s">
        <v>1296</v>
      </c>
    </row>
    <row r="3140" spans="1:3" ht="15">
      <c r="A3140" s="84" t="s">
        <v>393</v>
      </c>
      <c r="B3140" s="83" t="s">
        <v>3227</v>
      </c>
      <c r="C3140" s="91" t="s">
        <v>1296</v>
      </c>
    </row>
    <row r="3141" spans="1:3" ht="15">
      <c r="A3141" s="84" t="s">
        <v>393</v>
      </c>
      <c r="B3141" s="83" t="s">
        <v>2607</v>
      </c>
      <c r="C3141" s="91" t="s">
        <v>1296</v>
      </c>
    </row>
    <row r="3142" spans="1:3" ht="15">
      <c r="A3142" s="84" t="s">
        <v>393</v>
      </c>
      <c r="B3142" s="83" t="s">
        <v>2698</v>
      </c>
      <c r="C3142" s="91" t="s">
        <v>1296</v>
      </c>
    </row>
    <row r="3143" spans="1:3" ht="15">
      <c r="A3143" s="84" t="s">
        <v>393</v>
      </c>
      <c r="B3143" s="83" t="s">
        <v>2699</v>
      </c>
      <c r="C3143" s="91" t="s">
        <v>1296</v>
      </c>
    </row>
    <row r="3144" spans="1:3" ht="15">
      <c r="A3144" s="84" t="s">
        <v>393</v>
      </c>
      <c r="B3144" s="83" t="s">
        <v>3228</v>
      </c>
      <c r="C3144" s="91" t="s">
        <v>1296</v>
      </c>
    </row>
    <row r="3145" spans="1:3" ht="15">
      <c r="A3145" s="84" t="s">
        <v>393</v>
      </c>
      <c r="B3145" s="83" t="s">
        <v>2581</v>
      </c>
      <c r="C3145" s="91" t="s">
        <v>1296</v>
      </c>
    </row>
    <row r="3146" spans="1:3" ht="15">
      <c r="A3146" s="84" t="s">
        <v>393</v>
      </c>
      <c r="B3146" s="83" t="s">
        <v>2586</v>
      </c>
      <c r="C3146" s="91" t="s">
        <v>1296</v>
      </c>
    </row>
    <row r="3147" spans="1:3" ht="15">
      <c r="A3147" s="84" t="s">
        <v>393</v>
      </c>
      <c r="B3147" s="83" t="s">
        <v>2595</v>
      </c>
      <c r="C3147" s="91" t="s">
        <v>1296</v>
      </c>
    </row>
    <row r="3148" spans="1:3" ht="15">
      <c r="A3148" s="84" t="s">
        <v>393</v>
      </c>
      <c r="B3148" s="83" t="s">
        <v>2568</v>
      </c>
      <c r="C3148" s="91" t="s">
        <v>1296</v>
      </c>
    </row>
    <row r="3149" spans="1:3" ht="15">
      <c r="A3149" s="84" t="s">
        <v>393</v>
      </c>
      <c r="B3149" s="83" t="s">
        <v>2592</v>
      </c>
      <c r="C3149" s="91" t="s">
        <v>1296</v>
      </c>
    </row>
    <row r="3150" spans="1:3" ht="15">
      <c r="A3150" s="84" t="s">
        <v>393</v>
      </c>
      <c r="B3150" s="83" t="s">
        <v>3213</v>
      </c>
      <c r="C3150" s="91" t="s">
        <v>1296</v>
      </c>
    </row>
    <row r="3151" spans="1:3" ht="15">
      <c r="A3151" s="84" t="s">
        <v>393</v>
      </c>
      <c r="B3151" s="83" t="s">
        <v>2576</v>
      </c>
      <c r="C3151" s="91" t="s">
        <v>1296</v>
      </c>
    </row>
    <row r="3152" spans="1:3" ht="15">
      <c r="A3152" s="84" t="s">
        <v>393</v>
      </c>
      <c r="B3152" s="83" t="s">
        <v>3229</v>
      </c>
      <c r="C3152" s="91" t="s">
        <v>1296</v>
      </c>
    </row>
    <row r="3153" spans="1:3" ht="15">
      <c r="A3153" s="84" t="s">
        <v>393</v>
      </c>
      <c r="B3153" s="83" t="s">
        <v>3230</v>
      </c>
      <c r="C3153" s="91" t="s">
        <v>1296</v>
      </c>
    </row>
    <row r="3154" spans="1:3" ht="15">
      <c r="A3154" s="84" t="s">
        <v>393</v>
      </c>
      <c r="B3154" s="83" t="s">
        <v>2598</v>
      </c>
      <c r="C3154" s="91" t="s">
        <v>1296</v>
      </c>
    </row>
    <row r="3155" spans="1:3" ht="15">
      <c r="A3155" s="84" t="s">
        <v>393</v>
      </c>
      <c r="B3155" s="83" t="s">
        <v>3231</v>
      </c>
      <c r="C3155" s="91" t="s">
        <v>1296</v>
      </c>
    </row>
    <row r="3156" spans="1:3" ht="15">
      <c r="A3156" s="84" t="s">
        <v>393</v>
      </c>
      <c r="B3156" s="83" t="s">
        <v>3232</v>
      </c>
      <c r="C3156" s="91" t="s">
        <v>1296</v>
      </c>
    </row>
    <row r="3157" spans="1:3" ht="15">
      <c r="A3157" s="84" t="s">
        <v>393</v>
      </c>
      <c r="B3157" s="83" t="s">
        <v>3233</v>
      </c>
      <c r="C3157" s="91" t="s">
        <v>1296</v>
      </c>
    </row>
    <row r="3158" spans="1:3" ht="15">
      <c r="A3158" s="84" t="s">
        <v>393</v>
      </c>
      <c r="B3158" s="83" t="s">
        <v>3211</v>
      </c>
      <c r="C3158" s="91" t="s">
        <v>1296</v>
      </c>
    </row>
    <row r="3159" spans="1:3" ht="15">
      <c r="A3159" s="84" t="s">
        <v>393</v>
      </c>
      <c r="B3159" s="83" t="s">
        <v>3199</v>
      </c>
      <c r="C3159" s="91" t="s">
        <v>1296</v>
      </c>
    </row>
    <row r="3160" spans="1:3" ht="15">
      <c r="A3160" s="84" t="s">
        <v>393</v>
      </c>
      <c r="B3160" s="83" t="s">
        <v>3218</v>
      </c>
      <c r="C3160" s="91" t="s">
        <v>1296</v>
      </c>
    </row>
    <row r="3161" spans="1:3" ht="15">
      <c r="A3161" s="84" t="s">
        <v>393</v>
      </c>
      <c r="B3161" s="83" t="s">
        <v>3234</v>
      </c>
      <c r="C3161" s="91" t="s">
        <v>1296</v>
      </c>
    </row>
    <row r="3162" spans="1:3" ht="15">
      <c r="A3162" s="84" t="s">
        <v>393</v>
      </c>
      <c r="B3162" s="83" t="s">
        <v>3235</v>
      </c>
      <c r="C3162" s="91" t="s">
        <v>1296</v>
      </c>
    </row>
    <row r="3163" spans="1:3" ht="15">
      <c r="A3163" s="84" t="s">
        <v>393</v>
      </c>
      <c r="B3163" s="83" t="s">
        <v>3236</v>
      </c>
      <c r="C3163" s="91" t="s">
        <v>1296</v>
      </c>
    </row>
    <row r="3164" spans="1:3" ht="15">
      <c r="A3164" s="84" t="s">
        <v>393</v>
      </c>
      <c r="B3164" s="83" t="s">
        <v>3237</v>
      </c>
      <c r="C3164" s="91" t="s">
        <v>1296</v>
      </c>
    </row>
    <row r="3165" spans="1:3" ht="15">
      <c r="A3165" s="84" t="s">
        <v>393</v>
      </c>
      <c r="B3165" s="83" t="s">
        <v>3238</v>
      </c>
      <c r="C3165" s="91" t="s">
        <v>1296</v>
      </c>
    </row>
    <row r="3166" spans="1:3" ht="15">
      <c r="A3166" s="84" t="s">
        <v>393</v>
      </c>
      <c r="B3166" s="83" t="s">
        <v>3239</v>
      </c>
      <c r="C3166" s="91" t="s">
        <v>1296</v>
      </c>
    </row>
    <row r="3167" spans="1:3" ht="15">
      <c r="A3167" s="84" t="s">
        <v>393</v>
      </c>
      <c r="B3167" s="83" t="s">
        <v>3240</v>
      </c>
      <c r="C3167" s="91" t="s">
        <v>1296</v>
      </c>
    </row>
    <row r="3168" spans="1:3" ht="15">
      <c r="A3168" s="84" t="s">
        <v>393</v>
      </c>
      <c r="B3168" s="83" t="s">
        <v>3241</v>
      </c>
      <c r="C3168" s="91" t="s">
        <v>1296</v>
      </c>
    </row>
    <row r="3169" spans="1:3" ht="15">
      <c r="A3169" s="84" t="s">
        <v>393</v>
      </c>
      <c r="B3169" s="83" t="s">
        <v>3242</v>
      </c>
      <c r="C3169" s="91" t="s">
        <v>1296</v>
      </c>
    </row>
    <row r="3170" spans="1:3" ht="15">
      <c r="A3170" s="84" t="s">
        <v>393</v>
      </c>
      <c r="B3170" s="83" t="s">
        <v>2767</v>
      </c>
      <c r="C3170" s="91" t="s">
        <v>1296</v>
      </c>
    </row>
    <row r="3171" spans="1:3" ht="15">
      <c r="A3171" s="84" t="s">
        <v>393</v>
      </c>
      <c r="B3171" s="83" t="s">
        <v>3243</v>
      </c>
      <c r="C3171" s="91" t="s">
        <v>1296</v>
      </c>
    </row>
    <row r="3172" spans="1:3" ht="15">
      <c r="A3172" s="84" t="s">
        <v>393</v>
      </c>
      <c r="B3172" s="83" t="s">
        <v>3244</v>
      </c>
      <c r="C3172" s="91" t="s">
        <v>1296</v>
      </c>
    </row>
    <row r="3173" spans="1:3" ht="15">
      <c r="A3173" s="84" t="s">
        <v>393</v>
      </c>
      <c r="B3173" s="83" t="s">
        <v>3316</v>
      </c>
      <c r="C3173" s="91" t="s">
        <v>1295</v>
      </c>
    </row>
    <row r="3174" spans="1:3" ht="15">
      <c r="A3174" s="84" t="s">
        <v>393</v>
      </c>
      <c r="B3174" s="83" t="s">
        <v>2610</v>
      </c>
      <c r="C3174" s="91" t="s">
        <v>1295</v>
      </c>
    </row>
    <row r="3175" spans="1:3" ht="15">
      <c r="A3175" s="84" t="s">
        <v>393</v>
      </c>
      <c r="B3175" s="83" t="s">
        <v>2936</v>
      </c>
      <c r="C3175" s="91" t="s">
        <v>1295</v>
      </c>
    </row>
    <row r="3176" spans="1:3" ht="15">
      <c r="A3176" s="84" t="s">
        <v>393</v>
      </c>
      <c r="B3176" s="83" t="s">
        <v>2937</v>
      </c>
      <c r="C3176" s="91" t="s">
        <v>1295</v>
      </c>
    </row>
    <row r="3177" spans="1:3" ht="15">
      <c r="A3177" s="84" t="s">
        <v>393</v>
      </c>
      <c r="B3177" s="83" t="s">
        <v>2576</v>
      </c>
      <c r="C3177" s="91" t="s">
        <v>1295</v>
      </c>
    </row>
    <row r="3178" spans="1:3" ht="15">
      <c r="A3178" s="84" t="s">
        <v>393</v>
      </c>
      <c r="B3178" s="83" t="s">
        <v>2938</v>
      </c>
      <c r="C3178" s="91" t="s">
        <v>1295</v>
      </c>
    </row>
    <row r="3179" spans="1:3" ht="15">
      <c r="A3179" s="84" t="s">
        <v>393</v>
      </c>
      <c r="B3179" s="83" t="s">
        <v>3203</v>
      </c>
      <c r="C3179" s="91" t="s">
        <v>1295</v>
      </c>
    </row>
    <row r="3180" spans="1:3" ht="15">
      <c r="A3180" s="84" t="s">
        <v>393</v>
      </c>
      <c r="B3180" s="83">
        <v>19</v>
      </c>
      <c r="C3180" s="91" t="s">
        <v>1295</v>
      </c>
    </row>
    <row r="3181" spans="1:3" ht="15">
      <c r="A3181" s="84" t="s">
        <v>393</v>
      </c>
      <c r="B3181" s="83" t="s">
        <v>2939</v>
      </c>
      <c r="C3181" s="91" t="s">
        <v>1295</v>
      </c>
    </row>
    <row r="3182" spans="1:3" ht="15">
      <c r="A3182" s="84" t="s">
        <v>393</v>
      </c>
      <c r="B3182" s="83" t="s">
        <v>2580</v>
      </c>
      <c r="C3182" s="91" t="s">
        <v>1295</v>
      </c>
    </row>
    <row r="3183" spans="1:3" ht="15">
      <c r="A3183" s="84" t="s">
        <v>393</v>
      </c>
      <c r="B3183" s="83" t="s">
        <v>2848</v>
      </c>
      <c r="C3183" s="91" t="s">
        <v>1295</v>
      </c>
    </row>
    <row r="3184" spans="1:3" ht="15">
      <c r="A3184" s="84" t="s">
        <v>393</v>
      </c>
      <c r="B3184" s="83" t="s">
        <v>15</v>
      </c>
      <c r="C3184" s="91" t="s">
        <v>1295</v>
      </c>
    </row>
    <row r="3185" spans="1:3" ht="15">
      <c r="A3185" s="84" t="s">
        <v>393</v>
      </c>
      <c r="B3185" s="83" t="s">
        <v>3317</v>
      </c>
      <c r="C3185" s="91" t="s">
        <v>1295</v>
      </c>
    </row>
    <row r="3186" spans="1:3" ht="15">
      <c r="A3186" s="84" t="s">
        <v>393</v>
      </c>
      <c r="B3186" s="83" t="s">
        <v>2940</v>
      </c>
      <c r="C3186" s="91" t="s">
        <v>1295</v>
      </c>
    </row>
    <row r="3187" spans="1:3" ht="15">
      <c r="A3187" s="84" t="s">
        <v>393</v>
      </c>
      <c r="B3187" s="83" t="s">
        <v>3198</v>
      </c>
      <c r="C3187" s="91" t="s">
        <v>1295</v>
      </c>
    </row>
    <row r="3188" spans="1:3" ht="15">
      <c r="A3188" s="84" t="s">
        <v>393</v>
      </c>
      <c r="B3188" s="83" t="s">
        <v>3211</v>
      </c>
      <c r="C3188" s="91" t="s">
        <v>1295</v>
      </c>
    </row>
    <row r="3189" spans="1:3" ht="15">
      <c r="A3189" s="84" t="s">
        <v>393</v>
      </c>
      <c r="B3189" s="83" t="s">
        <v>3212</v>
      </c>
      <c r="C3189" s="91" t="s">
        <v>1295</v>
      </c>
    </row>
    <row r="3190" spans="1:3" ht="15">
      <c r="A3190" s="84" t="s">
        <v>393</v>
      </c>
      <c r="B3190" s="83" t="s">
        <v>3199</v>
      </c>
      <c r="C3190" s="91" t="s">
        <v>1295</v>
      </c>
    </row>
    <row r="3191" spans="1:3" ht="15">
      <c r="A3191" s="84" t="s">
        <v>393</v>
      </c>
      <c r="B3191" s="83" t="s">
        <v>3218</v>
      </c>
      <c r="C3191" s="91" t="s">
        <v>1295</v>
      </c>
    </row>
    <row r="3192" spans="1:3" ht="15">
      <c r="A3192" s="84" t="s">
        <v>393</v>
      </c>
      <c r="B3192" s="83" t="s">
        <v>3219</v>
      </c>
      <c r="C3192" s="91" t="s">
        <v>1295</v>
      </c>
    </row>
    <row r="3193" spans="1:3" ht="15">
      <c r="A3193" s="84" t="s">
        <v>393</v>
      </c>
      <c r="B3193" s="83" t="s">
        <v>3234</v>
      </c>
      <c r="C3193" s="91" t="s">
        <v>1295</v>
      </c>
    </row>
    <row r="3194" spans="1:3" ht="15">
      <c r="A3194" s="84" t="s">
        <v>393</v>
      </c>
      <c r="B3194" s="83" t="s">
        <v>3235</v>
      </c>
      <c r="C3194" s="91" t="s">
        <v>1295</v>
      </c>
    </row>
    <row r="3195" spans="1:3" ht="15">
      <c r="A3195" s="84" t="s">
        <v>393</v>
      </c>
      <c r="B3195" s="83" t="s">
        <v>3236</v>
      </c>
      <c r="C3195" s="91" t="s">
        <v>1295</v>
      </c>
    </row>
    <row r="3196" spans="1:3" ht="15">
      <c r="A3196" s="84" t="s">
        <v>393</v>
      </c>
      <c r="B3196" s="83" t="s">
        <v>3318</v>
      </c>
      <c r="C3196" s="91" t="s">
        <v>1295</v>
      </c>
    </row>
    <row r="3197" spans="1:3" ht="15">
      <c r="A3197" s="84" t="s">
        <v>393</v>
      </c>
      <c r="B3197" s="83" t="s">
        <v>3221</v>
      </c>
      <c r="C3197" s="91" t="s">
        <v>1295</v>
      </c>
    </row>
    <row r="3198" spans="1:3" ht="15">
      <c r="A3198" s="84" t="s">
        <v>393</v>
      </c>
      <c r="B3198" s="83" t="s">
        <v>3215</v>
      </c>
      <c r="C3198" s="91" t="s">
        <v>1295</v>
      </c>
    </row>
    <row r="3199" spans="1:3" ht="15">
      <c r="A3199" s="84" t="s">
        <v>393</v>
      </c>
      <c r="B3199" s="83" t="s">
        <v>3237</v>
      </c>
      <c r="C3199" s="91" t="s">
        <v>1295</v>
      </c>
    </row>
    <row r="3200" spans="1:3" ht="15">
      <c r="A3200" s="84" t="s">
        <v>393</v>
      </c>
      <c r="B3200" s="83" t="s">
        <v>3214</v>
      </c>
      <c r="C3200" s="91" t="s">
        <v>1295</v>
      </c>
    </row>
    <row r="3201" spans="1:3" ht="15">
      <c r="A3201" s="84" t="s">
        <v>393</v>
      </c>
      <c r="B3201" s="83" t="s">
        <v>3319</v>
      </c>
      <c r="C3201" s="91" t="s">
        <v>1295</v>
      </c>
    </row>
    <row r="3202" spans="1:3" ht="15">
      <c r="A3202" s="84" t="s">
        <v>393</v>
      </c>
      <c r="B3202" s="83" t="s">
        <v>3213</v>
      </c>
      <c r="C3202" s="91" t="s">
        <v>1295</v>
      </c>
    </row>
    <row r="3203" spans="1:3" ht="15">
      <c r="A3203" s="84" t="s">
        <v>393</v>
      </c>
      <c r="B3203" s="83" t="s">
        <v>3396</v>
      </c>
      <c r="C3203" s="91" t="s">
        <v>1294</v>
      </c>
    </row>
    <row r="3204" spans="1:3" ht="15">
      <c r="A3204" s="84" t="s">
        <v>393</v>
      </c>
      <c r="B3204" s="83">
        <v>5</v>
      </c>
      <c r="C3204" s="91" t="s">
        <v>1294</v>
      </c>
    </row>
    <row r="3205" spans="1:3" ht="15">
      <c r="A3205" s="84" t="s">
        <v>393</v>
      </c>
      <c r="B3205" s="83" t="s">
        <v>3397</v>
      </c>
      <c r="C3205" s="91" t="s">
        <v>1294</v>
      </c>
    </row>
    <row r="3206" spans="1:3" ht="15">
      <c r="A3206" s="84" t="s">
        <v>393</v>
      </c>
      <c r="B3206" s="83" t="s">
        <v>3398</v>
      </c>
      <c r="C3206" s="91" t="s">
        <v>1294</v>
      </c>
    </row>
    <row r="3207" spans="1:3" ht="15">
      <c r="A3207" s="84" t="s">
        <v>393</v>
      </c>
      <c r="B3207" s="83" t="s">
        <v>2796</v>
      </c>
      <c r="C3207" s="91" t="s">
        <v>1294</v>
      </c>
    </row>
    <row r="3208" spans="1:3" ht="15">
      <c r="A3208" s="84" t="s">
        <v>393</v>
      </c>
      <c r="B3208" s="83" t="s">
        <v>3203</v>
      </c>
      <c r="C3208" s="91" t="s">
        <v>1294</v>
      </c>
    </row>
    <row r="3209" spans="1:3" ht="15">
      <c r="A3209" s="84" t="s">
        <v>393</v>
      </c>
      <c r="B3209" s="83">
        <v>19</v>
      </c>
      <c r="C3209" s="91" t="s">
        <v>1294</v>
      </c>
    </row>
    <row r="3210" spans="1:3" ht="15">
      <c r="A3210" s="84" t="s">
        <v>393</v>
      </c>
      <c r="B3210" s="83" t="s">
        <v>2873</v>
      </c>
      <c r="C3210" s="91" t="s">
        <v>1294</v>
      </c>
    </row>
    <row r="3211" spans="1:3" ht="15">
      <c r="A3211" s="84" t="s">
        <v>393</v>
      </c>
      <c r="B3211" s="83" t="s">
        <v>3382</v>
      </c>
      <c r="C3211" s="91" t="s">
        <v>1294</v>
      </c>
    </row>
    <row r="3212" spans="1:3" ht="15">
      <c r="A3212" s="84" t="s">
        <v>393</v>
      </c>
      <c r="B3212" s="83" t="s">
        <v>3399</v>
      </c>
      <c r="C3212" s="91" t="s">
        <v>1294</v>
      </c>
    </row>
    <row r="3213" spans="1:3" ht="15">
      <c r="A3213" s="84" t="s">
        <v>393</v>
      </c>
      <c r="B3213" s="83" t="s">
        <v>3386</v>
      </c>
      <c r="C3213" s="91" t="s">
        <v>1294</v>
      </c>
    </row>
    <row r="3214" spans="1:3" ht="15">
      <c r="A3214" s="84" t="s">
        <v>393</v>
      </c>
      <c r="B3214" s="83" t="s">
        <v>3400</v>
      </c>
      <c r="C3214" s="91" t="s">
        <v>1294</v>
      </c>
    </row>
    <row r="3215" spans="1:3" ht="15">
      <c r="A3215" s="84" t="s">
        <v>393</v>
      </c>
      <c r="B3215" s="83" t="s">
        <v>3354</v>
      </c>
      <c r="C3215" s="91" t="s">
        <v>1294</v>
      </c>
    </row>
    <row r="3216" spans="1:3" ht="15">
      <c r="A3216" s="84" t="s">
        <v>393</v>
      </c>
      <c r="B3216" s="83" t="s">
        <v>3313</v>
      </c>
      <c r="C3216" s="91" t="s">
        <v>1294</v>
      </c>
    </row>
    <row r="3217" spans="1:3" ht="15">
      <c r="A3217" s="84" t="s">
        <v>393</v>
      </c>
      <c r="B3217" s="83" t="s">
        <v>2766</v>
      </c>
      <c r="C3217" s="91" t="s">
        <v>1294</v>
      </c>
    </row>
    <row r="3218" spans="1:3" ht="15">
      <c r="A3218" s="84" t="s">
        <v>393</v>
      </c>
      <c r="B3218" s="83" t="s">
        <v>3119</v>
      </c>
      <c r="C3218" s="91" t="s">
        <v>1294</v>
      </c>
    </row>
    <row r="3219" spans="1:3" ht="15">
      <c r="A3219" s="84" t="s">
        <v>393</v>
      </c>
      <c r="B3219" s="83" t="s">
        <v>586</v>
      </c>
      <c r="C3219" s="91" t="s">
        <v>1294</v>
      </c>
    </row>
    <row r="3220" spans="1:3" ht="15">
      <c r="A3220" s="84" t="s">
        <v>393</v>
      </c>
      <c r="B3220" s="83" t="s">
        <v>2972</v>
      </c>
      <c r="C3220" s="91" t="s">
        <v>1294</v>
      </c>
    </row>
    <row r="3221" spans="1:3" ht="15">
      <c r="A3221" s="84" t="s">
        <v>393</v>
      </c>
      <c r="B3221" s="83" t="s">
        <v>3401</v>
      </c>
      <c r="C3221" s="91" t="s">
        <v>1294</v>
      </c>
    </row>
    <row r="3222" spans="1:3" ht="15">
      <c r="A3222" s="84" t="s">
        <v>393</v>
      </c>
      <c r="B3222" s="83" t="s">
        <v>3336</v>
      </c>
      <c r="C3222" s="91" t="s">
        <v>1294</v>
      </c>
    </row>
    <row r="3223" spans="1:3" ht="15">
      <c r="A3223" s="84" t="s">
        <v>393</v>
      </c>
      <c r="B3223" s="83" t="s">
        <v>3402</v>
      </c>
      <c r="C3223" s="91" t="s">
        <v>1294</v>
      </c>
    </row>
    <row r="3224" spans="1:3" ht="15">
      <c r="A3224" s="84" t="s">
        <v>393</v>
      </c>
      <c r="B3224" s="83" t="s">
        <v>2678</v>
      </c>
      <c r="C3224" s="91" t="s">
        <v>1294</v>
      </c>
    </row>
    <row r="3225" spans="1:3" ht="15">
      <c r="A3225" s="84" t="s">
        <v>393</v>
      </c>
      <c r="B3225" s="83" t="s">
        <v>2917</v>
      </c>
      <c r="C3225" s="91" t="s">
        <v>1294</v>
      </c>
    </row>
    <row r="3226" spans="1:3" ht="15">
      <c r="A3226" s="84" t="s">
        <v>393</v>
      </c>
      <c r="B3226" s="83" t="s">
        <v>3403</v>
      </c>
      <c r="C3226" s="91" t="s">
        <v>1294</v>
      </c>
    </row>
    <row r="3227" spans="1:3" ht="15">
      <c r="A3227" s="84" t="s">
        <v>393</v>
      </c>
      <c r="B3227" s="83" t="s">
        <v>3404</v>
      </c>
      <c r="C3227" s="91" t="s">
        <v>1294</v>
      </c>
    </row>
    <row r="3228" spans="1:3" ht="15">
      <c r="A3228" s="84" t="s">
        <v>393</v>
      </c>
      <c r="B3228" s="83" t="s">
        <v>3405</v>
      </c>
      <c r="C3228" s="91" t="s">
        <v>1294</v>
      </c>
    </row>
    <row r="3229" spans="1:3" ht="15">
      <c r="A3229" s="84" t="s">
        <v>393</v>
      </c>
      <c r="B3229" s="83" t="s">
        <v>3406</v>
      </c>
      <c r="C3229" s="91" t="s">
        <v>1294</v>
      </c>
    </row>
    <row r="3230" spans="1:3" ht="15">
      <c r="A3230" s="84" t="s">
        <v>393</v>
      </c>
      <c r="B3230" s="83" t="s">
        <v>3407</v>
      </c>
      <c r="C3230" s="91" t="s">
        <v>1294</v>
      </c>
    </row>
    <row r="3231" spans="1:3" ht="15">
      <c r="A3231" s="84" t="s">
        <v>393</v>
      </c>
      <c r="B3231" s="83" t="s">
        <v>2569</v>
      </c>
      <c r="C3231" s="91" t="s">
        <v>1294</v>
      </c>
    </row>
    <row r="3232" spans="1:3" ht="15">
      <c r="A3232" s="84" t="s">
        <v>393</v>
      </c>
      <c r="B3232" s="83" t="s">
        <v>3365</v>
      </c>
      <c r="C3232" s="91" t="s">
        <v>1294</v>
      </c>
    </row>
    <row r="3233" spans="1:3" ht="15">
      <c r="A3233" s="84" t="s">
        <v>391</v>
      </c>
      <c r="B3233" s="83" t="s">
        <v>3279</v>
      </c>
      <c r="C3233" s="91" t="s">
        <v>1292</v>
      </c>
    </row>
    <row r="3234" spans="1:3" ht="15">
      <c r="A3234" s="84" t="s">
        <v>391</v>
      </c>
      <c r="B3234" s="83" t="s">
        <v>3280</v>
      </c>
      <c r="C3234" s="91" t="s">
        <v>1292</v>
      </c>
    </row>
    <row r="3235" spans="1:3" ht="15">
      <c r="A3235" s="84" t="s">
        <v>391</v>
      </c>
      <c r="B3235" s="83" t="s">
        <v>2581</v>
      </c>
      <c r="C3235" s="91" t="s">
        <v>1292</v>
      </c>
    </row>
    <row r="3236" spans="1:3" ht="15">
      <c r="A3236" s="84" t="s">
        <v>391</v>
      </c>
      <c r="B3236" s="83" t="s">
        <v>2675</v>
      </c>
      <c r="C3236" s="91" t="s">
        <v>1292</v>
      </c>
    </row>
    <row r="3237" spans="1:3" ht="15">
      <c r="A3237" s="84" t="s">
        <v>391</v>
      </c>
      <c r="B3237" s="83" t="s">
        <v>3281</v>
      </c>
      <c r="C3237" s="91" t="s">
        <v>1292</v>
      </c>
    </row>
    <row r="3238" spans="1:3" ht="15">
      <c r="A3238" s="84" t="s">
        <v>391</v>
      </c>
      <c r="B3238" s="83" t="s">
        <v>3213</v>
      </c>
      <c r="C3238" s="91" t="s">
        <v>1292</v>
      </c>
    </row>
    <row r="3239" spans="1:3" ht="15">
      <c r="A3239" s="84" t="s">
        <v>391</v>
      </c>
      <c r="B3239" s="83" t="s">
        <v>3266</v>
      </c>
      <c r="C3239" s="91" t="s">
        <v>1292</v>
      </c>
    </row>
    <row r="3240" spans="1:3" ht="15">
      <c r="A3240" s="84" t="s">
        <v>391</v>
      </c>
      <c r="B3240" s="83" t="s">
        <v>2577</v>
      </c>
      <c r="C3240" s="91" t="s">
        <v>1292</v>
      </c>
    </row>
    <row r="3241" spans="1:3" ht="15">
      <c r="A3241" s="84" t="s">
        <v>391</v>
      </c>
      <c r="B3241" s="83" t="s">
        <v>3198</v>
      </c>
      <c r="C3241" s="91" t="s">
        <v>1292</v>
      </c>
    </row>
    <row r="3242" spans="1:3" ht="15">
      <c r="A3242" s="84" t="s">
        <v>391</v>
      </c>
      <c r="B3242" s="83" t="s">
        <v>3282</v>
      </c>
      <c r="C3242" s="91" t="s">
        <v>1292</v>
      </c>
    </row>
    <row r="3243" spans="1:3" ht="15">
      <c r="A3243" s="84" t="s">
        <v>391</v>
      </c>
      <c r="B3243" s="83" t="s">
        <v>3283</v>
      </c>
      <c r="C3243" s="91" t="s">
        <v>1292</v>
      </c>
    </row>
    <row r="3244" spans="1:3" ht="15">
      <c r="A3244" s="84" t="s">
        <v>391</v>
      </c>
      <c r="B3244" s="83" t="s">
        <v>3214</v>
      </c>
      <c r="C3244" s="91" t="s">
        <v>1292</v>
      </c>
    </row>
    <row r="3245" spans="1:3" ht="15">
      <c r="A3245" s="84" t="s">
        <v>391</v>
      </c>
      <c r="B3245" s="83" t="s">
        <v>3211</v>
      </c>
      <c r="C3245" s="91" t="s">
        <v>1292</v>
      </c>
    </row>
    <row r="3246" spans="1:3" ht="15">
      <c r="A3246" s="84" t="s">
        <v>391</v>
      </c>
      <c r="B3246" s="83" t="s">
        <v>3215</v>
      </c>
      <c r="C3246" s="91" t="s">
        <v>1292</v>
      </c>
    </row>
    <row r="3247" spans="1:3" ht="15">
      <c r="A3247" s="84" t="s">
        <v>391</v>
      </c>
      <c r="B3247" s="83" t="s">
        <v>3199</v>
      </c>
      <c r="C3247" s="91" t="s">
        <v>1292</v>
      </c>
    </row>
    <row r="3248" spans="1:3" ht="15">
      <c r="A3248" s="84" t="s">
        <v>391</v>
      </c>
      <c r="B3248" s="83" t="s">
        <v>3218</v>
      </c>
      <c r="C3248" s="91" t="s">
        <v>1292</v>
      </c>
    </row>
    <row r="3249" spans="1:3" ht="15">
      <c r="A3249" s="84" t="s">
        <v>391</v>
      </c>
      <c r="B3249" s="83" t="s">
        <v>3235</v>
      </c>
      <c r="C3249" s="91" t="s">
        <v>1292</v>
      </c>
    </row>
    <row r="3250" spans="1:3" ht="15">
      <c r="A3250" s="84" t="s">
        <v>391</v>
      </c>
      <c r="B3250" s="83" t="s">
        <v>3236</v>
      </c>
      <c r="C3250" s="91" t="s">
        <v>1292</v>
      </c>
    </row>
    <row r="3251" spans="1:3" ht="15">
      <c r="A3251" s="84" t="s">
        <v>391</v>
      </c>
      <c r="B3251" s="83" t="s">
        <v>3220</v>
      </c>
      <c r="C3251" s="91" t="s">
        <v>1292</v>
      </c>
    </row>
    <row r="3252" spans="1:3" ht="15">
      <c r="A3252" s="84" t="s">
        <v>391</v>
      </c>
      <c r="B3252" s="83" t="s">
        <v>3221</v>
      </c>
      <c r="C3252" s="91" t="s">
        <v>1292</v>
      </c>
    </row>
    <row r="3253" spans="1:3" ht="15">
      <c r="A3253" s="84" t="s">
        <v>391</v>
      </c>
      <c r="B3253" s="83" t="s">
        <v>3237</v>
      </c>
      <c r="C3253" s="91" t="s">
        <v>1292</v>
      </c>
    </row>
    <row r="3254" spans="1:3" ht="15">
      <c r="A3254" s="84" t="s">
        <v>391</v>
      </c>
      <c r="B3254" s="83" t="s">
        <v>3284</v>
      </c>
      <c r="C3254" s="91" t="s">
        <v>1292</v>
      </c>
    </row>
    <row r="3255" spans="1:3" ht="15">
      <c r="A3255" s="84" t="s">
        <v>391</v>
      </c>
      <c r="B3255" s="83" t="s">
        <v>3285</v>
      </c>
      <c r="C3255" s="91" t="s">
        <v>1292</v>
      </c>
    </row>
    <row r="3256" spans="1:3" ht="15">
      <c r="A3256" s="84" t="s">
        <v>391</v>
      </c>
      <c r="B3256" s="83" t="s">
        <v>2632</v>
      </c>
      <c r="C3256" s="91" t="s">
        <v>1292</v>
      </c>
    </row>
    <row r="3257" spans="1:3" ht="15">
      <c r="A3257" s="84" t="s">
        <v>391</v>
      </c>
      <c r="B3257" s="83" t="s">
        <v>3286</v>
      </c>
      <c r="C3257" s="91" t="s">
        <v>1292</v>
      </c>
    </row>
    <row r="3258" spans="1:3" ht="15">
      <c r="A3258" s="84" t="s">
        <v>391</v>
      </c>
      <c r="B3258" s="83" t="s">
        <v>3328</v>
      </c>
      <c r="C3258" s="91" t="s">
        <v>1291</v>
      </c>
    </row>
    <row r="3259" spans="1:3" ht="15">
      <c r="A3259" s="84" t="s">
        <v>391</v>
      </c>
      <c r="B3259" s="83" t="s">
        <v>3225</v>
      </c>
      <c r="C3259" s="91" t="s">
        <v>1291</v>
      </c>
    </row>
    <row r="3260" spans="1:3" ht="15">
      <c r="A3260" s="84" t="s">
        <v>391</v>
      </c>
      <c r="B3260" s="83" t="s">
        <v>2648</v>
      </c>
      <c r="C3260" s="91" t="s">
        <v>1291</v>
      </c>
    </row>
    <row r="3261" spans="1:3" ht="15">
      <c r="A3261" s="84" t="s">
        <v>391</v>
      </c>
      <c r="B3261" s="83" t="s">
        <v>3408</v>
      </c>
      <c r="C3261" s="91" t="s">
        <v>1291</v>
      </c>
    </row>
    <row r="3262" spans="1:3" ht="15">
      <c r="A3262" s="84" t="s">
        <v>391</v>
      </c>
      <c r="B3262" s="83" t="s">
        <v>2582</v>
      </c>
      <c r="C3262" s="91" t="s">
        <v>1291</v>
      </c>
    </row>
    <row r="3263" spans="1:3" ht="15">
      <c r="A3263" s="84" t="s">
        <v>391</v>
      </c>
      <c r="B3263" s="83" t="s">
        <v>2589</v>
      </c>
      <c r="C3263" s="91" t="s">
        <v>1291</v>
      </c>
    </row>
    <row r="3264" spans="1:3" ht="15">
      <c r="A3264" s="84" t="s">
        <v>391</v>
      </c>
      <c r="B3264" s="83" t="s">
        <v>3409</v>
      </c>
      <c r="C3264" s="91" t="s">
        <v>1291</v>
      </c>
    </row>
    <row r="3265" spans="1:3" ht="15">
      <c r="A3265" s="84" t="s">
        <v>391</v>
      </c>
      <c r="B3265" s="83" t="s">
        <v>3203</v>
      </c>
      <c r="C3265" s="91" t="s">
        <v>1291</v>
      </c>
    </row>
    <row r="3266" spans="1:3" ht="15">
      <c r="A3266" s="84" t="s">
        <v>391</v>
      </c>
      <c r="B3266" s="83" t="s">
        <v>3410</v>
      </c>
      <c r="C3266" s="91" t="s">
        <v>1291</v>
      </c>
    </row>
    <row r="3267" spans="1:3" ht="15">
      <c r="A3267" s="84" t="s">
        <v>391</v>
      </c>
      <c r="B3267" s="83" t="s">
        <v>3198</v>
      </c>
      <c r="C3267" s="91" t="s">
        <v>1291</v>
      </c>
    </row>
    <row r="3268" spans="1:3" ht="15">
      <c r="A3268" s="84" t="s">
        <v>391</v>
      </c>
      <c r="B3268" s="83" t="s">
        <v>3214</v>
      </c>
      <c r="C3268" s="91" t="s">
        <v>1291</v>
      </c>
    </row>
    <row r="3269" spans="1:3" ht="15">
      <c r="A3269" s="84" t="s">
        <v>391</v>
      </c>
      <c r="B3269" s="83" t="s">
        <v>3411</v>
      </c>
      <c r="C3269" s="91" t="s">
        <v>1291</v>
      </c>
    </row>
    <row r="3270" spans="1:3" ht="15">
      <c r="A3270" s="84" t="s">
        <v>391</v>
      </c>
      <c r="B3270" s="83" t="s">
        <v>3412</v>
      </c>
      <c r="C3270" s="91" t="s">
        <v>1291</v>
      </c>
    </row>
    <row r="3271" spans="1:3" ht="15">
      <c r="A3271" s="84" t="s">
        <v>391</v>
      </c>
      <c r="B3271" s="83" t="s">
        <v>3413</v>
      </c>
      <c r="C3271" s="91" t="s">
        <v>1291</v>
      </c>
    </row>
    <row r="3272" spans="1:3" ht="15">
      <c r="A3272" s="84" t="s">
        <v>391</v>
      </c>
      <c r="B3272" s="83" t="s">
        <v>3215</v>
      </c>
      <c r="C3272" s="91" t="s">
        <v>1291</v>
      </c>
    </row>
    <row r="3273" spans="1:3" ht="15">
      <c r="A3273" s="84" t="s">
        <v>391</v>
      </c>
      <c r="B3273" s="83" t="s">
        <v>3414</v>
      </c>
      <c r="C3273" s="91" t="s">
        <v>1291</v>
      </c>
    </row>
    <row r="3274" spans="1:3" ht="15">
      <c r="A3274" s="84" t="s">
        <v>391</v>
      </c>
      <c r="B3274" s="83" t="s">
        <v>3415</v>
      </c>
      <c r="C3274" s="91" t="s">
        <v>1291</v>
      </c>
    </row>
    <row r="3275" spans="1:3" ht="15">
      <c r="A3275" s="84" t="s">
        <v>391</v>
      </c>
      <c r="B3275" s="83" t="s">
        <v>3416</v>
      </c>
      <c r="C3275" s="91" t="s">
        <v>1291</v>
      </c>
    </row>
    <row r="3276" spans="1:3" ht="15">
      <c r="A3276" s="84" t="s">
        <v>391</v>
      </c>
      <c r="B3276" s="83" t="s">
        <v>3417</v>
      </c>
      <c r="C3276" s="91" t="s">
        <v>1291</v>
      </c>
    </row>
    <row r="3277" spans="1:3" ht="15">
      <c r="A3277" s="84" t="s">
        <v>391</v>
      </c>
      <c r="B3277" s="83" t="s">
        <v>3418</v>
      </c>
      <c r="C3277" s="91" t="s">
        <v>1291</v>
      </c>
    </row>
    <row r="3278" spans="1:3" ht="15">
      <c r="A3278" s="84" t="s">
        <v>391</v>
      </c>
      <c r="B3278" s="83" t="s">
        <v>3419</v>
      </c>
      <c r="C3278" s="91" t="s">
        <v>1291</v>
      </c>
    </row>
    <row r="3279" spans="1:3" ht="15">
      <c r="A3279" s="84" t="s">
        <v>391</v>
      </c>
      <c r="B3279" s="83" t="s">
        <v>3221</v>
      </c>
      <c r="C3279" s="91" t="s">
        <v>1291</v>
      </c>
    </row>
    <row r="3280" spans="1:3" ht="15">
      <c r="A3280" s="84" t="s">
        <v>391</v>
      </c>
      <c r="B3280" s="83" t="s">
        <v>3254</v>
      </c>
      <c r="C3280" s="91" t="s">
        <v>1291</v>
      </c>
    </row>
    <row r="3281" spans="1:3" ht="15">
      <c r="A3281" s="84" t="s">
        <v>391</v>
      </c>
      <c r="B3281" s="83" t="s">
        <v>3420</v>
      </c>
      <c r="C3281" s="91" t="s">
        <v>1291</v>
      </c>
    </row>
    <row r="3282" spans="1:3" ht="15">
      <c r="A3282" s="84" t="s">
        <v>391</v>
      </c>
      <c r="B3282" s="83" t="s">
        <v>3421</v>
      </c>
      <c r="C3282" s="91" t="s">
        <v>1291</v>
      </c>
    </row>
    <row r="3283" spans="1:3" ht="15">
      <c r="A3283" s="84" t="s">
        <v>391</v>
      </c>
      <c r="B3283" s="83" t="s">
        <v>586</v>
      </c>
      <c r="C3283" s="91" t="s">
        <v>1291</v>
      </c>
    </row>
    <row r="3284" spans="1:3" ht="15">
      <c r="A3284" s="84" t="s">
        <v>391</v>
      </c>
      <c r="B3284" s="83" t="s">
        <v>3393</v>
      </c>
      <c r="C3284" s="91" t="s">
        <v>1291</v>
      </c>
    </row>
    <row r="3285" spans="1:3" ht="15">
      <c r="A3285" s="84" t="s">
        <v>391</v>
      </c>
      <c r="B3285" s="83" t="s">
        <v>3422</v>
      </c>
      <c r="C3285" s="91" t="s">
        <v>1291</v>
      </c>
    </row>
    <row r="3286" spans="1:3" ht="15">
      <c r="A3286" s="84" t="s">
        <v>390</v>
      </c>
      <c r="B3286" s="83" t="s">
        <v>3304</v>
      </c>
      <c r="C3286" s="91" t="s">
        <v>1399</v>
      </c>
    </row>
    <row r="3287" spans="1:3" ht="15">
      <c r="A3287" s="84" t="s">
        <v>390</v>
      </c>
      <c r="B3287" s="83" t="s">
        <v>2716</v>
      </c>
      <c r="C3287" s="91" t="s">
        <v>1399</v>
      </c>
    </row>
    <row r="3288" spans="1:3" ht="15">
      <c r="A3288" s="84" t="s">
        <v>390</v>
      </c>
      <c r="B3288" s="83" t="s">
        <v>3205</v>
      </c>
      <c r="C3288" s="91" t="s">
        <v>1399</v>
      </c>
    </row>
    <row r="3289" spans="1:3" ht="15">
      <c r="A3289" s="84" t="s">
        <v>390</v>
      </c>
      <c r="B3289" s="83" t="s">
        <v>2672</v>
      </c>
      <c r="C3289" s="91" t="s">
        <v>1399</v>
      </c>
    </row>
    <row r="3290" spans="1:3" ht="15">
      <c r="A3290" s="84" t="s">
        <v>390</v>
      </c>
      <c r="B3290" s="83" t="s">
        <v>2809</v>
      </c>
      <c r="C3290" s="91" t="s">
        <v>1399</v>
      </c>
    </row>
    <row r="3291" spans="1:3" ht="15">
      <c r="A3291" s="84" t="s">
        <v>390</v>
      </c>
      <c r="B3291" s="83" t="s">
        <v>2810</v>
      </c>
      <c r="C3291" s="91" t="s">
        <v>1399</v>
      </c>
    </row>
    <row r="3292" spans="1:3" ht="15">
      <c r="A3292" s="84" t="s">
        <v>390</v>
      </c>
      <c r="B3292" s="83" t="s">
        <v>2811</v>
      </c>
      <c r="C3292" s="91" t="s">
        <v>1399</v>
      </c>
    </row>
    <row r="3293" spans="1:3" ht="15">
      <c r="A3293" s="84" t="s">
        <v>390</v>
      </c>
      <c r="B3293" s="83" t="s">
        <v>2576</v>
      </c>
      <c r="C3293" s="91" t="s">
        <v>1399</v>
      </c>
    </row>
    <row r="3294" spans="1:3" ht="15">
      <c r="A3294" s="84" t="s">
        <v>390</v>
      </c>
      <c r="B3294" s="83" t="s">
        <v>2589</v>
      </c>
      <c r="C3294" s="91" t="s">
        <v>1399</v>
      </c>
    </row>
    <row r="3295" spans="1:3" ht="15">
      <c r="A3295" s="84" t="s">
        <v>390</v>
      </c>
      <c r="B3295" s="83" t="s">
        <v>2812</v>
      </c>
      <c r="C3295" s="91" t="s">
        <v>1399</v>
      </c>
    </row>
    <row r="3296" spans="1:3" ht="15">
      <c r="A3296" s="84" t="s">
        <v>390</v>
      </c>
      <c r="B3296" s="83" t="s">
        <v>2668</v>
      </c>
      <c r="C3296" s="91" t="s">
        <v>1399</v>
      </c>
    </row>
    <row r="3297" spans="1:3" ht="15">
      <c r="A3297" s="84" t="s">
        <v>390</v>
      </c>
      <c r="B3297" s="83" t="s">
        <v>2814</v>
      </c>
      <c r="C3297" s="91" t="s">
        <v>1399</v>
      </c>
    </row>
    <row r="3298" spans="1:3" ht="15">
      <c r="A3298" s="84" t="s">
        <v>390</v>
      </c>
      <c r="B3298" s="83" t="s">
        <v>3305</v>
      </c>
      <c r="C3298" s="91" t="s">
        <v>1399</v>
      </c>
    </row>
    <row r="3299" spans="1:3" ht="15">
      <c r="A3299" s="84" t="s">
        <v>390</v>
      </c>
      <c r="B3299" s="83" t="s">
        <v>3306</v>
      </c>
      <c r="C3299" s="91" t="s">
        <v>1399</v>
      </c>
    </row>
    <row r="3300" spans="1:3" ht="15">
      <c r="A3300" s="84" t="s">
        <v>390</v>
      </c>
      <c r="B3300" s="83" t="s">
        <v>3290</v>
      </c>
      <c r="C3300" s="91" t="s">
        <v>1399</v>
      </c>
    </row>
    <row r="3301" spans="1:3" ht="15">
      <c r="A3301" s="84" t="s">
        <v>390</v>
      </c>
      <c r="B3301" s="83" t="s">
        <v>3213</v>
      </c>
      <c r="C3301" s="91" t="s">
        <v>1399</v>
      </c>
    </row>
    <row r="3302" spans="1:3" ht="15">
      <c r="A3302" s="84" t="s">
        <v>390</v>
      </c>
      <c r="B3302" s="83" t="s">
        <v>3291</v>
      </c>
      <c r="C3302" s="91" t="s">
        <v>1399</v>
      </c>
    </row>
    <row r="3303" spans="1:3" ht="15">
      <c r="A3303" s="84" t="s">
        <v>390</v>
      </c>
      <c r="B3303" s="83" t="s">
        <v>3292</v>
      </c>
      <c r="C3303" s="91" t="s">
        <v>1399</v>
      </c>
    </row>
    <row r="3304" spans="1:3" ht="15">
      <c r="A3304" s="84" t="s">
        <v>390</v>
      </c>
      <c r="B3304" s="83" t="s">
        <v>3307</v>
      </c>
      <c r="C3304" s="91" t="s">
        <v>1399</v>
      </c>
    </row>
    <row r="3305" spans="1:3" ht="15">
      <c r="A3305" s="84" t="s">
        <v>390</v>
      </c>
      <c r="B3305" s="83" t="s">
        <v>2179</v>
      </c>
      <c r="C3305" s="91" t="s">
        <v>1399</v>
      </c>
    </row>
    <row r="3306" spans="1:3" ht="15">
      <c r="A3306" s="84" t="s">
        <v>390</v>
      </c>
      <c r="B3306" s="83" t="s">
        <v>3301</v>
      </c>
      <c r="C3306" s="91" t="s">
        <v>1399</v>
      </c>
    </row>
    <row r="3307" spans="1:3" ht="15">
      <c r="A3307" s="84" t="s">
        <v>390</v>
      </c>
      <c r="B3307" s="83" t="s">
        <v>3302</v>
      </c>
      <c r="C3307" s="91" t="s">
        <v>1399</v>
      </c>
    </row>
    <row r="3308" spans="1:3" ht="15">
      <c r="A3308" s="84" t="s">
        <v>390</v>
      </c>
      <c r="B3308" s="83" t="s">
        <v>3303</v>
      </c>
      <c r="C3308" s="91" t="s">
        <v>1399</v>
      </c>
    </row>
    <row r="3309" spans="1:3" ht="15">
      <c r="A3309" s="84" t="s">
        <v>390</v>
      </c>
      <c r="B3309" s="83" t="s">
        <v>3199</v>
      </c>
      <c r="C3309" s="91" t="s">
        <v>1399</v>
      </c>
    </row>
    <row r="3310" spans="1:3" ht="15">
      <c r="A3310" s="84" t="s">
        <v>390</v>
      </c>
      <c r="B3310" s="83" t="s">
        <v>3294</v>
      </c>
      <c r="C3310" s="91" t="s">
        <v>1399</v>
      </c>
    </row>
    <row r="3311" spans="1:3" ht="15">
      <c r="A3311" s="84" t="s">
        <v>390</v>
      </c>
      <c r="B3311" s="83" t="s">
        <v>3295</v>
      </c>
      <c r="C3311" s="91" t="s">
        <v>1399</v>
      </c>
    </row>
    <row r="3312" spans="1:3" ht="15">
      <c r="A3312" s="84" t="s">
        <v>390</v>
      </c>
      <c r="B3312" s="83" t="s">
        <v>3237</v>
      </c>
      <c r="C3312" s="91" t="s">
        <v>1399</v>
      </c>
    </row>
    <row r="3313" spans="1:3" ht="15">
      <c r="A3313" s="84" t="s">
        <v>390</v>
      </c>
      <c r="B3313" s="83" t="s">
        <v>3296</v>
      </c>
      <c r="C3313" s="91" t="s">
        <v>1399</v>
      </c>
    </row>
    <row r="3314" spans="1:3" ht="15">
      <c r="A3314" s="84" t="s">
        <v>390</v>
      </c>
      <c r="B3314" s="83" t="s">
        <v>3297</v>
      </c>
      <c r="C3314" s="91" t="s">
        <v>1399</v>
      </c>
    </row>
    <row r="3315" spans="1:3" ht="15">
      <c r="A3315" s="84" t="s">
        <v>390</v>
      </c>
      <c r="B3315" s="83" t="s">
        <v>3218</v>
      </c>
      <c r="C3315" s="91" t="s">
        <v>1399</v>
      </c>
    </row>
    <row r="3316" spans="1:3" ht="15">
      <c r="A3316" s="84" t="s">
        <v>390</v>
      </c>
      <c r="B3316" s="83" t="s">
        <v>3293</v>
      </c>
      <c r="C3316" s="91" t="s">
        <v>1399</v>
      </c>
    </row>
    <row r="3317" spans="1:3" ht="15">
      <c r="A3317" s="84" t="s">
        <v>390</v>
      </c>
      <c r="B3317" s="83" t="s">
        <v>3298</v>
      </c>
      <c r="C3317" s="91" t="s">
        <v>1399</v>
      </c>
    </row>
    <row r="3318" spans="1:3" ht="15">
      <c r="A3318" s="84" t="s">
        <v>390</v>
      </c>
      <c r="B3318" s="83" t="s">
        <v>3299</v>
      </c>
      <c r="C3318" s="91" t="s">
        <v>1399</v>
      </c>
    </row>
    <row r="3319" spans="1:3" ht="15">
      <c r="A3319" s="84" t="s">
        <v>390</v>
      </c>
      <c r="B3319" s="83" t="s">
        <v>3304</v>
      </c>
      <c r="C3319" s="91" t="s">
        <v>1398</v>
      </c>
    </row>
    <row r="3320" spans="1:3" ht="15">
      <c r="A3320" s="84" t="s">
        <v>390</v>
      </c>
      <c r="B3320" s="83" t="s">
        <v>2716</v>
      </c>
      <c r="C3320" s="91" t="s">
        <v>1398</v>
      </c>
    </row>
    <row r="3321" spans="1:3" ht="15">
      <c r="A3321" s="84" t="s">
        <v>390</v>
      </c>
      <c r="B3321" s="83" t="s">
        <v>3205</v>
      </c>
      <c r="C3321" s="91" t="s">
        <v>1398</v>
      </c>
    </row>
    <row r="3322" spans="1:3" ht="15">
      <c r="A3322" s="84" t="s">
        <v>390</v>
      </c>
      <c r="B3322" s="83" t="s">
        <v>2672</v>
      </c>
      <c r="C3322" s="91" t="s">
        <v>1398</v>
      </c>
    </row>
    <row r="3323" spans="1:3" ht="15">
      <c r="A3323" s="84" t="s">
        <v>390</v>
      </c>
      <c r="B3323" s="83" t="s">
        <v>2809</v>
      </c>
      <c r="C3323" s="91" t="s">
        <v>1398</v>
      </c>
    </row>
    <row r="3324" spans="1:3" ht="15">
      <c r="A3324" s="84" t="s">
        <v>390</v>
      </c>
      <c r="B3324" s="83" t="s">
        <v>2810</v>
      </c>
      <c r="C3324" s="91" t="s">
        <v>1398</v>
      </c>
    </row>
    <row r="3325" spans="1:3" ht="15">
      <c r="A3325" s="84" t="s">
        <v>390</v>
      </c>
      <c r="B3325" s="83" t="s">
        <v>2811</v>
      </c>
      <c r="C3325" s="91" t="s">
        <v>1398</v>
      </c>
    </row>
    <row r="3326" spans="1:3" ht="15">
      <c r="A3326" s="84" t="s">
        <v>390</v>
      </c>
      <c r="B3326" s="83" t="s">
        <v>2576</v>
      </c>
      <c r="C3326" s="91" t="s">
        <v>1398</v>
      </c>
    </row>
    <row r="3327" spans="1:3" ht="15">
      <c r="A3327" s="84" t="s">
        <v>390</v>
      </c>
      <c r="B3327" s="83" t="s">
        <v>2589</v>
      </c>
      <c r="C3327" s="91" t="s">
        <v>1398</v>
      </c>
    </row>
    <row r="3328" spans="1:3" ht="15">
      <c r="A3328" s="84" t="s">
        <v>390</v>
      </c>
      <c r="B3328" s="83" t="s">
        <v>2812</v>
      </c>
      <c r="C3328" s="91" t="s">
        <v>1398</v>
      </c>
    </row>
    <row r="3329" spans="1:3" ht="15">
      <c r="A3329" s="84" t="s">
        <v>390</v>
      </c>
      <c r="B3329" s="83" t="s">
        <v>2668</v>
      </c>
      <c r="C3329" s="91" t="s">
        <v>1398</v>
      </c>
    </row>
    <row r="3330" spans="1:3" ht="15">
      <c r="A3330" s="84" t="s">
        <v>390</v>
      </c>
      <c r="B3330" s="83" t="s">
        <v>2814</v>
      </c>
      <c r="C3330" s="91" t="s">
        <v>1398</v>
      </c>
    </row>
    <row r="3331" spans="1:3" ht="15">
      <c r="A3331" s="84" t="s">
        <v>390</v>
      </c>
      <c r="B3331" s="83" t="s">
        <v>3305</v>
      </c>
      <c r="C3331" s="91" t="s">
        <v>1398</v>
      </c>
    </row>
    <row r="3332" spans="1:3" ht="15">
      <c r="A3332" s="84" t="s">
        <v>390</v>
      </c>
      <c r="B3332" s="83" t="s">
        <v>3306</v>
      </c>
      <c r="C3332" s="91" t="s">
        <v>1398</v>
      </c>
    </row>
    <row r="3333" spans="1:3" ht="15">
      <c r="A3333" s="84" t="s">
        <v>390</v>
      </c>
      <c r="B3333" s="83" t="s">
        <v>3290</v>
      </c>
      <c r="C3333" s="91" t="s">
        <v>1398</v>
      </c>
    </row>
    <row r="3334" spans="1:3" ht="15">
      <c r="A3334" s="84" t="s">
        <v>390</v>
      </c>
      <c r="B3334" s="83" t="s">
        <v>3213</v>
      </c>
      <c r="C3334" s="91" t="s">
        <v>1398</v>
      </c>
    </row>
    <row r="3335" spans="1:3" ht="15">
      <c r="A3335" s="84" t="s">
        <v>390</v>
      </c>
      <c r="B3335" s="83" t="s">
        <v>3291</v>
      </c>
      <c r="C3335" s="91" t="s">
        <v>1398</v>
      </c>
    </row>
    <row r="3336" spans="1:3" ht="15">
      <c r="A3336" s="84" t="s">
        <v>390</v>
      </c>
      <c r="B3336" s="83" t="s">
        <v>3292</v>
      </c>
      <c r="C3336" s="91" t="s">
        <v>1398</v>
      </c>
    </row>
    <row r="3337" spans="1:3" ht="15">
      <c r="A3337" s="84" t="s">
        <v>390</v>
      </c>
      <c r="B3337" s="83" t="s">
        <v>3307</v>
      </c>
      <c r="C3337" s="91" t="s">
        <v>1398</v>
      </c>
    </row>
    <row r="3338" spans="1:3" ht="15">
      <c r="A3338" s="84" t="s">
        <v>390</v>
      </c>
      <c r="B3338" s="83" t="s">
        <v>2179</v>
      </c>
      <c r="C3338" s="91" t="s">
        <v>1398</v>
      </c>
    </row>
    <row r="3339" spans="1:3" ht="15">
      <c r="A3339" s="84" t="s">
        <v>390</v>
      </c>
      <c r="B3339" s="83" t="s">
        <v>3301</v>
      </c>
      <c r="C3339" s="91" t="s">
        <v>1398</v>
      </c>
    </row>
    <row r="3340" spans="1:3" ht="15">
      <c r="A3340" s="84" t="s">
        <v>390</v>
      </c>
      <c r="B3340" s="83" t="s">
        <v>3302</v>
      </c>
      <c r="C3340" s="91" t="s">
        <v>1398</v>
      </c>
    </row>
    <row r="3341" spans="1:3" ht="15">
      <c r="A3341" s="84" t="s">
        <v>390</v>
      </c>
      <c r="B3341" s="83" t="s">
        <v>3303</v>
      </c>
      <c r="C3341" s="91" t="s">
        <v>1398</v>
      </c>
    </row>
    <row r="3342" spans="1:3" ht="15">
      <c r="A3342" s="84" t="s">
        <v>390</v>
      </c>
      <c r="B3342" s="83" t="s">
        <v>3199</v>
      </c>
      <c r="C3342" s="91" t="s">
        <v>1398</v>
      </c>
    </row>
    <row r="3343" spans="1:3" ht="15">
      <c r="A3343" s="84" t="s">
        <v>390</v>
      </c>
      <c r="B3343" s="83" t="s">
        <v>3294</v>
      </c>
      <c r="C3343" s="91" t="s">
        <v>1398</v>
      </c>
    </row>
    <row r="3344" spans="1:3" ht="15">
      <c r="A3344" s="84" t="s">
        <v>390</v>
      </c>
      <c r="B3344" s="83" t="s">
        <v>3295</v>
      </c>
      <c r="C3344" s="91" t="s">
        <v>1398</v>
      </c>
    </row>
    <row r="3345" spans="1:3" ht="15">
      <c r="A3345" s="84" t="s">
        <v>390</v>
      </c>
      <c r="B3345" s="83" t="s">
        <v>3237</v>
      </c>
      <c r="C3345" s="91" t="s">
        <v>1398</v>
      </c>
    </row>
    <row r="3346" spans="1:3" ht="15">
      <c r="A3346" s="84" t="s">
        <v>390</v>
      </c>
      <c r="B3346" s="83" t="s">
        <v>3296</v>
      </c>
      <c r="C3346" s="91" t="s">
        <v>1398</v>
      </c>
    </row>
    <row r="3347" spans="1:3" ht="15">
      <c r="A3347" s="84" t="s">
        <v>390</v>
      </c>
      <c r="B3347" s="83" t="s">
        <v>3297</v>
      </c>
      <c r="C3347" s="91" t="s">
        <v>1398</v>
      </c>
    </row>
    <row r="3348" spans="1:3" ht="15">
      <c r="A3348" s="84" t="s">
        <v>390</v>
      </c>
      <c r="B3348" s="83" t="s">
        <v>3218</v>
      </c>
      <c r="C3348" s="91" t="s">
        <v>1398</v>
      </c>
    </row>
    <row r="3349" spans="1:3" ht="15">
      <c r="A3349" s="84" t="s">
        <v>390</v>
      </c>
      <c r="B3349" s="83" t="s">
        <v>3293</v>
      </c>
      <c r="C3349" s="91" t="s">
        <v>1398</v>
      </c>
    </row>
    <row r="3350" spans="1:3" ht="15">
      <c r="A3350" s="84" t="s">
        <v>390</v>
      </c>
      <c r="B3350" s="83" t="s">
        <v>3298</v>
      </c>
      <c r="C3350" s="91" t="s">
        <v>1398</v>
      </c>
    </row>
    <row r="3351" spans="1:3" ht="15">
      <c r="A3351" s="84" t="s">
        <v>390</v>
      </c>
      <c r="B3351" s="83" t="s">
        <v>3299</v>
      </c>
      <c r="C3351" s="91" t="s">
        <v>1398</v>
      </c>
    </row>
    <row r="3352" spans="1:3" ht="15">
      <c r="A3352" s="84" t="s">
        <v>388</v>
      </c>
      <c r="B3352" s="83" t="s">
        <v>3304</v>
      </c>
      <c r="C3352" s="91" t="s">
        <v>1276</v>
      </c>
    </row>
    <row r="3353" spans="1:3" ht="15">
      <c r="A3353" s="84" t="s">
        <v>388</v>
      </c>
      <c r="B3353" s="83" t="s">
        <v>2716</v>
      </c>
      <c r="C3353" s="91" t="s">
        <v>1276</v>
      </c>
    </row>
    <row r="3354" spans="1:3" ht="15">
      <c r="A3354" s="84" t="s">
        <v>388</v>
      </c>
      <c r="B3354" s="83" t="s">
        <v>3205</v>
      </c>
      <c r="C3354" s="91" t="s">
        <v>1276</v>
      </c>
    </row>
    <row r="3355" spans="1:3" ht="15">
      <c r="A3355" s="84" t="s">
        <v>388</v>
      </c>
      <c r="B3355" s="83" t="s">
        <v>2672</v>
      </c>
      <c r="C3355" s="91" t="s">
        <v>1276</v>
      </c>
    </row>
    <row r="3356" spans="1:3" ht="15">
      <c r="A3356" s="84" t="s">
        <v>388</v>
      </c>
      <c r="B3356" s="83" t="s">
        <v>2809</v>
      </c>
      <c r="C3356" s="91" t="s">
        <v>1276</v>
      </c>
    </row>
    <row r="3357" spans="1:3" ht="15">
      <c r="A3357" s="84" t="s">
        <v>388</v>
      </c>
      <c r="B3357" s="83" t="s">
        <v>2810</v>
      </c>
      <c r="C3357" s="91" t="s">
        <v>1276</v>
      </c>
    </row>
    <row r="3358" spans="1:3" ht="15">
      <c r="A3358" s="84" t="s">
        <v>388</v>
      </c>
      <c r="B3358" s="83" t="s">
        <v>2811</v>
      </c>
      <c r="C3358" s="91" t="s">
        <v>1276</v>
      </c>
    </row>
    <row r="3359" spans="1:3" ht="15">
      <c r="A3359" s="84" t="s">
        <v>388</v>
      </c>
      <c r="B3359" s="83" t="s">
        <v>2576</v>
      </c>
      <c r="C3359" s="91" t="s">
        <v>1276</v>
      </c>
    </row>
    <row r="3360" spans="1:3" ht="15">
      <c r="A3360" s="84" t="s">
        <v>388</v>
      </c>
      <c r="B3360" s="83" t="s">
        <v>2589</v>
      </c>
      <c r="C3360" s="91" t="s">
        <v>1276</v>
      </c>
    </row>
    <row r="3361" spans="1:3" ht="15">
      <c r="A3361" s="84" t="s">
        <v>388</v>
      </c>
      <c r="B3361" s="83" t="s">
        <v>2812</v>
      </c>
      <c r="C3361" s="91" t="s">
        <v>1276</v>
      </c>
    </row>
    <row r="3362" spans="1:3" ht="15">
      <c r="A3362" s="84" t="s">
        <v>388</v>
      </c>
      <c r="B3362" s="83" t="s">
        <v>2668</v>
      </c>
      <c r="C3362" s="91" t="s">
        <v>1276</v>
      </c>
    </row>
    <row r="3363" spans="1:3" ht="15">
      <c r="A3363" s="84" t="s">
        <v>388</v>
      </c>
      <c r="B3363" s="83" t="s">
        <v>2814</v>
      </c>
      <c r="C3363" s="91" t="s">
        <v>1276</v>
      </c>
    </row>
    <row r="3364" spans="1:3" ht="15">
      <c r="A3364" s="84" t="s">
        <v>388</v>
      </c>
      <c r="B3364" s="83" t="s">
        <v>3305</v>
      </c>
      <c r="C3364" s="91" t="s">
        <v>1276</v>
      </c>
    </row>
    <row r="3365" spans="1:3" ht="15">
      <c r="A3365" s="84" t="s">
        <v>388</v>
      </c>
      <c r="B3365" s="83" t="s">
        <v>3306</v>
      </c>
      <c r="C3365" s="91" t="s">
        <v>1276</v>
      </c>
    </row>
    <row r="3366" spans="1:3" ht="15">
      <c r="A3366" s="84" t="s">
        <v>388</v>
      </c>
      <c r="B3366" s="83" t="s">
        <v>3290</v>
      </c>
      <c r="C3366" s="91" t="s">
        <v>1276</v>
      </c>
    </row>
    <row r="3367" spans="1:3" ht="15">
      <c r="A3367" s="84" t="s">
        <v>388</v>
      </c>
      <c r="B3367" s="83" t="s">
        <v>3213</v>
      </c>
      <c r="C3367" s="91" t="s">
        <v>1276</v>
      </c>
    </row>
    <row r="3368" spans="1:3" ht="15">
      <c r="A3368" s="84" t="s">
        <v>388</v>
      </c>
      <c r="B3368" s="83" t="s">
        <v>3291</v>
      </c>
      <c r="C3368" s="91" t="s">
        <v>1276</v>
      </c>
    </row>
    <row r="3369" spans="1:3" ht="15">
      <c r="A3369" s="84" t="s">
        <v>388</v>
      </c>
      <c r="B3369" s="83" t="s">
        <v>3292</v>
      </c>
      <c r="C3369" s="91" t="s">
        <v>1276</v>
      </c>
    </row>
    <row r="3370" spans="1:3" ht="15">
      <c r="A3370" s="84" t="s">
        <v>388</v>
      </c>
      <c r="B3370" s="83" t="s">
        <v>3307</v>
      </c>
      <c r="C3370" s="91" t="s">
        <v>1276</v>
      </c>
    </row>
    <row r="3371" spans="1:3" ht="15">
      <c r="A3371" s="84" t="s">
        <v>388</v>
      </c>
      <c r="B3371" s="83" t="s">
        <v>2179</v>
      </c>
      <c r="C3371" s="91" t="s">
        <v>1276</v>
      </c>
    </row>
    <row r="3372" spans="1:3" ht="15">
      <c r="A3372" s="84" t="s">
        <v>388</v>
      </c>
      <c r="B3372" s="83" t="s">
        <v>3301</v>
      </c>
      <c r="C3372" s="91" t="s">
        <v>1276</v>
      </c>
    </row>
    <row r="3373" spans="1:3" ht="15">
      <c r="A3373" s="84" t="s">
        <v>388</v>
      </c>
      <c r="B3373" s="83" t="s">
        <v>3302</v>
      </c>
      <c r="C3373" s="91" t="s">
        <v>1276</v>
      </c>
    </row>
    <row r="3374" spans="1:3" ht="15">
      <c r="A3374" s="84" t="s">
        <v>388</v>
      </c>
      <c r="B3374" s="83" t="s">
        <v>3303</v>
      </c>
      <c r="C3374" s="91" t="s">
        <v>1276</v>
      </c>
    </row>
    <row r="3375" spans="1:3" ht="15">
      <c r="A3375" s="84" t="s">
        <v>388</v>
      </c>
      <c r="B3375" s="83" t="s">
        <v>3199</v>
      </c>
      <c r="C3375" s="91" t="s">
        <v>1276</v>
      </c>
    </row>
    <row r="3376" spans="1:3" ht="15">
      <c r="A3376" s="84" t="s">
        <v>388</v>
      </c>
      <c r="B3376" s="83" t="s">
        <v>3294</v>
      </c>
      <c r="C3376" s="91" t="s">
        <v>1276</v>
      </c>
    </row>
    <row r="3377" spans="1:3" ht="15">
      <c r="A3377" s="84" t="s">
        <v>388</v>
      </c>
      <c r="B3377" s="83" t="s">
        <v>3295</v>
      </c>
      <c r="C3377" s="91" t="s">
        <v>1276</v>
      </c>
    </row>
    <row r="3378" spans="1:3" ht="15">
      <c r="A3378" s="84" t="s">
        <v>388</v>
      </c>
      <c r="B3378" s="83" t="s">
        <v>3237</v>
      </c>
      <c r="C3378" s="91" t="s">
        <v>1276</v>
      </c>
    </row>
    <row r="3379" spans="1:3" ht="15">
      <c r="A3379" s="84" t="s">
        <v>388</v>
      </c>
      <c r="B3379" s="83" t="s">
        <v>3296</v>
      </c>
      <c r="C3379" s="91" t="s">
        <v>1276</v>
      </c>
    </row>
    <row r="3380" spans="1:3" ht="15">
      <c r="A3380" s="84" t="s">
        <v>388</v>
      </c>
      <c r="B3380" s="83" t="s">
        <v>3297</v>
      </c>
      <c r="C3380" s="91" t="s">
        <v>1276</v>
      </c>
    </row>
    <row r="3381" spans="1:3" ht="15">
      <c r="A3381" s="84" t="s">
        <v>388</v>
      </c>
      <c r="B3381" s="83" t="s">
        <v>3218</v>
      </c>
      <c r="C3381" s="91" t="s">
        <v>1276</v>
      </c>
    </row>
    <row r="3382" spans="1:3" ht="15">
      <c r="A3382" s="84" t="s">
        <v>388</v>
      </c>
      <c r="B3382" s="83" t="s">
        <v>3293</v>
      </c>
      <c r="C3382" s="91" t="s">
        <v>1276</v>
      </c>
    </row>
    <row r="3383" spans="1:3" ht="15">
      <c r="A3383" s="84" t="s">
        <v>388</v>
      </c>
      <c r="B3383" s="83" t="s">
        <v>3298</v>
      </c>
      <c r="C3383" s="91" t="s">
        <v>1276</v>
      </c>
    </row>
    <row r="3384" spans="1:3" ht="15">
      <c r="A3384" s="84" t="s">
        <v>388</v>
      </c>
      <c r="B3384" s="83" t="s">
        <v>3299</v>
      </c>
      <c r="C3384" s="91" t="s">
        <v>1276</v>
      </c>
    </row>
    <row r="3385" spans="1:3" ht="15">
      <c r="A3385" s="84" t="s">
        <v>388</v>
      </c>
      <c r="B3385" s="83" t="s">
        <v>3279</v>
      </c>
      <c r="C3385" s="91" t="s">
        <v>1285</v>
      </c>
    </row>
    <row r="3386" spans="1:3" ht="15">
      <c r="A3386" s="84" t="s">
        <v>388</v>
      </c>
      <c r="B3386" s="83" t="s">
        <v>3280</v>
      </c>
      <c r="C3386" s="91" t="s">
        <v>1285</v>
      </c>
    </row>
    <row r="3387" spans="1:3" ht="15">
      <c r="A3387" s="84" t="s">
        <v>388</v>
      </c>
      <c r="B3387" s="83" t="s">
        <v>2581</v>
      </c>
      <c r="C3387" s="91" t="s">
        <v>1285</v>
      </c>
    </row>
    <row r="3388" spans="1:3" ht="15">
      <c r="A3388" s="84" t="s">
        <v>388</v>
      </c>
      <c r="B3388" s="83" t="s">
        <v>2675</v>
      </c>
      <c r="C3388" s="91" t="s">
        <v>1285</v>
      </c>
    </row>
    <row r="3389" spans="1:3" ht="15">
      <c r="A3389" s="84" t="s">
        <v>388</v>
      </c>
      <c r="B3389" s="83" t="s">
        <v>3281</v>
      </c>
      <c r="C3389" s="91" t="s">
        <v>1285</v>
      </c>
    </row>
    <row r="3390" spans="1:3" ht="15">
      <c r="A3390" s="84" t="s">
        <v>388</v>
      </c>
      <c r="B3390" s="83" t="s">
        <v>3213</v>
      </c>
      <c r="C3390" s="91" t="s">
        <v>1285</v>
      </c>
    </row>
    <row r="3391" spans="1:3" ht="15">
      <c r="A3391" s="84" t="s">
        <v>388</v>
      </c>
      <c r="B3391" s="83" t="s">
        <v>3266</v>
      </c>
      <c r="C3391" s="91" t="s">
        <v>1285</v>
      </c>
    </row>
    <row r="3392" spans="1:3" ht="15">
      <c r="A3392" s="84" t="s">
        <v>388</v>
      </c>
      <c r="B3392" s="83" t="s">
        <v>2577</v>
      </c>
      <c r="C3392" s="91" t="s">
        <v>1285</v>
      </c>
    </row>
    <row r="3393" spans="1:3" ht="15">
      <c r="A3393" s="84" t="s">
        <v>388</v>
      </c>
      <c r="B3393" s="83" t="s">
        <v>3198</v>
      </c>
      <c r="C3393" s="91" t="s">
        <v>1285</v>
      </c>
    </row>
    <row r="3394" spans="1:3" ht="15">
      <c r="A3394" s="84" t="s">
        <v>388</v>
      </c>
      <c r="B3394" s="83" t="s">
        <v>3282</v>
      </c>
      <c r="C3394" s="91" t="s">
        <v>1285</v>
      </c>
    </row>
    <row r="3395" spans="1:3" ht="15">
      <c r="A3395" s="84" t="s">
        <v>388</v>
      </c>
      <c r="B3395" s="83" t="s">
        <v>3283</v>
      </c>
      <c r="C3395" s="91" t="s">
        <v>1285</v>
      </c>
    </row>
    <row r="3396" spans="1:3" ht="15">
      <c r="A3396" s="84" t="s">
        <v>388</v>
      </c>
      <c r="B3396" s="83" t="s">
        <v>3214</v>
      </c>
      <c r="C3396" s="91" t="s">
        <v>1285</v>
      </c>
    </row>
    <row r="3397" spans="1:3" ht="15">
      <c r="A3397" s="84" t="s">
        <v>388</v>
      </c>
      <c r="B3397" s="83" t="s">
        <v>3211</v>
      </c>
      <c r="C3397" s="91" t="s">
        <v>1285</v>
      </c>
    </row>
    <row r="3398" spans="1:3" ht="15">
      <c r="A3398" s="84" t="s">
        <v>388</v>
      </c>
      <c r="B3398" s="83" t="s">
        <v>3215</v>
      </c>
      <c r="C3398" s="91" t="s">
        <v>1285</v>
      </c>
    </row>
    <row r="3399" spans="1:3" ht="15">
      <c r="A3399" s="84" t="s">
        <v>388</v>
      </c>
      <c r="B3399" s="83" t="s">
        <v>3199</v>
      </c>
      <c r="C3399" s="91" t="s">
        <v>1285</v>
      </c>
    </row>
    <row r="3400" spans="1:3" ht="15">
      <c r="A3400" s="84" t="s">
        <v>388</v>
      </c>
      <c r="B3400" s="83" t="s">
        <v>3218</v>
      </c>
      <c r="C3400" s="91" t="s">
        <v>1285</v>
      </c>
    </row>
    <row r="3401" spans="1:3" ht="15">
      <c r="A3401" s="84" t="s">
        <v>388</v>
      </c>
      <c r="B3401" s="83" t="s">
        <v>3235</v>
      </c>
      <c r="C3401" s="91" t="s">
        <v>1285</v>
      </c>
    </row>
    <row r="3402" spans="1:3" ht="15">
      <c r="A3402" s="84" t="s">
        <v>388</v>
      </c>
      <c r="B3402" s="83" t="s">
        <v>3236</v>
      </c>
      <c r="C3402" s="91" t="s">
        <v>1285</v>
      </c>
    </row>
    <row r="3403" spans="1:3" ht="15">
      <c r="A3403" s="84" t="s">
        <v>388</v>
      </c>
      <c r="B3403" s="83" t="s">
        <v>3220</v>
      </c>
      <c r="C3403" s="91" t="s">
        <v>1285</v>
      </c>
    </row>
    <row r="3404" spans="1:3" ht="15">
      <c r="A3404" s="84" t="s">
        <v>388</v>
      </c>
      <c r="B3404" s="83" t="s">
        <v>3221</v>
      </c>
      <c r="C3404" s="91" t="s">
        <v>1285</v>
      </c>
    </row>
    <row r="3405" spans="1:3" ht="15">
      <c r="A3405" s="84" t="s">
        <v>388</v>
      </c>
      <c r="B3405" s="83" t="s">
        <v>3237</v>
      </c>
      <c r="C3405" s="91" t="s">
        <v>1285</v>
      </c>
    </row>
    <row r="3406" spans="1:3" ht="15">
      <c r="A3406" s="84" t="s">
        <v>388</v>
      </c>
      <c r="B3406" s="83" t="s">
        <v>3284</v>
      </c>
      <c r="C3406" s="91" t="s">
        <v>1285</v>
      </c>
    </row>
    <row r="3407" spans="1:3" ht="15">
      <c r="A3407" s="84" t="s">
        <v>388</v>
      </c>
      <c r="B3407" s="83" t="s">
        <v>3285</v>
      </c>
      <c r="C3407" s="91" t="s">
        <v>1285</v>
      </c>
    </row>
    <row r="3408" spans="1:3" ht="15">
      <c r="A3408" s="84" t="s">
        <v>388</v>
      </c>
      <c r="B3408" s="83" t="s">
        <v>2632</v>
      </c>
      <c r="C3408" s="91" t="s">
        <v>1285</v>
      </c>
    </row>
    <row r="3409" spans="1:3" ht="15">
      <c r="A3409" s="84" t="s">
        <v>388</v>
      </c>
      <c r="B3409" s="83" t="s">
        <v>3286</v>
      </c>
      <c r="C3409" s="91" t="s">
        <v>1285</v>
      </c>
    </row>
    <row r="3410" spans="1:3" ht="15">
      <c r="A3410" s="84" t="s">
        <v>388</v>
      </c>
      <c r="B3410" s="83" t="s">
        <v>2650</v>
      </c>
      <c r="C3410" s="91" t="s">
        <v>1284</v>
      </c>
    </row>
    <row r="3411" spans="1:3" ht="15">
      <c r="A3411" s="84" t="s">
        <v>388</v>
      </c>
      <c r="B3411" s="83">
        <v>15</v>
      </c>
      <c r="C3411" s="91" t="s">
        <v>1284</v>
      </c>
    </row>
    <row r="3412" spans="1:3" ht="15">
      <c r="A3412" s="84" t="s">
        <v>388</v>
      </c>
      <c r="B3412" s="83" t="s">
        <v>3264</v>
      </c>
      <c r="C3412" s="91" t="s">
        <v>1284</v>
      </c>
    </row>
    <row r="3413" spans="1:3" ht="15">
      <c r="A3413" s="84" t="s">
        <v>388</v>
      </c>
      <c r="B3413" s="83" t="s">
        <v>2853</v>
      </c>
      <c r="C3413" s="91" t="s">
        <v>1284</v>
      </c>
    </row>
    <row r="3414" spans="1:3" ht="15">
      <c r="A3414" s="84" t="s">
        <v>388</v>
      </c>
      <c r="B3414" s="83" t="s">
        <v>2590</v>
      </c>
      <c r="C3414" s="91" t="s">
        <v>1284</v>
      </c>
    </row>
    <row r="3415" spans="1:3" ht="15">
      <c r="A3415" s="84" t="s">
        <v>388</v>
      </c>
      <c r="B3415" s="83" t="s">
        <v>2742</v>
      </c>
      <c r="C3415" s="91" t="s">
        <v>1284</v>
      </c>
    </row>
    <row r="3416" spans="1:3" ht="15">
      <c r="A3416" s="84" t="s">
        <v>388</v>
      </c>
      <c r="B3416" s="83" t="s">
        <v>2854</v>
      </c>
      <c r="C3416" s="91" t="s">
        <v>1284</v>
      </c>
    </row>
    <row r="3417" spans="1:3" ht="15">
      <c r="A3417" s="84" t="s">
        <v>388</v>
      </c>
      <c r="B3417" s="83" t="s">
        <v>3348</v>
      </c>
      <c r="C3417" s="91" t="s">
        <v>1284</v>
      </c>
    </row>
    <row r="3418" spans="1:3" ht="15">
      <c r="A3418" s="84" t="s">
        <v>388</v>
      </c>
      <c r="B3418" s="83" t="s">
        <v>2735</v>
      </c>
      <c r="C3418" s="91" t="s">
        <v>1284</v>
      </c>
    </row>
    <row r="3419" spans="1:3" ht="15">
      <c r="A3419" s="84" t="s">
        <v>388</v>
      </c>
      <c r="B3419" s="83" t="s">
        <v>2634</v>
      </c>
      <c r="C3419" s="91" t="s">
        <v>1284</v>
      </c>
    </row>
    <row r="3420" spans="1:3" ht="15">
      <c r="A3420" s="84" t="s">
        <v>388</v>
      </c>
      <c r="B3420" s="83" t="s">
        <v>2855</v>
      </c>
      <c r="C3420" s="91" t="s">
        <v>1284</v>
      </c>
    </row>
    <row r="3421" spans="1:3" ht="15">
      <c r="A3421" s="84" t="s">
        <v>388</v>
      </c>
      <c r="B3421" s="83" t="s">
        <v>2578</v>
      </c>
      <c r="C3421" s="91" t="s">
        <v>1284</v>
      </c>
    </row>
    <row r="3422" spans="1:3" ht="15">
      <c r="A3422" s="84" t="s">
        <v>388</v>
      </c>
      <c r="B3422" s="83" t="s">
        <v>2657</v>
      </c>
      <c r="C3422" s="91" t="s">
        <v>1284</v>
      </c>
    </row>
    <row r="3423" spans="1:3" ht="15">
      <c r="A3423" s="84" t="s">
        <v>388</v>
      </c>
      <c r="B3423" s="83" t="s">
        <v>2736</v>
      </c>
      <c r="C3423" s="91" t="s">
        <v>1284</v>
      </c>
    </row>
    <row r="3424" spans="1:3" ht="15">
      <c r="A3424" s="84" t="s">
        <v>388</v>
      </c>
      <c r="B3424" s="83" t="s">
        <v>2569</v>
      </c>
      <c r="C3424" s="91" t="s">
        <v>1284</v>
      </c>
    </row>
    <row r="3425" spans="1:3" ht="15">
      <c r="A3425" s="84" t="s">
        <v>388</v>
      </c>
      <c r="B3425" s="83">
        <v>19</v>
      </c>
      <c r="C3425" s="91" t="s">
        <v>1284</v>
      </c>
    </row>
    <row r="3426" spans="1:3" ht="15">
      <c r="A3426" s="84" t="s">
        <v>388</v>
      </c>
      <c r="B3426" s="83" t="s">
        <v>3349</v>
      </c>
      <c r="C3426" s="91" t="s">
        <v>1284</v>
      </c>
    </row>
    <row r="3427" spans="1:3" ht="15">
      <c r="A3427" s="84" t="s">
        <v>388</v>
      </c>
      <c r="B3427" s="83" t="s">
        <v>2856</v>
      </c>
      <c r="C3427" s="91" t="s">
        <v>1284</v>
      </c>
    </row>
    <row r="3428" spans="1:3" ht="15">
      <c r="A3428" s="84" t="s">
        <v>388</v>
      </c>
      <c r="B3428" s="83" t="s">
        <v>2857</v>
      </c>
      <c r="C3428" s="91" t="s">
        <v>1284</v>
      </c>
    </row>
    <row r="3429" spans="1:3" ht="15">
      <c r="A3429" s="84" t="s">
        <v>388</v>
      </c>
      <c r="B3429" s="83" t="s">
        <v>2730</v>
      </c>
      <c r="C3429" s="91" t="s">
        <v>1284</v>
      </c>
    </row>
    <row r="3430" spans="1:3" ht="15">
      <c r="A3430" s="84" t="s">
        <v>388</v>
      </c>
      <c r="B3430" s="83" t="s">
        <v>2858</v>
      </c>
      <c r="C3430" s="91" t="s">
        <v>1284</v>
      </c>
    </row>
    <row r="3431" spans="1:3" ht="15">
      <c r="A3431" s="84" t="s">
        <v>388</v>
      </c>
      <c r="B3431" s="83" t="s">
        <v>2665</v>
      </c>
      <c r="C3431" s="91" t="s">
        <v>1284</v>
      </c>
    </row>
    <row r="3432" spans="1:3" ht="15">
      <c r="A3432" s="84" t="s">
        <v>388</v>
      </c>
      <c r="B3432" s="83" t="s">
        <v>2568</v>
      </c>
      <c r="C3432" s="91" t="s">
        <v>1284</v>
      </c>
    </row>
    <row r="3433" spans="1:3" ht="15">
      <c r="A3433" s="84" t="s">
        <v>388</v>
      </c>
      <c r="B3433" s="83" t="s">
        <v>2772</v>
      </c>
      <c r="C3433" s="91" t="s">
        <v>1284</v>
      </c>
    </row>
    <row r="3434" spans="1:3" ht="15">
      <c r="A3434" s="84" t="s">
        <v>388</v>
      </c>
      <c r="B3434" s="83" t="s">
        <v>2797</v>
      </c>
      <c r="C3434" s="91" t="s">
        <v>1284</v>
      </c>
    </row>
    <row r="3435" spans="1:3" ht="15">
      <c r="A3435" s="84" t="s">
        <v>388</v>
      </c>
      <c r="B3435" s="83" t="s">
        <v>3350</v>
      </c>
      <c r="C3435" s="91" t="s">
        <v>1284</v>
      </c>
    </row>
    <row r="3436" spans="1:3" ht="15">
      <c r="A3436" s="84" t="s">
        <v>388</v>
      </c>
      <c r="B3436" s="83" t="s">
        <v>586</v>
      </c>
      <c r="C3436" s="91" t="s">
        <v>1284</v>
      </c>
    </row>
    <row r="3437" spans="1:3" ht="15">
      <c r="A3437" s="84" t="s">
        <v>388</v>
      </c>
      <c r="B3437" s="83" t="s">
        <v>3198</v>
      </c>
      <c r="C3437" s="91" t="s">
        <v>1284</v>
      </c>
    </row>
    <row r="3438" spans="1:3" ht="15">
      <c r="A3438" s="84" t="s">
        <v>388</v>
      </c>
      <c r="B3438" s="83" t="s">
        <v>2591</v>
      </c>
      <c r="C3438" s="91" t="s">
        <v>1284</v>
      </c>
    </row>
    <row r="3439" spans="1:3" ht="15">
      <c r="A3439" s="84" t="s">
        <v>388</v>
      </c>
      <c r="B3439" s="83" t="s">
        <v>3351</v>
      </c>
      <c r="C3439" s="91" t="s">
        <v>1284</v>
      </c>
    </row>
    <row r="3440" spans="1:3" ht="15">
      <c r="A3440" s="84" t="s">
        <v>388</v>
      </c>
      <c r="B3440" s="83" t="s">
        <v>3323</v>
      </c>
      <c r="C3440" s="91" t="s">
        <v>1283</v>
      </c>
    </row>
    <row r="3441" spans="1:3" ht="15">
      <c r="A3441" s="84" t="s">
        <v>388</v>
      </c>
      <c r="B3441" s="83" t="s">
        <v>2694</v>
      </c>
      <c r="C3441" s="91" t="s">
        <v>1283</v>
      </c>
    </row>
    <row r="3442" spans="1:3" ht="15">
      <c r="A3442" s="84" t="s">
        <v>388</v>
      </c>
      <c r="B3442" s="83" t="s">
        <v>2568</v>
      </c>
      <c r="C3442" s="91" t="s">
        <v>1283</v>
      </c>
    </row>
    <row r="3443" spans="1:3" ht="15">
      <c r="A3443" s="84" t="s">
        <v>388</v>
      </c>
      <c r="B3443" s="83" t="s">
        <v>2592</v>
      </c>
      <c r="C3443" s="91" t="s">
        <v>1283</v>
      </c>
    </row>
    <row r="3444" spans="1:3" ht="15">
      <c r="A3444" s="84" t="s">
        <v>388</v>
      </c>
      <c r="B3444" s="83" t="s">
        <v>3211</v>
      </c>
      <c r="C3444" s="91" t="s">
        <v>1283</v>
      </c>
    </row>
    <row r="3445" spans="1:3" ht="15">
      <c r="A3445" s="84" t="s">
        <v>388</v>
      </c>
      <c r="B3445" s="83" t="s">
        <v>2629</v>
      </c>
      <c r="C3445" s="91" t="s">
        <v>1283</v>
      </c>
    </row>
    <row r="3446" spans="1:3" ht="15">
      <c r="A3446" s="84" t="s">
        <v>388</v>
      </c>
      <c r="B3446" s="83" t="s">
        <v>2781</v>
      </c>
      <c r="C3446" s="91" t="s">
        <v>1283</v>
      </c>
    </row>
    <row r="3447" spans="1:3" ht="15">
      <c r="A3447" s="84" t="s">
        <v>388</v>
      </c>
      <c r="B3447" s="83" t="s">
        <v>2782</v>
      </c>
      <c r="C3447" s="91" t="s">
        <v>1283</v>
      </c>
    </row>
    <row r="3448" spans="1:3" ht="15">
      <c r="A3448" s="84" t="s">
        <v>388</v>
      </c>
      <c r="B3448" s="83" t="s">
        <v>2771</v>
      </c>
      <c r="C3448" s="91" t="s">
        <v>1283</v>
      </c>
    </row>
    <row r="3449" spans="1:3" ht="15">
      <c r="A3449" s="84" t="s">
        <v>388</v>
      </c>
      <c r="B3449" s="83" t="s">
        <v>2734</v>
      </c>
      <c r="C3449" s="91" t="s">
        <v>1283</v>
      </c>
    </row>
    <row r="3450" spans="1:3" ht="15">
      <c r="A3450" s="84" t="s">
        <v>388</v>
      </c>
      <c r="B3450" s="83" t="s">
        <v>3324</v>
      </c>
      <c r="C3450" s="91" t="s">
        <v>1283</v>
      </c>
    </row>
    <row r="3451" spans="1:3" ht="15">
      <c r="A3451" s="84" t="s">
        <v>388</v>
      </c>
      <c r="B3451" s="83" t="s">
        <v>2576</v>
      </c>
      <c r="C3451" s="91" t="s">
        <v>1283</v>
      </c>
    </row>
    <row r="3452" spans="1:3" ht="15">
      <c r="A3452" s="84" t="s">
        <v>388</v>
      </c>
      <c r="B3452" s="83" t="s">
        <v>2578</v>
      </c>
      <c r="C3452" s="91" t="s">
        <v>1283</v>
      </c>
    </row>
    <row r="3453" spans="1:3" ht="15">
      <c r="A3453" s="84" t="s">
        <v>388</v>
      </c>
      <c r="B3453" s="83" t="s">
        <v>3325</v>
      </c>
      <c r="C3453" s="91" t="s">
        <v>1283</v>
      </c>
    </row>
    <row r="3454" spans="1:3" ht="15">
      <c r="A3454" s="84" t="s">
        <v>388</v>
      </c>
      <c r="B3454" s="83" t="s">
        <v>3227</v>
      </c>
      <c r="C3454" s="91" t="s">
        <v>1283</v>
      </c>
    </row>
    <row r="3455" spans="1:3" ht="15">
      <c r="A3455" s="84" t="s">
        <v>388</v>
      </c>
      <c r="B3455" s="83" t="s">
        <v>3203</v>
      </c>
      <c r="C3455" s="91" t="s">
        <v>1283</v>
      </c>
    </row>
    <row r="3456" spans="1:3" ht="15">
      <c r="A3456" s="84" t="s">
        <v>388</v>
      </c>
      <c r="B3456" s="83">
        <v>19</v>
      </c>
      <c r="C3456" s="91" t="s">
        <v>1283</v>
      </c>
    </row>
    <row r="3457" spans="1:3" ht="15">
      <c r="A3457" s="84" t="s">
        <v>388</v>
      </c>
      <c r="B3457" s="83" t="s">
        <v>3326</v>
      </c>
      <c r="C3457" s="91" t="s">
        <v>1283</v>
      </c>
    </row>
    <row r="3458" spans="1:3" ht="15">
      <c r="A3458" s="84" t="s">
        <v>388</v>
      </c>
      <c r="B3458" s="83" t="s">
        <v>3327</v>
      </c>
      <c r="C3458" s="91" t="s">
        <v>1283</v>
      </c>
    </row>
    <row r="3459" spans="1:3" ht="15">
      <c r="A3459" s="84" t="s">
        <v>388</v>
      </c>
      <c r="B3459" s="83" t="s">
        <v>2590</v>
      </c>
      <c r="C3459" s="91" t="s">
        <v>1283</v>
      </c>
    </row>
    <row r="3460" spans="1:3" ht="15">
      <c r="A3460" s="84" t="s">
        <v>388</v>
      </c>
      <c r="B3460" s="83" t="s">
        <v>3328</v>
      </c>
      <c r="C3460" s="91" t="s">
        <v>1283</v>
      </c>
    </row>
    <row r="3461" spans="1:3" ht="15">
      <c r="A3461" s="84" t="s">
        <v>388</v>
      </c>
      <c r="B3461" s="83" t="s">
        <v>3225</v>
      </c>
      <c r="C3461" s="91" t="s">
        <v>1283</v>
      </c>
    </row>
    <row r="3462" spans="1:3" ht="15">
      <c r="A3462" s="84" t="s">
        <v>388</v>
      </c>
      <c r="B3462" s="83">
        <v>13</v>
      </c>
      <c r="C3462" s="91" t="s">
        <v>1283</v>
      </c>
    </row>
    <row r="3463" spans="1:3" ht="15">
      <c r="A3463" s="84" t="s">
        <v>388</v>
      </c>
      <c r="B3463" s="83" t="s">
        <v>3329</v>
      </c>
      <c r="C3463" s="91" t="s">
        <v>1283</v>
      </c>
    </row>
    <row r="3464" spans="1:3" ht="15">
      <c r="A3464" s="84" t="s">
        <v>388</v>
      </c>
      <c r="B3464" s="83">
        <v>11</v>
      </c>
      <c r="C3464" s="91" t="s">
        <v>1283</v>
      </c>
    </row>
    <row r="3465" spans="1:3" ht="15">
      <c r="A3465" s="84" t="s">
        <v>388</v>
      </c>
      <c r="B3465" s="83">
        <v>30</v>
      </c>
      <c r="C3465" s="91" t="s">
        <v>1283</v>
      </c>
    </row>
    <row r="3466" spans="1:3" ht="15">
      <c r="A3466" s="84" t="s">
        <v>388</v>
      </c>
      <c r="B3466" s="83" t="s">
        <v>3330</v>
      </c>
      <c r="C3466" s="91" t="s">
        <v>1283</v>
      </c>
    </row>
    <row r="3467" spans="1:3" ht="15">
      <c r="A3467" s="84" t="s">
        <v>388</v>
      </c>
      <c r="B3467" s="83" t="s">
        <v>3331</v>
      </c>
      <c r="C3467" s="91" t="s">
        <v>1283</v>
      </c>
    </row>
    <row r="3468" spans="1:3" ht="15">
      <c r="A3468" s="84" t="s">
        <v>388</v>
      </c>
      <c r="B3468" s="83">
        <v>1</v>
      </c>
      <c r="C3468" s="91" t="s">
        <v>1283</v>
      </c>
    </row>
    <row r="3469" spans="1:3" ht="15">
      <c r="A3469" s="84" t="s">
        <v>388</v>
      </c>
      <c r="B3469" s="83" t="s">
        <v>3332</v>
      </c>
      <c r="C3469" s="91" t="s">
        <v>1283</v>
      </c>
    </row>
    <row r="3470" spans="1:3" ht="15">
      <c r="A3470" s="84" t="s">
        <v>388</v>
      </c>
      <c r="B3470" s="83">
        <v>2</v>
      </c>
      <c r="C3470" s="91" t="s">
        <v>1283</v>
      </c>
    </row>
    <row r="3471" spans="1:3" ht="15">
      <c r="A3471" s="84" t="s">
        <v>388</v>
      </c>
      <c r="B3471" s="83" t="s">
        <v>3333</v>
      </c>
      <c r="C3471" s="91" t="s">
        <v>1283</v>
      </c>
    </row>
    <row r="3472" spans="1:3" ht="15">
      <c r="A3472" s="84" t="s">
        <v>388</v>
      </c>
      <c r="B3472" s="83" t="s">
        <v>2664</v>
      </c>
      <c r="C3472" s="91" t="s">
        <v>1283</v>
      </c>
    </row>
    <row r="3473" spans="1:3" ht="15">
      <c r="A3473" s="84" t="s">
        <v>388</v>
      </c>
      <c r="B3473" s="83" t="s">
        <v>2794</v>
      </c>
      <c r="C3473" s="91" t="s">
        <v>1283</v>
      </c>
    </row>
    <row r="3474" spans="1:3" ht="15">
      <c r="A3474" s="84" t="s">
        <v>388</v>
      </c>
      <c r="B3474" s="83" t="s">
        <v>3334</v>
      </c>
      <c r="C3474" s="91" t="s">
        <v>1283</v>
      </c>
    </row>
    <row r="3475" spans="1:3" ht="15">
      <c r="A3475" s="84" t="s">
        <v>388</v>
      </c>
      <c r="B3475" s="83" t="s">
        <v>3335</v>
      </c>
      <c r="C3475" s="91" t="s">
        <v>1283</v>
      </c>
    </row>
    <row r="3476" spans="1:3" ht="15">
      <c r="A3476" s="84" t="s">
        <v>388</v>
      </c>
      <c r="B3476" s="83" t="s">
        <v>3238</v>
      </c>
      <c r="C3476" s="91" t="s">
        <v>1283</v>
      </c>
    </row>
    <row r="3477" spans="1:3" ht="15">
      <c r="A3477" s="84" t="s">
        <v>388</v>
      </c>
      <c r="B3477" s="83" t="s">
        <v>3199</v>
      </c>
      <c r="C3477" s="91" t="s">
        <v>1283</v>
      </c>
    </row>
    <row r="3478" spans="1:3" ht="15">
      <c r="A3478" s="84" t="s">
        <v>388</v>
      </c>
      <c r="B3478" s="83" t="s">
        <v>3279</v>
      </c>
      <c r="C3478" s="91" t="s">
        <v>1282</v>
      </c>
    </row>
    <row r="3479" spans="1:3" ht="15">
      <c r="A3479" s="84" t="s">
        <v>388</v>
      </c>
      <c r="B3479" s="83" t="s">
        <v>3280</v>
      </c>
      <c r="C3479" s="91" t="s">
        <v>1282</v>
      </c>
    </row>
    <row r="3480" spans="1:3" ht="15">
      <c r="A3480" s="84" t="s">
        <v>388</v>
      </c>
      <c r="B3480" s="83" t="s">
        <v>2581</v>
      </c>
      <c r="C3480" s="91" t="s">
        <v>1282</v>
      </c>
    </row>
    <row r="3481" spans="1:3" ht="15">
      <c r="A3481" s="84" t="s">
        <v>388</v>
      </c>
      <c r="B3481" s="83" t="s">
        <v>2675</v>
      </c>
      <c r="C3481" s="91" t="s">
        <v>1282</v>
      </c>
    </row>
    <row r="3482" spans="1:3" ht="15">
      <c r="A3482" s="84" t="s">
        <v>388</v>
      </c>
      <c r="B3482" s="83" t="s">
        <v>3281</v>
      </c>
      <c r="C3482" s="91" t="s">
        <v>1282</v>
      </c>
    </row>
    <row r="3483" spans="1:3" ht="15">
      <c r="A3483" s="84" t="s">
        <v>388</v>
      </c>
      <c r="B3483" s="83" t="s">
        <v>3213</v>
      </c>
      <c r="C3483" s="91" t="s">
        <v>1282</v>
      </c>
    </row>
    <row r="3484" spans="1:3" ht="15">
      <c r="A3484" s="84" t="s">
        <v>388</v>
      </c>
      <c r="B3484" s="83" t="s">
        <v>3266</v>
      </c>
      <c r="C3484" s="91" t="s">
        <v>1282</v>
      </c>
    </row>
    <row r="3485" spans="1:3" ht="15">
      <c r="A3485" s="84" t="s">
        <v>388</v>
      </c>
      <c r="B3485" s="83" t="s">
        <v>2577</v>
      </c>
      <c r="C3485" s="91" t="s">
        <v>1282</v>
      </c>
    </row>
    <row r="3486" spans="1:3" ht="15">
      <c r="A3486" s="84" t="s">
        <v>388</v>
      </c>
      <c r="B3486" s="83" t="s">
        <v>3198</v>
      </c>
      <c r="C3486" s="91" t="s">
        <v>1282</v>
      </c>
    </row>
    <row r="3487" spans="1:3" ht="15">
      <c r="A3487" s="84" t="s">
        <v>388</v>
      </c>
      <c r="B3487" s="83" t="s">
        <v>3282</v>
      </c>
      <c r="C3487" s="91" t="s">
        <v>1282</v>
      </c>
    </row>
    <row r="3488" spans="1:3" ht="15">
      <c r="A3488" s="84" t="s">
        <v>388</v>
      </c>
      <c r="B3488" s="83" t="s">
        <v>3283</v>
      </c>
      <c r="C3488" s="91" t="s">
        <v>1282</v>
      </c>
    </row>
    <row r="3489" spans="1:3" ht="15">
      <c r="A3489" s="84" t="s">
        <v>388</v>
      </c>
      <c r="B3489" s="83" t="s">
        <v>3214</v>
      </c>
      <c r="C3489" s="91" t="s">
        <v>1282</v>
      </c>
    </row>
    <row r="3490" spans="1:3" ht="15">
      <c r="A3490" s="84" t="s">
        <v>388</v>
      </c>
      <c r="B3490" s="83" t="s">
        <v>3211</v>
      </c>
      <c r="C3490" s="91" t="s">
        <v>1282</v>
      </c>
    </row>
    <row r="3491" spans="1:3" ht="15">
      <c r="A3491" s="84" t="s">
        <v>388</v>
      </c>
      <c r="B3491" s="83" t="s">
        <v>3215</v>
      </c>
      <c r="C3491" s="91" t="s">
        <v>1282</v>
      </c>
    </row>
    <row r="3492" spans="1:3" ht="15">
      <c r="A3492" s="84" t="s">
        <v>388</v>
      </c>
      <c r="B3492" s="83" t="s">
        <v>3199</v>
      </c>
      <c r="C3492" s="91" t="s">
        <v>1282</v>
      </c>
    </row>
    <row r="3493" spans="1:3" ht="15">
      <c r="A3493" s="84" t="s">
        <v>388</v>
      </c>
      <c r="B3493" s="83" t="s">
        <v>3218</v>
      </c>
      <c r="C3493" s="91" t="s">
        <v>1282</v>
      </c>
    </row>
    <row r="3494" spans="1:3" ht="15">
      <c r="A3494" s="84" t="s">
        <v>388</v>
      </c>
      <c r="B3494" s="83" t="s">
        <v>3235</v>
      </c>
      <c r="C3494" s="91" t="s">
        <v>1282</v>
      </c>
    </row>
    <row r="3495" spans="1:3" ht="15">
      <c r="A3495" s="84" t="s">
        <v>388</v>
      </c>
      <c r="B3495" s="83" t="s">
        <v>3236</v>
      </c>
      <c r="C3495" s="91" t="s">
        <v>1282</v>
      </c>
    </row>
    <row r="3496" spans="1:3" ht="15">
      <c r="A3496" s="84" t="s">
        <v>388</v>
      </c>
      <c r="B3496" s="83" t="s">
        <v>3220</v>
      </c>
      <c r="C3496" s="91" t="s">
        <v>1282</v>
      </c>
    </row>
    <row r="3497" spans="1:3" ht="15">
      <c r="A3497" s="84" t="s">
        <v>388</v>
      </c>
      <c r="B3497" s="83" t="s">
        <v>3221</v>
      </c>
      <c r="C3497" s="91" t="s">
        <v>1282</v>
      </c>
    </row>
    <row r="3498" spans="1:3" ht="15">
      <c r="A3498" s="84" t="s">
        <v>388</v>
      </c>
      <c r="B3498" s="83" t="s">
        <v>3237</v>
      </c>
      <c r="C3498" s="91" t="s">
        <v>1282</v>
      </c>
    </row>
    <row r="3499" spans="1:3" ht="15">
      <c r="A3499" s="84" t="s">
        <v>388</v>
      </c>
      <c r="B3499" s="83" t="s">
        <v>3284</v>
      </c>
      <c r="C3499" s="91" t="s">
        <v>1282</v>
      </c>
    </row>
    <row r="3500" spans="1:3" ht="15">
      <c r="A3500" s="84" t="s">
        <v>388</v>
      </c>
      <c r="B3500" s="83" t="s">
        <v>3285</v>
      </c>
      <c r="C3500" s="91" t="s">
        <v>1282</v>
      </c>
    </row>
    <row r="3501" spans="1:3" ht="15">
      <c r="A3501" s="84" t="s">
        <v>388</v>
      </c>
      <c r="B3501" s="83" t="s">
        <v>2632</v>
      </c>
      <c r="C3501" s="91" t="s">
        <v>1282</v>
      </c>
    </row>
    <row r="3502" spans="1:3" ht="15">
      <c r="A3502" s="84" t="s">
        <v>388</v>
      </c>
      <c r="B3502" s="83" t="s">
        <v>3286</v>
      </c>
      <c r="C3502" s="91" t="s">
        <v>1282</v>
      </c>
    </row>
    <row r="3503" spans="1:3" ht="15">
      <c r="A3503" s="84" t="s">
        <v>388</v>
      </c>
      <c r="B3503" s="83" t="s">
        <v>3250</v>
      </c>
      <c r="C3503" s="91" t="s">
        <v>1281</v>
      </c>
    </row>
    <row r="3504" spans="1:3" ht="15">
      <c r="A3504" s="84" t="s">
        <v>388</v>
      </c>
      <c r="B3504" s="83" t="s">
        <v>2692</v>
      </c>
      <c r="C3504" s="91" t="s">
        <v>1281</v>
      </c>
    </row>
    <row r="3505" spans="1:3" ht="15">
      <c r="A3505" s="84" t="s">
        <v>388</v>
      </c>
      <c r="B3505" s="83" t="s">
        <v>2712</v>
      </c>
      <c r="C3505" s="91" t="s">
        <v>1281</v>
      </c>
    </row>
    <row r="3506" spans="1:3" ht="15">
      <c r="A3506" s="84" t="s">
        <v>388</v>
      </c>
      <c r="B3506" s="83" t="s">
        <v>2578</v>
      </c>
      <c r="C3506" s="91" t="s">
        <v>1281</v>
      </c>
    </row>
    <row r="3507" spans="1:3" ht="15">
      <c r="A3507" s="84" t="s">
        <v>388</v>
      </c>
      <c r="B3507" s="83" t="s">
        <v>2637</v>
      </c>
      <c r="C3507" s="91" t="s">
        <v>1281</v>
      </c>
    </row>
    <row r="3508" spans="1:3" ht="15">
      <c r="A3508" s="84" t="s">
        <v>388</v>
      </c>
      <c r="B3508" s="83" t="s">
        <v>3203</v>
      </c>
      <c r="C3508" s="91" t="s">
        <v>1281</v>
      </c>
    </row>
    <row r="3509" spans="1:3" ht="15">
      <c r="A3509" s="84" t="s">
        <v>388</v>
      </c>
      <c r="B3509" s="91" t="s">
        <v>3287</v>
      </c>
      <c r="C3509" s="91" t="s">
        <v>1281</v>
      </c>
    </row>
    <row r="3510" spans="1:3" ht="15">
      <c r="A3510" s="84" t="s">
        <v>388</v>
      </c>
      <c r="B3510" s="83" t="s">
        <v>3288</v>
      </c>
      <c r="C3510" s="91" t="s">
        <v>1281</v>
      </c>
    </row>
    <row r="3511" spans="1:3" ht="15">
      <c r="A3511" s="84" t="s">
        <v>388</v>
      </c>
      <c r="B3511" s="83" t="s">
        <v>3289</v>
      </c>
      <c r="C3511" s="91" t="s">
        <v>1281</v>
      </c>
    </row>
    <row r="3512" spans="1:3" ht="15">
      <c r="A3512" s="84" t="s">
        <v>388</v>
      </c>
      <c r="B3512" s="83" t="s">
        <v>2632</v>
      </c>
      <c r="C3512" s="91" t="s">
        <v>1281</v>
      </c>
    </row>
    <row r="3513" spans="1:3" ht="15">
      <c r="A3513" s="84" t="s">
        <v>388</v>
      </c>
      <c r="B3513" s="83" t="s">
        <v>435</v>
      </c>
      <c r="C3513" s="91" t="s">
        <v>1281</v>
      </c>
    </row>
    <row r="3514" spans="1:3" ht="15">
      <c r="A3514" s="84" t="s">
        <v>388</v>
      </c>
      <c r="B3514" s="83" t="s">
        <v>3290</v>
      </c>
      <c r="C3514" s="91" t="s">
        <v>1281</v>
      </c>
    </row>
    <row r="3515" spans="1:3" ht="15">
      <c r="A3515" s="84" t="s">
        <v>388</v>
      </c>
      <c r="B3515" s="83" t="s">
        <v>3213</v>
      </c>
      <c r="C3515" s="91" t="s">
        <v>1281</v>
      </c>
    </row>
    <row r="3516" spans="1:3" ht="15">
      <c r="A3516" s="84" t="s">
        <v>388</v>
      </c>
      <c r="B3516" s="83" t="s">
        <v>3291</v>
      </c>
      <c r="C3516" s="91" t="s">
        <v>1281</v>
      </c>
    </row>
    <row r="3517" spans="1:3" ht="15">
      <c r="A3517" s="84" t="s">
        <v>388</v>
      </c>
      <c r="B3517" s="83" t="s">
        <v>3292</v>
      </c>
      <c r="C3517" s="91" t="s">
        <v>1281</v>
      </c>
    </row>
    <row r="3518" spans="1:3" ht="15">
      <c r="A3518" s="84" t="s">
        <v>388</v>
      </c>
      <c r="B3518" s="83" t="s">
        <v>3293</v>
      </c>
      <c r="C3518" s="91" t="s">
        <v>1281</v>
      </c>
    </row>
    <row r="3519" spans="1:3" ht="15">
      <c r="A3519" s="84" t="s">
        <v>388</v>
      </c>
      <c r="B3519" s="83" t="s">
        <v>3294</v>
      </c>
      <c r="C3519" s="91" t="s">
        <v>1281</v>
      </c>
    </row>
    <row r="3520" spans="1:3" ht="15">
      <c r="A3520" s="84" t="s">
        <v>388</v>
      </c>
      <c r="B3520" s="83" t="s">
        <v>3295</v>
      </c>
      <c r="C3520" s="91" t="s">
        <v>1281</v>
      </c>
    </row>
    <row r="3521" spans="1:3" ht="15">
      <c r="A3521" s="84" t="s">
        <v>388</v>
      </c>
      <c r="B3521" s="83" t="s">
        <v>3237</v>
      </c>
      <c r="C3521" s="91" t="s">
        <v>1281</v>
      </c>
    </row>
    <row r="3522" spans="1:3" ht="15">
      <c r="A3522" s="84" t="s">
        <v>388</v>
      </c>
      <c r="B3522" s="83" t="s">
        <v>3296</v>
      </c>
      <c r="C3522" s="91" t="s">
        <v>1281</v>
      </c>
    </row>
    <row r="3523" spans="1:3" ht="15">
      <c r="A3523" s="84" t="s">
        <v>388</v>
      </c>
      <c r="B3523" s="83" t="s">
        <v>3297</v>
      </c>
      <c r="C3523" s="91" t="s">
        <v>1281</v>
      </c>
    </row>
    <row r="3524" spans="1:3" ht="15">
      <c r="A3524" s="84" t="s">
        <v>388</v>
      </c>
      <c r="B3524" s="83" t="s">
        <v>3218</v>
      </c>
      <c r="C3524" s="91" t="s">
        <v>1281</v>
      </c>
    </row>
    <row r="3525" spans="1:3" ht="15">
      <c r="A3525" s="84" t="s">
        <v>388</v>
      </c>
      <c r="B3525" s="83" t="s">
        <v>3298</v>
      </c>
      <c r="C3525" s="91" t="s">
        <v>1281</v>
      </c>
    </row>
    <row r="3526" spans="1:3" ht="15">
      <c r="A3526" s="84" t="s">
        <v>388</v>
      </c>
      <c r="B3526" s="83" t="s">
        <v>3299</v>
      </c>
      <c r="C3526" s="91" t="s">
        <v>1281</v>
      </c>
    </row>
    <row r="3527" spans="1:3" ht="15">
      <c r="A3527" s="84" t="s">
        <v>388</v>
      </c>
      <c r="B3527" s="83" t="s">
        <v>2179</v>
      </c>
      <c r="C3527" s="91" t="s">
        <v>1281</v>
      </c>
    </row>
    <row r="3528" spans="1:3" ht="15">
      <c r="A3528" s="84" t="s">
        <v>388</v>
      </c>
      <c r="B3528" s="83" t="s">
        <v>3300</v>
      </c>
      <c r="C3528" s="91" t="s">
        <v>1281</v>
      </c>
    </row>
    <row r="3529" spans="1:3" ht="15">
      <c r="A3529" s="84" t="s">
        <v>388</v>
      </c>
      <c r="B3529" s="83" t="s">
        <v>3301</v>
      </c>
      <c r="C3529" s="91" t="s">
        <v>1281</v>
      </c>
    </row>
    <row r="3530" spans="1:3" ht="15">
      <c r="A3530" s="84" t="s">
        <v>388</v>
      </c>
      <c r="B3530" s="83" t="s">
        <v>3199</v>
      </c>
      <c r="C3530" s="91" t="s">
        <v>1281</v>
      </c>
    </row>
    <row r="3531" spans="1:3" ht="15">
      <c r="A3531" s="84" t="s">
        <v>388</v>
      </c>
      <c r="B3531" s="83" t="s">
        <v>3214</v>
      </c>
      <c r="C3531" s="91" t="s">
        <v>1281</v>
      </c>
    </row>
    <row r="3532" spans="1:3" ht="15">
      <c r="A3532" s="84" t="s">
        <v>388</v>
      </c>
      <c r="B3532" s="83" t="s">
        <v>3302</v>
      </c>
      <c r="C3532" s="91" t="s">
        <v>1281</v>
      </c>
    </row>
    <row r="3533" spans="1:3" ht="15">
      <c r="A3533" s="84" t="s">
        <v>388</v>
      </c>
      <c r="B3533" s="83" t="s">
        <v>3303</v>
      </c>
      <c r="C3533" s="91" t="s">
        <v>1281</v>
      </c>
    </row>
    <row r="3534" spans="1:3" ht="15">
      <c r="A3534" s="84" t="s">
        <v>388</v>
      </c>
      <c r="B3534" s="83" t="s">
        <v>3340</v>
      </c>
      <c r="C3534" s="91" t="s">
        <v>1280</v>
      </c>
    </row>
    <row r="3535" spans="1:3" ht="15">
      <c r="A3535" s="84" t="s">
        <v>388</v>
      </c>
      <c r="B3535" s="83" t="s">
        <v>3213</v>
      </c>
      <c r="C3535" s="91" t="s">
        <v>1280</v>
      </c>
    </row>
    <row r="3536" spans="1:3" ht="15">
      <c r="A3536" s="84" t="s">
        <v>388</v>
      </c>
      <c r="B3536" s="83" t="s">
        <v>3341</v>
      </c>
      <c r="C3536" s="91" t="s">
        <v>1280</v>
      </c>
    </row>
    <row r="3537" spans="1:3" ht="15">
      <c r="A3537" s="84" t="s">
        <v>388</v>
      </c>
      <c r="B3537" s="83" t="s">
        <v>3342</v>
      </c>
      <c r="C3537" s="91" t="s">
        <v>1280</v>
      </c>
    </row>
    <row r="3538" spans="1:3" ht="15">
      <c r="A3538" s="84" t="s">
        <v>388</v>
      </c>
      <c r="B3538" s="83" t="s">
        <v>3343</v>
      </c>
      <c r="C3538" s="91" t="s">
        <v>1280</v>
      </c>
    </row>
    <row r="3539" spans="1:3" ht="15">
      <c r="A3539" s="84" t="s">
        <v>388</v>
      </c>
      <c r="B3539" s="83" t="s">
        <v>3344</v>
      </c>
      <c r="C3539" s="91" t="s">
        <v>1280</v>
      </c>
    </row>
    <row r="3540" spans="1:3" ht="15">
      <c r="A3540" s="84" t="s">
        <v>388</v>
      </c>
      <c r="B3540" s="83" t="s">
        <v>3345</v>
      </c>
      <c r="C3540" s="91" t="s">
        <v>1280</v>
      </c>
    </row>
    <row r="3541" spans="1:3" ht="15">
      <c r="A3541" s="84" t="s">
        <v>388</v>
      </c>
      <c r="B3541" s="83" t="s">
        <v>3290</v>
      </c>
      <c r="C3541" s="91" t="s">
        <v>1280</v>
      </c>
    </row>
    <row r="3542" spans="1:3" ht="15">
      <c r="A3542" s="84" t="s">
        <v>388</v>
      </c>
      <c r="B3542" s="83" t="s">
        <v>2179</v>
      </c>
      <c r="C3542" s="91" t="s">
        <v>1280</v>
      </c>
    </row>
    <row r="3543" spans="1:3" ht="15">
      <c r="A3543" s="84" t="s">
        <v>388</v>
      </c>
      <c r="B3543" s="83" t="s">
        <v>3300</v>
      </c>
      <c r="C3543" s="91" t="s">
        <v>1280</v>
      </c>
    </row>
    <row r="3544" spans="1:3" ht="15">
      <c r="A3544" s="84" t="s">
        <v>388</v>
      </c>
      <c r="B3544" s="83" t="s">
        <v>3301</v>
      </c>
      <c r="C3544" s="91" t="s">
        <v>1280</v>
      </c>
    </row>
    <row r="3545" spans="1:3" ht="15">
      <c r="A3545" s="84" t="s">
        <v>388</v>
      </c>
      <c r="B3545" s="83" t="s">
        <v>3302</v>
      </c>
      <c r="C3545" s="91" t="s">
        <v>1280</v>
      </c>
    </row>
    <row r="3546" spans="1:3" ht="15">
      <c r="A3546" s="84" t="s">
        <v>388</v>
      </c>
      <c r="B3546" s="83" t="s">
        <v>3303</v>
      </c>
      <c r="C3546" s="91" t="s">
        <v>1280</v>
      </c>
    </row>
    <row r="3547" spans="1:3" ht="15">
      <c r="A3547" s="84" t="s">
        <v>388</v>
      </c>
      <c r="B3547" s="83" t="s">
        <v>3291</v>
      </c>
      <c r="C3547" s="91" t="s">
        <v>1280</v>
      </c>
    </row>
    <row r="3548" spans="1:3" ht="15">
      <c r="A3548" s="84" t="s">
        <v>388</v>
      </c>
      <c r="B3548" s="83" t="s">
        <v>3292</v>
      </c>
      <c r="C3548" s="91" t="s">
        <v>1280</v>
      </c>
    </row>
    <row r="3549" spans="1:3" ht="15">
      <c r="A3549" s="84" t="s">
        <v>388</v>
      </c>
      <c r="B3549" s="83" t="s">
        <v>3293</v>
      </c>
      <c r="C3549" s="91" t="s">
        <v>1280</v>
      </c>
    </row>
    <row r="3550" spans="1:3" ht="15">
      <c r="A3550" s="84" t="s">
        <v>388</v>
      </c>
      <c r="B3550" s="83" t="s">
        <v>3294</v>
      </c>
      <c r="C3550" s="91" t="s">
        <v>1280</v>
      </c>
    </row>
    <row r="3551" spans="1:3" ht="15">
      <c r="A3551" s="84" t="s">
        <v>388</v>
      </c>
      <c r="B3551" s="83" t="s">
        <v>3295</v>
      </c>
      <c r="C3551" s="91" t="s">
        <v>1280</v>
      </c>
    </row>
    <row r="3552" spans="1:3" ht="15">
      <c r="A3552" s="84" t="s">
        <v>388</v>
      </c>
      <c r="B3552" s="83" t="s">
        <v>3237</v>
      </c>
      <c r="C3552" s="91" t="s">
        <v>1280</v>
      </c>
    </row>
    <row r="3553" spans="1:3" ht="15">
      <c r="A3553" s="84" t="s">
        <v>388</v>
      </c>
      <c r="B3553" s="83" t="s">
        <v>3296</v>
      </c>
      <c r="C3553" s="91" t="s">
        <v>1280</v>
      </c>
    </row>
    <row r="3554" spans="1:3" ht="15">
      <c r="A3554" s="84" t="s">
        <v>388</v>
      </c>
      <c r="B3554" s="83" t="s">
        <v>3297</v>
      </c>
      <c r="C3554" s="91" t="s">
        <v>1280</v>
      </c>
    </row>
    <row r="3555" spans="1:3" ht="15">
      <c r="A3555" s="84" t="s">
        <v>388</v>
      </c>
      <c r="B3555" s="83" t="s">
        <v>3218</v>
      </c>
      <c r="C3555" s="91" t="s">
        <v>1280</v>
      </c>
    </row>
    <row r="3556" spans="1:3" ht="15">
      <c r="A3556" s="84" t="s">
        <v>388</v>
      </c>
      <c r="B3556" s="83" t="s">
        <v>3346</v>
      </c>
      <c r="C3556" s="91" t="s">
        <v>1280</v>
      </c>
    </row>
    <row r="3557" spans="1:3" ht="15">
      <c r="A3557" s="84" t="s">
        <v>388</v>
      </c>
      <c r="B3557" s="83" t="s">
        <v>3298</v>
      </c>
      <c r="C3557" s="91" t="s">
        <v>1280</v>
      </c>
    </row>
    <row r="3558" spans="1:3" ht="15">
      <c r="A3558" s="84" t="s">
        <v>388</v>
      </c>
      <c r="B3558" s="83" t="s">
        <v>3299</v>
      </c>
      <c r="C3558" s="91" t="s">
        <v>1280</v>
      </c>
    </row>
    <row r="3559" spans="1:3" ht="15">
      <c r="A3559" s="84" t="s">
        <v>388</v>
      </c>
      <c r="B3559" s="83" t="s">
        <v>3199</v>
      </c>
      <c r="C3559" s="91" t="s">
        <v>1280</v>
      </c>
    </row>
    <row r="3560" spans="1:3" ht="15">
      <c r="A3560" s="84" t="s">
        <v>388</v>
      </c>
      <c r="B3560" s="83" t="s">
        <v>3347</v>
      </c>
      <c r="C3560" s="91" t="s">
        <v>1280</v>
      </c>
    </row>
    <row r="3561" spans="1:3" ht="15">
      <c r="A3561" s="84" t="s">
        <v>388</v>
      </c>
      <c r="B3561" s="83" t="s">
        <v>3228</v>
      </c>
      <c r="C3561" s="91" t="s">
        <v>1279</v>
      </c>
    </row>
    <row r="3562" spans="1:3" ht="15">
      <c r="A3562" s="84" t="s">
        <v>388</v>
      </c>
      <c r="B3562" s="83" t="s">
        <v>2581</v>
      </c>
      <c r="C3562" s="91" t="s">
        <v>1279</v>
      </c>
    </row>
    <row r="3563" spans="1:3" ht="15">
      <c r="A3563" s="84" t="s">
        <v>388</v>
      </c>
      <c r="B3563" s="83" t="s">
        <v>2586</v>
      </c>
      <c r="C3563" s="91" t="s">
        <v>1279</v>
      </c>
    </row>
    <row r="3564" spans="1:3" ht="15">
      <c r="A3564" s="84" t="s">
        <v>388</v>
      </c>
      <c r="B3564" s="83" t="s">
        <v>2595</v>
      </c>
      <c r="C3564" s="91" t="s">
        <v>1279</v>
      </c>
    </row>
    <row r="3565" spans="1:3" ht="15">
      <c r="A3565" s="84" t="s">
        <v>388</v>
      </c>
      <c r="B3565" s="83" t="s">
        <v>2568</v>
      </c>
      <c r="C3565" s="91" t="s">
        <v>1279</v>
      </c>
    </row>
    <row r="3566" spans="1:3" ht="15">
      <c r="A3566" s="84" t="s">
        <v>388</v>
      </c>
      <c r="B3566" s="83" t="s">
        <v>2592</v>
      </c>
      <c r="C3566" s="91" t="s">
        <v>1279</v>
      </c>
    </row>
    <row r="3567" spans="1:3" ht="15">
      <c r="A3567" s="84" t="s">
        <v>388</v>
      </c>
      <c r="B3567" s="83" t="s">
        <v>3213</v>
      </c>
      <c r="C3567" s="91" t="s">
        <v>1279</v>
      </c>
    </row>
    <row r="3568" spans="1:3" ht="15">
      <c r="A3568" s="84" t="s">
        <v>388</v>
      </c>
      <c r="B3568" s="83" t="s">
        <v>2576</v>
      </c>
      <c r="C3568" s="91" t="s">
        <v>1279</v>
      </c>
    </row>
    <row r="3569" spans="1:3" ht="15">
      <c r="A3569" s="84" t="s">
        <v>388</v>
      </c>
      <c r="B3569" s="83" t="s">
        <v>3229</v>
      </c>
      <c r="C3569" s="91" t="s">
        <v>1279</v>
      </c>
    </row>
    <row r="3570" spans="1:3" ht="15">
      <c r="A3570" s="84" t="s">
        <v>388</v>
      </c>
      <c r="B3570" s="83" t="s">
        <v>3230</v>
      </c>
      <c r="C3570" s="91" t="s">
        <v>1279</v>
      </c>
    </row>
    <row r="3571" spans="1:3" ht="15">
      <c r="A3571" s="84" t="s">
        <v>388</v>
      </c>
      <c r="B3571" s="83" t="s">
        <v>2598</v>
      </c>
      <c r="C3571" s="91" t="s">
        <v>1279</v>
      </c>
    </row>
    <row r="3572" spans="1:3" ht="15">
      <c r="A3572" s="84" t="s">
        <v>388</v>
      </c>
      <c r="B3572" s="83" t="s">
        <v>3231</v>
      </c>
      <c r="C3572" s="91" t="s">
        <v>1279</v>
      </c>
    </row>
    <row r="3573" spans="1:3" ht="15">
      <c r="A3573" s="84" t="s">
        <v>388</v>
      </c>
      <c r="B3573" s="83" t="s">
        <v>3232</v>
      </c>
      <c r="C3573" s="91" t="s">
        <v>1279</v>
      </c>
    </row>
    <row r="3574" spans="1:3" ht="15">
      <c r="A3574" s="84" t="s">
        <v>388</v>
      </c>
      <c r="B3574" s="83" t="s">
        <v>3233</v>
      </c>
      <c r="C3574" s="91" t="s">
        <v>1279</v>
      </c>
    </row>
    <row r="3575" spans="1:3" ht="15">
      <c r="A3575" s="84" t="s">
        <v>388</v>
      </c>
      <c r="B3575" s="83" t="s">
        <v>3211</v>
      </c>
      <c r="C3575" s="91" t="s">
        <v>1279</v>
      </c>
    </row>
    <row r="3576" spans="1:3" ht="15">
      <c r="A3576" s="84" t="s">
        <v>388</v>
      </c>
      <c r="B3576" s="83" t="s">
        <v>3199</v>
      </c>
      <c r="C3576" s="91" t="s">
        <v>1279</v>
      </c>
    </row>
    <row r="3577" spans="1:3" ht="15">
      <c r="A3577" s="84" t="s">
        <v>388</v>
      </c>
      <c r="B3577" s="83" t="s">
        <v>3218</v>
      </c>
      <c r="C3577" s="91" t="s">
        <v>1279</v>
      </c>
    </row>
    <row r="3578" spans="1:3" ht="15">
      <c r="A3578" s="84" t="s">
        <v>388</v>
      </c>
      <c r="B3578" s="83" t="s">
        <v>3234</v>
      </c>
      <c r="C3578" s="91" t="s">
        <v>1279</v>
      </c>
    </row>
    <row r="3579" spans="1:3" ht="15">
      <c r="A3579" s="84" t="s">
        <v>388</v>
      </c>
      <c r="B3579" s="83" t="s">
        <v>3235</v>
      </c>
      <c r="C3579" s="91" t="s">
        <v>1279</v>
      </c>
    </row>
    <row r="3580" spans="1:3" ht="15">
      <c r="A3580" s="84" t="s">
        <v>388</v>
      </c>
      <c r="B3580" s="83" t="s">
        <v>3236</v>
      </c>
      <c r="C3580" s="91" t="s">
        <v>1279</v>
      </c>
    </row>
    <row r="3581" spans="1:3" ht="15">
      <c r="A3581" s="84" t="s">
        <v>388</v>
      </c>
      <c r="B3581" s="83" t="s">
        <v>3237</v>
      </c>
      <c r="C3581" s="91" t="s">
        <v>1279</v>
      </c>
    </row>
    <row r="3582" spans="1:3" ht="15">
      <c r="A3582" s="84" t="s">
        <v>388</v>
      </c>
      <c r="B3582" s="83" t="s">
        <v>3238</v>
      </c>
      <c r="C3582" s="91" t="s">
        <v>1279</v>
      </c>
    </row>
    <row r="3583" spans="1:3" ht="15">
      <c r="A3583" s="84" t="s">
        <v>388</v>
      </c>
      <c r="B3583" s="83" t="s">
        <v>3239</v>
      </c>
      <c r="C3583" s="91" t="s">
        <v>1279</v>
      </c>
    </row>
    <row r="3584" spans="1:3" ht="15">
      <c r="A3584" s="84" t="s">
        <v>388</v>
      </c>
      <c r="B3584" s="83" t="s">
        <v>3240</v>
      </c>
      <c r="C3584" s="91" t="s">
        <v>1279</v>
      </c>
    </row>
    <row r="3585" spans="1:3" ht="15">
      <c r="A3585" s="84" t="s">
        <v>388</v>
      </c>
      <c r="B3585" s="83" t="s">
        <v>3241</v>
      </c>
      <c r="C3585" s="91" t="s">
        <v>1279</v>
      </c>
    </row>
    <row r="3586" spans="1:3" ht="15">
      <c r="A3586" s="84" t="s">
        <v>388</v>
      </c>
      <c r="B3586" s="83" t="s">
        <v>3242</v>
      </c>
      <c r="C3586" s="91" t="s">
        <v>1279</v>
      </c>
    </row>
    <row r="3587" spans="1:3" ht="15">
      <c r="A3587" s="84" t="s">
        <v>388</v>
      </c>
      <c r="B3587" s="83" t="s">
        <v>2767</v>
      </c>
      <c r="C3587" s="91" t="s">
        <v>1279</v>
      </c>
    </row>
    <row r="3588" spans="1:3" ht="15">
      <c r="A3588" s="84" t="s">
        <v>388</v>
      </c>
      <c r="B3588" s="83" t="s">
        <v>3243</v>
      </c>
      <c r="C3588" s="91" t="s">
        <v>1279</v>
      </c>
    </row>
    <row r="3589" spans="1:3" ht="15">
      <c r="A3589" s="84" t="s">
        <v>388</v>
      </c>
      <c r="B3589" s="83" t="s">
        <v>3244</v>
      </c>
      <c r="C3589" s="91" t="s">
        <v>1279</v>
      </c>
    </row>
    <row r="3590" spans="1:3" ht="15">
      <c r="A3590" s="84" t="s">
        <v>388</v>
      </c>
      <c r="B3590" s="83" t="s">
        <v>3223</v>
      </c>
      <c r="C3590" s="91" t="s">
        <v>1279</v>
      </c>
    </row>
    <row r="3591" spans="1:3" ht="15">
      <c r="A3591" s="84" t="s">
        <v>388</v>
      </c>
      <c r="B3591" s="83" t="s">
        <v>3266</v>
      </c>
      <c r="C3591" s="91" t="s">
        <v>1279</v>
      </c>
    </row>
    <row r="3592" spans="1:3" ht="15">
      <c r="A3592" s="84" t="s">
        <v>388</v>
      </c>
      <c r="B3592" s="83" t="s">
        <v>3267</v>
      </c>
      <c r="C3592" s="91" t="s">
        <v>1278</v>
      </c>
    </row>
    <row r="3593" spans="1:3" ht="15">
      <c r="A3593" s="84" t="s">
        <v>388</v>
      </c>
      <c r="B3593" s="83" t="s">
        <v>2581</v>
      </c>
      <c r="C3593" s="91" t="s">
        <v>1278</v>
      </c>
    </row>
    <row r="3594" spans="1:3" ht="15">
      <c r="A3594" s="84" t="s">
        <v>388</v>
      </c>
      <c r="B3594" s="83" t="s">
        <v>2586</v>
      </c>
      <c r="C3594" s="91" t="s">
        <v>1278</v>
      </c>
    </row>
    <row r="3595" spans="1:3" ht="15">
      <c r="A3595" s="84" t="s">
        <v>388</v>
      </c>
      <c r="B3595" s="83" t="s">
        <v>2595</v>
      </c>
      <c r="C3595" s="91" t="s">
        <v>1278</v>
      </c>
    </row>
    <row r="3596" spans="1:3" ht="15">
      <c r="A3596" s="84" t="s">
        <v>388</v>
      </c>
      <c r="B3596" s="83" t="s">
        <v>2568</v>
      </c>
      <c r="C3596" s="91" t="s">
        <v>1278</v>
      </c>
    </row>
    <row r="3597" spans="1:3" ht="15">
      <c r="A3597" s="84" t="s">
        <v>388</v>
      </c>
      <c r="B3597" s="83" t="s">
        <v>2592</v>
      </c>
      <c r="C3597" s="91" t="s">
        <v>1278</v>
      </c>
    </row>
    <row r="3598" spans="1:3" ht="15">
      <c r="A3598" s="84" t="s">
        <v>388</v>
      </c>
      <c r="B3598" s="83" t="s">
        <v>3213</v>
      </c>
      <c r="C3598" s="91" t="s">
        <v>1278</v>
      </c>
    </row>
    <row r="3599" spans="1:3" ht="15">
      <c r="A3599" s="84" t="s">
        <v>388</v>
      </c>
      <c r="B3599" s="83" t="s">
        <v>2576</v>
      </c>
      <c r="C3599" s="91" t="s">
        <v>1278</v>
      </c>
    </row>
    <row r="3600" spans="1:3" ht="15">
      <c r="A3600" s="84" t="s">
        <v>388</v>
      </c>
      <c r="B3600" s="83" t="s">
        <v>3229</v>
      </c>
      <c r="C3600" s="91" t="s">
        <v>1278</v>
      </c>
    </row>
    <row r="3601" spans="1:3" ht="15">
      <c r="A3601" s="84" t="s">
        <v>388</v>
      </c>
      <c r="B3601" s="83" t="s">
        <v>3230</v>
      </c>
      <c r="C3601" s="91" t="s">
        <v>1278</v>
      </c>
    </row>
    <row r="3602" spans="1:3" ht="15">
      <c r="A3602" s="84" t="s">
        <v>388</v>
      </c>
      <c r="B3602" s="83" t="s">
        <v>2598</v>
      </c>
      <c r="C3602" s="91" t="s">
        <v>1278</v>
      </c>
    </row>
    <row r="3603" spans="1:3" ht="15">
      <c r="A3603" s="84" t="s">
        <v>388</v>
      </c>
      <c r="B3603" s="83" t="s">
        <v>3231</v>
      </c>
      <c r="C3603" s="91" t="s">
        <v>1278</v>
      </c>
    </row>
    <row r="3604" spans="1:3" ht="15">
      <c r="A3604" s="84" t="s">
        <v>388</v>
      </c>
      <c r="B3604" s="83" t="s">
        <v>3232</v>
      </c>
      <c r="C3604" s="91" t="s">
        <v>1278</v>
      </c>
    </row>
    <row r="3605" spans="1:3" ht="15">
      <c r="A3605" s="84" t="s">
        <v>388</v>
      </c>
      <c r="B3605" s="83" t="s">
        <v>3233</v>
      </c>
      <c r="C3605" s="91" t="s">
        <v>1278</v>
      </c>
    </row>
    <row r="3606" spans="1:3" ht="15">
      <c r="A3606" s="84" t="s">
        <v>388</v>
      </c>
      <c r="B3606" s="83" t="s">
        <v>3211</v>
      </c>
      <c r="C3606" s="91" t="s">
        <v>1278</v>
      </c>
    </row>
    <row r="3607" spans="1:3" ht="15">
      <c r="A3607" s="84" t="s">
        <v>388</v>
      </c>
      <c r="B3607" s="83" t="s">
        <v>3199</v>
      </c>
      <c r="C3607" s="91" t="s">
        <v>1278</v>
      </c>
    </row>
    <row r="3608" spans="1:3" ht="15">
      <c r="A3608" s="84" t="s">
        <v>388</v>
      </c>
      <c r="B3608" s="83" t="s">
        <v>3218</v>
      </c>
      <c r="C3608" s="91" t="s">
        <v>1278</v>
      </c>
    </row>
    <row r="3609" spans="1:3" ht="15">
      <c r="A3609" s="84" t="s">
        <v>388</v>
      </c>
      <c r="B3609" s="83" t="s">
        <v>3234</v>
      </c>
      <c r="C3609" s="91" t="s">
        <v>1278</v>
      </c>
    </row>
    <row r="3610" spans="1:3" ht="15">
      <c r="A3610" s="84" t="s">
        <v>388</v>
      </c>
      <c r="B3610" s="83" t="s">
        <v>3235</v>
      </c>
      <c r="C3610" s="91" t="s">
        <v>1278</v>
      </c>
    </row>
    <row r="3611" spans="1:3" ht="15">
      <c r="A3611" s="84" t="s">
        <v>388</v>
      </c>
      <c r="B3611" s="83" t="s">
        <v>3236</v>
      </c>
      <c r="C3611" s="91" t="s">
        <v>1278</v>
      </c>
    </row>
    <row r="3612" spans="1:3" ht="15">
      <c r="A3612" s="84" t="s">
        <v>388</v>
      </c>
      <c r="B3612" s="83" t="s">
        <v>3237</v>
      </c>
      <c r="C3612" s="91" t="s">
        <v>1278</v>
      </c>
    </row>
    <row r="3613" spans="1:3" ht="15">
      <c r="A3613" s="84" t="s">
        <v>388</v>
      </c>
      <c r="B3613" s="83" t="s">
        <v>3238</v>
      </c>
      <c r="C3613" s="91" t="s">
        <v>1278</v>
      </c>
    </row>
    <row r="3614" spans="1:3" ht="15">
      <c r="A3614" s="84" t="s">
        <v>388</v>
      </c>
      <c r="B3614" s="83" t="s">
        <v>3239</v>
      </c>
      <c r="C3614" s="91" t="s">
        <v>1278</v>
      </c>
    </row>
    <row r="3615" spans="1:3" ht="15">
      <c r="A3615" s="84" t="s">
        <v>388</v>
      </c>
      <c r="B3615" s="83" t="s">
        <v>3240</v>
      </c>
      <c r="C3615" s="91" t="s">
        <v>1278</v>
      </c>
    </row>
    <row r="3616" spans="1:3" ht="15">
      <c r="A3616" s="84" t="s">
        <v>388</v>
      </c>
      <c r="B3616" s="83" t="s">
        <v>3241</v>
      </c>
      <c r="C3616" s="91" t="s">
        <v>1278</v>
      </c>
    </row>
    <row r="3617" spans="1:3" ht="15">
      <c r="A3617" s="84" t="s">
        <v>388</v>
      </c>
      <c r="B3617" s="83" t="s">
        <v>3242</v>
      </c>
      <c r="C3617" s="91" t="s">
        <v>1278</v>
      </c>
    </row>
    <row r="3618" spans="1:3" ht="15">
      <c r="A3618" s="84" t="s">
        <v>388</v>
      </c>
      <c r="B3618" s="83" t="s">
        <v>2767</v>
      </c>
      <c r="C3618" s="91" t="s">
        <v>1278</v>
      </c>
    </row>
    <row r="3619" spans="1:3" ht="15">
      <c r="A3619" s="84" t="s">
        <v>388</v>
      </c>
      <c r="B3619" s="83" t="s">
        <v>3243</v>
      </c>
      <c r="C3619" s="91" t="s">
        <v>1278</v>
      </c>
    </row>
    <row r="3620" spans="1:3" ht="15">
      <c r="A3620" s="84" t="s">
        <v>388</v>
      </c>
      <c r="B3620" s="83" t="s">
        <v>3244</v>
      </c>
      <c r="C3620" s="91" t="s">
        <v>1278</v>
      </c>
    </row>
    <row r="3621" spans="1:3" ht="15">
      <c r="A3621" s="84" t="s">
        <v>388</v>
      </c>
      <c r="B3621" s="83" t="s">
        <v>3223</v>
      </c>
      <c r="C3621" s="91" t="s">
        <v>1278</v>
      </c>
    </row>
    <row r="3622" spans="1:3" ht="15">
      <c r="A3622" s="84" t="s">
        <v>388</v>
      </c>
      <c r="B3622" s="83" t="s">
        <v>3228</v>
      </c>
      <c r="C3622" s="91" t="s">
        <v>1277</v>
      </c>
    </row>
    <row r="3623" spans="1:3" ht="15">
      <c r="A3623" s="84" t="s">
        <v>388</v>
      </c>
      <c r="B3623" s="83" t="s">
        <v>2581</v>
      </c>
      <c r="C3623" s="91" t="s">
        <v>1277</v>
      </c>
    </row>
    <row r="3624" spans="1:3" ht="15">
      <c r="A3624" s="84" t="s">
        <v>388</v>
      </c>
      <c r="B3624" s="83" t="s">
        <v>2586</v>
      </c>
      <c r="C3624" s="91" t="s">
        <v>1277</v>
      </c>
    </row>
    <row r="3625" spans="1:3" ht="15">
      <c r="A3625" s="84" t="s">
        <v>388</v>
      </c>
      <c r="B3625" s="83" t="s">
        <v>2595</v>
      </c>
      <c r="C3625" s="91" t="s">
        <v>1277</v>
      </c>
    </row>
    <row r="3626" spans="1:3" ht="15">
      <c r="A3626" s="84" t="s">
        <v>388</v>
      </c>
      <c r="B3626" s="83" t="s">
        <v>2568</v>
      </c>
      <c r="C3626" s="91" t="s">
        <v>1277</v>
      </c>
    </row>
    <row r="3627" spans="1:3" ht="15">
      <c r="A3627" s="84" t="s">
        <v>388</v>
      </c>
      <c r="B3627" s="83" t="s">
        <v>2592</v>
      </c>
      <c r="C3627" s="91" t="s">
        <v>1277</v>
      </c>
    </row>
    <row r="3628" spans="1:3" ht="15">
      <c r="A3628" s="84" t="s">
        <v>388</v>
      </c>
      <c r="B3628" s="83" t="s">
        <v>3213</v>
      </c>
      <c r="C3628" s="91" t="s">
        <v>1277</v>
      </c>
    </row>
    <row r="3629" spans="1:3" ht="15">
      <c r="A3629" s="84" t="s">
        <v>388</v>
      </c>
      <c r="B3629" s="83" t="s">
        <v>2576</v>
      </c>
      <c r="C3629" s="91" t="s">
        <v>1277</v>
      </c>
    </row>
    <row r="3630" spans="1:3" ht="15">
      <c r="A3630" s="84" t="s">
        <v>388</v>
      </c>
      <c r="B3630" s="83" t="s">
        <v>3229</v>
      </c>
      <c r="C3630" s="91" t="s">
        <v>1277</v>
      </c>
    </row>
    <row r="3631" spans="1:3" ht="15">
      <c r="A3631" s="84" t="s">
        <v>388</v>
      </c>
      <c r="B3631" s="83" t="s">
        <v>3230</v>
      </c>
      <c r="C3631" s="91" t="s">
        <v>1277</v>
      </c>
    </row>
    <row r="3632" spans="1:3" ht="15">
      <c r="A3632" s="84" t="s">
        <v>388</v>
      </c>
      <c r="B3632" s="83" t="s">
        <v>2598</v>
      </c>
      <c r="C3632" s="91" t="s">
        <v>1277</v>
      </c>
    </row>
    <row r="3633" spans="1:3" ht="15">
      <c r="A3633" s="84" t="s">
        <v>388</v>
      </c>
      <c r="B3633" s="83" t="s">
        <v>3231</v>
      </c>
      <c r="C3633" s="91" t="s">
        <v>1277</v>
      </c>
    </row>
    <row r="3634" spans="1:3" ht="15">
      <c r="A3634" s="84" t="s">
        <v>388</v>
      </c>
      <c r="B3634" s="83" t="s">
        <v>3232</v>
      </c>
      <c r="C3634" s="91" t="s">
        <v>1277</v>
      </c>
    </row>
    <row r="3635" spans="1:3" ht="15">
      <c r="A3635" s="84" t="s">
        <v>388</v>
      </c>
      <c r="B3635" s="83" t="s">
        <v>3233</v>
      </c>
      <c r="C3635" s="91" t="s">
        <v>1277</v>
      </c>
    </row>
    <row r="3636" spans="1:3" ht="15">
      <c r="A3636" s="84" t="s">
        <v>388</v>
      </c>
      <c r="B3636" s="83" t="s">
        <v>3211</v>
      </c>
      <c r="C3636" s="91" t="s">
        <v>1277</v>
      </c>
    </row>
    <row r="3637" spans="1:3" ht="15">
      <c r="A3637" s="84" t="s">
        <v>388</v>
      </c>
      <c r="B3637" s="83" t="s">
        <v>3199</v>
      </c>
      <c r="C3637" s="91" t="s">
        <v>1277</v>
      </c>
    </row>
    <row r="3638" spans="1:3" ht="15">
      <c r="A3638" s="84" t="s">
        <v>388</v>
      </c>
      <c r="B3638" s="83" t="s">
        <v>3218</v>
      </c>
      <c r="C3638" s="91" t="s">
        <v>1277</v>
      </c>
    </row>
    <row r="3639" spans="1:3" ht="15">
      <c r="A3639" s="84" t="s">
        <v>388</v>
      </c>
      <c r="B3639" s="83" t="s">
        <v>3234</v>
      </c>
      <c r="C3639" s="91" t="s">
        <v>1277</v>
      </c>
    </row>
    <row r="3640" spans="1:3" ht="15">
      <c r="A3640" s="84" t="s">
        <v>388</v>
      </c>
      <c r="B3640" s="83" t="s">
        <v>3235</v>
      </c>
      <c r="C3640" s="91" t="s">
        <v>1277</v>
      </c>
    </row>
    <row r="3641" spans="1:3" ht="15">
      <c r="A3641" s="84" t="s">
        <v>388</v>
      </c>
      <c r="B3641" s="83" t="s">
        <v>3236</v>
      </c>
      <c r="C3641" s="91" t="s">
        <v>1277</v>
      </c>
    </row>
    <row r="3642" spans="1:3" ht="15">
      <c r="A3642" s="84" t="s">
        <v>388</v>
      </c>
      <c r="B3642" s="83" t="s">
        <v>3237</v>
      </c>
      <c r="C3642" s="91" t="s">
        <v>1277</v>
      </c>
    </row>
    <row r="3643" spans="1:3" ht="15">
      <c r="A3643" s="84" t="s">
        <v>388</v>
      </c>
      <c r="B3643" s="83" t="s">
        <v>3238</v>
      </c>
      <c r="C3643" s="91" t="s">
        <v>1277</v>
      </c>
    </row>
    <row r="3644" spans="1:3" ht="15">
      <c r="A3644" s="84" t="s">
        <v>388</v>
      </c>
      <c r="B3644" s="83" t="s">
        <v>3239</v>
      </c>
      <c r="C3644" s="91" t="s">
        <v>1277</v>
      </c>
    </row>
    <row r="3645" spans="1:3" ht="15">
      <c r="A3645" s="84" t="s">
        <v>388</v>
      </c>
      <c r="B3645" s="83" t="s">
        <v>3240</v>
      </c>
      <c r="C3645" s="91" t="s">
        <v>1277</v>
      </c>
    </row>
    <row r="3646" spans="1:3" ht="15">
      <c r="A3646" s="84" t="s">
        <v>388</v>
      </c>
      <c r="B3646" s="83" t="s">
        <v>3241</v>
      </c>
      <c r="C3646" s="91" t="s">
        <v>1277</v>
      </c>
    </row>
    <row r="3647" spans="1:3" ht="15">
      <c r="A3647" s="84" t="s">
        <v>388</v>
      </c>
      <c r="B3647" s="83" t="s">
        <v>3242</v>
      </c>
      <c r="C3647" s="91" t="s">
        <v>1277</v>
      </c>
    </row>
    <row r="3648" spans="1:3" ht="15">
      <c r="A3648" s="84" t="s">
        <v>388</v>
      </c>
      <c r="B3648" s="83" t="s">
        <v>2767</v>
      </c>
      <c r="C3648" s="91" t="s">
        <v>1277</v>
      </c>
    </row>
    <row r="3649" spans="1:3" ht="15">
      <c r="A3649" s="84" t="s">
        <v>388</v>
      </c>
      <c r="B3649" s="83" t="s">
        <v>3243</v>
      </c>
      <c r="C3649" s="91" t="s">
        <v>1277</v>
      </c>
    </row>
    <row r="3650" spans="1:3" ht="15">
      <c r="A3650" s="84" t="s">
        <v>388</v>
      </c>
      <c r="B3650" s="83" t="s">
        <v>3244</v>
      </c>
      <c r="C3650" s="91" t="s">
        <v>1277</v>
      </c>
    </row>
    <row r="3651" spans="1:3" ht="15">
      <c r="A3651" s="84" t="s">
        <v>388</v>
      </c>
      <c r="B3651" s="83" t="s">
        <v>3223</v>
      </c>
      <c r="C3651" s="91" t="s">
        <v>1277</v>
      </c>
    </row>
    <row r="3652" spans="1:3" ht="15">
      <c r="A3652" s="84" t="s">
        <v>388</v>
      </c>
      <c r="B3652" s="83" t="s">
        <v>3266</v>
      </c>
      <c r="C3652" s="91" t="s">
        <v>1277</v>
      </c>
    </row>
    <row r="3653" spans="1:3" ht="15">
      <c r="A3653" s="84" t="s">
        <v>388</v>
      </c>
      <c r="B3653" s="83" t="s">
        <v>3267</v>
      </c>
      <c r="C3653" s="91" t="s">
        <v>1275</v>
      </c>
    </row>
    <row r="3654" spans="1:3" ht="15">
      <c r="A3654" s="84" t="s">
        <v>388</v>
      </c>
      <c r="B3654" s="83" t="s">
        <v>2581</v>
      </c>
      <c r="C3654" s="91" t="s">
        <v>1275</v>
      </c>
    </row>
    <row r="3655" spans="1:3" ht="15">
      <c r="A3655" s="84" t="s">
        <v>388</v>
      </c>
      <c r="B3655" s="83" t="s">
        <v>2586</v>
      </c>
      <c r="C3655" s="91" t="s">
        <v>1275</v>
      </c>
    </row>
    <row r="3656" spans="1:3" ht="15">
      <c r="A3656" s="84" t="s">
        <v>388</v>
      </c>
      <c r="B3656" s="83" t="s">
        <v>2595</v>
      </c>
      <c r="C3656" s="91" t="s">
        <v>1275</v>
      </c>
    </row>
    <row r="3657" spans="1:3" ht="15">
      <c r="A3657" s="84" t="s">
        <v>388</v>
      </c>
      <c r="B3657" s="83" t="s">
        <v>2568</v>
      </c>
      <c r="C3657" s="91" t="s">
        <v>1275</v>
      </c>
    </row>
    <row r="3658" spans="1:3" ht="15">
      <c r="A3658" s="84" t="s">
        <v>388</v>
      </c>
      <c r="B3658" s="83" t="s">
        <v>2592</v>
      </c>
      <c r="C3658" s="91" t="s">
        <v>1275</v>
      </c>
    </row>
    <row r="3659" spans="1:3" ht="15">
      <c r="A3659" s="84" t="s">
        <v>388</v>
      </c>
      <c r="B3659" s="83" t="s">
        <v>3213</v>
      </c>
      <c r="C3659" s="91" t="s">
        <v>1275</v>
      </c>
    </row>
    <row r="3660" spans="1:3" ht="15">
      <c r="A3660" s="84" t="s">
        <v>388</v>
      </c>
      <c r="B3660" s="83" t="s">
        <v>2576</v>
      </c>
      <c r="C3660" s="91" t="s">
        <v>1275</v>
      </c>
    </row>
    <row r="3661" spans="1:3" ht="15">
      <c r="A3661" s="84" t="s">
        <v>388</v>
      </c>
      <c r="B3661" s="83" t="s">
        <v>3229</v>
      </c>
      <c r="C3661" s="91" t="s">
        <v>1275</v>
      </c>
    </row>
    <row r="3662" spans="1:3" ht="15">
      <c r="A3662" s="84" t="s">
        <v>388</v>
      </c>
      <c r="B3662" s="83" t="s">
        <v>3230</v>
      </c>
      <c r="C3662" s="91" t="s">
        <v>1275</v>
      </c>
    </row>
    <row r="3663" spans="1:3" ht="15">
      <c r="A3663" s="84" t="s">
        <v>388</v>
      </c>
      <c r="B3663" s="83" t="s">
        <v>2598</v>
      </c>
      <c r="C3663" s="91" t="s">
        <v>1275</v>
      </c>
    </row>
    <row r="3664" spans="1:3" ht="15">
      <c r="A3664" s="84" t="s">
        <v>388</v>
      </c>
      <c r="B3664" s="83" t="s">
        <v>3231</v>
      </c>
      <c r="C3664" s="91" t="s">
        <v>1275</v>
      </c>
    </row>
    <row r="3665" spans="1:3" ht="15">
      <c r="A3665" s="84" t="s">
        <v>388</v>
      </c>
      <c r="B3665" s="83" t="s">
        <v>3232</v>
      </c>
      <c r="C3665" s="91" t="s">
        <v>1275</v>
      </c>
    </row>
    <row r="3666" spans="1:3" ht="15">
      <c r="A3666" s="84" t="s">
        <v>388</v>
      </c>
      <c r="B3666" s="83" t="s">
        <v>3233</v>
      </c>
      <c r="C3666" s="91" t="s">
        <v>1275</v>
      </c>
    </row>
    <row r="3667" spans="1:3" ht="15">
      <c r="A3667" s="84" t="s">
        <v>388</v>
      </c>
      <c r="B3667" s="83" t="s">
        <v>3211</v>
      </c>
      <c r="C3667" s="91" t="s">
        <v>1275</v>
      </c>
    </row>
    <row r="3668" spans="1:3" ht="15">
      <c r="A3668" s="84" t="s">
        <v>388</v>
      </c>
      <c r="B3668" s="83" t="s">
        <v>3199</v>
      </c>
      <c r="C3668" s="91" t="s">
        <v>1275</v>
      </c>
    </row>
    <row r="3669" spans="1:3" ht="15">
      <c r="A3669" s="84" t="s">
        <v>388</v>
      </c>
      <c r="B3669" s="83" t="s">
        <v>3218</v>
      </c>
      <c r="C3669" s="91" t="s">
        <v>1275</v>
      </c>
    </row>
    <row r="3670" spans="1:3" ht="15">
      <c r="A3670" s="84" t="s">
        <v>388</v>
      </c>
      <c r="B3670" s="83" t="s">
        <v>3234</v>
      </c>
      <c r="C3670" s="91" t="s">
        <v>1275</v>
      </c>
    </row>
    <row r="3671" spans="1:3" ht="15">
      <c r="A3671" s="84" t="s">
        <v>388</v>
      </c>
      <c r="B3671" s="83" t="s">
        <v>3235</v>
      </c>
      <c r="C3671" s="91" t="s">
        <v>1275</v>
      </c>
    </row>
    <row r="3672" spans="1:3" ht="15">
      <c r="A3672" s="84" t="s">
        <v>388</v>
      </c>
      <c r="B3672" s="83" t="s">
        <v>3236</v>
      </c>
      <c r="C3672" s="91" t="s">
        <v>1275</v>
      </c>
    </row>
    <row r="3673" spans="1:3" ht="15">
      <c r="A3673" s="84" t="s">
        <v>388</v>
      </c>
      <c r="B3673" s="83" t="s">
        <v>3237</v>
      </c>
      <c r="C3673" s="91" t="s">
        <v>1275</v>
      </c>
    </row>
    <row r="3674" spans="1:3" ht="15">
      <c r="A3674" s="84" t="s">
        <v>388</v>
      </c>
      <c r="B3674" s="83" t="s">
        <v>3238</v>
      </c>
      <c r="C3674" s="91" t="s">
        <v>1275</v>
      </c>
    </row>
    <row r="3675" spans="1:3" ht="15">
      <c r="A3675" s="84" t="s">
        <v>388</v>
      </c>
      <c r="B3675" s="83" t="s">
        <v>3239</v>
      </c>
      <c r="C3675" s="91" t="s">
        <v>1275</v>
      </c>
    </row>
    <row r="3676" spans="1:3" ht="15">
      <c r="A3676" s="84" t="s">
        <v>388</v>
      </c>
      <c r="B3676" s="83" t="s">
        <v>3240</v>
      </c>
      <c r="C3676" s="91" t="s">
        <v>1275</v>
      </c>
    </row>
    <row r="3677" spans="1:3" ht="15">
      <c r="A3677" s="84" t="s">
        <v>388</v>
      </c>
      <c r="B3677" s="83" t="s">
        <v>3241</v>
      </c>
      <c r="C3677" s="91" t="s">
        <v>1275</v>
      </c>
    </row>
    <row r="3678" spans="1:3" ht="15">
      <c r="A3678" s="84" t="s">
        <v>388</v>
      </c>
      <c r="B3678" s="83" t="s">
        <v>3242</v>
      </c>
      <c r="C3678" s="91" t="s">
        <v>1275</v>
      </c>
    </row>
    <row r="3679" spans="1:3" ht="15">
      <c r="A3679" s="84" t="s">
        <v>388</v>
      </c>
      <c r="B3679" s="83" t="s">
        <v>2767</v>
      </c>
      <c r="C3679" s="91" t="s">
        <v>1275</v>
      </c>
    </row>
    <row r="3680" spans="1:3" ht="15">
      <c r="A3680" s="84" t="s">
        <v>388</v>
      </c>
      <c r="B3680" s="83" t="s">
        <v>3243</v>
      </c>
      <c r="C3680" s="91" t="s">
        <v>1275</v>
      </c>
    </row>
    <row r="3681" spans="1:3" ht="15">
      <c r="A3681" s="84" t="s">
        <v>388</v>
      </c>
      <c r="B3681" s="83" t="s">
        <v>3244</v>
      </c>
      <c r="C3681" s="91" t="s">
        <v>1275</v>
      </c>
    </row>
    <row r="3682" spans="1:3" ht="15">
      <c r="A3682" s="84" t="s">
        <v>388</v>
      </c>
      <c r="B3682" s="83" t="s">
        <v>3223</v>
      </c>
      <c r="C3682" s="91" t="s">
        <v>1275</v>
      </c>
    </row>
    <row r="3683" spans="1:3" ht="15">
      <c r="A3683" s="84" t="s">
        <v>388</v>
      </c>
      <c r="B3683" s="83" t="s">
        <v>3226</v>
      </c>
      <c r="C3683" s="91" t="s">
        <v>1274</v>
      </c>
    </row>
    <row r="3684" spans="1:3" ht="15">
      <c r="A3684" s="84" t="s">
        <v>388</v>
      </c>
      <c r="B3684" s="83" t="s">
        <v>3227</v>
      </c>
      <c r="C3684" s="91" t="s">
        <v>1274</v>
      </c>
    </row>
    <row r="3685" spans="1:3" ht="15">
      <c r="A3685" s="84" t="s">
        <v>388</v>
      </c>
      <c r="B3685" s="83" t="s">
        <v>2607</v>
      </c>
      <c r="C3685" s="91" t="s">
        <v>1274</v>
      </c>
    </row>
    <row r="3686" spans="1:3" ht="15">
      <c r="A3686" s="84" t="s">
        <v>388</v>
      </c>
      <c r="B3686" s="83" t="s">
        <v>2698</v>
      </c>
      <c r="C3686" s="91" t="s">
        <v>1274</v>
      </c>
    </row>
    <row r="3687" spans="1:3" ht="15">
      <c r="A3687" s="84" t="s">
        <v>388</v>
      </c>
      <c r="B3687" s="83" t="s">
        <v>2699</v>
      </c>
      <c r="C3687" s="91" t="s">
        <v>1274</v>
      </c>
    </row>
    <row r="3688" spans="1:3" ht="15">
      <c r="A3688" s="84" t="s">
        <v>388</v>
      </c>
      <c r="B3688" s="83" t="s">
        <v>3228</v>
      </c>
      <c r="C3688" s="91" t="s">
        <v>1274</v>
      </c>
    </row>
    <row r="3689" spans="1:3" ht="15">
      <c r="A3689" s="84" t="s">
        <v>388</v>
      </c>
      <c r="B3689" s="83" t="s">
        <v>2581</v>
      </c>
      <c r="C3689" s="91" t="s">
        <v>1274</v>
      </c>
    </row>
    <row r="3690" spans="1:3" ht="15">
      <c r="A3690" s="84" t="s">
        <v>388</v>
      </c>
      <c r="B3690" s="83" t="s">
        <v>2586</v>
      </c>
      <c r="C3690" s="91" t="s">
        <v>1274</v>
      </c>
    </row>
    <row r="3691" spans="1:3" ht="15">
      <c r="A3691" s="84" t="s">
        <v>388</v>
      </c>
      <c r="B3691" s="83" t="s">
        <v>2595</v>
      </c>
      <c r="C3691" s="91" t="s">
        <v>1274</v>
      </c>
    </row>
    <row r="3692" spans="1:3" ht="15">
      <c r="A3692" s="84" t="s">
        <v>388</v>
      </c>
      <c r="B3692" s="83" t="s">
        <v>2568</v>
      </c>
      <c r="C3692" s="91" t="s">
        <v>1274</v>
      </c>
    </row>
    <row r="3693" spans="1:3" ht="15">
      <c r="A3693" s="84" t="s">
        <v>388</v>
      </c>
      <c r="B3693" s="83" t="s">
        <v>2592</v>
      </c>
      <c r="C3693" s="91" t="s">
        <v>1274</v>
      </c>
    </row>
    <row r="3694" spans="1:3" ht="15">
      <c r="A3694" s="84" t="s">
        <v>388</v>
      </c>
      <c r="B3694" s="83" t="s">
        <v>3213</v>
      </c>
      <c r="C3694" s="91" t="s">
        <v>1274</v>
      </c>
    </row>
    <row r="3695" spans="1:3" ht="15">
      <c r="A3695" s="84" t="s">
        <v>388</v>
      </c>
      <c r="B3695" s="83" t="s">
        <v>2576</v>
      </c>
      <c r="C3695" s="91" t="s">
        <v>1274</v>
      </c>
    </row>
    <row r="3696" spans="1:3" ht="15">
      <c r="A3696" s="84" t="s">
        <v>388</v>
      </c>
      <c r="B3696" s="83" t="s">
        <v>3229</v>
      </c>
      <c r="C3696" s="91" t="s">
        <v>1274</v>
      </c>
    </row>
    <row r="3697" spans="1:3" ht="15">
      <c r="A3697" s="84" t="s">
        <v>388</v>
      </c>
      <c r="B3697" s="83" t="s">
        <v>3230</v>
      </c>
      <c r="C3697" s="91" t="s">
        <v>1274</v>
      </c>
    </row>
    <row r="3698" spans="1:3" ht="15">
      <c r="A3698" s="84" t="s">
        <v>388</v>
      </c>
      <c r="B3698" s="83" t="s">
        <v>2598</v>
      </c>
      <c r="C3698" s="91" t="s">
        <v>1274</v>
      </c>
    </row>
    <row r="3699" spans="1:3" ht="15">
      <c r="A3699" s="84" t="s">
        <v>388</v>
      </c>
      <c r="B3699" s="83" t="s">
        <v>3231</v>
      </c>
      <c r="C3699" s="91" t="s">
        <v>1274</v>
      </c>
    </row>
    <row r="3700" spans="1:3" ht="15">
      <c r="A3700" s="84" t="s">
        <v>388</v>
      </c>
      <c r="B3700" s="83" t="s">
        <v>3232</v>
      </c>
      <c r="C3700" s="91" t="s">
        <v>1274</v>
      </c>
    </row>
    <row r="3701" spans="1:3" ht="15">
      <c r="A3701" s="84" t="s">
        <v>388</v>
      </c>
      <c r="B3701" s="83" t="s">
        <v>3233</v>
      </c>
      <c r="C3701" s="91" t="s">
        <v>1274</v>
      </c>
    </row>
    <row r="3702" spans="1:3" ht="15">
      <c r="A3702" s="84" t="s">
        <v>388</v>
      </c>
      <c r="B3702" s="83" t="s">
        <v>3211</v>
      </c>
      <c r="C3702" s="91" t="s">
        <v>1274</v>
      </c>
    </row>
    <row r="3703" spans="1:3" ht="15">
      <c r="A3703" s="84" t="s">
        <v>388</v>
      </c>
      <c r="B3703" s="83" t="s">
        <v>3199</v>
      </c>
      <c r="C3703" s="91" t="s">
        <v>1274</v>
      </c>
    </row>
    <row r="3704" spans="1:3" ht="15">
      <c r="A3704" s="84" t="s">
        <v>388</v>
      </c>
      <c r="B3704" s="83" t="s">
        <v>3218</v>
      </c>
      <c r="C3704" s="91" t="s">
        <v>1274</v>
      </c>
    </row>
    <row r="3705" spans="1:3" ht="15">
      <c r="A3705" s="84" t="s">
        <v>388</v>
      </c>
      <c r="B3705" s="83" t="s">
        <v>3234</v>
      </c>
      <c r="C3705" s="91" t="s">
        <v>1274</v>
      </c>
    </row>
    <row r="3706" spans="1:3" ht="15">
      <c r="A3706" s="84" t="s">
        <v>388</v>
      </c>
      <c r="B3706" s="83" t="s">
        <v>3235</v>
      </c>
      <c r="C3706" s="91" t="s">
        <v>1274</v>
      </c>
    </row>
    <row r="3707" spans="1:3" ht="15">
      <c r="A3707" s="84" t="s">
        <v>388</v>
      </c>
      <c r="B3707" s="83" t="s">
        <v>3236</v>
      </c>
      <c r="C3707" s="91" t="s">
        <v>1274</v>
      </c>
    </row>
    <row r="3708" spans="1:3" ht="15">
      <c r="A3708" s="84" t="s">
        <v>388</v>
      </c>
      <c r="B3708" s="83" t="s">
        <v>3237</v>
      </c>
      <c r="C3708" s="91" t="s">
        <v>1274</v>
      </c>
    </row>
    <row r="3709" spans="1:3" ht="15">
      <c r="A3709" s="84" t="s">
        <v>388</v>
      </c>
      <c r="B3709" s="83" t="s">
        <v>3238</v>
      </c>
      <c r="C3709" s="91" t="s">
        <v>1274</v>
      </c>
    </row>
    <row r="3710" spans="1:3" ht="15">
      <c r="A3710" s="84" t="s">
        <v>388</v>
      </c>
      <c r="B3710" s="83" t="s">
        <v>3239</v>
      </c>
      <c r="C3710" s="91" t="s">
        <v>1274</v>
      </c>
    </row>
    <row r="3711" spans="1:3" ht="15">
      <c r="A3711" s="84" t="s">
        <v>388</v>
      </c>
      <c r="B3711" s="83" t="s">
        <v>3240</v>
      </c>
      <c r="C3711" s="91" t="s">
        <v>1274</v>
      </c>
    </row>
    <row r="3712" spans="1:3" ht="15">
      <c r="A3712" s="84" t="s">
        <v>388</v>
      </c>
      <c r="B3712" s="83" t="s">
        <v>3241</v>
      </c>
      <c r="C3712" s="91" t="s">
        <v>1274</v>
      </c>
    </row>
    <row r="3713" spans="1:3" ht="15">
      <c r="A3713" s="84" t="s">
        <v>388</v>
      </c>
      <c r="B3713" s="83" t="s">
        <v>3242</v>
      </c>
      <c r="C3713" s="91" t="s">
        <v>1274</v>
      </c>
    </row>
    <row r="3714" spans="1:3" ht="15">
      <c r="A3714" s="84" t="s">
        <v>388</v>
      </c>
      <c r="B3714" s="83" t="s">
        <v>2767</v>
      </c>
      <c r="C3714" s="91" t="s">
        <v>1274</v>
      </c>
    </row>
    <row r="3715" spans="1:3" ht="15">
      <c r="A3715" s="84" t="s">
        <v>388</v>
      </c>
      <c r="B3715" s="83" t="s">
        <v>3243</v>
      </c>
      <c r="C3715" s="91" t="s">
        <v>1274</v>
      </c>
    </row>
    <row r="3716" spans="1:3" ht="15">
      <c r="A3716" s="84" t="s">
        <v>388</v>
      </c>
      <c r="B3716" s="83" t="s">
        <v>3244</v>
      </c>
      <c r="C3716" s="91" t="s">
        <v>1274</v>
      </c>
    </row>
    <row r="3717" spans="1:3" ht="15">
      <c r="A3717" s="84" t="s">
        <v>386</v>
      </c>
      <c r="B3717" s="83" t="s">
        <v>3279</v>
      </c>
      <c r="C3717" s="91" t="s">
        <v>1273</v>
      </c>
    </row>
    <row r="3718" spans="1:3" ht="15">
      <c r="A3718" s="84" t="s">
        <v>386</v>
      </c>
      <c r="B3718" s="83" t="s">
        <v>3280</v>
      </c>
      <c r="C3718" s="91" t="s">
        <v>1273</v>
      </c>
    </row>
    <row r="3719" spans="1:3" ht="15">
      <c r="A3719" s="84" t="s">
        <v>386</v>
      </c>
      <c r="B3719" s="83" t="s">
        <v>2581</v>
      </c>
      <c r="C3719" s="91" t="s">
        <v>1273</v>
      </c>
    </row>
    <row r="3720" spans="1:3" ht="15">
      <c r="A3720" s="84" t="s">
        <v>386</v>
      </c>
      <c r="B3720" s="83" t="s">
        <v>2675</v>
      </c>
      <c r="C3720" s="91" t="s">
        <v>1273</v>
      </c>
    </row>
    <row r="3721" spans="1:3" ht="15">
      <c r="A3721" s="84" t="s">
        <v>386</v>
      </c>
      <c r="B3721" s="83" t="s">
        <v>3281</v>
      </c>
      <c r="C3721" s="91" t="s">
        <v>1273</v>
      </c>
    </row>
    <row r="3722" spans="1:3" ht="15">
      <c r="A3722" s="84" t="s">
        <v>386</v>
      </c>
      <c r="B3722" s="83" t="s">
        <v>3213</v>
      </c>
      <c r="C3722" s="91" t="s">
        <v>1273</v>
      </c>
    </row>
    <row r="3723" spans="1:3" ht="15">
      <c r="A3723" s="84" t="s">
        <v>386</v>
      </c>
      <c r="B3723" s="83" t="s">
        <v>3266</v>
      </c>
      <c r="C3723" s="91" t="s">
        <v>1273</v>
      </c>
    </row>
    <row r="3724" spans="1:3" ht="15">
      <c r="A3724" s="84" t="s">
        <v>386</v>
      </c>
      <c r="B3724" s="83" t="s">
        <v>2577</v>
      </c>
      <c r="C3724" s="91" t="s">
        <v>1273</v>
      </c>
    </row>
    <row r="3725" spans="1:3" ht="15">
      <c r="A3725" s="84" t="s">
        <v>386</v>
      </c>
      <c r="B3725" s="83" t="s">
        <v>3198</v>
      </c>
      <c r="C3725" s="91" t="s">
        <v>1273</v>
      </c>
    </row>
    <row r="3726" spans="1:3" ht="15">
      <c r="A3726" s="84" t="s">
        <v>386</v>
      </c>
      <c r="B3726" s="83" t="s">
        <v>3282</v>
      </c>
      <c r="C3726" s="91" t="s">
        <v>1273</v>
      </c>
    </row>
    <row r="3727" spans="1:3" ht="15">
      <c r="A3727" s="84" t="s">
        <v>386</v>
      </c>
      <c r="B3727" s="83" t="s">
        <v>3283</v>
      </c>
      <c r="C3727" s="91" t="s">
        <v>1273</v>
      </c>
    </row>
    <row r="3728" spans="1:3" ht="15">
      <c r="A3728" s="84" t="s">
        <v>386</v>
      </c>
      <c r="B3728" s="83" t="s">
        <v>3214</v>
      </c>
      <c r="C3728" s="91" t="s">
        <v>1273</v>
      </c>
    </row>
    <row r="3729" spans="1:3" ht="15">
      <c r="A3729" s="84" t="s">
        <v>386</v>
      </c>
      <c r="B3729" s="83" t="s">
        <v>3211</v>
      </c>
      <c r="C3729" s="91" t="s">
        <v>1273</v>
      </c>
    </row>
    <row r="3730" spans="1:3" ht="15">
      <c r="A3730" s="84" t="s">
        <v>386</v>
      </c>
      <c r="B3730" s="83" t="s">
        <v>3215</v>
      </c>
      <c r="C3730" s="91" t="s">
        <v>1273</v>
      </c>
    </row>
    <row r="3731" spans="1:3" ht="15">
      <c r="A3731" s="84" t="s">
        <v>386</v>
      </c>
      <c r="B3731" s="83" t="s">
        <v>3199</v>
      </c>
      <c r="C3731" s="91" t="s">
        <v>1273</v>
      </c>
    </row>
    <row r="3732" spans="1:3" ht="15">
      <c r="A3732" s="84" t="s">
        <v>386</v>
      </c>
      <c r="B3732" s="83" t="s">
        <v>3218</v>
      </c>
      <c r="C3732" s="91" t="s">
        <v>1273</v>
      </c>
    </row>
    <row r="3733" spans="1:3" ht="15">
      <c r="A3733" s="84" t="s">
        <v>386</v>
      </c>
      <c r="B3733" s="83" t="s">
        <v>3235</v>
      </c>
      <c r="C3733" s="91" t="s">
        <v>1273</v>
      </c>
    </row>
    <row r="3734" spans="1:3" ht="15">
      <c r="A3734" s="84" t="s">
        <v>386</v>
      </c>
      <c r="B3734" s="83" t="s">
        <v>3236</v>
      </c>
      <c r="C3734" s="91" t="s">
        <v>1273</v>
      </c>
    </row>
    <row r="3735" spans="1:3" ht="15">
      <c r="A3735" s="84" t="s">
        <v>386</v>
      </c>
      <c r="B3735" s="83" t="s">
        <v>3220</v>
      </c>
      <c r="C3735" s="91" t="s">
        <v>1273</v>
      </c>
    </row>
    <row r="3736" spans="1:3" ht="15">
      <c r="A3736" s="84" t="s">
        <v>386</v>
      </c>
      <c r="B3736" s="83" t="s">
        <v>3221</v>
      </c>
      <c r="C3736" s="91" t="s">
        <v>1273</v>
      </c>
    </row>
    <row r="3737" spans="1:3" ht="15">
      <c r="A3737" s="84" t="s">
        <v>386</v>
      </c>
      <c r="B3737" s="83" t="s">
        <v>3237</v>
      </c>
      <c r="C3737" s="91" t="s">
        <v>1273</v>
      </c>
    </row>
    <row r="3738" spans="1:3" ht="15">
      <c r="A3738" s="84" t="s">
        <v>386</v>
      </c>
      <c r="B3738" s="83" t="s">
        <v>3284</v>
      </c>
      <c r="C3738" s="91" t="s">
        <v>1273</v>
      </c>
    </row>
    <row r="3739" spans="1:3" ht="15">
      <c r="A3739" s="84" t="s">
        <v>386</v>
      </c>
      <c r="B3739" s="83" t="s">
        <v>3285</v>
      </c>
      <c r="C3739" s="91" t="s">
        <v>1273</v>
      </c>
    </row>
    <row r="3740" spans="1:3" ht="15">
      <c r="A3740" s="84" t="s">
        <v>386</v>
      </c>
      <c r="B3740" s="83" t="s">
        <v>2632</v>
      </c>
      <c r="C3740" s="91" t="s">
        <v>1273</v>
      </c>
    </row>
    <row r="3741" spans="1:3" ht="15">
      <c r="A3741" s="84" t="s">
        <v>386</v>
      </c>
      <c r="B3741" s="83" t="s">
        <v>3286</v>
      </c>
      <c r="C3741" s="91" t="s">
        <v>1273</v>
      </c>
    </row>
    <row r="3742" spans="1:3" ht="15">
      <c r="A3742" s="84" t="s">
        <v>386</v>
      </c>
      <c r="B3742" s="83" t="s">
        <v>3226</v>
      </c>
      <c r="C3742" s="91" t="s">
        <v>1272</v>
      </c>
    </row>
    <row r="3743" spans="1:3" ht="15">
      <c r="A3743" s="84" t="s">
        <v>386</v>
      </c>
      <c r="B3743" s="83" t="s">
        <v>3227</v>
      </c>
      <c r="C3743" s="91" t="s">
        <v>1272</v>
      </c>
    </row>
    <row r="3744" spans="1:3" ht="15">
      <c r="A3744" s="84" t="s">
        <v>386</v>
      </c>
      <c r="B3744" s="83" t="s">
        <v>2607</v>
      </c>
      <c r="C3744" s="91" t="s">
        <v>1272</v>
      </c>
    </row>
    <row r="3745" spans="1:3" ht="15">
      <c r="A3745" s="84" t="s">
        <v>386</v>
      </c>
      <c r="B3745" s="83" t="s">
        <v>2698</v>
      </c>
      <c r="C3745" s="91" t="s">
        <v>1272</v>
      </c>
    </row>
    <row r="3746" spans="1:3" ht="15">
      <c r="A3746" s="84" t="s">
        <v>386</v>
      </c>
      <c r="B3746" s="83" t="s">
        <v>2699</v>
      </c>
      <c r="C3746" s="91" t="s">
        <v>1272</v>
      </c>
    </row>
    <row r="3747" spans="1:3" ht="15">
      <c r="A3747" s="84" t="s">
        <v>386</v>
      </c>
      <c r="B3747" s="83" t="s">
        <v>3228</v>
      </c>
      <c r="C3747" s="91" t="s">
        <v>1272</v>
      </c>
    </row>
    <row r="3748" spans="1:3" ht="15">
      <c r="A3748" s="84" t="s">
        <v>386</v>
      </c>
      <c r="B3748" s="83" t="s">
        <v>2581</v>
      </c>
      <c r="C3748" s="91" t="s">
        <v>1272</v>
      </c>
    </row>
    <row r="3749" spans="1:3" ht="15">
      <c r="A3749" s="84" t="s">
        <v>386</v>
      </c>
      <c r="B3749" s="83" t="s">
        <v>2586</v>
      </c>
      <c r="C3749" s="91" t="s">
        <v>1272</v>
      </c>
    </row>
    <row r="3750" spans="1:3" ht="15">
      <c r="A3750" s="84" t="s">
        <v>386</v>
      </c>
      <c r="B3750" s="83" t="s">
        <v>2595</v>
      </c>
      <c r="C3750" s="91" t="s">
        <v>1272</v>
      </c>
    </row>
    <row r="3751" spans="1:3" ht="15">
      <c r="A3751" s="84" t="s">
        <v>386</v>
      </c>
      <c r="B3751" s="83" t="s">
        <v>2568</v>
      </c>
      <c r="C3751" s="91" t="s">
        <v>1272</v>
      </c>
    </row>
    <row r="3752" spans="1:3" ht="15">
      <c r="A3752" s="84" t="s">
        <v>386</v>
      </c>
      <c r="B3752" s="83" t="s">
        <v>2592</v>
      </c>
      <c r="C3752" s="91" t="s">
        <v>1272</v>
      </c>
    </row>
    <row r="3753" spans="1:3" ht="15">
      <c r="A3753" s="84" t="s">
        <v>386</v>
      </c>
      <c r="B3753" s="83" t="s">
        <v>3213</v>
      </c>
      <c r="C3753" s="91" t="s">
        <v>1272</v>
      </c>
    </row>
    <row r="3754" spans="1:3" ht="15">
      <c r="A3754" s="84" t="s">
        <v>386</v>
      </c>
      <c r="B3754" s="83" t="s">
        <v>2576</v>
      </c>
      <c r="C3754" s="91" t="s">
        <v>1272</v>
      </c>
    </row>
    <row r="3755" spans="1:3" ht="15">
      <c r="A3755" s="84" t="s">
        <v>386</v>
      </c>
      <c r="B3755" s="83" t="s">
        <v>3229</v>
      </c>
      <c r="C3755" s="91" t="s">
        <v>1272</v>
      </c>
    </row>
    <row r="3756" spans="1:3" ht="15">
      <c r="A3756" s="84" t="s">
        <v>386</v>
      </c>
      <c r="B3756" s="83" t="s">
        <v>3230</v>
      </c>
      <c r="C3756" s="91" t="s">
        <v>1272</v>
      </c>
    </row>
    <row r="3757" spans="1:3" ht="15">
      <c r="A3757" s="84" t="s">
        <v>386</v>
      </c>
      <c r="B3757" s="83" t="s">
        <v>2598</v>
      </c>
      <c r="C3757" s="91" t="s">
        <v>1272</v>
      </c>
    </row>
    <row r="3758" spans="1:3" ht="15">
      <c r="A3758" s="84" t="s">
        <v>386</v>
      </c>
      <c r="B3758" s="83" t="s">
        <v>3231</v>
      </c>
      <c r="C3758" s="91" t="s">
        <v>1272</v>
      </c>
    </row>
    <row r="3759" spans="1:3" ht="15">
      <c r="A3759" s="84" t="s">
        <v>386</v>
      </c>
      <c r="B3759" s="83" t="s">
        <v>3232</v>
      </c>
      <c r="C3759" s="91" t="s">
        <v>1272</v>
      </c>
    </row>
    <row r="3760" spans="1:3" ht="15">
      <c r="A3760" s="84" t="s">
        <v>386</v>
      </c>
      <c r="B3760" s="83" t="s">
        <v>3233</v>
      </c>
      <c r="C3760" s="91" t="s">
        <v>1272</v>
      </c>
    </row>
    <row r="3761" spans="1:3" ht="15">
      <c r="A3761" s="84" t="s">
        <v>386</v>
      </c>
      <c r="B3761" s="83" t="s">
        <v>3211</v>
      </c>
      <c r="C3761" s="91" t="s">
        <v>1272</v>
      </c>
    </row>
    <row r="3762" spans="1:3" ht="15">
      <c r="A3762" s="84" t="s">
        <v>386</v>
      </c>
      <c r="B3762" s="83" t="s">
        <v>3199</v>
      </c>
      <c r="C3762" s="91" t="s">
        <v>1272</v>
      </c>
    </row>
    <row r="3763" spans="1:3" ht="15">
      <c r="A3763" s="84" t="s">
        <v>386</v>
      </c>
      <c r="B3763" s="83" t="s">
        <v>3218</v>
      </c>
      <c r="C3763" s="91" t="s">
        <v>1272</v>
      </c>
    </row>
    <row r="3764" spans="1:3" ht="15">
      <c r="A3764" s="84" t="s">
        <v>386</v>
      </c>
      <c r="B3764" s="83" t="s">
        <v>3234</v>
      </c>
      <c r="C3764" s="91" t="s">
        <v>1272</v>
      </c>
    </row>
    <row r="3765" spans="1:3" ht="15">
      <c r="A3765" s="84" t="s">
        <v>386</v>
      </c>
      <c r="B3765" s="83" t="s">
        <v>3235</v>
      </c>
      <c r="C3765" s="91" t="s">
        <v>1272</v>
      </c>
    </row>
    <row r="3766" spans="1:3" ht="15">
      <c r="A3766" s="84" t="s">
        <v>386</v>
      </c>
      <c r="B3766" s="83" t="s">
        <v>3236</v>
      </c>
      <c r="C3766" s="91" t="s">
        <v>1272</v>
      </c>
    </row>
    <row r="3767" spans="1:3" ht="15">
      <c r="A3767" s="84" t="s">
        <v>386</v>
      </c>
      <c r="B3767" s="83" t="s">
        <v>3237</v>
      </c>
      <c r="C3767" s="91" t="s">
        <v>1272</v>
      </c>
    </row>
    <row r="3768" spans="1:3" ht="15">
      <c r="A3768" s="84" t="s">
        <v>386</v>
      </c>
      <c r="B3768" s="83" t="s">
        <v>3238</v>
      </c>
      <c r="C3768" s="91" t="s">
        <v>1272</v>
      </c>
    </row>
    <row r="3769" spans="1:3" ht="15">
      <c r="A3769" s="84" t="s">
        <v>386</v>
      </c>
      <c r="B3769" s="83" t="s">
        <v>3239</v>
      </c>
      <c r="C3769" s="91" t="s">
        <v>1272</v>
      </c>
    </row>
    <row r="3770" spans="1:3" ht="15">
      <c r="A3770" s="84" t="s">
        <v>386</v>
      </c>
      <c r="B3770" s="83" t="s">
        <v>3240</v>
      </c>
      <c r="C3770" s="91" t="s">
        <v>1272</v>
      </c>
    </row>
    <row r="3771" spans="1:3" ht="15">
      <c r="A3771" s="84" t="s">
        <v>386</v>
      </c>
      <c r="B3771" s="83" t="s">
        <v>3241</v>
      </c>
      <c r="C3771" s="91" t="s">
        <v>1272</v>
      </c>
    </row>
    <row r="3772" spans="1:3" ht="15">
      <c r="A3772" s="84" t="s">
        <v>386</v>
      </c>
      <c r="B3772" s="83" t="s">
        <v>3242</v>
      </c>
      <c r="C3772" s="91" t="s">
        <v>1272</v>
      </c>
    </row>
    <row r="3773" spans="1:3" ht="15">
      <c r="A3773" s="84" t="s">
        <v>386</v>
      </c>
      <c r="B3773" s="83" t="s">
        <v>2767</v>
      </c>
      <c r="C3773" s="91" t="s">
        <v>1272</v>
      </c>
    </row>
    <row r="3774" spans="1:3" ht="15">
      <c r="A3774" s="84" t="s">
        <v>386</v>
      </c>
      <c r="B3774" s="83" t="s">
        <v>3243</v>
      </c>
      <c r="C3774" s="91" t="s">
        <v>1272</v>
      </c>
    </row>
    <row r="3775" spans="1:3" ht="15">
      <c r="A3775" s="84" t="s">
        <v>386</v>
      </c>
      <c r="B3775" s="83" t="s">
        <v>3395</v>
      </c>
      <c r="C3775" s="91" t="s">
        <v>1272</v>
      </c>
    </row>
    <row r="3776" spans="1:3" ht="15">
      <c r="A3776" s="84" t="s">
        <v>386</v>
      </c>
      <c r="B3776" s="83" t="s">
        <v>3279</v>
      </c>
      <c r="C3776" s="91" t="s">
        <v>1271</v>
      </c>
    </row>
    <row r="3777" spans="1:3" ht="15">
      <c r="A3777" s="84" t="s">
        <v>386</v>
      </c>
      <c r="B3777" s="83" t="s">
        <v>3280</v>
      </c>
      <c r="C3777" s="91" t="s">
        <v>1271</v>
      </c>
    </row>
    <row r="3778" spans="1:3" ht="15">
      <c r="A3778" s="84" t="s">
        <v>386</v>
      </c>
      <c r="B3778" s="83" t="s">
        <v>2581</v>
      </c>
      <c r="C3778" s="91" t="s">
        <v>1271</v>
      </c>
    </row>
    <row r="3779" spans="1:3" ht="15">
      <c r="A3779" s="84" t="s">
        <v>386</v>
      </c>
      <c r="B3779" s="83" t="s">
        <v>2675</v>
      </c>
      <c r="C3779" s="91" t="s">
        <v>1271</v>
      </c>
    </row>
    <row r="3780" spans="1:3" ht="15">
      <c r="A3780" s="84" t="s">
        <v>386</v>
      </c>
      <c r="B3780" s="83" t="s">
        <v>3281</v>
      </c>
      <c r="C3780" s="91" t="s">
        <v>1271</v>
      </c>
    </row>
    <row r="3781" spans="1:3" ht="15">
      <c r="A3781" s="84" t="s">
        <v>386</v>
      </c>
      <c r="B3781" s="83" t="s">
        <v>3213</v>
      </c>
      <c r="C3781" s="91" t="s">
        <v>1271</v>
      </c>
    </row>
    <row r="3782" spans="1:3" ht="15">
      <c r="A3782" s="84" t="s">
        <v>386</v>
      </c>
      <c r="B3782" s="83" t="s">
        <v>3266</v>
      </c>
      <c r="C3782" s="91" t="s">
        <v>1271</v>
      </c>
    </row>
    <row r="3783" spans="1:3" ht="15">
      <c r="A3783" s="84" t="s">
        <v>386</v>
      </c>
      <c r="B3783" s="83" t="s">
        <v>2577</v>
      </c>
      <c r="C3783" s="91" t="s">
        <v>1271</v>
      </c>
    </row>
    <row r="3784" spans="1:3" ht="15">
      <c r="A3784" s="84" t="s">
        <v>386</v>
      </c>
      <c r="B3784" s="83" t="s">
        <v>3198</v>
      </c>
      <c r="C3784" s="91" t="s">
        <v>1271</v>
      </c>
    </row>
    <row r="3785" spans="1:3" ht="15">
      <c r="A3785" s="84" t="s">
        <v>386</v>
      </c>
      <c r="B3785" s="83" t="s">
        <v>3282</v>
      </c>
      <c r="C3785" s="91" t="s">
        <v>1271</v>
      </c>
    </row>
    <row r="3786" spans="1:3" ht="15">
      <c r="A3786" s="84" t="s">
        <v>386</v>
      </c>
      <c r="B3786" s="83" t="s">
        <v>3283</v>
      </c>
      <c r="C3786" s="91" t="s">
        <v>1271</v>
      </c>
    </row>
    <row r="3787" spans="1:3" ht="15">
      <c r="A3787" s="84" t="s">
        <v>386</v>
      </c>
      <c r="B3787" s="83" t="s">
        <v>3214</v>
      </c>
      <c r="C3787" s="91" t="s">
        <v>1271</v>
      </c>
    </row>
    <row r="3788" spans="1:3" ht="15">
      <c r="A3788" s="84" t="s">
        <v>386</v>
      </c>
      <c r="B3788" s="83" t="s">
        <v>3211</v>
      </c>
      <c r="C3788" s="91" t="s">
        <v>1271</v>
      </c>
    </row>
    <row r="3789" spans="1:3" ht="15">
      <c r="A3789" s="84" t="s">
        <v>386</v>
      </c>
      <c r="B3789" s="83" t="s">
        <v>3215</v>
      </c>
      <c r="C3789" s="91" t="s">
        <v>1271</v>
      </c>
    </row>
    <row r="3790" spans="1:3" ht="15">
      <c r="A3790" s="84" t="s">
        <v>386</v>
      </c>
      <c r="B3790" s="83" t="s">
        <v>3199</v>
      </c>
      <c r="C3790" s="91" t="s">
        <v>1271</v>
      </c>
    </row>
    <row r="3791" spans="1:3" ht="15">
      <c r="A3791" s="84" t="s">
        <v>386</v>
      </c>
      <c r="B3791" s="83" t="s">
        <v>3218</v>
      </c>
      <c r="C3791" s="91" t="s">
        <v>1271</v>
      </c>
    </row>
    <row r="3792" spans="1:3" ht="15">
      <c r="A3792" s="84" t="s">
        <v>386</v>
      </c>
      <c r="B3792" s="83" t="s">
        <v>3235</v>
      </c>
      <c r="C3792" s="91" t="s">
        <v>1271</v>
      </c>
    </row>
    <row r="3793" spans="1:3" ht="15">
      <c r="A3793" s="84" t="s">
        <v>386</v>
      </c>
      <c r="B3793" s="83" t="s">
        <v>3236</v>
      </c>
      <c r="C3793" s="91" t="s">
        <v>1271</v>
      </c>
    </row>
    <row r="3794" spans="1:3" ht="15">
      <c r="A3794" s="84" t="s">
        <v>386</v>
      </c>
      <c r="B3794" s="83" t="s">
        <v>3220</v>
      </c>
      <c r="C3794" s="91" t="s">
        <v>1271</v>
      </c>
    </row>
    <row r="3795" spans="1:3" ht="15">
      <c r="A3795" s="84" t="s">
        <v>386</v>
      </c>
      <c r="B3795" s="83" t="s">
        <v>3221</v>
      </c>
      <c r="C3795" s="91" t="s">
        <v>1271</v>
      </c>
    </row>
    <row r="3796" spans="1:3" ht="15">
      <c r="A3796" s="84" t="s">
        <v>386</v>
      </c>
      <c r="B3796" s="83" t="s">
        <v>3237</v>
      </c>
      <c r="C3796" s="91" t="s">
        <v>1271</v>
      </c>
    </row>
    <row r="3797" spans="1:3" ht="15">
      <c r="A3797" s="84" t="s">
        <v>386</v>
      </c>
      <c r="B3797" s="83" t="s">
        <v>3284</v>
      </c>
      <c r="C3797" s="91" t="s">
        <v>1271</v>
      </c>
    </row>
    <row r="3798" spans="1:3" ht="15">
      <c r="A3798" s="84" t="s">
        <v>386</v>
      </c>
      <c r="B3798" s="83" t="s">
        <v>3285</v>
      </c>
      <c r="C3798" s="91" t="s">
        <v>1271</v>
      </c>
    </row>
    <row r="3799" spans="1:3" ht="15">
      <c r="A3799" s="84" t="s">
        <v>386</v>
      </c>
      <c r="B3799" s="83" t="s">
        <v>2632</v>
      </c>
      <c r="C3799" s="91" t="s">
        <v>1271</v>
      </c>
    </row>
    <row r="3800" spans="1:3" ht="15">
      <c r="A3800" s="84" t="s">
        <v>386</v>
      </c>
      <c r="B3800" s="83" t="s">
        <v>3286</v>
      </c>
      <c r="C3800" s="91" t="s">
        <v>1271</v>
      </c>
    </row>
    <row r="3801" spans="1:3" ht="15">
      <c r="A3801" s="84" t="s">
        <v>386</v>
      </c>
      <c r="B3801" s="83" t="s">
        <v>3328</v>
      </c>
      <c r="C3801" s="91" t="s">
        <v>1270</v>
      </c>
    </row>
    <row r="3802" spans="1:3" ht="15">
      <c r="A3802" s="84" t="s">
        <v>386</v>
      </c>
      <c r="B3802" s="83" t="s">
        <v>3225</v>
      </c>
      <c r="C3802" s="91" t="s">
        <v>1270</v>
      </c>
    </row>
    <row r="3803" spans="1:3" ht="15">
      <c r="A3803" s="84" t="s">
        <v>386</v>
      </c>
      <c r="B3803" s="83" t="s">
        <v>2648</v>
      </c>
      <c r="C3803" s="91" t="s">
        <v>1270</v>
      </c>
    </row>
    <row r="3804" spans="1:3" ht="15">
      <c r="A3804" s="84" t="s">
        <v>386</v>
      </c>
      <c r="B3804" s="83" t="s">
        <v>3408</v>
      </c>
      <c r="C3804" s="91" t="s">
        <v>1270</v>
      </c>
    </row>
    <row r="3805" spans="1:3" ht="15">
      <c r="A3805" s="84" t="s">
        <v>386</v>
      </c>
      <c r="B3805" s="83" t="s">
        <v>2582</v>
      </c>
      <c r="C3805" s="91" t="s">
        <v>1270</v>
      </c>
    </row>
    <row r="3806" spans="1:3" ht="15">
      <c r="A3806" s="84" t="s">
        <v>386</v>
      </c>
      <c r="B3806" s="83" t="s">
        <v>2589</v>
      </c>
      <c r="C3806" s="91" t="s">
        <v>1270</v>
      </c>
    </row>
    <row r="3807" spans="1:3" ht="15">
      <c r="A3807" s="84" t="s">
        <v>386</v>
      </c>
      <c r="B3807" s="83" t="s">
        <v>3409</v>
      </c>
      <c r="C3807" s="91" t="s">
        <v>1270</v>
      </c>
    </row>
    <row r="3808" spans="1:3" ht="15">
      <c r="A3808" s="84" t="s">
        <v>386</v>
      </c>
      <c r="B3808" s="83" t="s">
        <v>3203</v>
      </c>
      <c r="C3808" s="91" t="s">
        <v>1270</v>
      </c>
    </row>
    <row r="3809" spans="1:3" ht="15">
      <c r="A3809" s="84" t="s">
        <v>386</v>
      </c>
      <c r="B3809" s="83" t="s">
        <v>3410</v>
      </c>
      <c r="C3809" s="91" t="s">
        <v>1270</v>
      </c>
    </row>
    <row r="3810" spans="1:3" ht="15">
      <c r="A3810" s="84" t="s">
        <v>386</v>
      </c>
      <c r="B3810" s="83" t="s">
        <v>3198</v>
      </c>
      <c r="C3810" s="91" t="s">
        <v>1270</v>
      </c>
    </row>
    <row r="3811" spans="1:3" ht="15">
      <c r="A3811" s="84" t="s">
        <v>386</v>
      </c>
      <c r="B3811" s="83" t="s">
        <v>3214</v>
      </c>
      <c r="C3811" s="91" t="s">
        <v>1270</v>
      </c>
    </row>
    <row r="3812" spans="1:3" ht="15">
      <c r="A3812" s="84" t="s">
        <v>386</v>
      </c>
      <c r="B3812" s="83" t="s">
        <v>3411</v>
      </c>
      <c r="C3812" s="91" t="s">
        <v>1270</v>
      </c>
    </row>
    <row r="3813" spans="1:3" ht="15">
      <c r="A3813" s="84" t="s">
        <v>386</v>
      </c>
      <c r="B3813" s="83" t="s">
        <v>3412</v>
      </c>
      <c r="C3813" s="91" t="s">
        <v>1270</v>
      </c>
    </row>
    <row r="3814" spans="1:3" ht="15">
      <c r="A3814" s="84" t="s">
        <v>386</v>
      </c>
      <c r="B3814" s="83" t="s">
        <v>3413</v>
      </c>
      <c r="C3814" s="91" t="s">
        <v>1270</v>
      </c>
    </row>
    <row r="3815" spans="1:3" ht="15">
      <c r="A3815" s="84" t="s">
        <v>386</v>
      </c>
      <c r="B3815" s="83" t="s">
        <v>3215</v>
      </c>
      <c r="C3815" s="91" t="s">
        <v>1270</v>
      </c>
    </row>
    <row r="3816" spans="1:3" ht="15">
      <c r="A3816" s="84" t="s">
        <v>386</v>
      </c>
      <c r="B3816" s="83" t="s">
        <v>3414</v>
      </c>
      <c r="C3816" s="91" t="s">
        <v>1270</v>
      </c>
    </row>
    <row r="3817" spans="1:3" ht="15">
      <c r="A3817" s="84" t="s">
        <v>386</v>
      </c>
      <c r="B3817" s="83" t="s">
        <v>3415</v>
      </c>
      <c r="C3817" s="91" t="s">
        <v>1270</v>
      </c>
    </row>
    <row r="3818" spans="1:3" ht="15">
      <c r="A3818" s="84" t="s">
        <v>386</v>
      </c>
      <c r="B3818" s="83" t="s">
        <v>3416</v>
      </c>
      <c r="C3818" s="91" t="s">
        <v>1270</v>
      </c>
    </row>
    <row r="3819" spans="1:3" ht="15">
      <c r="A3819" s="84" t="s">
        <v>386</v>
      </c>
      <c r="B3819" s="83" t="s">
        <v>3417</v>
      </c>
      <c r="C3819" s="91" t="s">
        <v>1270</v>
      </c>
    </row>
    <row r="3820" spans="1:3" ht="15">
      <c r="A3820" s="84" t="s">
        <v>386</v>
      </c>
      <c r="B3820" s="83" t="s">
        <v>3418</v>
      </c>
      <c r="C3820" s="91" t="s">
        <v>1270</v>
      </c>
    </row>
    <row r="3821" spans="1:3" ht="15">
      <c r="A3821" s="84" t="s">
        <v>386</v>
      </c>
      <c r="B3821" s="83" t="s">
        <v>3419</v>
      </c>
      <c r="C3821" s="91" t="s">
        <v>1270</v>
      </c>
    </row>
    <row r="3822" spans="1:3" ht="15">
      <c r="A3822" s="84" t="s">
        <v>386</v>
      </c>
      <c r="B3822" s="83" t="s">
        <v>3221</v>
      </c>
      <c r="C3822" s="91" t="s">
        <v>1270</v>
      </c>
    </row>
    <row r="3823" spans="1:3" ht="15">
      <c r="A3823" s="84" t="s">
        <v>386</v>
      </c>
      <c r="B3823" s="83" t="s">
        <v>3254</v>
      </c>
      <c r="C3823" s="91" t="s">
        <v>1270</v>
      </c>
    </row>
    <row r="3824" spans="1:3" ht="15">
      <c r="A3824" s="84" t="s">
        <v>386</v>
      </c>
      <c r="B3824" s="83" t="s">
        <v>3420</v>
      </c>
      <c r="C3824" s="91" t="s">
        <v>1270</v>
      </c>
    </row>
    <row r="3825" spans="1:3" ht="15">
      <c r="A3825" s="84" t="s">
        <v>386</v>
      </c>
      <c r="B3825" s="83" t="s">
        <v>3421</v>
      </c>
      <c r="C3825" s="91" t="s">
        <v>1270</v>
      </c>
    </row>
    <row r="3826" spans="1:3" ht="15">
      <c r="A3826" s="84" t="s">
        <v>386</v>
      </c>
      <c r="B3826" s="83" t="s">
        <v>586</v>
      </c>
      <c r="C3826" s="91" t="s">
        <v>1270</v>
      </c>
    </row>
    <row r="3827" spans="1:3" ht="15">
      <c r="A3827" s="84" t="s">
        <v>386</v>
      </c>
      <c r="B3827" s="83" t="s">
        <v>3393</v>
      </c>
      <c r="C3827" s="91" t="s">
        <v>1270</v>
      </c>
    </row>
    <row r="3828" spans="1:3" ht="15">
      <c r="A3828" s="84" t="s">
        <v>386</v>
      </c>
      <c r="B3828" s="83" t="s">
        <v>3422</v>
      </c>
      <c r="C3828" s="91" t="s">
        <v>1270</v>
      </c>
    </row>
    <row r="3829" spans="1:3" ht="15">
      <c r="A3829" s="84" t="s">
        <v>386</v>
      </c>
      <c r="B3829" s="83" t="s">
        <v>3228</v>
      </c>
      <c r="C3829" s="91" t="s">
        <v>1269</v>
      </c>
    </row>
    <row r="3830" spans="1:3" ht="15">
      <c r="A3830" s="84" t="s">
        <v>386</v>
      </c>
      <c r="B3830" s="83" t="s">
        <v>2581</v>
      </c>
      <c r="C3830" s="91" t="s">
        <v>1269</v>
      </c>
    </row>
    <row r="3831" spans="1:3" ht="15">
      <c r="A3831" s="84" t="s">
        <v>386</v>
      </c>
      <c r="B3831" s="83" t="s">
        <v>2586</v>
      </c>
      <c r="C3831" s="91" t="s">
        <v>1269</v>
      </c>
    </row>
    <row r="3832" spans="1:3" ht="15">
      <c r="A3832" s="84" t="s">
        <v>386</v>
      </c>
      <c r="B3832" s="83" t="s">
        <v>2595</v>
      </c>
      <c r="C3832" s="91" t="s">
        <v>1269</v>
      </c>
    </row>
    <row r="3833" spans="1:3" ht="15">
      <c r="A3833" s="84" t="s">
        <v>386</v>
      </c>
      <c r="B3833" s="83" t="s">
        <v>2568</v>
      </c>
      <c r="C3833" s="91" t="s">
        <v>1269</v>
      </c>
    </row>
    <row r="3834" spans="1:3" ht="15">
      <c r="A3834" s="84" t="s">
        <v>386</v>
      </c>
      <c r="B3834" s="83" t="s">
        <v>2592</v>
      </c>
      <c r="C3834" s="91" t="s">
        <v>1269</v>
      </c>
    </row>
    <row r="3835" spans="1:3" ht="15">
      <c r="A3835" s="84" t="s">
        <v>386</v>
      </c>
      <c r="B3835" s="83" t="s">
        <v>3213</v>
      </c>
      <c r="C3835" s="91" t="s">
        <v>1269</v>
      </c>
    </row>
    <row r="3836" spans="1:3" ht="15">
      <c r="A3836" s="84" t="s">
        <v>386</v>
      </c>
      <c r="B3836" s="83" t="s">
        <v>2576</v>
      </c>
      <c r="C3836" s="91" t="s">
        <v>1269</v>
      </c>
    </row>
    <row r="3837" spans="1:3" ht="15">
      <c r="A3837" s="84" t="s">
        <v>386</v>
      </c>
      <c r="B3837" s="83" t="s">
        <v>3229</v>
      </c>
      <c r="C3837" s="91" t="s">
        <v>1269</v>
      </c>
    </row>
    <row r="3838" spans="1:3" ht="15">
      <c r="A3838" s="84" t="s">
        <v>386</v>
      </c>
      <c r="B3838" s="83" t="s">
        <v>3230</v>
      </c>
      <c r="C3838" s="91" t="s">
        <v>1269</v>
      </c>
    </row>
    <row r="3839" spans="1:3" ht="15">
      <c r="A3839" s="84" t="s">
        <v>386</v>
      </c>
      <c r="B3839" s="83" t="s">
        <v>2598</v>
      </c>
      <c r="C3839" s="91" t="s">
        <v>1269</v>
      </c>
    </row>
    <row r="3840" spans="1:3" ht="15">
      <c r="A3840" s="84" t="s">
        <v>386</v>
      </c>
      <c r="B3840" s="83" t="s">
        <v>3231</v>
      </c>
      <c r="C3840" s="91" t="s">
        <v>1269</v>
      </c>
    </row>
    <row r="3841" spans="1:3" ht="15">
      <c r="A3841" s="84" t="s">
        <v>386</v>
      </c>
      <c r="B3841" s="83" t="s">
        <v>3232</v>
      </c>
      <c r="C3841" s="91" t="s">
        <v>1269</v>
      </c>
    </row>
    <row r="3842" spans="1:3" ht="15">
      <c r="A3842" s="84" t="s">
        <v>386</v>
      </c>
      <c r="B3842" s="83" t="s">
        <v>3233</v>
      </c>
      <c r="C3842" s="91" t="s">
        <v>1269</v>
      </c>
    </row>
    <row r="3843" spans="1:3" ht="15">
      <c r="A3843" s="84" t="s">
        <v>386</v>
      </c>
      <c r="B3843" s="83" t="s">
        <v>3211</v>
      </c>
      <c r="C3843" s="91" t="s">
        <v>1269</v>
      </c>
    </row>
    <row r="3844" spans="1:3" ht="15">
      <c r="A3844" s="84" t="s">
        <v>386</v>
      </c>
      <c r="B3844" s="83" t="s">
        <v>3199</v>
      </c>
      <c r="C3844" s="91" t="s">
        <v>1269</v>
      </c>
    </row>
    <row r="3845" spans="1:3" ht="15">
      <c r="A3845" s="84" t="s">
        <v>386</v>
      </c>
      <c r="B3845" s="83" t="s">
        <v>3218</v>
      </c>
      <c r="C3845" s="91" t="s">
        <v>1269</v>
      </c>
    </row>
    <row r="3846" spans="1:3" ht="15">
      <c r="A3846" s="84" t="s">
        <v>386</v>
      </c>
      <c r="B3846" s="83" t="s">
        <v>3234</v>
      </c>
      <c r="C3846" s="91" t="s">
        <v>1269</v>
      </c>
    </row>
    <row r="3847" spans="1:3" ht="15">
      <c r="A3847" s="84" t="s">
        <v>386</v>
      </c>
      <c r="B3847" s="83" t="s">
        <v>3235</v>
      </c>
      <c r="C3847" s="91" t="s">
        <v>1269</v>
      </c>
    </row>
    <row r="3848" spans="1:3" ht="15">
      <c r="A3848" s="84" t="s">
        <v>386</v>
      </c>
      <c r="B3848" s="83" t="s">
        <v>3236</v>
      </c>
      <c r="C3848" s="91" t="s">
        <v>1269</v>
      </c>
    </row>
    <row r="3849" spans="1:3" ht="15">
      <c r="A3849" s="84" t="s">
        <v>386</v>
      </c>
      <c r="B3849" s="83" t="s">
        <v>3237</v>
      </c>
      <c r="C3849" s="91" t="s">
        <v>1269</v>
      </c>
    </row>
    <row r="3850" spans="1:3" ht="15">
      <c r="A3850" s="84" t="s">
        <v>386</v>
      </c>
      <c r="B3850" s="83" t="s">
        <v>3238</v>
      </c>
      <c r="C3850" s="91" t="s">
        <v>1269</v>
      </c>
    </row>
    <row r="3851" spans="1:3" ht="15">
      <c r="A3851" s="84" t="s">
        <v>386</v>
      </c>
      <c r="B3851" s="83" t="s">
        <v>3239</v>
      </c>
      <c r="C3851" s="91" t="s">
        <v>1269</v>
      </c>
    </row>
    <row r="3852" spans="1:3" ht="15">
      <c r="A3852" s="84" t="s">
        <v>386</v>
      </c>
      <c r="B3852" s="83" t="s">
        <v>3240</v>
      </c>
      <c r="C3852" s="91" t="s">
        <v>1269</v>
      </c>
    </row>
    <row r="3853" spans="1:3" ht="15">
      <c r="A3853" s="84" t="s">
        <v>386</v>
      </c>
      <c r="B3853" s="83" t="s">
        <v>3241</v>
      </c>
      <c r="C3853" s="91" t="s">
        <v>1269</v>
      </c>
    </row>
    <row r="3854" spans="1:3" ht="15">
      <c r="A3854" s="84" t="s">
        <v>386</v>
      </c>
      <c r="B3854" s="83" t="s">
        <v>3242</v>
      </c>
      <c r="C3854" s="91" t="s">
        <v>1269</v>
      </c>
    </row>
    <row r="3855" spans="1:3" ht="15">
      <c r="A3855" s="84" t="s">
        <v>386</v>
      </c>
      <c r="B3855" s="83" t="s">
        <v>2767</v>
      </c>
      <c r="C3855" s="91" t="s">
        <v>1269</v>
      </c>
    </row>
    <row r="3856" spans="1:3" ht="15">
      <c r="A3856" s="84" t="s">
        <v>386</v>
      </c>
      <c r="B3856" s="83" t="s">
        <v>3243</v>
      </c>
      <c r="C3856" s="91" t="s">
        <v>1269</v>
      </c>
    </row>
    <row r="3857" spans="1:3" ht="15">
      <c r="A3857" s="84" t="s">
        <v>386</v>
      </c>
      <c r="B3857" s="83" t="s">
        <v>3244</v>
      </c>
      <c r="C3857" s="91" t="s">
        <v>1269</v>
      </c>
    </row>
    <row r="3858" spans="1:3" ht="15">
      <c r="A3858" s="84" t="s">
        <v>386</v>
      </c>
      <c r="B3858" s="83" t="s">
        <v>3223</v>
      </c>
      <c r="C3858" s="91" t="s">
        <v>1269</v>
      </c>
    </row>
    <row r="3859" spans="1:3" ht="15">
      <c r="A3859" s="84" t="s">
        <v>386</v>
      </c>
      <c r="B3859" s="83" t="s">
        <v>3266</v>
      </c>
      <c r="C3859" s="91" t="s">
        <v>1269</v>
      </c>
    </row>
    <row r="3860" spans="1:3" ht="15">
      <c r="A3860" s="84" t="s">
        <v>386</v>
      </c>
      <c r="B3860" s="83" t="s">
        <v>3423</v>
      </c>
      <c r="C3860" s="91" t="s">
        <v>1268</v>
      </c>
    </row>
    <row r="3861" spans="1:3" ht="15">
      <c r="A3861" s="84" t="s">
        <v>386</v>
      </c>
      <c r="B3861" s="83" t="s">
        <v>3203</v>
      </c>
      <c r="C3861" s="91" t="s">
        <v>1268</v>
      </c>
    </row>
    <row r="3862" spans="1:3" ht="15">
      <c r="A3862" s="84" t="s">
        <v>386</v>
      </c>
      <c r="B3862" s="83">
        <v>19</v>
      </c>
      <c r="C3862" s="91" t="s">
        <v>1268</v>
      </c>
    </row>
    <row r="3863" spans="1:3" ht="15">
      <c r="A3863" s="84" t="s">
        <v>386</v>
      </c>
      <c r="B3863" s="83" t="s">
        <v>2697</v>
      </c>
      <c r="C3863" s="91" t="s">
        <v>1268</v>
      </c>
    </row>
    <row r="3864" spans="1:3" ht="15">
      <c r="A3864" s="84" t="s">
        <v>386</v>
      </c>
      <c r="B3864" s="83" t="s">
        <v>2590</v>
      </c>
      <c r="C3864" s="91" t="s">
        <v>1268</v>
      </c>
    </row>
    <row r="3865" spans="1:3" ht="15">
      <c r="A3865" s="84" t="s">
        <v>386</v>
      </c>
      <c r="B3865" s="83" t="s">
        <v>3424</v>
      </c>
      <c r="C3865" s="91" t="s">
        <v>1268</v>
      </c>
    </row>
    <row r="3866" spans="1:3" ht="15">
      <c r="A3866" s="84" t="s">
        <v>386</v>
      </c>
      <c r="B3866" s="83" t="s">
        <v>3198</v>
      </c>
      <c r="C3866" s="91" t="s">
        <v>1268</v>
      </c>
    </row>
    <row r="3867" spans="1:3" ht="15">
      <c r="A3867" s="84" t="s">
        <v>386</v>
      </c>
      <c r="B3867" s="83" t="s">
        <v>3411</v>
      </c>
      <c r="C3867" s="91" t="s">
        <v>1268</v>
      </c>
    </row>
    <row r="3868" spans="1:3" ht="15">
      <c r="A3868" s="84" t="s">
        <v>386</v>
      </c>
      <c r="B3868" s="83" t="s">
        <v>3223</v>
      </c>
      <c r="C3868" s="91" t="s">
        <v>1268</v>
      </c>
    </row>
    <row r="3869" spans="1:3" ht="15">
      <c r="A3869" s="84" t="s">
        <v>386</v>
      </c>
      <c r="B3869" s="83" t="s">
        <v>3412</v>
      </c>
      <c r="C3869" s="91" t="s">
        <v>1268</v>
      </c>
    </row>
    <row r="3870" spans="1:3" ht="15">
      <c r="A3870" s="84" t="s">
        <v>386</v>
      </c>
      <c r="B3870" s="83" t="s">
        <v>3413</v>
      </c>
      <c r="C3870" s="91" t="s">
        <v>1268</v>
      </c>
    </row>
    <row r="3871" spans="1:3" ht="15">
      <c r="A3871" s="84" t="s">
        <v>386</v>
      </c>
      <c r="B3871" s="83" t="s">
        <v>3215</v>
      </c>
      <c r="C3871" s="91" t="s">
        <v>1268</v>
      </c>
    </row>
    <row r="3872" spans="1:3" ht="15">
      <c r="A3872" s="84" t="s">
        <v>386</v>
      </c>
      <c r="B3872" s="83" t="s">
        <v>3414</v>
      </c>
      <c r="C3872" s="91" t="s">
        <v>1268</v>
      </c>
    </row>
    <row r="3873" spans="1:3" ht="15">
      <c r="A3873" s="84" t="s">
        <v>386</v>
      </c>
      <c r="B3873" s="83" t="s">
        <v>3415</v>
      </c>
      <c r="C3873" s="91" t="s">
        <v>1268</v>
      </c>
    </row>
    <row r="3874" spans="1:3" ht="15">
      <c r="A3874" s="84" t="s">
        <v>386</v>
      </c>
      <c r="B3874" s="83" t="s">
        <v>3416</v>
      </c>
      <c r="C3874" s="91" t="s">
        <v>1268</v>
      </c>
    </row>
    <row r="3875" spans="1:3" ht="15">
      <c r="A3875" s="84" t="s">
        <v>386</v>
      </c>
      <c r="B3875" s="83" t="s">
        <v>3425</v>
      </c>
      <c r="C3875" s="91" t="s">
        <v>1268</v>
      </c>
    </row>
    <row r="3876" spans="1:3" ht="15">
      <c r="A3876" s="84" t="s">
        <v>386</v>
      </c>
      <c r="B3876" s="83" t="s">
        <v>3418</v>
      </c>
      <c r="C3876" s="91" t="s">
        <v>1268</v>
      </c>
    </row>
    <row r="3877" spans="1:3" ht="15">
      <c r="A3877" s="84" t="s">
        <v>386</v>
      </c>
      <c r="B3877" s="83" t="s">
        <v>3219</v>
      </c>
      <c r="C3877" s="91" t="s">
        <v>1268</v>
      </c>
    </row>
    <row r="3878" spans="1:3" ht="15">
      <c r="A3878" s="84" t="s">
        <v>386</v>
      </c>
      <c r="B3878" s="83" t="s">
        <v>3221</v>
      </c>
      <c r="C3878" s="91" t="s">
        <v>1268</v>
      </c>
    </row>
    <row r="3879" spans="1:3" ht="15">
      <c r="A3879" s="84" t="s">
        <v>386</v>
      </c>
      <c r="B3879" s="83" t="s">
        <v>3254</v>
      </c>
      <c r="C3879" s="91" t="s">
        <v>1268</v>
      </c>
    </row>
    <row r="3880" spans="1:3" ht="15">
      <c r="A3880" s="84" t="s">
        <v>386</v>
      </c>
      <c r="B3880" s="83" t="s">
        <v>3421</v>
      </c>
      <c r="C3880" s="91" t="s">
        <v>1268</v>
      </c>
    </row>
    <row r="3881" spans="1:3" ht="15">
      <c r="A3881" s="84" t="s">
        <v>386</v>
      </c>
      <c r="B3881" s="83" t="s">
        <v>3199</v>
      </c>
      <c r="C3881" s="91" t="s">
        <v>1268</v>
      </c>
    </row>
    <row r="3882" spans="1:3" ht="15">
      <c r="A3882" s="84" t="s">
        <v>386</v>
      </c>
      <c r="B3882" s="83" t="s">
        <v>3393</v>
      </c>
      <c r="C3882" s="91" t="s">
        <v>1268</v>
      </c>
    </row>
    <row r="3883" spans="1:3" ht="15">
      <c r="A3883" s="84" t="s">
        <v>386</v>
      </c>
      <c r="B3883" s="83" t="s">
        <v>3426</v>
      </c>
      <c r="C3883" s="91" t="s">
        <v>1268</v>
      </c>
    </row>
    <row r="3884" spans="1:3" ht="15">
      <c r="A3884" s="84" t="s">
        <v>386</v>
      </c>
      <c r="B3884" s="83" t="s">
        <v>3420</v>
      </c>
      <c r="C3884" s="91" t="s">
        <v>1268</v>
      </c>
    </row>
    <row r="3885" spans="1:3" ht="15">
      <c r="A3885" s="84" t="s">
        <v>386</v>
      </c>
      <c r="B3885" s="83" t="s">
        <v>3423</v>
      </c>
      <c r="C3885" s="91" t="s">
        <v>1267</v>
      </c>
    </row>
    <row r="3886" spans="1:3" ht="15">
      <c r="A3886" s="84" t="s">
        <v>386</v>
      </c>
      <c r="B3886" s="83" t="s">
        <v>3203</v>
      </c>
      <c r="C3886" s="91" t="s">
        <v>1267</v>
      </c>
    </row>
    <row r="3887" spans="1:3" ht="15">
      <c r="A3887" s="84" t="s">
        <v>386</v>
      </c>
      <c r="B3887" s="83">
        <v>19</v>
      </c>
      <c r="C3887" s="91" t="s">
        <v>1267</v>
      </c>
    </row>
    <row r="3888" spans="1:3" ht="15">
      <c r="A3888" s="84" t="s">
        <v>386</v>
      </c>
      <c r="B3888" s="83" t="s">
        <v>2697</v>
      </c>
      <c r="C3888" s="91" t="s">
        <v>1267</v>
      </c>
    </row>
    <row r="3889" spans="1:3" ht="15">
      <c r="A3889" s="84" t="s">
        <v>386</v>
      </c>
      <c r="B3889" s="83" t="s">
        <v>2590</v>
      </c>
      <c r="C3889" s="91" t="s">
        <v>1267</v>
      </c>
    </row>
    <row r="3890" spans="1:3" ht="15">
      <c r="A3890" s="84" t="s">
        <v>386</v>
      </c>
      <c r="B3890" s="83" t="s">
        <v>3424</v>
      </c>
      <c r="C3890" s="91" t="s">
        <v>1267</v>
      </c>
    </row>
    <row r="3891" spans="1:3" ht="15">
      <c r="A3891" s="84" t="s">
        <v>386</v>
      </c>
      <c r="B3891" s="83" t="s">
        <v>3198</v>
      </c>
      <c r="C3891" s="91" t="s">
        <v>1267</v>
      </c>
    </row>
    <row r="3892" spans="1:3" ht="15">
      <c r="A3892" s="84" t="s">
        <v>386</v>
      </c>
      <c r="B3892" s="83" t="s">
        <v>3411</v>
      </c>
      <c r="C3892" s="91" t="s">
        <v>1267</v>
      </c>
    </row>
    <row r="3893" spans="1:3" ht="15">
      <c r="A3893" s="84" t="s">
        <v>386</v>
      </c>
      <c r="B3893" s="83" t="s">
        <v>3223</v>
      </c>
      <c r="C3893" s="91" t="s">
        <v>1267</v>
      </c>
    </row>
    <row r="3894" spans="1:3" ht="15">
      <c r="A3894" s="84" t="s">
        <v>386</v>
      </c>
      <c r="B3894" s="83" t="s">
        <v>3412</v>
      </c>
      <c r="C3894" s="91" t="s">
        <v>1267</v>
      </c>
    </row>
    <row r="3895" spans="1:3" ht="15">
      <c r="A3895" s="84" t="s">
        <v>386</v>
      </c>
      <c r="B3895" s="83" t="s">
        <v>3413</v>
      </c>
      <c r="C3895" s="91" t="s">
        <v>1267</v>
      </c>
    </row>
    <row r="3896" spans="1:3" ht="15">
      <c r="A3896" s="84" t="s">
        <v>386</v>
      </c>
      <c r="B3896" s="83" t="s">
        <v>3215</v>
      </c>
      <c r="C3896" s="91" t="s">
        <v>1267</v>
      </c>
    </row>
    <row r="3897" spans="1:3" ht="15">
      <c r="A3897" s="84" t="s">
        <v>386</v>
      </c>
      <c r="B3897" s="83" t="s">
        <v>3414</v>
      </c>
      <c r="C3897" s="91" t="s">
        <v>1267</v>
      </c>
    </row>
    <row r="3898" spans="1:3" ht="15">
      <c r="A3898" s="84" t="s">
        <v>386</v>
      </c>
      <c r="B3898" s="83" t="s">
        <v>3415</v>
      </c>
      <c r="C3898" s="91" t="s">
        <v>1267</v>
      </c>
    </row>
    <row r="3899" spans="1:3" ht="15">
      <c r="A3899" s="84" t="s">
        <v>386</v>
      </c>
      <c r="B3899" s="83" t="s">
        <v>3416</v>
      </c>
      <c r="C3899" s="91" t="s">
        <v>1267</v>
      </c>
    </row>
    <row r="3900" spans="1:3" ht="15">
      <c r="A3900" s="84" t="s">
        <v>386</v>
      </c>
      <c r="B3900" s="83" t="s">
        <v>3425</v>
      </c>
      <c r="C3900" s="91" t="s">
        <v>1267</v>
      </c>
    </row>
    <row r="3901" spans="1:3" ht="15">
      <c r="A3901" s="84" t="s">
        <v>386</v>
      </c>
      <c r="B3901" s="83" t="s">
        <v>3418</v>
      </c>
      <c r="C3901" s="91" t="s">
        <v>1267</v>
      </c>
    </row>
    <row r="3902" spans="1:3" ht="15">
      <c r="A3902" s="84" t="s">
        <v>386</v>
      </c>
      <c r="B3902" s="83" t="s">
        <v>3219</v>
      </c>
      <c r="C3902" s="91" t="s">
        <v>1267</v>
      </c>
    </row>
    <row r="3903" spans="1:3" ht="15">
      <c r="A3903" s="84" t="s">
        <v>386</v>
      </c>
      <c r="B3903" s="83" t="s">
        <v>3221</v>
      </c>
      <c r="C3903" s="91" t="s">
        <v>1267</v>
      </c>
    </row>
    <row r="3904" spans="1:3" ht="15">
      <c r="A3904" s="84" t="s">
        <v>386</v>
      </c>
      <c r="B3904" s="83" t="s">
        <v>3254</v>
      </c>
      <c r="C3904" s="91" t="s">
        <v>1267</v>
      </c>
    </row>
    <row r="3905" spans="1:3" ht="15">
      <c r="A3905" s="84" t="s">
        <v>386</v>
      </c>
      <c r="B3905" s="83" t="s">
        <v>3421</v>
      </c>
      <c r="C3905" s="91" t="s">
        <v>1267</v>
      </c>
    </row>
    <row r="3906" spans="1:3" ht="15">
      <c r="A3906" s="84" t="s">
        <v>386</v>
      </c>
      <c r="B3906" s="83" t="s">
        <v>3199</v>
      </c>
      <c r="C3906" s="91" t="s">
        <v>1267</v>
      </c>
    </row>
    <row r="3907" spans="1:3" ht="15">
      <c r="A3907" s="84" t="s">
        <v>386</v>
      </c>
      <c r="B3907" s="83" t="s">
        <v>3393</v>
      </c>
      <c r="C3907" s="91" t="s">
        <v>1267</v>
      </c>
    </row>
    <row r="3908" spans="1:3" ht="15">
      <c r="A3908" s="84" t="s">
        <v>386</v>
      </c>
      <c r="B3908" s="83" t="s">
        <v>3426</v>
      </c>
      <c r="C3908" s="91" t="s">
        <v>1267</v>
      </c>
    </row>
    <row r="3909" spans="1:3" ht="15">
      <c r="A3909" s="84" t="s">
        <v>386</v>
      </c>
      <c r="B3909" s="83" t="s">
        <v>3420</v>
      </c>
      <c r="C3909" s="91" t="s">
        <v>1267</v>
      </c>
    </row>
    <row r="3910" spans="1:3" ht="15">
      <c r="A3910" s="84" t="s">
        <v>386</v>
      </c>
      <c r="B3910" s="83" t="s">
        <v>3228</v>
      </c>
      <c r="C3910" s="91" t="s">
        <v>1266</v>
      </c>
    </row>
    <row r="3911" spans="1:3" ht="15">
      <c r="A3911" s="84" t="s">
        <v>386</v>
      </c>
      <c r="B3911" s="83" t="s">
        <v>2581</v>
      </c>
      <c r="C3911" s="91" t="s">
        <v>1266</v>
      </c>
    </row>
    <row r="3912" spans="1:3" ht="15">
      <c r="A3912" s="84" t="s">
        <v>386</v>
      </c>
      <c r="B3912" s="83" t="s">
        <v>2586</v>
      </c>
      <c r="C3912" s="91" t="s">
        <v>1266</v>
      </c>
    </row>
    <row r="3913" spans="1:3" ht="15">
      <c r="A3913" s="84" t="s">
        <v>386</v>
      </c>
      <c r="B3913" s="83" t="s">
        <v>2595</v>
      </c>
      <c r="C3913" s="91" t="s">
        <v>1266</v>
      </c>
    </row>
    <row r="3914" spans="1:3" ht="15">
      <c r="A3914" s="84" t="s">
        <v>386</v>
      </c>
      <c r="B3914" s="83" t="s">
        <v>2568</v>
      </c>
      <c r="C3914" s="91" t="s">
        <v>1266</v>
      </c>
    </row>
    <row r="3915" spans="1:3" ht="15">
      <c r="A3915" s="84" t="s">
        <v>386</v>
      </c>
      <c r="B3915" s="83" t="s">
        <v>2592</v>
      </c>
      <c r="C3915" s="91" t="s">
        <v>1266</v>
      </c>
    </row>
    <row r="3916" spans="1:3" ht="15">
      <c r="A3916" s="84" t="s">
        <v>386</v>
      </c>
      <c r="B3916" s="83" t="s">
        <v>3213</v>
      </c>
      <c r="C3916" s="91" t="s">
        <v>1266</v>
      </c>
    </row>
    <row r="3917" spans="1:3" ht="15">
      <c r="A3917" s="84" t="s">
        <v>386</v>
      </c>
      <c r="B3917" s="83" t="s">
        <v>2576</v>
      </c>
      <c r="C3917" s="91" t="s">
        <v>1266</v>
      </c>
    </row>
    <row r="3918" spans="1:3" ht="15">
      <c r="A3918" s="84" t="s">
        <v>386</v>
      </c>
      <c r="B3918" s="83" t="s">
        <v>3229</v>
      </c>
      <c r="C3918" s="91" t="s">
        <v>1266</v>
      </c>
    </row>
    <row r="3919" spans="1:3" ht="15">
      <c r="A3919" s="84" t="s">
        <v>386</v>
      </c>
      <c r="B3919" s="83" t="s">
        <v>3230</v>
      </c>
      <c r="C3919" s="91" t="s">
        <v>1266</v>
      </c>
    </row>
    <row r="3920" spans="1:3" ht="15">
      <c r="A3920" s="84" t="s">
        <v>386</v>
      </c>
      <c r="B3920" s="83" t="s">
        <v>2598</v>
      </c>
      <c r="C3920" s="91" t="s">
        <v>1266</v>
      </c>
    </row>
    <row r="3921" spans="1:3" ht="15">
      <c r="A3921" s="84" t="s">
        <v>386</v>
      </c>
      <c r="B3921" s="83" t="s">
        <v>3231</v>
      </c>
      <c r="C3921" s="91" t="s">
        <v>1266</v>
      </c>
    </row>
    <row r="3922" spans="1:3" ht="15">
      <c r="A3922" s="84" t="s">
        <v>386</v>
      </c>
      <c r="B3922" s="83" t="s">
        <v>3232</v>
      </c>
      <c r="C3922" s="91" t="s">
        <v>1266</v>
      </c>
    </row>
    <row r="3923" spans="1:3" ht="15">
      <c r="A3923" s="84" t="s">
        <v>386</v>
      </c>
      <c r="B3923" s="83" t="s">
        <v>3233</v>
      </c>
      <c r="C3923" s="91" t="s">
        <v>1266</v>
      </c>
    </row>
    <row r="3924" spans="1:3" ht="15">
      <c r="A3924" s="84" t="s">
        <v>386</v>
      </c>
      <c r="B3924" s="83" t="s">
        <v>3211</v>
      </c>
      <c r="C3924" s="91" t="s">
        <v>1266</v>
      </c>
    </row>
    <row r="3925" spans="1:3" ht="15">
      <c r="A3925" s="84" t="s">
        <v>386</v>
      </c>
      <c r="B3925" s="83" t="s">
        <v>3199</v>
      </c>
      <c r="C3925" s="91" t="s">
        <v>1266</v>
      </c>
    </row>
    <row r="3926" spans="1:3" ht="15">
      <c r="A3926" s="84" t="s">
        <v>386</v>
      </c>
      <c r="B3926" s="83" t="s">
        <v>3218</v>
      </c>
      <c r="C3926" s="91" t="s">
        <v>1266</v>
      </c>
    </row>
    <row r="3927" spans="1:3" ht="15">
      <c r="A3927" s="84" t="s">
        <v>386</v>
      </c>
      <c r="B3927" s="83" t="s">
        <v>3234</v>
      </c>
      <c r="C3927" s="91" t="s">
        <v>1266</v>
      </c>
    </row>
    <row r="3928" spans="1:3" ht="15">
      <c r="A3928" s="84" t="s">
        <v>386</v>
      </c>
      <c r="B3928" s="83" t="s">
        <v>3235</v>
      </c>
      <c r="C3928" s="91" t="s">
        <v>1266</v>
      </c>
    </row>
    <row r="3929" spans="1:3" ht="15">
      <c r="A3929" s="84" t="s">
        <v>386</v>
      </c>
      <c r="B3929" s="83" t="s">
        <v>3236</v>
      </c>
      <c r="C3929" s="91" t="s">
        <v>1266</v>
      </c>
    </row>
    <row r="3930" spans="1:3" ht="15">
      <c r="A3930" s="84" t="s">
        <v>386</v>
      </c>
      <c r="B3930" s="83" t="s">
        <v>3237</v>
      </c>
      <c r="C3930" s="91" t="s">
        <v>1266</v>
      </c>
    </row>
    <row r="3931" spans="1:3" ht="15">
      <c r="A3931" s="84" t="s">
        <v>386</v>
      </c>
      <c r="B3931" s="83" t="s">
        <v>3238</v>
      </c>
      <c r="C3931" s="91" t="s">
        <v>1266</v>
      </c>
    </row>
    <row r="3932" spans="1:3" ht="15">
      <c r="A3932" s="84" t="s">
        <v>386</v>
      </c>
      <c r="B3932" s="83" t="s">
        <v>3239</v>
      </c>
      <c r="C3932" s="91" t="s">
        <v>1266</v>
      </c>
    </row>
    <row r="3933" spans="1:3" ht="15">
      <c r="A3933" s="84" t="s">
        <v>386</v>
      </c>
      <c r="B3933" s="83" t="s">
        <v>3240</v>
      </c>
      <c r="C3933" s="91" t="s">
        <v>1266</v>
      </c>
    </row>
    <row r="3934" spans="1:3" ht="15">
      <c r="A3934" s="84" t="s">
        <v>386</v>
      </c>
      <c r="B3934" s="83" t="s">
        <v>3241</v>
      </c>
      <c r="C3934" s="91" t="s">
        <v>1266</v>
      </c>
    </row>
    <row r="3935" spans="1:3" ht="15">
      <c r="A3935" s="84" t="s">
        <v>386</v>
      </c>
      <c r="B3935" s="83" t="s">
        <v>3242</v>
      </c>
      <c r="C3935" s="91" t="s">
        <v>1266</v>
      </c>
    </row>
    <row r="3936" spans="1:3" ht="15">
      <c r="A3936" s="84" t="s">
        <v>386</v>
      </c>
      <c r="B3936" s="83" t="s">
        <v>2767</v>
      </c>
      <c r="C3936" s="91" t="s">
        <v>1266</v>
      </c>
    </row>
    <row r="3937" spans="1:3" ht="15">
      <c r="A3937" s="84" t="s">
        <v>386</v>
      </c>
      <c r="B3937" s="83" t="s">
        <v>3243</v>
      </c>
      <c r="C3937" s="91" t="s">
        <v>1266</v>
      </c>
    </row>
    <row r="3938" spans="1:3" ht="15">
      <c r="A3938" s="84" t="s">
        <v>386</v>
      </c>
      <c r="B3938" s="83" t="s">
        <v>3244</v>
      </c>
      <c r="C3938" s="91" t="s">
        <v>1266</v>
      </c>
    </row>
    <row r="3939" spans="1:3" ht="15">
      <c r="A3939" s="84" t="s">
        <v>386</v>
      </c>
      <c r="B3939" s="83" t="s">
        <v>3223</v>
      </c>
      <c r="C3939" s="91" t="s">
        <v>1266</v>
      </c>
    </row>
    <row r="3940" spans="1:3" ht="15">
      <c r="A3940" s="84" t="s">
        <v>386</v>
      </c>
      <c r="B3940" s="83" t="s">
        <v>3266</v>
      </c>
      <c r="C3940" s="91" t="s">
        <v>1266</v>
      </c>
    </row>
    <row r="3941" spans="1:3" ht="15">
      <c r="A3941" s="84" t="s">
        <v>386</v>
      </c>
      <c r="B3941" s="83" t="s">
        <v>3267</v>
      </c>
      <c r="C3941" s="91" t="s">
        <v>1265</v>
      </c>
    </row>
    <row r="3942" spans="1:3" ht="15">
      <c r="A3942" s="84" t="s">
        <v>386</v>
      </c>
      <c r="B3942" s="83" t="s">
        <v>2581</v>
      </c>
      <c r="C3942" s="91" t="s">
        <v>1265</v>
      </c>
    </row>
    <row r="3943" spans="1:3" ht="15">
      <c r="A3943" s="84" t="s">
        <v>386</v>
      </c>
      <c r="B3943" s="83" t="s">
        <v>2586</v>
      </c>
      <c r="C3943" s="91" t="s">
        <v>1265</v>
      </c>
    </row>
    <row r="3944" spans="1:3" ht="15">
      <c r="A3944" s="84" t="s">
        <v>386</v>
      </c>
      <c r="B3944" s="83" t="s">
        <v>2595</v>
      </c>
      <c r="C3944" s="91" t="s">
        <v>1265</v>
      </c>
    </row>
    <row r="3945" spans="1:3" ht="15">
      <c r="A3945" s="84" t="s">
        <v>386</v>
      </c>
      <c r="B3945" s="83" t="s">
        <v>2568</v>
      </c>
      <c r="C3945" s="91" t="s">
        <v>1265</v>
      </c>
    </row>
    <row r="3946" spans="1:3" ht="15">
      <c r="A3946" s="84" t="s">
        <v>386</v>
      </c>
      <c r="B3946" s="83" t="s">
        <v>2592</v>
      </c>
      <c r="C3946" s="91" t="s">
        <v>1265</v>
      </c>
    </row>
    <row r="3947" spans="1:3" ht="15">
      <c r="A3947" s="84" t="s">
        <v>386</v>
      </c>
      <c r="B3947" s="83" t="s">
        <v>3213</v>
      </c>
      <c r="C3947" s="91" t="s">
        <v>1265</v>
      </c>
    </row>
    <row r="3948" spans="1:3" ht="15">
      <c r="A3948" s="84" t="s">
        <v>386</v>
      </c>
      <c r="B3948" s="83" t="s">
        <v>2576</v>
      </c>
      <c r="C3948" s="91" t="s">
        <v>1265</v>
      </c>
    </row>
    <row r="3949" spans="1:3" ht="15">
      <c r="A3949" s="84" t="s">
        <v>386</v>
      </c>
      <c r="B3949" s="83" t="s">
        <v>3229</v>
      </c>
      <c r="C3949" s="91" t="s">
        <v>1265</v>
      </c>
    </row>
    <row r="3950" spans="1:3" ht="15">
      <c r="A3950" s="84" t="s">
        <v>386</v>
      </c>
      <c r="B3950" s="83" t="s">
        <v>3230</v>
      </c>
      <c r="C3950" s="91" t="s">
        <v>1265</v>
      </c>
    </row>
    <row r="3951" spans="1:3" ht="15">
      <c r="A3951" s="84" t="s">
        <v>386</v>
      </c>
      <c r="B3951" s="83" t="s">
        <v>2598</v>
      </c>
      <c r="C3951" s="91" t="s">
        <v>1265</v>
      </c>
    </row>
    <row r="3952" spans="1:3" ht="15">
      <c r="A3952" s="84" t="s">
        <v>386</v>
      </c>
      <c r="B3952" s="83" t="s">
        <v>3231</v>
      </c>
      <c r="C3952" s="91" t="s">
        <v>1265</v>
      </c>
    </row>
    <row r="3953" spans="1:3" ht="15">
      <c r="A3953" s="84" t="s">
        <v>386</v>
      </c>
      <c r="B3953" s="83" t="s">
        <v>3232</v>
      </c>
      <c r="C3953" s="91" t="s">
        <v>1265</v>
      </c>
    </row>
    <row r="3954" spans="1:3" ht="15">
      <c r="A3954" s="84" t="s">
        <v>386</v>
      </c>
      <c r="B3954" s="83" t="s">
        <v>3233</v>
      </c>
      <c r="C3954" s="91" t="s">
        <v>1265</v>
      </c>
    </row>
    <row r="3955" spans="1:3" ht="15">
      <c r="A3955" s="84" t="s">
        <v>386</v>
      </c>
      <c r="B3955" s="83" t="s">
        <v>3211</v>
      </c>
      <c r="C3955" s="91" t="s">
        <v>1265</v>
      </c>
    </row>
    <row r="3956" spans="1:3" ht="15">
      <c r="A3956" s="84" t="s">
        <v>386</v>
      </c>
      <c r="B3956" s="83" t="s">
        <v>3199</v>
      </c>
      <c r="C3956" s="91" t="s">
        <v>1265</v>
      </c>
    </row>
    <row r="3957" spans="1:3" ht="15">
      <c r="A3957" s="84" t="s">
        <v>386</v>
      </c>
      <c r="B3957" s="83" t="s">
        <v>3218</v>
      </c>
      <c r="C3957" s="91" t="s">
        <v>1265</v>
      </c>
    </row>
    <row r="3958" spans="1:3" ht="15">
      <c r="A3958" s="84" t="s">
        <v>386</v>
      </c>
      <c r="B3958" s="83" t="s">
        <v>3234</v>
      </c>
      <c r="C3958" s="91" t="s">
        <v>1265</v>
      </c>
    </row>
    <row r="3959" spans="1:3" ht="15">
      <c r="A3959" s="84" t="s">
        <v>386</v>
      </c>
      <c r="B3959" s="83" t="s">
        <v>3235</v>
      </c>
      <c r="C3959" s="91" t="s">
        <v>1265</v>
      </c>
    </row>
    <row r="3960" spans="1:3" ht="15">
      <c r="A3960" s="84" t="s">
        <v>386</v>
      </c>
      <c r="B3960" s="83" t="s">
        <v>3236</v>
      </c>
      <c r="C3960" s="91" t="s">
        <v>1265</v>
      </c>
    </row>
    <row r="3961" spans="1:3" ht="15">
      <c r="A3961" s="84" t="s">
        <v>386</v>
      </c>
      <c r="B3961" s="83" t="s">
        <v>3237</v>
      </c>
      <c r="C3961" s="91" t="s">
        <v>1265</v>
      </c>
    </row>
    <row r="3962" spans="1:3" ht="15">
      <c r="A3962" s="84" t="s">
        <v>386</v>
      </c>
      <c r="B3962" s="83" t="s">
        <v>3238</v>
      </c>
      <c r="C3962" s="91" t="s">
        <v>1265</v>
      </c>
    </row>
    <row r="3963" spans="1:3" ht="15">
      <c r="A3963" s="84" t="s">
        <v>386</v>
      </c>
      <c r="B3963" s="83" t="s">
        <v>3239</v>
      </c>
      <c r="C3963" s="91" t="s">
        <v>1265</v>
      </c>
    </row>
    <row r="3964" spans="1:3" ht="15">
      <c r="A3964" s="84" t="s">
        <v>386</v>
      </c>
      <c r="B3964" s="83" t="s">
        <v>3240</v>
      </c>
      <c r="C3964" s="91" t="s">
        <v>1265</v>
      </c>
    </row>
    <row r="3965" spans="1:3" ht="15">
      <c r="A3965" s="84" t="s">
        <v>386</v>
      </c>
      <c r="B3965" s="83" t="s">
        <v>3241</v>
      </c>
      <c r="C3965" s="91" t="s">
        <v>1265</v>
      </c>
    </row>
    <row r="3966" spans="1:3" ht="15">
      <c r="A3966" s="84" t="s">
        <v>386</v>
      </c>
      <c r="B3966" s="83" t="s">
        <v>3242</v>
      </c>
      <c r="C3966" s="91" t="s">
        <v>1265</v>
      </c>
    </row>
    <row r="3967" spans="1:3" ht="15">
      <c r="A3967" s="84" t="s">
        <v>386</v>
      </c>
      <c r="B3967" s="83" t="s">
        <v>2767</v>
      </c>
      <c r="C3967" s="91" t="s">
        <v>1265</v>
      </c>
    </row>
    <row r="3968" spans="1:3" ht="15">
      <c r="A3968" s="84" t="s">
        <v>386</v>
      </c>
      <c r="B3968" s="83" t="s">
        <v>3243</v>
      </c>
      <c r="C3968" s="91" t="s">
        <v>1265</v>
      </c>
    </row>
    <row r="3969" spans="1:3" ht="15">
      <c r="A3969" s="84" t="s">
        <v>386</v>
      </c>
      <c r="B3969" s="83" t="s">
        <v>3244</v>
      </c>
      <c r="C3969" s="91" t="s">
        <v>1265</v>
      </c>
    </row>
    <row r="3970" spans="1:3" ht="15">
      <c r="A3970" s="84" t="s">
        <v>386</v>
      </c>
      <c r="B3970" s="83" t="s">
        <v>3223</v>
      </c>
      <c r="C3970" s="91" t="s">
        <v>1265</v>
      </c>
    </row>
    <row r="3971" spans="1:3" ht="15">
      <c r="A3971" s="84" t="s">
        <v>386</v>
      </c>
      <c r="B3971" s="83" t="s">
        <v>3206</v>
      </c>
      <c r="C3971" s="91" t="s">
        <v>1264</v>
      </c>
    </row>
    <row r="3972" spans="1:3" ht="15">
      <c r="A3972" s="84" t="s">
        <v>386</v>
      </c>
      <c r="B3972" s="83" t="s">
        <v>3207</v>
      </c>
      <c r="C3972" s="91" t="s">
        <v>1264</v>
      </c>
    </row>
    <row r="3973" spans="1:3" ht="15">
      <c r="A3973" s="84" t="s">
        <v>386</v>
      </c>
      <c r="B3973" s="83" t="s">
        <v>3208</v>
      </c>
      <c r="C3973" s="91" t="s">
        <v>1264</v>
      </c>
    </row>
    <row r="3974" spans="1:3" ht="15">
      <c r="A3974" s="84" t="s">
        <v>386</v>
      </c>
      <c r="B3974" s="83" t="s">
        <v>195</v>
      </c>
      <c r="C3974" s="91" t="s">
        <v>1264</v>
      </c>
    </row>
    <row r="3975" spans="1:3" ht="15">
      <c r="A3975" s="84" t="s">
        <v>386</v>
      </c>
      <c r="B3975" s="83" t="s">
        <v>3209</v>
      </c>
      <c r="C3975" s="91" t="s">
        <v>1264</v>
      </c>
    </row>
    <row r="3976" spans="1:3" ht="15">
      <c r="A3976" s="84" t="s">
        <v>386</v>
      </c>
      <c r="B3976" s="83" t="s">
        <v>2576</v>
      </c>
      <c r="C3976" s="91" t="s">
        <v>1264</v>
      </c>
    </row>
    <row r="3977" spans="1:3" ht="15">
      <c r="A3977" s="84" t="s">
        <v>386</v>
      </c>
      <c r="B3977" s="83" t="s">
        <v>3210</v>
      </c>
      <c r="C3977" s="91" t="s">
        <v>1264</v>
      </c>
    </row>
    <row r="3978" spans="1:3" ht="15">
      <c r="A3978" s="84" t="s">
        <v>386</v>
      </c>
      <c r="B3978" s="83">
        <v>19</v>
      </c>
      <c r="C3978" s="91" t="s">
        <v>1264</v>
      </c>
    </row>
    <row r="3979" spans="1:3" ht="15">
      <c r="A3979" s="84" t="s">
        <v>386</v>
      </c>
      <c r="B3979" s="83" t="s">
        <v>3211</v>
      </c>
      <c r="C3979" s="91" t="s">
        <v>1264</v>
      </c>
    </row>
    <row r="3980" spans="1:3" ht="15">
      <c r="A3980" s="84" t="s">
        <v>386</v>
      </c>
      <c r="B3980" s="83" t="s">
        <v>3212</v>
      </c>
      <c r="C3980" s="91" t="s">
        <v>1264</v>
      </c>
    </row>
    <row r="3981" spans="1:3" ht="15">
      <c r="A3981" s="84" t="s">
        <v>386</v>
      </c>
      <c r="B3981" s="83" t="s">
        <v>3198</v>
      </c>
      <c r="C3981" s="91" t="s">
        <v>1264</v>
      </c>
    </row>
    <row r="3982" spans="1:3" ht="15">
      <c r="A3982" s="84" t="s">
        <v>386</v>
      </c>
      <c r="B3982" s="83" t="s">
        <v>3213</v>
      </c>
      <c r="C3982" s="91" t="s">
        <v>1264</v>
      </c>
    </row>
    <row r="3983" spans="1:3" ht="15">
      <c r="A3983" s="84" t="s">
        <v>386</v>
      </c>
      <c r="B3983" s="83" t="s">
        <v>3214</v>
      </c>
      <c r="C3983" s="91" t="s">
        <v>1264</v>
      </c>
    </row>
    <row r="3984" spans="1:3" ht="15">
      <c r="A3984" s="84" t="s">
        <v>386</v>
      </c>
      <c r="B3984" s="83" t="s">
        <v>3215</v>
      </c>
      <c r="C3984" s="91" t="s">
        <v>1264</v>
      </c>
    </row>
    <row r="3985" spans="1:3" ht="15">
      <c r="A3985" s="84" t="s">
        <v>386</v>
      </c>
      <c r="B3985" s="83" t="s">
        <v>3216</v>
      </c>
      <c r="C3985" s="91" t="s">
        <v>1264</v>
      </c>
    </row>
    <row r="3986" spans="1:3" ht="15">
      <c r="A3986" s="84" t="s">
        <v>386</v>
      </c>
      <c r="B3986" s="83" t="s">
        <v>3217</v>
      </c>
      <c r="C3986" s="91" t="s">
        <v>1264</v>
      </c>
    </row>
    <row r="3987" spans="1:3" ht="15">
      <c r="A3987" s="84" t="s">
        <v>386</v>
      </c>
      <c r="B3987" s="83" t="s">
        <v>3199</v>
      </c>
      <c r="C3987" s="91" t="s">
        <v>1264</v>
      </c>
    </row>
    <row r="3988" spans="1:3" ht="15">
      <c r="A3988" s="84" t="s">
        <v>386</v>
      </c>
      <c r="B3988" s="83" t="s">
        <v>3218</v>
      </c>
      <c r="C3988" s="91" t="s">
        <v>1264</v>
      </c>
    </row>
    <row r="3989" spans="1:3" ht="15">
      <c r="A3989" s="84" t="s">
        <v>386</v>
      </c>
      <c r="B3989" s="83" t="s">
        <v>3219</v>
      </c>
      <c r="C3989" s="91" t="s">
        <v>1264</v>
      </c>
    </row>
    <row r="3990" spans="1:3" ht="15">
      <c r="A3990" s="84" t="s">
        <v>386</v>
      </c>
      <c r="B3990" s="83" t="s">
        <v>3220</v>
      </c>
      <c r="C3990" s="91" t="s">
        <v>1264</v>
      </c>
    </row>
    <row r="3991" spans="1:3" ht="15">
      <c r="A3991" s="84" t="s">
        <v>386</v>
      </c>
      <c r="B3991" s="83" t="s">
        <v>3221</v>
      </c>
      <c r="C3991" s="91" t="s">
        <v>1264</v>
      </c>
    </row>
    <row r="3992" spans="1:3" ht="15">
      <c r="A3992" s="84" t="s">
        <v>386</v>
      </c>
      <c r="B3992" s="83" t="s">
        <v>3222</v>
      </c>
      <c r="C3992" s="91" t="s">
        <v>1264</v>
      </c>
    </row>
    <row r="3993" spans="1:3" ht="15">
      <c r="A3993" s="84" t="s">
        <v>386</v>
      </c>
      <c r="B3993" s="83" t="s">
        <v>3223</v>
      </c>
      <c r="C3993" s="91" t="s">
        <v>1264</v>
      </c>
    </row>
    <row r="3994" spans="1:3" ht="15">
      <c r="A3994" s="84" t="s">
        <v>386</v>
      </c>
      <c r="B3994" s="83" t="s">
        <v>3224</v>
      </c>
      <c r="C3994" s="91" t="s">
        <v>1264</v>
      </c>
    </row>
    <row r="3995" spans="1:3" ht="15">
      <c r="A3995" s="84" t="s">
        <v>386</v>
      </c>
      <c r="B3995" s="83" t="s">
        <v>3225</v>
      </c>
      <c r="C3995" s="91" t="s">
        <v>1264</v>
      </c>
    </row>
    <row r="3996" spans="1:3" ht="15">
      <c r="A3996" s="84" t="s">
        <v>386</v>
      </c>
      <c r="B3996" s="83" t="s">
        <v>3267</v>
      </c>
      <c r="C3996" s="91" t="s">
        <v>1263</v>
      </c>
    </row>
    <row r="3997" spans="1:3" ht="15">
      <c r="A3997" s="84" t="s">
        <v>386</v>
      </c>
      <c r="B3997" s="83" t="s">
        <v>2581</v>
      </c>
      <c r="C3997" s="91" t="s">
        <v>1263</v>
      </c>
    </row>
    <row r="3998" spans="1:3" ht="15">
      <c r="A3998" s="84" t="s">
        <v>386</v>
      </c>
      <c r="B3998" s="83" t="s">
        <v>2586</v>
      </c>
      <c r="C3998" s="91" t="s">
        <v>1263</v>
      </c>
    </row>
    <row r="3999" spans="1:3" ht="15">
      <c r="A3999" s="84" t="s">
        <v>386</v>
      </c>
      <c r="B3999" s="83" t="s">
        <v>2595</v>
      </c>
      <c r="C3999" s="91" t="s">
        <v>1263</v>
      </c>
    </row>
    <row r="4000" spans="1:3" ht="15">
      <c r="A4000" s="84" t="s">
        <v>386</v>
      </c>
      <c r="B4000" s="83" t="s">
        <v>2568</v>
      </c>
      <c r="C4000" s="91" t="s">
        <v>1263</v>
      </c>
    </row>
    <row r="4001" spans="1:3" ht="15">
      <c r="A4001" s="84" t="s">
        <v>386</v>
      </c>
      <c r="B4001" s="83" t="s">
        <v>2592</v>
      </c>
      <c r="C4001" s="91" t="s">
        <v>1263</v>
      </c>
    </row>
    <row r="4002" spans="1:3" ht="15">
      <c r="A4002" s="84" t="s">
        <v>386</v>
      </c>
      <c r="B4002" s="83" t="s">
        <v>3213</v>
      </c>
      <c r="C4002" s="91" t="s">
        <v>1263</v>
      </c>
    </row>
    <row r="4003" spans="1:3" ht="15">
      <c r="A4003" s="84" t="s">
        <v>386</v>
      </c>
      <c r="B4003" s="83" t="s">
        <v>2576</v>
      </c>
      <c r="C4003" s="91" t="s">
        <v>1263</v>
      </c>
    </row>
    <row r="4004" spans="1:3" ht="15">
      <c r="A4004" s="84" t="s">
        <v>386</v>
      </c>
      <c r="B4004" s="83" t="s">
        <v>3229</v>
      </c>
      <c r="C4004" s="91" t="s">
        <v>1263</v>
      </c>
    </row>
    <row r="4005" spans="1:3" ht="15">
      <c r="A4005" s="84" t="s">
        <v>386</v>
      </c>
      <c r="B4005" s="83" t="s">
        <v>3230</v>
      </c>
      <c r="C4005" s="91" t="s">
        <v>1263</v>
      </c>
    </row>
    <row r="4006" spans="1:3" ht="15">
      <c r="A4006" s="84" t="s">
        <v>386</v>
      </c>
      <c r="B4006" s="83" t="s">
        <v>2598</v>
      </c>
      <c r="C4006" s="91" t="s">
        <v>1263</v>
      </c>
    </row>
    <row r="4007" spans="1:3" ht="15">
      <c r="A4007" s="84" t="s">
        <v>386</v>
      </c>
      <c r="B4007" s="83" t="s">
        <v>3231</v>
      </c>
      <c r="C4007" s="91" t="s">
        <v>1263</v>
      </c>
    </row>
    <row r="4008" spans="1:3" ht="15">
      <c r="A4008" s="84" t="s">
        <v>386</v>
      </c>
      <c r="B4008" s="83" t="s">
        <v>3232</v>
      </c>
      <c r="C4008" s="91" t="s">
        <v>1263</v>
      </c>
    </row>
    <row r="4009" spans="1:3" ht="15">
      <c r="A4009" s="84" t="s">
        <v>386</v>
      </c>
      <c r="B4009" s="83" t="s">
        <v>3233</v>
      </c>
      <c r="C4009" s="91" t="s">
        <v>1263</v>
      </c>
    </row>
    <row r="4010" spans="1:3" ht="15">
      <c r="A4010" s="84" t="s">
        <v>386</v>
      </c>
      <c r="B4010" s="83" t="s">
        <v>3211</v>
      </c>
      <c r="C4010" s="91" t="s">
        <v>1263</v>
      </c>
    </row>
    <row r="4011" spans="1:3" ht="15">
      <c r="A4011" s="84" t="s">
        <v>386</v>
      </c>
      <c r="B4011" s="83" t="s">
        <v>3199</v>
      </c>
      <c r="C4011" s="91" t="s">
        <v>1263</v>
      </c>
    </row>
    <row r="4012" spans="1:3" ht="15">
      <c r="A4012" s="84" t="s">
        <v>386</v>
      </c>
      <c r="B4012" s="83" t="s">
        <v>3218</v>
      </c>
      <c r="C4012" s="91" t="s">
        <v>1263</v>
      </c>
    </row>
    <row r="4013" spans="1:3" ht="15">
      <c r="A4013" s="84" t="s">
        <v>386</v>
      </c>
      <c r="B4013" s="83" t="s">
        <v>3234</v>
      </c>
      <c r="C4013" s="91" t="s">
        <v>1263</v>
      </c>
    </row>
    <row r="4014" spans="1:3" ht="15">
      <c r="A4014" s="84" t="s">
        <v>386</v>
      </c>
      <c r="B4014" s="83" t="s">
        <v>3235</v>
      </c>
      <c r="C4014" s="91" t="s">
        <v>1263</v>
      </c>
    </row>
    <row r="4015" spans="1:3" ht="15">
      <c r="A4015" s="84" t="s">
        <v>386</v>
      </c>
      <c r="B4015" s="83" t="s">
        <v>3236</v>
      </c>
      <c r="C4015" s="91" t="s">
        <v>1263</v>
      </c>
    </row>
    <row r="4016" spans="1:3" ht="15">
      <c r="A4016" s="84" t="s">
        <v>386</v>
      </c>
      <c r="B4016" s="83" t="s">
        <v>3237</v>
      </c>
      <c r="C4016" s="91" t="s">
        <v>1263</v>
      </c>
    </row>
    <row r="4017" spans="1:3" ht="15">
      <c r="A4017" s="84" t="s">
        <v>386</v>
      </c>
      <c r="B4017" s="83" t="s">
        <v>3238</v>
      </c>
      <c r="C4017" s="91" t="s">
        <v>1263</v>
      </c>
    </row>
    <row r="4018" spans="1:3" ht="15">
      <c r="A4018" s="84" t="s">
        <v>386</v>
      </c>
      <c r="B4018" s="83" t="s">
        <v>3239</v>
      </c>
      <c r="C4018" s="91" t="s">
        <v>1263</v>
      </c>
    </row>
    <row r="4019" spans="1:3" ht="15">
      <c r="A4019" s="84" t="s">
        <v>386</v>
      </c>
      <c r="B4019" s="83" t="s">
        <v>3240</v>
      </c>
      <c r="C4019" s="91" t="s">
        <v>1263</v>
      </c>
    </row>
    <row r="4020" spans="1:3" ht="15">
      <c r="A4020" s="84" t="s">
        <v>386</v>
      </c>
      <c r="B4020" s="83" t="s">
        <v>3241</v>
      </c>
      <c r="C4020" s="91" t="s">
        <v>1263</v>
      </c>
    </row>
    <row r="4021" spans="1:3" ht="15">
      <c r="A4021" s="84" t="s">
        <v>386</v>
      </c>
      <c r="B4021" s="83" t="s">
        <v>3242</v>
      </c>
      <c r="C4021" s="91" t="s">
        <v>1263</v>
      </c>
    </row>
    <row r="4022" spans="1:3" ht="15">
      <c r="A4022" s="84" t="s">
        <v>386</v>
      </c>
      <c r="B4022" s="83" t="s">
        <v>2767</v>
      </c>
      <c r="C4022" s="91" t="s">
        <v>1263</v>
      </c>
    </row>
    <row r="4023" spans="1:3" ht="15">
      <c r="A4023" s="84" t="s">
        <v>386</v>
      </c>
      <c r="B4023" s="83" t="s">
        <v>3243</v>
      </c>
      <c r="C4023" s="91" t="s">
        <v>1263</v>
      </c>
    </row>
    <row r="4024" spans="1:3" ht="15">
      <c r="A4024" s="84" t="s">
        <v>386</v>
      </c>
      <c r="B4024" s="83" t="s">
        <v>3244</v>
      </c>
      <c r="C4024" s="91" t="s">
        <v>1263</v>
      </c>
    </row>
    <row r="4025" spans="1:3" ht="15">
      <c r="A4025" s="84" t="s">
        <v>386</v>
      </c>
      <c r="B4025" s="83" t="s">
        <v>3223</v>
      </c>
      <c r="C4025" s="91" t="s">
        <v>1263</v>
      </c>
    </row>
    <row r="4026" spans="1:3" ht="15">
      <c r="A4026" s="84" t="s">
        <v>386</v>
      </c>
      <c r="B4026" s="83" t="s">
        <v>3226</v>
      </c>
      <c r="C4026" s="91" t="s">
        <v>1262</v>
      </c>
    </row>
    <row r="4027" spans="1:3" ht="15">
      <c r="A4027" s="84" t="s">
        <v>386</v>
      </c>
      <c r="B4027" s="83" t="s">
        <v>3227</v>
      </c>
      <c r="C4027" s="91" t="s">
        <v>1262</v>
      </c>
    </row>
    <row r="4028" spans="1:3" ht="15">
      <c r="A4028" s="84" t="s">
        <v>386</v>
      </c>
      <c r="B4028" s="83" t="s">
        <v>2607</v>
      </c>
      <c r="C4028" s="91" t="s">
        <v>1262</v>
      </c>
    </row>
    <row r="4029" spans="1:3" ht="15">
      <c r="A4029" s="84" t="s">
        <v>386</v>
      </c>
      <c r="B4029" s="83" t="s">
        <v>2698</v>
      </c>
      <c r="C4029" s="91" t="s">
        <v>1262</v>
      </c>
    </row>
    <row r="4030" spans="1:3" ht="15">
      <c r="A4030" s="84" t="s">
        <v>386</v>
      </c>
      <c r="B4030" s="83" t="s">
        <v>2699</v>
      </c>
      <c r="C4030" s="91" t="s">
        <v>1262</v>
      </c>
    </row>
    <row r="4031" spans="1:3" ht="15">
      <c r="A4031" s="84" t="s">
        <v>386</v>
      </c>
      <c r="B4031" s="83" t="s">
        <v>3228</v>
      </c>
      <c r="C4031" s="91" t="s">
        <v>1262</v>
      </c>
    </row>
    <row r="4032" spans="1:3" ht="15">
      <c r="A4032" s="84" t="s">
        <v>386</v>
      </c>
      <c r="B4032" s="83" t="s">
        <v>2581</v>
      </c>
      <c r="C4032" s="91" t="s">
        <v>1262</v>
      </c>
    </row>
    <row r="4033" spans="1:3" ht="15">
      <c r="A4033" s="84" t="s">
        <v>386</v>
      </c>
      <c r="B4033" s="83" t="s">
        <v>2586</v>
      </c>
      <c r="C4033" s="91" t="s">
        <v>1262</v>
      </c>
    </row>
    <row r="4034" spans="1:3" ht="15">
      <c r="A4034" s="84" t="s">
        <v>386</v>
      </c>
      <c r="B4034" s="83" t="s">
        <v>2595</v>
      </c>
      <c r="C4034" s="91" t="s">
        <v>1262</v>
      </c>
    </row>
    <row r="4035" spans="1:3" ht="15">
      <c r="A4035" s="84" t="s">
        <v>386</v>
      </c>
      <c r="B4035" s="83" t="s">
        <v>2568</v>
      </c>
      <c r="C4035" s="91" t="s">
        <v>1262</v>
      </c>
    </row>
    <row r="4036" spans="1:3" ht="15">
      <c r="A4036" s="84" t="s">
        <v>386</v>
      </c>
      <c r="B4036" s="83" t="s">
        <v>2592</v>
      </c>
      <c r="C4036" s="91" t="s">
        <v>1262</v>
      </c>
    </row>
    <row r="4037" spans="1:3" ht="15">
      <c r="A4037" s="84" t="s">
        <v>386</v>
      </c>
      <c r="B4037" s="83" t="s">
        <v>3213</v>
      </c>
      <c r="C4037" s="91" t="s">
        <v>1262</v>
      </c>
    </row>
    <row r="4038" spans="1:3" ht="15">
      <c r="A4038" s="84" t="s">
        <v>386</v>
      </c>
      <c r="B4038" s="83" t="s">
        <v>2576</v>
      </c>
      <c r="C4038" s="91" t="s">
        <v>1262</v>
      </c>
    </row>
    <row r="4039" spans="1:3" ht="15">
      <c r="A4039" s="84" t="s">
        <v>386</v>
      </c>
      <c r="B4039" s="83" t="s">
        <v>3229</v>
      </c>
      <c r="C4039" s="91" t="s">
        <v>1262</v>
      </c>
    </row>
    <row r="4040" spans="1:3" ht="15">
      <c r="A4040" s="84" t="s">
        <v>386</v>
      </c>
      <c r="B4040" s="83" t="s">
        <v>3230</v>
      </c>
      <c r="C4040" s="91" t="s">
        <v>1262</v>
      </c>
    </row>
    <row r="4041" spans="1:3" ht="15">
      <c r="A4041" s="84" t="s">
        <v>386</v>
      </c>
      <c r="B4041" s="83" t="s">
        <v>2598</v>
      </c>
      <c r="C4041" s="91" t="s">
        <v>1262</v>
      </c>
    </row>
    <row r="4042" spans="1:3" ht="15">
      <c r="A4042" s="84" t="s">
        <v>386</v>
      </c>
      <c r="B4042" s="83" t="s">
        <v>3231</v>
      </c>
      <c r="C4042" s="91" t="s">
        <v>1262</v>
      </c>
    </row>
    <row r="4043" spans="1:3" ht="15">
      <c r="A4043" s="84" t="s">
        <v>386</v>
      </c>
      <c r="B4043" s="83" t="s">
        <v>3232</v>
      </c>
      <c r="C4043" s="91" t="s">
        <v>1262</v>
      </c>
    </row>
    <row r="4044" spans="1:3" ht="15">
      <c r="A4044" s="84" t="s">
        <v>386</v>
      </c>
      <c r="B4044" s="83" t="s">
        <v>3233</v>
      </c>
      <c r="C4044" s="91" t="s">
        <v>1262</v>
      </c>
    </row>
    <row r="4045" spans="1:3" ht="15">
      <c r="A4045" s="84" t="s">
        <v>386</v>
      </c>
      <c r="B4045" s="83" t="s">
        <v>3211</v>
      </c>
      <c r="C4045" s="91" t="s">
        <v>1262</v>
      </c>
    </row>
    <row r="4046" spans="1:3" ht="15">
      <c r="A4046" s="84" t="s">
        <v>386</v>
      </c>
      <c r="B4046" s="83" t="s">
        <v>3199</v>
      </c>
      <c r="C4046" s="91" t="s">
        <v>1262</v>
      </c>
    </row>
    <row r="4047" spans="1:3" ht="15">
      <c r="A4047" s="84" t="s">
        <v>386</v>
      </c>
      <c r="B4047" s="83" t="s">
        <v>3218</v>
      </c>
      <c r="C4047" s="91" t="s">
        <v>1262</v>
      </c>
    </row>
    <row r="4048" spans="1:3" ht="15">
      <c r="A4048" s="84" t="s">
        <v>386</v>
      </c>
      <c r="B4048" s="83" t="s">
        <v>3234</v>
      </c>
      <c r="C4048" s="91" t="s">
        <v>1262</v>
      </c>
    </row>
    <row r="4049" spans="1:3" ht="15">
      <c r="A4049" s="84" t="s">
        <v>386</v>
      </c>
      <c r="B4049" s="83" t="s">
        <v>3235</v>
      </c>
      <c r="C4049" s="91" t="s">
        <v>1262</v>
      </c>
    </row>
    <row r="4050" spans="1:3" ht="15">
      <c r="A4050" s="84" t="s">
        <v>386</v>
      </c>
      <c r="B4050" s="83" t="s">
        <v>3236</v>
      </c>
      <c r="C4050" s="91" t="s">
        <v>1262</v>
      </c>
    </row>
    <row r="4051" spans="1:3" ht="15">
      <c r="A4051" s="84" t="s">
        <v>386</v>
      </c>
      <c r="B4051" s="83" t="s">
        <v>3237</v>
      </c>
      <c r="C4051" s="91" t="s">
        <v>1262</v>
      </c>
    </row>
    <row r="4052" spans="1:3" ht="15">
      <c r="A4052" s="84" t="s">
        <v>386</v>
      </c>
      <c r="B4052" s="83" t="s">
        <v>3238</v>
      </c>
      <c r="C4052" s="91" t="s">
        <v>1262</v>
      </c>
    </row>
    <row r="4053" spans="1:3" ht="15">
      <c r="A4053" s="84" t="s">
        <v>386</v>
      </c>
      <c r="B4053" s="83" t="s">
        <v>3239</v>
      </c>
      <c r="C4053" s="91" t="s">
        <v>1262</v>
      </c>
    </row>
    <row r="4054" spans="1:3" ht="15">
      <c r="A4054" s="84" t="s">
        <v>386</v>
      </c>
      <c r="B4054" s="83" t="s">
        <v>3240</v>
      </c>
      <c r="C4054" s="91" t="s">
        <v>1262</v>
      </c>
    </row>
    <row r="4055" spans="1:3" ht="15">
      <c r="A4055" s="84" t="s">
        <v>386</v>
      </c>
      <c r="B4055" s="83" t="s">
        <v>3241</v>
      </c>
      <c r="C4055" s="91" t="s">
        <v>1262</v>
      </c>
    </row>
    <row r="4056" spans="1:3" ht="15">
      <c r="A4056" s="84" t="s">
        <v>386</v>
      </c>
      <c r="B4056" s="83" t="s">
        <v>3242</v>
      </c>
      <c r="C4056" s="91" t="s">
        <v>1262</v>
      </c>
    </row>
    <row r="4057" spans="1:3" ht="15">
      <c r="A4057" s="84" t="s">
        <v>386</v>
      </c>
      <c r="B4057" s="83" t="s">
        <v>2767</v>
      </c>
      <c r="C4057" s="91" t="s">
        <v>1262</v>
      </c>
    </row>
    <row r="4058" spans="1:3" ht="15">
      <c r="A4058" s="84" t="s">
        <v>386</v>
      </c>
      <c r="B4058" s="83" t="s">
        <v>3243</v>
      </c>
      <c r="C4058" s="91" t="s">
        <v>1262</v>
      </c>
    </row>
    <row r="4059" spans="1:3" ht="15">
      <c r="A4059" s="84" t="s">
        <v>386</v>
      </c>
      <c r="B4059" s="83" t="s">
        <v>3244</v>
      </c>
      <c r="C4059" s="91" t="s">
        <v>1262</v>
      </c>
    </row>
    <row r="4060" spans="1:3" ht="15">
      <c r="A4060" s="84" t="s">
        <v>386</v>
      </c>
      <c r="B4060" s="83" t="s">
        <v>3427</v>
      </c>
      <c r="C4060" s="91" t="s">
        <v>1261</v>
      </c>
    </row>
    <row r="4061" spans="1:3" ht="15">
      <c r="A4061" s="84" t="s">
        <v>386</v>
      </c>
      <c r="B4061" s="83" t="s">
        <v>2582</v>
      </c>
      <c r="C4061" s="91" t="s">
        <v>1261</v>
      </c>
    </row>
    <row r="4062" spans="1:3" ht="15">
      <c r="A4062" s="84" t="s">
        <v>386</v>
      </c>
      <c r="B4062" s="83" t="s">
        <v>3424</v>
      </c>
      <c r="C4062" s="91" t="s">
        <v>1261</v>
      </c>
    </row>
    <row r="4063" spans="1:3" ht="15">
      <c r="A4063" s="84" t="s">
        <v>386</v>
      </c>
      <c r="B4063" s="83" t="s">
        <v>2874</v>
      </c>
      <c r="C4063" s="91" t="s">
        <v>1261</v>
      </c>
    </row>
    <row r="4064" spans="1:3" ht="15">
      <c r="A4064" s="84" t="s">
        <v>386</v>
      </c>
      <c r="B4064" s="83" t="s">
        <v>3428</v>
      </c>
      <c r="C4064" s="91" t="s">
        <v>1261</v>
      </c>
    </row>
    <row r="4065" spans="1:3" ht="15">
      <c r="A4065" s="84" t="s">
        <v>386</v>
      </c>
      <c r="B4065" s="83" t="s">
        <v>2968</v>
      </c>
      <c r="C4065" s="91" t="s">
        <v>1261</v>
      </c>
    </row>
    <row r="4066" spans="1:3" ht="15">
      <c r="A4066" s="84" t="s">
        <v>386</v>
      </c>
      <c r="B4066" s="83" t="s">
        <v>3203</v>
      </c>
      <c r="C4066" s="91" t="s">
        <v>1261</v>
      </c>
    </row>
    <row r="4067" spans="1:3" ht="15">
      <c r="A4067" s="84" t="s">
        <v>386</v>
      </c>
      <c r="B4067" s="83">
        <v>19</v>
      </c>
      <c r="C4067" s="91" t="s">
        <v>1261</v>
      </c>
    </row>
    <row r="4068" spans="1:3" ht="15">
      <c r="A4068" s="84" t="s">
        <v>386</v>
      </c>
      <c r="B4068" s="83" t="s">
        <v>3198</v>
      </c>
      <c r="C4068" s="91" t="s">
        <v>1261</v>
      </c>
    </row>
    <row r="4069" spans="1:3" ht="15">
      <c r="A4069" s="84" t="s">
        <v>386</v>
      </c>
      <c r="B4069" s="83" t="s">
        <v>3411</v>
      </c>
      <c r="C4069" s="91" t="s">
        <v>1261</v>
      </c>
    </row>
    <row r="4070" spans="1:3" ht="15">
      <c r="A4070" s="84" t="s">
        <v>386</v>
      </c>
      <c r="B4070" s="83" t="s">
        <v>3223</v>
      </c>
      <c r="C4070" s="91" t="s">
        <v>1261</v>
      </c>
    </row>
    <row r="4071" spans="1:3" ht="15">
      <c r="A4071" s="84" t="s">
        <v>386</v>
      </c>
      <c r="B4071" s="83" t="s">
        <v>3414</v>
      </c>
      <c r="C4071" s="91" t="s">
        <v>1261</v>
      </c>
    </row>
    <row r="4072" spans="1:3" ht="15">
      <c r="A4072" s="84" t="s">
        <v>386</v>
      </c>
      <c r="B4072" s="83" t="s">
        <v>3412</v>
      </c>
      <c r="C4072" s="91" t="s">
        <v>1261</v>
      </c>
    </row>
    <row r="4073" spans="1:3" ht="15">
      <c r="A4073" s="84" t="s">
        <v>386</v>
      </c>
      <c r="B4073" s="83" t="s">
        <v>3429</v>
      </c>
      <c r="C4073" s="91" t="s">
        <v>1261</v>
      </c>
    </row>
    <row r="4074" spans="1:3" ht="15">
      <c r="A4074" s="84" t="s">
        <v>386</v>
      </c>
      <c r="B4074" s="83" t="s">
        <v>3215</v>
      </c>
      <c r="C4074" s="91" t="s">
        <v>1261</v>
      </c>
    </row>
    <row r="4075" spans="1:3" ht="15">
      <c r="A4075" s="84" t="s">
        <v>386</v>
      </c>
      <c r="B4075" s="83" t="s">
        <v>3415</v>
      </c>
      <c r="C4075" s="91" t="s">
        <v>1261</v>
      </c>
    </row>
    <row r="4076" spans="1:3" ht="15">
      <c r="A4076" s="84" t="s">
        <v>386</v>
      </c>
      <c r="B4076" s="83" t="s">
        <v>3416</v>
      </c>
      <c r="C4076" s="91" t="s">
        <v>1261</v>
      </c>
    </row>
    <row r="4077" spans="1:3" ht="15">
      <c r="A4077" s="84" t="s">
        <v>386</v>
      </c>
      <c r="B4077" s="83" t="s">
        <v>3417</v>
      </c>
      <c r="C4077" s="91" t="s">
        <v>1261</v>
      </c>
    </row>
    <row r="4078" spans="1:3" ht="15">
      <c r="A4078" s="84" t="s">
        <v>386</v>
      </c>
      <c r="B4078" s="83" t="s">
        <v>3418</v>
      </c>
      <c r="C4078" s="91" t="s">
        <v>1261</v>
      </c>
    </row>
    <row r="4079" spans="1:3" ht="15">
      <c r="A4079" s="84" t="s">
        <v>386</v>
      </c>
      <c r="B4079" s="83" t="s">
        <v>3219</v>
      </c>
      <c r="C4079" s="91" t="s">
        <v>1261</v>
      </c>
    </row>
    <row r="4080" spans="1:3" ht="15">
      <c r="A4080" s="84" t="s">
        <v>386</v>
      </c>
      <c r="B4080" s="83" t="s">
        <v>3430</v>
      </c>
      <c r="C4080" s="91" t="s">
        <v>1261</v>
      </c>
    </row>
    <row r="4081" spans="1:3" ht="15">
      <c r="A4081" s="84" t="s">
        <v>386</v>
      </c>
      <c r="B4081" s="83" t="s">
        <v>3254</v>
      </c>
      <c r="C4081" s="91" t="s">
        <v>1261</v>
      </c>
    </row>
    <row r="4082" spans="1:3" ht="15">
      <c r="A4082" s="84" t="s">
        <v>386</v>
      </c>
      <c r="B4082" s="83" t="s">
        <v>3420</v>
      </c>
      <c r="C4082" s="91" t="s">
        <v>1261</v>
      </c>
    </row>
    <row r="4083" spans="1:3" ht="15">
      <c r="A4083" s="84" t="s">
        <v>386</v>
      </c>
      <c r="B4083" s="83" t="s">
        <v>3421</v>
      </c>
      <c r="C4083" s="91" t="s">
        <v>1261</v>
      </c>
    </row>
    <row r="4084" spans="1:3" ht="15">
      <c r="A4084" s="84" t="s">
        <v>386</v>
      </c>
      <c r="B4084" s="83" t="s">
        <v>3199</v>
      </c>
      <c r="C4084" s="91" t="s">
        <v>1261</v>
      </c>
    </row>
    <row r="4085" spans="1:3" ht="15">
      <c r="A4085" s="84" t="s">
        <v>386</v>
      </c>
      <c r="B4085" s="83" t="s">
        <v>3393</v>
      </c>
      <c r="C4085" s="91" t="s">
        <v>1261</v>
      </c>
    </row>
    <row r="4086" spans="1:3" ht="15">
      <c r="A4086" s="84" t="s">
        <v>386</v>
      </c>
      <c r="B4086" s="83" t="s">
        <v>3422</v>
      </c>
      <c r="C4086" s="91" t="s">
        <v>1261</v>
      </c>
    </row>
    <row r="4087" spans="1:3" ht="15">
      <c r="A4087" s="84" t="s">
        <v>386</v>
      </c>
      <c r="B4087" s="83" t="s">
        <v>3356</v>
      </c>
      <c r="C4087" s="91" t="s">
        <v>1260</v>
      </c>
    </row>
    <row r="4088" spans="1:3" ht="15">
      <c r="A4088" s="84" t="s">
        <v>386</v>
      </c>
      <c r="B4088" s="83" t="s">
        <v>3357</v>
      </c>
      <c r="C4088" s="91" t="s">
        <v>1260</v>
      </c>
    </row>
    <row r="4089" spans="1:3" ht="15">
      <c r="A4089" s="84" t="s">
        <v>386</v>
      </c>
      <c r="B4089" s="83" t="s">
        <v>3358</v>
      </c>
      <c r="C4089" s="91" t="s">
        <v>1260</v>
      </c>
    </row>
    <row r="4090" spans="1:3" ht="15">
      <c r="A4090" s="84" t="s">
        <v>386</v>
      </c>
      <c r="B4090" s="83" t="s">
        <v>3359</v>
      </c>
      <c r="C4090" s="91" t="s">
        <v>1260</v>
      </c>
    </row>
    <row r="4091" spans="1:3" ht="15">
      <c r="A4091" s="84" t="s">
        <v>386</v>
      </c>
      <c r="B4091" s="83" t="s">
        <v>3360</v>
      </c>
      <c r="C4091" s="91" t="s">
        <v>1260</v>
      </c>
    </row>
    <row r="4092" spans="1:3" ht="15">
      <c r="A4092" s="84" t="s">
        <v>386</v>
      </c>
      <c r="B4092" s="83">
        <v>43</v>
      </c>
      <c r="C4092" s="91" t="s">
        <v>1260</v>
      </c>
    </row>
    <row r="4093" spans="1:3" ht="15">
      <c r="A4093" s="84" t="s">
        <v>386</v>
      </c>
      <c r="B4093" s="83" t="s">
        <v>3361</v>
      </c>
      <c r="C4093" s="91" t="s">
        <v>1260</v>
      </c>
    </row>
    <row r="4094" spans="1:3" ht="15">
      <c r="A4094" s="84" t="s">
        <v>386</v>
      </c>
      <c r="B4094" s="83" t="s">
        <v>3362</v>
      </c>
      <c r="C4094" s="91" t="s">
        <v>1260</v>
      </c>
    </row>
    <row r="4095" spans="1:3" ht="15">
      <c r="A4095" s="84" t="s">
        <v>386</v>
      </c>
      <c r="B4095" s="83" t="s">
        <v>3363</v>
      </c>
      <c r="C4095" s="91" t="s">
        <v>1260</v>
      </c>
    </row>
    <row r="4096" spans="1:3" ht="15">
      <c r="A4096" s="84" t="s">
        <v>386</v>
      </c>
      <c r="B4096" s="83" t="s">
        <v>2580</v>
      </c>
      <c r="C4096" s="91" t="s">
        <v>1260</v>
      </c>
    </row>
    <row r="4097" spans="1:3" ht="15">
      <c r="A4097" s="84" t="s">
        <v>386</v>
      </c>
      <c r="B4097" s="83" t="s">
        <v>3210</v>
      </c>
      <c r="C4097" s="91" t="s">
        <v>1260</v>
      </c>
    </row>
    <row r="4098" spans="1:3" ht="15">
      <c r="A4098" s="84" t="s">
        <v>386</v>
      </c>
      <c r="B4098" s="83">
        <v>19</v>
      </c>
      <c r="C4098" s="91" t="s">
        <v>1260</v>
      </c>
    </row>
    <row r="4099" spans="1:3" ht="15">
      <c r="A4099" s="84" t="s">
        <v>386</v>
      </c>
      <c r="B4099" s="83" t="s">
        <v>3364</v>
      </c>
      <c r="C4099" s="91" t="s">
        <v>1260</v>
      </c>
    </row>
    <row r="4100" spans="1:3" ht="15">
      <c r="A4100" s="84" t="s">
        <v>386</v>
      </c>
      <c r="B4100" s="83" t="s">
        <v>3211</v>
      </c>
      <c r="C4100" s="91" t="s">
        <v>1260</v>
      </c>
    </row>
    <row r="4101" spans="1:3" ht="15">
      <c r="A4101" s="84" t="s">
        <v>386</v>
      </c>
      <c r="B4101" s="83" t="s">
        <v>3212</v>
      </c>
      <c r="C4101" s="91" t="s">
        <v>1260</v>
      </c>
    </row>
    <row r="4102" spans="1:3" ht="15">
      <c r="A4102" s="84" t="s">
        <v>386</v>
      </c>
      <c r="B4102" s="83" t="s">
        <v>3198</v>
      </c>
      <c r="C4102" s="91" t="s">
        <v>1260</v>
      </c>
    </row>
    <row r="4103" spans="1:3" ht="15">
      <c r="A4103" s="84" t="s">
        <v>386</v>
      </c>
      <c r="B4103" s="83" t="s">
        <v>3213</v>
      </c>
      <c r="C4103" s="91" t="s">
        <v>1260</v>
      </c>
    </row>
    <row r="4104" spans="1:3" ht="15">
      <c r="A4104" s="84" t="s">
        <v>386</v>
      </c>
      <c r="B4104" s="83" t="s">
        <v>3214</v>
      </c>
      <c r="C4104" s="91" t="s">
        <v>1260</v>
      </c>
    </row>
    <row r="4105" spans="1:3" ht="15">
      <c r="A4105" s="84" t="s">
        <v>386</v>
      </c>
      <c r="B4105" s="83" t="s">
        <v>3215</v>
      </c>
      <c r="C4105" s="91" t="s">
        <v>1260</v>
      </c>
    </row>
    <row r="4106" spans="1:3" ht="15">
      <c r="A4106" s="84" t="s">
        <v>386</v>
      </c>
      <c r="B4106" s="83" t="s">
        <v>3216</v>
      </c>
      <c r="C4106" s="91" t="s">
        <v>1260</v>
      </c>
    </row>
    <row r="4107" spans="1:3" ht="15">
      <c r="A4107" s="84" t="s">
        <v>386</v>
      </c>
      <c r="B4107" s="83" t="s">
        <v>3199</v>
      </c>
      <c r="C4107" s="91" t="s">
        <v>1260</v>
      </c>
    </row>
    <row r="4108" spans="1:3" ht="15">
      <c r="A4108" s="84" t="s">
        <v>386</v>
      </c>
      <c r="B4108" s="83" t="s">
        <v>3218</v>
      </c>
      <c r="C4108" s="91" t="s">
        <v>1260</v>
      </c>
    </row>
    <row r="4109" spans="1:3" ht="15">
      <c r="A4109" s="84" t="s">
        <v>386</v>
      </c>
      <c r="B4109" s="83" t="s">
        <v>3235</v>
      </c>
      <c r="C4109" s="91" t="s">
        <v>1260</v>
      </c>
    </row>
    <row r="4110" spans="1:3" ht="15">
      <c r="A4110" s="84" t="s">
        <v>386</v>
      </c>
      <c r="B4110" s="83" t="s">
        <v>3236</v>
      </c>
      <c r="C4110" s="91" t="s">
        <v>1260</v>
      </c>
    </row>
    <row r="4111" spans="1:3" ht="15">
      <c r="A4111" s="84" t="s">
        <v>386</v>
      </c>
      <c r="B4111" s="83" t="s">
        <v>3318</v>
      </c>
      <c r="C4111" s="91" t="s">
        <v>1260</v>
      </c>
    </row>
    <row r="4112" spans="1:3" ht="15">
      <c r="A4112" s="84" t="s">
        <v>386</v>
      </c>
      <c r="B4112" s="83" t="s">
        <v>3220</v>
      </c>
      <c r="C4112" s="91" t="s">
        <v>1260</v>
      </c>
    </row>
    <row r="4113" spans="1:3" ht="15">
      <c r="A4113" s="84" t="s">
        <v>386</v>
      </c>
      <c r="B4113" s="83" t="s">
        <v>3221</v>
      </c>
      <c r="C4113" s="91" t="s">
        <v>1260</v>
      </c>
    </row>
    <row r="4114" spans="1:3" ht="15">
      <c r="A4114" s="84" t="s">
        <v>386</v>
      </c>
      <c r="B4114" s="83" t="s">
        <v>3237</v>
      </c>
      <c r="C4114" s="91" t="s">
        <v>1260</v>
      </c>
    </row>
    <row r="4115" spans="1:3" ht="15">
      <c r="A4115" s="84" t="s">
        <v>386</v>
      </c>
      <c r="B4115" s="83" t="s">
        <v>3310</v>
      </c>
      <c r="C4115" s="91" t="s">
        <v>1260</v>
      </c>
    </row>
    <row r="4116" spans="1:3" ht="15">
      <c r="A4116" s="84" t="s">
        <v>386</v>
      </c>
      <c r="B4116" s="83" t="s">
        <v>3335</v>
      </c>
      <c r="C4116" s="91" t="s">
        <v>1260</v>
      </c>
    </row>
    <row r="4117" spans="1:3" ht="15">
      <c r="A4117" s="84" t="s">
        <v>386</v>
      </c>
      <c r="B4117" s="83" t="s">
        <v>3284</v>
      </c>
      <c r="C4117" s="91" t="s">
        <v>1260</v>
      </c>
    </row>
    <row r="4118" spans="1:3" ht="15">
      <c r="A4118" s="84" t="s">
        <v>386</v>
      </c>
      <c r="B4118" s="83" t="s">
        <v>3226</v>
      </c>
      <c r="C4118" s="91" t="s">
        <v>1259</v>
      </c>
    </row>
    <row r="4119" spans="1:3" ht="15">
      <c r="A4119" s="84" t="s">
        <v>386</v>
      </c>
      <c r="B4119" s="83" t="s">
        <v>3227</v>
      </c>
      <c r="C4119" s="91" t="s">
        <v>1259</v>
      </c>
    </row>
    <row r="4120" spans="1:3" ht="15">
      <c r="A4120" s="84" t="s">
        <v>386</v>
      </c>
      <c r="B4120" s="83" t="s">
        <v>2607</v>
      </c>
      <c r="C4120" s="91" t="s">
        <v>1259</v>
      </c>
    </row>
    <row r="4121" spans="1:3" ht="15">
      <c r="A4121" s="84" t="s">
        <v>386</v>
      </c>
      <c r="B4121" s="83" t="s">
        <v>2698</v>
      </c>
      <c r="C4121" s="91" t="s">
        <v>1259</v>
      </c>
    </row>
    <row r="4122" spans="1:3" ht="15">
      <c r="A4122" s="84" t="s">
        <v>386</v>
      </c>
      <c r="B4122" s="83" t="s">
        <v>2699</v>
      </c>
      <c r="C4122" s="91" t="s">
        <v>1259</v>
      </c>
    </row>
    <row r="4123" spans="1:3" ht="15">
      <c r="A4123" s="84" t="s">
        <v>386</v>
      </c>
      <c r="B4123" s="83" t="s">
        <v>3228</v>
      </c>
      <c r="C4123" s="91" t="s">
        <v>1259</v>
      </c>
    </row>
    <row r="4124" spans="1:3" ht="15">
      <c r="A4124" s="84" t="s">
        <v>386</v>
      </c>
      <c r="B4124" s="83" t="s">
        <v>2581</v>
      </c>
      <c r="C4124" s="91" t="s">
        <v>1259</v>
      </c>
    </row>
    <row r="4125" spans="1:3" ht="15">
      <c r="A4125" s="84" t="s">
        <v>386</v>
      </c>
      <c r="B4125" s="83" t="s">
        <v>2586</v>
      </c>
      <c r="C4125" s="91" t="s">
        <v>1259</v>
      </c>
    </row>
    <row r="4126" spans="1:3" ht="15">
      <c r="A4126" s="84" t="s">
        <v>386</v>
      </c>
      <c r="B4126" s="83" t="s">
        <v>2595</v>
      </c>
      <c r="C4126" s="91" t="s">
        <v>1259</v>
      </c>
    </row>
    <row r="4127" spans="1:3" ht="15">
      <c r="A4127" s="84" t="s">
        <v>386</v>
      </c>
      <c r="B4127" s="83" t="s">
        <v>2568</v>
      </c>
      <c r="C4127" s="91" t="s">
        <v>1259</v>
      </c>
    </row>
    <row r="4128" spans="1:3" ht="15">
      <c r="A4128" s="84" t="s">
        <v>386</v>
      </c>
      <c r="B4128" s="83" t="s">
        <v>2592</v>
      </c>
      <c r="C4128" s="91" t="s">
        <v>1259</v>
      </c>
    </row>
    <row r="4129" spans="1:3" ht="15">
      <c r="A4129" s="84" t="s">
        <v>386</v>
      </c>
      <c r="B4129" s="83" t="s">
        <v>3213</v>
      </c>
      <c r="C4129" s="91" t="s">
        <v>1259</v>
      </c>
    </row>
    <row r="4130" spans="1:3" ht="15">
      <c r="A4130" s="84" t="s">
        <v>386</v>
      </c>
      <c r="B4130" s="83" t="s">
        <v>2576</v>
      </c>
      <c r="C4130" s="91" t="s">
        <v>1259</v>
      </c>
    </row>
    <row r="4131" spans="1:3" ht="15">
      <c r="A4131" s="84" t="s">
        <v>386</v>
      </c>
      <c r="B4131" s="83" t="s">
        <v>3229</v>
      </c>
      <c r="C4131" s="91" t="s">
        <v>1259</v>
      </c>
    </row>
    <row r="4132" spans="1:3" ht="15">
      <c r="A4132" s="84" t="s">
        <v>386</v>
      </c>
      <c r="B4132" s="83" t="s">
        <v>3230</v>
      </c>
      <c r="C4132" s="91" t="s">
        <v>1259</v>
      </c>
    </row>
    <row r="4133" spans="1:3" ht="15">
      <c r="A4133" s="84" t="s">
        <v>386</v>
      </c>
      <c r="B4133" s="83" t="s">
        <v>2598</v>
      </c>
      <c r="C4133" s="91" t="s">
        <v>1259</v>
      </c>
    </row>
    <row r="4134" spans="1:3" ht="15">
      <c r="A4134" s="84" t="s">
        <v>386</v>
      </c>
      <c r="B4134" s="83" t="s">
        <v>3231</v>
      </c>
      <c r="C4134" s="91" t="s">
        <v>1259</v>
      </c>
    </row>
    <row r="4135" spans="1:3" ht="15">
      <c r="A4135" s="84" t="s">
        <v>386</v>
      </c>
      <c r="B4135" s="83" t="s">
        <v>3232</v>
      </c>
      <c r="C4135" s="91" t="s">
        <v>1259</v>
      </c>
    </row>
    <row r="4136" spans="1:3" ht="15">
      <c r="A4136" s="84" t="s">
        <v>386</v>
      </c>
      <c r="B4136" s="83" t="s">
        <v>3233</v>
      </c>
      <c r="C4136" s="91" t="s">
        <v>1259</v>
      </c>
    </row>
    <row r="4137" spans="1:3" ht="15">
      <c r="A4137" s="84" t="s">
        <v>386</v>
      </c>
      <c r="B4137" s="83" t="s">
        <v>3211</v>
      </c>
      <c r="C4137" s="91" t="s">
        <v>1259</v>
      </c>
    </row>
    <row r="4138" spans="1:3" ht="15">
      <c r="A4138" s="84" t="s">
        <v>386</v>
      </c>
      <c r="B4138" s="83" t="s">
        <v>3199</v>
      </c>
      <c r="C4138" s="91" t="s">
        <v>1259</v>
      </c>
    </row>
    <row r="4139" spans="1:3" ht="15">
      <c r="A4139" s="84" t="s">
        <v>386</v>
      </c>
      <c r="B4139" s="83" t="s">
        <v>3218</v>
      </c>
      <c r="C4139" s="91" t="s">
        <v>1259</v>
      </c>
    </row>
    <row r="4140" spans="1:3" ht="15">
      <c r="A4140" s="84" t="s">
        <v>386</v>
      </c>
      <c r="B4140" s="83" t="s">
        <v>3234</v>
      </c>
      <c r="C4140" s="91" t="s">
        <v>1259</v>
      </c>
    </row>
    <row r="4141" spans="1:3" ht="15">
      <c r="A4141" s="84" t="s">
        <v>386</v>
      </c>
      <c r="B4141" s="83" t="s">
        <v>3235</v>
      </c>
      <c r="C4141" s="91" t="s">
        <v>1259</v>
      </c>
    </row>
    <row r="4142" spans="1:3" ht="15">
      <c r="A4142" s="84" t="s">
        <v>386</v>
      </c>
      <c r="B4142" s="83" t="s">
        <v>3236</v>
      </c>
      <c r="C4142" s="91" t="s">
        <v>1259</v>
      </c>
    </row>
    <row r="4143" spans="1:3" ht="15">
      <c r="A4143" s="84" t="s">
        <v>386</v>
      </c>
      <c r="B4143" s="83" t="s">
        <v>3237</v>
      </c>
      <c r="C4143" s="91" t="s">
        <v>1259</v>
      </c>
    </row>
    <row r="4144" spans="1:3" ht="15">
      <c r="A4144" s="84" t="s">
        <v>386</v>
      </c>
      <c r="B4144" s="83" t="s">
        <v>3238</v>
      </c>
      <c r="C4144" s="91" t="s">
        <v>1259</v>
      </c>
    </row>
    <row r="4145" spans="1:3" ht="15">
      <c r="A4145" s="84" t="s">
        <v>386</v>
      </c>
      <c r="B4145" s="83" t="s">
        <v>3239</v>
      </c>
      <c r="C4145" s="91" t="s">
        <v>1259</v>
      </c>
    </row>
    <row r="4146" spans="1:3" ht="15">
      <c r="A4146" s="84" t="s">
        <v>386</v>
      </c>
      <c r="B4146" s="83" t="s">
        <v>3240</v>
      </c>
      <c r="C4146" s="91" t="s">
        <v>1259</v>
      </c>
    </row>
    <row r="4147" spans="1:3" ht="15">
      <c r="A4147" s="84" t="s">
        <v>386</v>
      </c>
      <c r="B4147" s="83" t="s">
        <v>3241</v>
      </c>
      <c r="C4147" s="91" t="s">
        <v>1259</v>
      </c>
    </row>
    <row r="4148" spans="1:3" ht="15">
      <c r="A4148" s="84" t="s">
        <v>386</v>
      </c>
      <c r="B4148" s="83" t="s">
        <v>3242</v>
      </c>
      <c r="C4148" s="91" t="s">
        <v>1259</v>
      </c>
    </row>
    <row r="4149" spans="1:3" ht="15">
      <c r="A4149" s="84" t="s">
        <v>386</v>
      </c>
      <c r="B4149" s="83" t="s">
        <v>2767</v>
      </c>
      <c r="C4149" s="91" t="s">
        <v>1259</v>
      </c>
    </row>
    <row r="4150" spans="1:3" ht="15">
      <c r="A4150" s="84" t="s">
        <v>386</v>
      </c>
      <c r="B4150" s="83" t="s">
        <v>3243</v>
      </c>
      <c r="C4150" s="91" t="s">
        <v>1259</v>
      </c>
    </row>
    <row r="4151" spans="1:3" ht="15">
      <c r="A4151" s="84" t="s">
        <v>386</v>
      </c>
      <c r="B4151" s="83" t="s">
        <v>3244</v>
      </c>
      <c r="C4151" s="91" t="s">
        <v>1259</v>
      </c>
    </row>
    <row r="4152" spans="1:3" ht="15">
      <c r="A4152" s="84" t="s">
        <v>386</v>
      </c>
      <c r="B4152" s="83" t="s">
        <v>3427</v>
      </c>
      <c r="C4152" s="91" t="s">
        <v>1258</v>
      </c>
    </row>
    <row r="4153" spans="1:3" ht="15">
      <c r="A4153" s="84" t="s">
        <v>386</v>
      </c>
      <c r="B4153" s="83" t="s">
        <v>2582</v>
      </c>
      <c r="C4153" s="91" t="s">
        <v>1258</v>
      </c>
    </row>
    <row r="4154" spans="1:3" ht="15">
      <c r="A4154" s="84" t="s">
        <v>386</v>
      </c>
      <c r="B4154" s="83" t="s">
        <v>3424</v>
      </c>
      <c r="C4154" s="91" t="s">
        <v>1258</v>
      </c>
    </row>
    <row r="4155" spans="1:3" ht="15">
      <c r="A4155" s="84" t="s">
        <v>386</v>
      </c>
      <c r="B4155" s="83" t="s">
        <v>2874</v>
      </c>
      <c r="C4155" s="91" t="s">
        <v>1258</v>
      </c>
    </row>
    <row r="4156" spans="1:3" ht="15">
      <c r="A4156" s="84" t="s">
        <v>386</v>
      </c>
      <c r="B4156" s="83" t="s">
        <v>3428</v>
      </c>
      <c r="C4156" s="91" t="s">
        <v>1258</v>
      </c>
    </row>
    <row r="4157" spans="1:3" ht="15">
      <c r="A4157" s="84" t="s">
        <v>386</v>
      </c>
      <c r="B4157" s="83" t="s">
        <v>2968</v>
      </c>
      <c r="C4157" s="91" t="s">
        <v>1258</v>
      </c>
    </row>
    <row r="4158" spans="1:3" ht="15">
      <c r="A4158" s="84" t="s">
        <v>386</v>
      </c>
      <c r="B4158" s="83" t="s">
        <v>3203</v>
      </c>
      <c r="C4158" s="91" t="s">
        <v>1258</v>
      </c>
    </row>
    <row r="4159" spans="1:3" ht="15">
      <c r="A4159" s="84" t="s">
        <v>386</v>
      </c>
      <c r="B4159" s="83">
        <v>19</v>
      </c>
      <c r="C4159" s="91" t="s">
        <v>1258</v>
      </c>
    </row>
    <row r="4160" spans="1:3" ht="15">
      <c r="A4160" s="84" t="s">
        <v>386</v>
      </c>
      <c r="B4160" s="83" t="s">
        <v>3198</v>
      </c>
      <c r="C4160" s="91" t="s">
        <v>1258</v>
      </c>
    </row>
    <row r="4161" spans="1:3" ht="15">
      <c r="A4161" s="84" t="s">
        <v>386</v>
      </c>
      <c r="B4161" s="83" t="s">
        <v>3411</v>
      </c>
      <c r="C4161" s="91" t="s">
        <v>1258</v>
      </c>
    </row>
    <row r="4162" spans="1:3" ht="15">
      <c r="A4162" s="84" t="s">
        <v>386</v>
      </c>
      <c r="B4162" s="83" t="s">
        <v>3223</v>
      </c>
      <c r="C4162" s="91" t="s">
        <v>1258</v>
      </c>
    </row>
    <row r="4163" spans="1:3" ht="15">
      <c r="A4163" s="84" t="s">
        <v>386</v>
      </c>
      <c r="B4163" s="83" t="s">
        <v>3414</v>
      </c>
      <c r="C4163" s="91" t="s">
        <v>1258</v>
      </c>
    </row>
    <row r="4164" spans="1:3" ht="15">
      <c r="A4164" s="84" t="s">
        <v>386</v>
      </c>
      <c r="B4164" s="83" t="s">
        <v>3412</v>
      </c>
      <c r="C4164" s="91" t="s">
        <v>1258</v>
      </c>
    </row>
    <row r="4165" spans="1:3" ht="15">
      <c r="A4165" s="84" t="s">
        <v>386</v>
      </c>
      <c r="B4165" s="83" t="s">
        <v>3429</v>
      </c>
      <c r="C4165" s="91" t="s">
        <v>1258</v>
      </c>
    </row>
    <row r="4166" spans="1:3" ht="15">
      <c r="A4166" s="84" t="s">
        <v>386</v>
      </c>
      <c r="B4166" s="83" t="s">
        <v>3215</v>
      </c>
      <c r="C4166" s="91" t="s">
        <v>1258</v>
      </c>
    </row>
    <row r="4167" spans="1:3" ht="15">
      <c r="A4167" s="84" t="s">
        <v>386</v>
      </c>
      <c r="B4167" s="83" t="s">
        <v>3415</v>
      </c>
      <c r="C4167" s="91" t="s">
        <v>1258</v>
      </c>
    </row>
    <row r="4168" spans="1:3" ht="15">
      <c r="A4168" s="84" t="s">
        <v>386</v>
      </c>
      <c r="B4168" s="83" t="s">
        <v>3416</v>
      </c>
      <c r="C4168" s="91" t="s">
        <v>1258</v>
      </c>
    </row>
    <row r="4169" spans="1:3" ht="15">
      <c r="A4169" s="84" t="s">
        <v>386</v>
      </c>
      <c r="B4169" s="83" t="s">
        <v>3417</v>
      </c>
      <c r="C4169" s="91" t="s">
        <v>1258</v>
      </c>
    </row>
    <row r="4170" spans="1:3" ht="15">
      <c r="A4170" s="84" t="s">
        <v>386</v>
      </c>
      <c r="B4170" s="83" t="s">
        <v>3418</v>
      </c>
      <c r="C4170" s="91" t="s">
        <v>1258</v>
      </c>
    </row>
    <row r="4171" spans="1:3" ht="15">
      <c r="A4171" s="84" t="s">
        <v>386</v>
      </c>
      <c r="B4171" s="83" t="s">
        <v>3219</v>
      </c>
      <c r="C4171" s="91" t="s">
        <v>1258</v>
      </c>
    </row>
    <row r="4172" spans="1:3" ht="15">
      <c r="A4172" s="84" t="s">
        <v>386</v>
      </c>
      <c r="B4172" s="83" t="s">
        <v>3430</v>
      </c>
      <c r="C4172" s="91" t="s">
        <v>1258</v>
      </c>
    </row>
    <row r="4173" spans="1:3" ht="15">
      <c r="A4173" s="84" t="s">
        <v>386</v>
      </c>
      <c r="B4173" s="83" t="s">
        <v>3254</v>
      </c>
      <c r="C4173" s="91" t="s">
        <v>1258</v>
      </c>
    </row>
    <row r="4174" spans="1:3" ht="15">
      <c r="A4174" s="84" t="s">
        <v>386</v>
      </c>
      <c r="B4174" s="83" t="s">
        <v>3420</v>
      </c>
      <c r="C4174" s="91" t="s">
        <v>1258</v>
      </c>
    </row>
    <row r="4175" spans="1:3" ht="15">
      <c r="A4175" s="84" t="s">
        <v>386</v>
      </c>
      <c r="B4175" s="83" t="s">
        <v>3421</v>
      </c>
      <c r="C4175" s="91" t="s">
        <v>1258</v>
      </c>
    </row>
    <row r="4176" spans="1:3" ht="15">
      <c r="A4176" s="84" t="s">
        <v>386</v>
      </c>
      <c r="B4176" s="83" t="s">
        <v>3199</v>
      </c>
      <c r="C4176" s="91" t="s">
        <v>1258</v>
      </c>
    </row>
    <row r="4177" spans="1:3" ht="15">
      <c r="A4177" s="84" t="s">
        <v>386</v>
      </c>
      <c r="B4177" s="83" t="s">
        <v>3393</v>
      </c>
      <c r="C4177" s="91" t="s">
        <v>1258</v>
      </c>
    </row>
    <row r="4178" spans="1:3" ht="15">
      <c r="A4178" s="84" t="s">
        <v>386</v>
      </c>
      <c r="B4178" s="83" t="s">
        <v>3422</v>
      </c>
      <c r="C4178" s="91" t="s">
        <v>1258</v>
      </c>
    </row>
    <row r="4179" spans="1:3" ht="15">
      <c r="A4179" s="84" t="s">
        <v>386</v>
      </c>
      <c r="B4179" s="83" t="s">
        <v>3431</v>
      </c>
      <c r="C4179" s="91" t="s">
        <v>1257</v>
      </c>
    </row>
    <row r="4180" spans="1:3" ht="15">
      <c r="A4180" s="84" t="s">
        <v>386</v>
      </c>
      <c r="B4180" s="83" t="s">
        <v>3210</v>
      </c>
      <c r="C4180" s="91" t="s">
        <v>1257</v>
      </c>
    </row>
    <row r="4181" spans="1:3" ht="15">
      <c r="A4181" s="84" t="s">
        <v>386</v>
      </c>
      <c r="B4181" s="83">
        <v>19</v>
      </c>
      <c r="C4181" s="91" t="s">
        <v>1257</v>
      </c>
    </row>
    <row r="4182" spans="1:3" ht="15">
      <c r="A4182" s="84" t="s">
        <v>386</v>
      </c>
      <c r="B4182" s="83" t="s">
        <v>2591</v>
      </c>
      <c r="C4182" s="91" t="s">
        <v>1257</v>
      </c>
    </row>
    <row r="4183" spans="1:3" ht="15">
      <c r="A4183" s="84" t="s">
        <v>386</v>
      </c>
      <c r="B4183" s="83" t="s">
        <v>2718</v>
      </c>
      <c r="C4183" s="91" t="s">
        <v>1257</v>
      </c>
    </row>
    <row r="4184" spans="1:3" ht="15">
      <c r="A4184" s="84" t="s">
        <v>386</v>
      </c>
      <c r="B4184" s="83" t="s">
        <v>3432</v>
      </c>
      <c r="C4184" s="91" t="s">
        <v>1257</v>
      </c>
    </row>
    <row r="4185" spans="1:3" ht="15">
      <c r="A4185" s="84" t="s">
        <v>386</v>
      </c>
      <c r="B4185" s="83" t="s">
        <v>2647</v>
      </c>
      <c r="C4185" s="91" t="s">
        <v>1257</v>
      </c>
    </row>
    <row r="4186" spans="1:3" ht="15">
      <c r="A4186" s="84" t="s">
        <v>386</v>
      </c>
      <c r="B4186" s="83" t="s">
        <v>2910</v>
      </c>
      <c r="C4186" s="91" t="s">
        <v>1257</v>
      </c>
    </row>
    <row r="4187" spans="1:3" ht="15">
      <c r="A4187" s="84" t="s">
        <v>386</v>
      </c>
      <c r="B4187" s="83" t="s">
        <v>2911</v>
      </c>
      <c r="C4187" s="91" t="s">
        <v>1257</v>
      </c>
    </row>
    <row r="4188" spans="1:3" ht="15">
      <c r="A4188" s="84" t="s">
        <v>386</v>
      </c>
      <c r="B4188" s="83" t="s">
        <v>2590</v>
      </c>
      <c r="C4188" s="91" t="s">
        <v>1257</v>
      </c>
    </row>
    <row r="4189" spans="1:3" ht="15">
      <c r="A4189" s="84" t="s">
        <v>386</v>
      </c>
      <c r="B4189" s="83" t="s">
        <v>2607</v>
      </c>
      <c r="C4189" s="91" t="s">
        <v>1257</v>
      </c>
    </row>
    <row r="4190" spans="1:3" ht="15">
      <c r="A4190" s="84" t="s">
        <v>386</v>
      </c>
      <c r="B4190" s="83" t="s">
        <v>2912</v>
      </c>
      <c r="C4190" s="91" t="s">
        <v>1257</v>
      </c>
    </row>
    <row r="4191" spans="1:3" ht="15">
      <c r="A4191" s="84" t="s">
        <v>386</v>
      </c>
      <c r="B4191" s="83" t="s">
        <v>3227</v>
      </c>
      <c r="C4191" s="91" t="s">
        <v>1257</v>
      </c>
    </row>
    <row r="4192" spans="1:3" ht="15">
      <c r="A4192" s="84" t="s">
        <v>386</v>
      </c>
      <c r="B4192" s="83" t="s">
        <v>3225</v>
      </c>
      <c r="C4192" s="91" t="s">
        <v>1257</v>
      </c>
    </row>
    <row r="4193" spans="1:3" ht="15">
      <c r="A4193" s="84" t="s">
        <v>386</v>
      </c>
      <c r="B4193" s="83" t="s">
        <v>3327</v>
      </c>
      <c r="C4193" s="91" t="s">
        <v>1257</v>
      </c>
    </row>
    <row r="4194" spans="1:3" ht="15">
      <c r="A4194" s="84" t="s">
        <v>386</v>
      </c>
      <c r="B4194" s="83" t="s">
        <v>3199</v>
      </c>
      <c r="C4194" s="91" t="s">
        <v>1257</v>
      </c>
    </row>
    <row r="4195" spans="1:3" ht="15">
      <c r="A4195" s="84" t="s">
        <v>386</v>
      </c>
      <c r="B4195" s="83" t="s">
        <v>3313</v>
      </c>
      <c r="C4195" s="91" t="s">
        <v>1257</v>
      </c>
    </row>
    <row r="4196" spans="1:3" ht="15">
      <c r="A4196" s="84" t="s">
        <v>386</v>
      </c>
      <c r="B4196" s="83" t="s">
        <v>3424</v>
      </c>
      <c r="C4196" s="91" t="s">
        <v>1257</v>
      </c>
    </row>
    <row r="4197" spans="1:3" ht="15">
      <c r="A4197" s="84" t="s">
        <v>386</v>
      </c>
      <c r="B4197" s="83" t="s">
        <v>586</v>
      </c>
      <c r="C4197" s="91" t="s">
        <v>1257</v>
      </c>
    </row>
    <row r="4198" spans="1:3" ht="15">
      <c r="A4198" s="84" t="s">
        <v>386</v>
      </c>
      <c r="B4198" s="83" t="s">
        <v>3433</v>
      </c>
      <c r="C4198" s="91" t="s">
        <v>1256</v>
      </c>
    </row>
    <row r="4199" spans="1:3" ht="15">
      <c r="A4199" s="84" t="s">
        <v>386</v>
      </c>
      <c r="B4199" s="83" t="s">
        <v>2834</v>
      </c>
      <c r="C4199" s="91" t="s">
        <v>1256</v>
      </c>
    </row>
    <row r="4200" spans="1:3" ht="15">
      <c r="A4200" s="84" t="s">
        <v>386</v>
      </c>
      <c r="B4200" s="83" t="s">
        <v>2835</v>
      </c>
      <c r="C4200" s="91" t="s">
        <v>1256</v>
      </c>
    </row>
    <row r="4201" spans="1:3" ht="15">
      <c r="A4201" s="84" t="s">
        <v>386</v>
      </c>
      <c r="B4201" s="83" t="s">
        <v>2580</v>
      </c>
      <c r="C4201" s="91" t="s">
        <v>1256</v>
      </c>
    </row>
    <row r="4202" spans="1:3" ht="15">
      <c r="A4202" s="84" t="s">
        <v>386</v>
      </c>
      <c r="B4202" s="83" t="s">
        <v>2836</v>
      </c>
      <c r="C4202" s="91" t="s">
        <v>1256</v>
      </c>
    </row>
    <row r="4203" spans="1:3" ht="15">
      <c r="A4203" s="84" t="s">
        <v>386</v>
      </c>
      <c r="B4203" s="83" t="s">
        <v>2837</v>
      </c>
      <c r="C4203" s="91" t="s">
        <v>1256</v>
      </c>
    </row>
    <row r="4204" spans="1:3" ht="15">
      <c r="A4204" s="84" t="s">
        <v>386</v>
      </c>
      <c r="B4204" s="83" t="s">
        <v>2738</v>
      </c>
      <c r="C4204" s="91" t="s">
        <v>1256</v>
      </c>
    </row>
    <row r="4205" spans="1:3" ht="15">
      <c r="A4205" s="84" t="s">
        <v>386</v>
      </c>
      <c r="B4205" s="83" t="s">
        <v>3210</v>
      </c>
      <c r="C4205" s="91" t="s">
        <v>1256</v>
      </c>
    </row>
    <row r="4206" spans="1:3" ht="15">
      <c r="A4206" s="84" t="s">
        <v>386</v>
      </c>
      <c r="B4206" s="83">
        <v>19</v>
      </c>
      <c r="C4206" s="91" t="s">
        <v>1256</v>
      </c>
    </row>
    <row r="4207" spans="1:3" ht="15">
      <c r="A4207" s="84" t="s">
        <v>386</v>
      </c>
      <c r="B4207" s="83" t="s">
        <v>2591</v>
      </c>
      <c r="C4207" s="91" t="s">
        <v>1256</v>
      </c>
    </row>
    <row r="4208" spans="1:3" ht="15">
      <c r="A4208" s="84" t="s">
        <v>386</v>
      </c>
      <c r="B4208" s="83" t="s">
        <v>2718</v>
      </c>
      <c r="C4208" s="91" t="s">
        <v>1256</v>
      </c>
    </row>
    <row r="4209" spans="1:3" ht="15">
      <c r="A4209" s="84" t="s">
        <v>386</v>
      </c>
      <c r="B4209" s="83" t="s">
        <v>3199</v>
      </c>
      <c r="C4209" s="91" t="s">
        <v>1256</v>
      </c>
    </row>
    <row r="4210" spans="1:3" ht="15">
      <c r="A4210" s="84" t="s">
        <v>386</v>
      </c>
      <c r="B4210" s="83" t="s">
        <v>2577</v>
      </c>
      <c r="C4210" s="91" t="s">
        <v>1256</v>
      </c>
    </row>
    <row r="4211" spans="1:3" ht="15">
      <c r="A4211" s="84" t="s">
        <v>386</v>
      </c>
      <c r="B4211" s="83" t="s">
        <v>2838</v>
      </c>
      <c r="C4211" s="91" t="s">
        <v>1256</v>
      </c>
    </row>
    <row r="4212" spans="1:3" ht="15">
      <c r="A4212" s="84" t="s">
        <v>386</v>
      </c>
      <c r="B4212" s="83" t="s">
        <v>2586</v>
      </c>
      <c r="C4212" s="91" t="s">
        <v>1256</v>
      </c>
    </row>
    <row r="4213" spans="1:3" ht="15">
      <c r="A4213" s="84" t="s">
        <v>386</v>
      </c>
      <c r="B4213" s="83" t="s">
        <v>2839</v>
      </c>
      <c r="C4213" s="91" t="s">
        <v>1256</v>
      </c>
    </row>
    <row r="4214" spans="1:3" ht="15">
      <c r="A4214" s="84" t="s">
        <v>386</v>
      </c>
      <c r="B4214" s="83" t="s">
        <v>2840</v>
      </c>
      <c r="C4214" s="91" t="s">
        <v>1256</v>
      </c>
    </row>
    <row r="4215" spans="1:3" ht="15">
      <c r="A4215" s="84" t="s">
        <v>386</v>
      </c>
      <c r="B4215" s="83" t="s">
        <v>2841</v>
      </c>
      <c r="C4215" s="91" t="s">
        <v>1256</v>
      </c>
    </row>
    <row r="4216" spans="1:3" ht="15">
      <c r="A4216" s="84" t="s">
        <v>386</v>
      </c>
      <c r="B4216" s="83" t="s">
        <v>2774</v>
      </c>
      <c r="C4216" s="91" t="s">
        <v>1256</v>
      </c>
    </row>
    <row r="4217" spans="1:3" ht="15">
      <c r="A4217" s="84" t="s">
        <v>386</v>
      </c>
      <c r="B4217" s="83" t="s">
        <v>2775</v>
      </c>
      <c r="C4217" s="91" t="s">
        <v>1256</v>
      </c>
    </row>
    <row r="4218" spans="1:3" ht="15">
      <c r="A4218" s="84" t="s">
        <v>386</v>
      </c>
      <c r="B4218" s="83" t="s">
        <v>2842</v>
      </c>
      <c r="C4218" s="91" t="s">
        <v>1256</v>
      </c>
    </row>
    <row r="4219" spans="1:3" ht="15">
      <c r="A4219" s="84" t="s">
        <v>386</v>
      </c>
      <c r="B4219" s="83" t="s">
        <v>2607</v>
      </c>
      <c r="C4219" s="91" t="s">
        <v>1256</v>
      </c>
    </row>
    <row r="4220" spans="1:3" ht="15">
      <c r="A4220" s="84" t="s">
        <v>386</v>
      </c>
      <c r="B4220" s="83" t="s">
        <v>3225</v>
      </c>
      <c r="C4220" s="91" t="s">
        <v>1256</v>
      </c>
    </row>
    <row r="4221" spans="1:3" ht="15">
      <c r="A4221" s="84" t="s">
        <v>386</v>
      </c>
      <c r="B4221" s="83" t="s">
        <v>3434</v>
      </c>
      <c r="C4221" s="91" t="s">
        <v>1256</v>
      </c>
    </row>
    <row r="4222" spans="1:3" ht="15">
      <c r="A4222" s="84" t="s">
        <v>386</v>
      </c>
      <c r="B4222" s="83" t="s">
        <v>3435</v>
      </c>
      <c r="C4222" s="91" t="s">
        <v>1256</v>
      </c>
    </row>
    <row r="4223" spans="1:3" ht="15">
      <c r="A4223" s="84" t="s">
        <v>386</v>
      </c>
      <c r="B4223" s="83" t="s">
        <v>2843</v>
      </c>
      <c r="C4223" s="91" t="s">
        <v>1256</v>
      </c>
    </row>
    <row r="4224" spans="1:3" ht="15">
      <c r="A4224" s="84" t="s">
        <v>386</v>
      </c>
      <c r="B4224" s="83" t="s">
        <v>3198</v>
      </c>
      <c r="C4224" s="91" t="s">
        <v>1256</v>
      </c>
    </row>
    <row r="4225" spans="1:3" ht="15">
      <c r="A4225" s="84" t="s">
        <v>386</v>
      </c>
      <c r="B4225" s="83" t="s">
        <v>3214</v>
      </c>
      <c r="C4225" s="91" t="s">
        <v>1256</v>
      </c>
    </row>
    <row r="4226" spans="1:3" ht="15">
      <c r="A4226" s="84" t="s">
        <v>386</v>
      </c>
      <c r="B4226" s="83" t="s">
        <v>3319</v>
      </c>
      <c r="C4226" s="91" t="s">
        <v>1256</v>
      </c>
    </row>
    <row r="4227" spans="1:3" ht="15">
      <c r="A4227" s="84" t="s">
        <v>386</v>
      </c>
      <c r="B4227" s="83" t="s">
        <v>3431</v>
      </c>
      <c r="C4227" s="91" t="s">
        <v>1255</v>
      </c>
    </row>
    <row r="4228" spans="1:3" ht="15">
      <c r="A4228" s="84" t="s">
        <v>386</v>
      </c>
      <c r="B4228" s="83" t="s">
        <v>3210</v>
      </c>
      <c r="C4228" s="91" t="s">
        <v>1255</v>
      </c>
    </row>
    <row r="4229" spans="1:3" ht="15">
      <c r="A4229" s="84" t="s">
        <v>386</v>
      </c>
      <c r="B4229" s="83">
        <v>19</v>
      </c>
      <c r="C4229" s="91" t="s">
        <v>1255</v>
      </c>
    </row>
    <row r="4230" spans="1:3" ht="15">
      <c r="A4230" s="84" t="s">
        <v>386</v>
      </c>
      <c r="B4230" s="83" t="s">
        <v>2591</v>
      </c>
      <c r="C4230" s="91" t="s">
        <v>1255</v>
      </c>
    </row>
    <row r="4231" spans="1:3" ht="15">
      <c r="A4231" s="84" t="s">
        <v>386</v>
      </c>
      <c r="B4231" s="83" t="s">
        <v>2718</v>
      </c>
      <c r="C4231" s="91" t="s">
        <v>1255</v>
      </c>
    </row>
    <row r="4232" spans="1:3" ht="15">
      <c r="A4232" s="84" t="s">
        <v>386</v>
      </c>
      <c r="B4232" s="83" t="s">
        <v>3432</v>
      </c>
      <c r="C4232" s="91" t="s">
        <v>1255</v>
      </c>
    </row>
    <row r="4233" spans="1:3" ht="15">
      <c r="A4233" s="84" t="s">
        <v>386</v>
      </c>
      <c r="B4233" s="83" t="s">
        <v>2647</v>
      </c>
      <c r="C4233" s="91" t="s">
        <v>1255</v>
      </c>
    </row>
    <row r="4234" spans="1:3" ht="15">
      <c r="A4234" s="84" t="s">
        <v>386</v>
      </c>
      <c r="B4234" s="83" t="s">
        <v>2910</v>
      </c>
      <c r="C4234" s="91" t="s">
        <v>1255</v>
      </c>
    </row>
    <row r="4235" spans="1:3" ht="15">
      <c r="A4235" s="84" t="s">
        <v>386</v>
      </c>
      <c r="B4235" s="83" t="s">
        <v>2911</v>
      </c>
      <c r="C4235" s="91" t="s">
        <v>1255</v>
      </c>
    </row>
    <row r="4236" spans="1:3" ht="15">
      <c r="A4236" s="84" t="s">
        <v>386</v>
      </c>
      <c r="B4236" s="83" t="s">
        <v>2590</v>
      </c>
      <c r="C4236" s="91" t="s">
        <v>1255</v>
      </c>
    </row>
    <row r="4237" spans="1:3" ht="15">
      <c r="A4237" s="84" t="s">
        <v>386</v>
      </c>
      <c r="B4237" s="83" t="s">
        <v>2607</v>
      </c>
      <c r="C4237" s="91" t="s">
        <v>1255</v>
      </c>
    </row>
    <row r="4238" spans="1:3" ht="15">
      <c r="A4238" s="84" t="s">
        <v>386</v>
      </c>
      <c r="B4238" s="83" t="s">
        <v>2912</v>
      </c>
      <c r="C4238" s="91" t="s">
        <v>1255</v>
      </c>
    </row>
    <row r="4239" spans="1:3" ht="15">
      <c r="A4239" s="84" t="s">
        <v>386</v>
      </c>
      <c r="B4239" s="83" t="s">
        <v>3227</v>
      </c>
      <c r="C4239" s="91" t="s">
        <v>1255</v>
      </c>
    </row>
    <row r="4240" spans="1:3" ht="15">
      <c r="A4240" s="84" t="s">
        <v>386</v>
      </c>
      <c r="B4240" s="83" t="s">
        <v>3225</v>
      </c>
      <c r="C4240" s="91" t="s">
        <v>1255</v>
      </c>
    </row>
    <row r="4241" spans="1:3" ht="15">
      <c r="A4241" s="84" t="s">
        <v>386</v>
      </c>
      <c r="B4241" s="83" t="s">
        <v>3327</v>
      </c>
      <c r="C4241" s="91" t="s">
        <v>1255</v>
      </c>
    </row>
    <row r="4242" spans="1:3" ht="15">
      <c r="A4242" s="84" t="s">
        <v>386</v>
      </c>
      <c r="B4242" s="83" t="s">
        <v>3199</v>
      </c>
      <c r="C4242" s="91" t="s">
        <v>1255</v>
      </c>
    </row>
    <row r="4243" spans="1:3" ht="15">
      <c r="A4243" s="84" t="s">
        <v>386</v>
      </c>
      <c r="B4243" s="83" t="s">
        <v>3313</v>
      </c>
      <c r="C4243" s="91" t="s">
        <v>1255</v>
      </c>
    </row>
    <row r="4244" spans="1:3" ht="15">
      <c r="A4244" s="84" t="s">
        <v>386</v>
      </c>
      <c r="B4244" s="83" t="s">
        <v>3424</v>
      </c>
      <c r="C4244" s="91" t="s">
        <v>1255</v>
      </c>
    </row>
    <row r="4245" spans="1:3" ht="15">
      <c r="A4245" s="84" t="s">
        <v>386</v>
      </c>
      <c r="B4245" s="83" t="s">
        <v>586</v>
      </c>
      <c r="C4245" s="91" t="s">
        <v>1255</v>
      </c>
    </row>
    <row r="4246" spans="1:3" ht="15">
      <c r="A4246" s="84" t="s">
        <v>386</v>
      </c>
      <c r="B4246" s="83" t="s">
        <v>3436</v>
      </c>
      <c r="C4246" s="91" t="s">
        <v>1252</v>
      </c>
    </row>
    <row r="4247" spans="1:3" ht="15">
      <c r="A4247" s="84" t="s">
        <v>386</v>
      </c>
      <c r="B4247" s="83" t="s">
        <v>2682</v>
      </c>
      <c r="C4247" s="91" t="s">
        <v>1252</v>
      </c>
    </row>
    <row r="4248" spans="1:3" ht="15">
      <c r="A4248" s="84" t="s">
        <v>386</v>
      </c>
      <c r="B4248" s="83" t="s">
        <v>2582</v>
      </c>
      <c r="C4248" s="91" t="s">
        <v>1252</v>
      </c>
    </row>
    <row r="4249" spans="1:3" ht="15">
      <c r="A4249" s="84" t="s">
        <v>386</v>
      </c>
      <c r="B4249" s="83" t="s">
        <v>3437</v>
      </c>
      <c r="C4249" s="91" t="s">
        <v>1252</v>
      </c>
    </row>
    <row r="4250" spans="1:3" ht="15">
      <c r="A4250" s="84" t="s">
        <v>386</v>
      </c>
      <c r="B4250" s="83" t="s">
        <v>3438</v>
      </c>
      <c r="C4250" s="91" t="s">
        <v>1252</v>
      </c>
    </row>
    <row r="4251" spans="1:3" ht="15">
      <c r="A4251" s="84" t="s">
        <v>386</v>
      </c>
      <c r="B4251" s="83" t="s">
        <v>2685</v>
      </c>
      <c r="C4251" s="91" t="s">
        <v>1252</v>
      </c>
    </row>
    <row r="4252" spans="1:3" ht="15">
      <c r="A4252" s="84" t="s">
        <v>386</v>
      </c>
      <c r="B4252" s="83">
        <v>106</v>
      </c>
      <c r="C4252" s="91" t="s">
        <v>1252</v>
      </c>
    </row>
    <row r="4253" spans="1:3" ht="15">
      <c r="A4253" s="84" t="s">
        <v>386</v>
      </c>
      <c r="B4253" s="83" t="s">
        <v>2687</v>
      </c>
      <c r="C4253" s="91" t="s">
        <v>1252</v>
      </c>
    </row>
    <row r="4254" spans="1:3" ht="15">
      <c r="A4254" s="84" t="s">
        <v>386</v>
      </c>
      <c r="B4254" s="83" t="s">
        <v>2688</v>
      </c>
      <c r="C4254" s="91" t="s">
        <v>1252</v>
      </c>
    </row>
    <row r="4255" spans="1:3" ht="15">
      <c r="A4255" s="84" t="s">
        <v>386</v>
      </c>
      <c r="B4255" s="83" t="s">
        <v>3439</v>
      </c>
      <c r="C4255" s="91" t="s">
        <v>1252</v>
      </c>
    </row>
    <row r="4256" spans="1:3" ht="15">
      <c r="A4256" s="84" t="s">
        <v>386</v>
      </c>
      <c r="B4256" s="83" t="s">
        <v>3440</v>
      </c>
      <c r="C4256" s="91" t="s">
        <v>1252</v>
      </c>
    </row>
    <row r="4257" spans="1:3" ht="15">
      <c r="A4257" s="84" t="s">
        <v>386</v>
      </c>
      <c r="B4257" s="83" t="s">
        <v>3213</v>
      </c>
      <c r="C4257" s="91" t="s">
        <v>1252</v>
      </c>
    </row>
    <row r="4258" spans="1:3" ht="15">
      <c r="A4258" s="84" t="s">
        <v>386</v>
      </c>
      <c r="B4258" s="83" t="s">
        <v>3194</v>
      </c>
      <c r="C4258" s="91" t="s">
        <v>1252</v>
      </c>
    </row>
    <row r="4259" spans="1:3" ht="15">
      <c r="A4259" s="84" t="s">
        <v>386</v>
      </c>
      <c r="B4259" s="83" t="s">
        <v>3214</v>
      </c>
      <c r="C4259" s="91" t="s">
        <v>1252</v>
      </c>
    </row>
    <row r="4260" spans="1:3" ht="15">
      <c r="A4260" s="84" t="s">
        <v>386</v>
      </c>
      <c r="B4260" s="83" t="s">
        <v>3441</v>
      </c>
      <c r="C4260" s="91" t="s">
        <v>1252</v>
      </c>
    </row>
    <row r="4261" spans="1:3" ht="15">
      <c r="A4261" s="84" t="s">
        <v>386</v>
      </c>
      <c r="B4261" s="83" t="s">
        <v>3412</v>
      </c>
      <c r="C4261" s="91" t="s">
        <v>1252</v>
      </c>
    </row>
    <row r="4262" spans="1:3" ht="15">
      <c r="A4262" s="84" t="s">
        <v>386</v>
      </c>
      <c r="B4262" s="83" t="s">
        <v>3199</v>
      </c>
      <c r="C4262" s="91" t="s">
        <v>1252</v>
      </c>
    </row>
    <row r="4263" spans="1:3" ht="15">
      <c r="A4263" s="84" t="s">
        <v>386</v>
      </c>
      <c r="B4263" s="83" t="s">
        <v>3442</v>
      </c>
      <c r="C4263" s="91" t="s">
        <v>1252</v>
      </c>
    </row>
    <row r="4264" spans="1:3" ht="15">
      <c r="A4264" s="84" t="s">
        <v>386</v>
      </c>
      <c r="B4264" s="83" t="s">
        <v>3223</v>
      </c>
      <c r="C4264" s="91" t="s">
        <v>1252</v>
      </c>
    </row>
    <row r="4265" spans="1:3" ht="15">
      <c r="A4265" s="84" t="s">
        <v>386</v>
      </c>
      <c r="B4265" s="83" t="s">
        <v>3443</v>
      </c>
      <c r="C4265" s="91" t="s">
        <v>1252</v>
      </c>
    </row>
    <row r="4266" spans="1:3" ht="15">
      <c r="A4266" s="84" t="s">
        <v>386</v>
      </c>
      <c r="B4266" s="83" t="s">
        <v>3444</v>
      </c>
      <c r="C4266" s="91" t="s">
        <v>1252</v>
      </c>
    </row>
    <row r="4267" spans="1:3" ht="15">
      <c r="A4267" s="84" t="s">
        <v>386</v>
      </c>
      <c r="B4267" s="83" t="s">
        <v>381</v>
      </c>
      <c r="C4267" s="91" t="s">
        <v>1252</v>
      </c>
    </row>
    <row r="4268" spans="1:3" ht="15">
      <c r="A4268" s="84" t="s">
        <v>386</v>
      </c>
      <c r="B4268" s="83" t="s">
        <v>3445</v>
      </c>
      <c r="C4268" s="91" t="s">
        <v>1252</v>
      </c>
    </row>
    <row r="4269" spans="1:3" ht="15">
      <c r="A4269" s="84" t="s">
        <v>386</v>
      </c>
      <c r="B4269" s="83" t="s">
        <v>383</v>
      </c>
      <c r="C4269" s="91" t="s">
        <v>1252</v>
      </c>
    </row>
    <row r="4270" spans="1:3" ht="15">
      <c r="A4270" s="84" t="s">
        <v>386</v>
      </c>
      <c r="B4270" s="83" t="s">
        <v>430</v>
      </c>
      <c r="C4270" s="91" t="s">
        <v>1252</v>
      </c>
    </row>
    <row r="4271" spans="1:3" ht="15">
      <c r="A4271" s="84" t="s">
        <v>386</v>
      </c>
      <c r="B4271" s="83" t="s">
        <v>3446</v>
      </c>
      <c r="C4271" s="91" t="s">
        <v>1252</v>
      </c>
    </row>
    <row r="4272" spans="1:3" ht="15">
      <c r="A4272" s="84" t="s">
        <v>386</v>
      </c>
      <c r="B4272" s="83" t="s">
        <v>3447</v>
      </c>
      <c r="C4272" s="91" t="s">
        <v>1252</v>
      </c>
    </row>
    <row r="4273" spans="1:3" ht="15">
      <c r="A4273" s="84" t="s">
        <v>386</v>
      </c>
      <c r="B4273" s="83" t="s">
        <v>3436</v>
      </c>
      <c r="C4273" s="91" t="s">
        <v>1251</v>
      </c>
    </row>
    <row r="4274" spans="1:3" ht="15">
      <c r="A4274" s="84" t="s">
        <v>386</v>
      </c>
      <c r="B4274" s="83" t="s">
        <v>2682</v>
      </c>
      <c r="C4274" s="91" t="s">
        <v>1251</v>
      </c>
    </row>
    <row r="4275" spans="1:3" ht="15">
      <c r="A4275" s="84" t="s">
        <v>386</v>
      </c>
      <c r="B4275" s="83" t="s">
        <v>2582</v>
      </c>
      <c r="C4275" s="91" t="s">
        <v>1251</v>
      </c>
    </row>
    <row r="4276" spans="1:3" ht="15">
      <c r="A4276" s="84" t="s">
        <v>386</v>
      </c>
      <c r="B4276" s="83" t="s">
        <v>3437</v>
      </c>
      <c r="C4276" s="91" t="s">
        <v>1251</v>
      </c>
    </row>
    <row r="4277" spans="1:3" ht="15">
      <c r="A4277" s="84" t="s">
        <v>386</v>
      </c>
      <c r="B4277" s="83" t="s">
        <v>3438</v>
      </c>
      <c r="C4277" s="91" t="s">
        <v>1251</v>
      </c>
    </row>
    <row r="4278" spans="1:3" ht="15">
      <c r="A4278" s="84" t="s">
        <v>386</v>
      </c>
      <c r="B4278" s="83" t="s">
        <v>2685</v>
      </c>
      <c r="C4278" s="91" t="s">
        <v>1251</v>
      </c>
    </row>
    <row r="4279" spans="1:3" ht="15">
      <c r="A4279" s="84" t="s">
        <v>386</v>
      </c>
      <c r="B4279" s="83">
        <v>106</v>
      </c>
      <c r="C4279" s="91" t="s">
        <v>1251</v>
      </c>
    </row>
    <row r="4280" spans="1:3" ht="15">
      <c r="A4280" s="84" t="s">
        <v>386</v>
      </c>
      <c r="B4280" s="83" t="s">
        <v>2687</v>
      </c>
      <c r="C4280" s="91" t="s">
        <v>1251</v>
      </c>
    </row>
    <row r="4281" spans="1:3" ht="15">
      <c r="A4281" s="84" t="s">
        <v>386</v>
      </c>
      <c r="B4281" s="83" t="s">
        <v>2688</v>
      </c>
      <c r="C4281" s="91" t="s">
        <v>1251</v>
      </c>
    </row>
    <row r="4282" spans="1:3" ht="15">
      <c r="A4282" s="84" t="s">
        <v>386</v>
      </c>
      <c r="B4282" s="83" t="s">
        <v>3439</v>
      </c>
      <c r="C4282" s="91" t="s">
        <v>1251</v>
      </c>
    </row>
    <row r="4283" spans="1:3" ht="15">
      <c r="A4283" s="84" t="s">
        <v>386</v>
      </c>
      <c r="B4283" s="83" t="s">
        <v>3440</v>
      </c>
      <c r="C4283" s="91" t="s">
        <v>1251</v>
      </c>
    </row>
    <row r="4284" spans="1:3" ht="15">
      <c r="A4284" s="84" t="s">
        <v>386</v>
      </c>
      <c r="B4284" s="83" t="s">
        <v>3213</v>
      </c>
      <c r="C4284" s="91" t="s">
        <v>1251</v>
      </c>
    </row>
    <row r="4285" spans="1:3" ht="15">
      <c r="A4285" s="84" t="s">
        <v>386</v>
      </c>
      <c r="B4285" s="83" t="s">
        <v>3194</v>
      </c>
      <c r="C4285" s="91" t="s">
        <v>1251</v>
      </c>
    </row>
    <row r="4286" spans="1:3" ht="15">
      <c r="A4286" s="84" t="s">
        <v>386</v>
      </c>
      <c r="B4286" s="83" t="s">
        <v>3214</v>
      </c>
      <c r="C4286" s="91" t="s">
        <v>1251</v>
      </c>
    </row>
    <row r="4287" spans="1:3" ht="15">
      <c r="A4287" s="84" t="s">
        <v>386</v>
      </c>
      <c r="B4287" s="83" t="s">
        <v>3441</v>
      </c>
      <c r="C4287" s="91" t="s">
        <v>1251</v>
      </c>
    </row>
    <row r="4288" spans="1:3" ht="15">
      <c r="A4288" s="84" t="s">
        <v>386</v>
      </c>
      <c r="B4288" s="83" t="s">
        <v>3412</v>
      </c>
      <c r="C4288" s="91" t="s">
        <v>1251</v>
      </c>
    </row>
    <row r="4289" spans="1:3" ht="15">
      <c r="A4289" s="84" t="s">
        <v>386</v>
      </c>
      <c r="B4289" s="83" t="s">
        <v>3199</v>
      </c>
      <c r="C4289" s="91" t="s">
        <v>1251</v>
      </c>
    </row>
    <row r="4290" spans="1:3" ht="15">
      <c r="A4290" s="84" t="s">
        <v>386</v>
      </c>
      <c r="B4290" s="83" t="s">
        <v>3442</v>
      </c>
      <c r="C4290" s="91" t="s">
        <v>1251</v>
      </c>
    </row>
    <row r="4291" spans="1:3" ht="15">
      <c r="A4291" s="84" t="s">
        <v>386</v>
      </c>
      <c r="B4291" s="83" t="s">
        <v>3223</v>
      </c>
      <c r="C4291" s="91" t="s">
        <v>1251</v>
      </c>
    </row>
    <row r="4292" spans="1:3" ht="15">
      <c r="A4292" s="84" t="s">
        <v>386</v>
      </c>
      <c r="B4292" s="83" t="s">
        <v>3443</v>
      </c>
      <c r="C4292" s="91" t="s">
        <v>1251</v>
      </c>
    </row>
    <row r="4293" spans="1:3" ht="15">
      <c r="A4293" s="84" t="s">
        <v>386</v>
      </c>
      <c r="B4293" s="83" t="s">
        <v>3444</v>
      </c>
      <c r="C4293" s="91" t="s">
        <v>1251</v>
      </c>
    </row>
    <row r="4294" spans="1:3" ht="15">
      <c r="A4294" s="84" t="s">
        <v>386</v>
      </c>
      <c r="B4294" s="83" t="s">
        <v>381</v>
      </c>
      <c r="C4294" s="91" t="s">
        <v>1251</v>
      </c>
    </row>
    <row r="4295" spans="1:3" ht="15">
      <c r="A4295" s="84" t="s">
        <v>386</v>
      </c>
      <c r="B4295" s="83" t="s">
        <v>3445</v>
      </c>
      <c r="C4295" s="91" t="s">
        <v>1251</v>
      </c>
    </row>
    <row r="4296" spans="1:3" ht="15">
      <c r="A4296" s="84" t="s">
        <v>386</v>
      </c>
      <c r="B4296" s="83" t="s">
        <v>383</v>
      </c>
      <c r="C4296" s="91" t="s">
        <v>1251</v>
      </c>
    </row>
    <row r="4297" spans="1:3" ht="15">
      <c r="A4297" s="84" t="s">
        <v>386</v>
      </c>
      <c r="B4297" s="83" t="s">
        <v>430</v>
      </c>
      <c r="C4297" s="91" t="s">
        <v>1251</v>
      </c>
    </row>
    <row r="4298" spans="1:3" ht="15">
      <c r="A4298" s="84" t="s">
        <v>386</v>
      </c>
      <c r="B4298" s="83" t="s">
        <v>3446</v>
      </c>
      <c r="C4298" s="91" t="s">
        <v>1251</v>
      </c>
    </row>
    <row r="4299" spans="1:3" ht="15">
      <c r="A4299" s="84" t="s">
        <v>386</v>
      </c>
      <c r="B4299" s="83" t="s">
        <v>3447</v>
      </c>
      <c r="C4299" s="91" t="s">
        <v>1251</v>
      </c>
    </row>
    <row r="4300" spans="1:3" ht="15">
      <c r="A4300" s="84" t="s">
        <v>379</v>
      </c>
      <c r="B4300" s="83" t="s">
        <v>3448</v>
      </c>
      <c r="C4300" s="91" t="s">
        <v>1243</v>
      </c>
    </row>
    <row r="4301" spans="1:3" ht="15">
      <c r="A4301" s="84" t="s">
        <v>379</v>
      </c>
      <c r="B4301" s="83" t="s">
        <v>2795</v>
      </c>
      <c r="C4301" s="91" t="s">
        <v>1243</v>
      </c>
    </row>
    <row r="4302" spans="1:3" ht="15">
      <c r="A4302" s="84" t="s">
        <v>379</v>
      </c>
      <c r="B4302" s="83" t="s">
        <v>2875</v>
      </c>
      <c r="C4302" s="91" t="s">
        <v>1243</v>
      </c>
    </row>
    <row r="4303" spans="1:3" ht="15">
      <c r="A4303" s="84" t="s">
        <v>379</v>
      </c>
      <c r="B4303" s="83" t="s">
        <v>2578</v>
      </c>
      <c r="C4303" s="91" t="s">
        <v>1243</v>
      </c>
    </row>
    <row r="4304" spans="1:3" ht="15">
      <c r="A4304" s="84" t="s">
        <v>379</v>
      </c>
      <c r="B4304" s="83" t="s">
        <v>2914</v>
      </c>
      <c r="C4304" s="91" t="s">
        <v>1243</v>
      </c>
    </row>
    <row r="4305" spans="1:3" ht="15">
      <c r="A4305" s="84" t="s">
        <v>379</v>
      </c>
      <c r="B4305" s="83" t="s">
        <v>2577</v>
      </c>
      <c r="C4305" s="91" t="s">
        <v>1243</v>
      </c>
    </row>
    <row r="4306" spans="1:3" ht="15">
      <c r="A4306" s="84" t="s">
        <v>379</v>
      </c>
      <c r="B4306" s="83" t="s">
        <v>2915</v>
      </c>
      <c r="C4306" s="91" t="s">
        <v>1243</v>
      </c>
    </row>
    <row r="4307" spans="1:3" ht="15">
      <c r="A4307" s="84" t="s">
        <v>379</v>
      </c>
      <c r="B4307" s="83" t="s">
        <v>2568</v>
      </c>
      <c r="C4307" s="91" t="s">
        <v>1243</v>
      </c>
    </row>
    <row r="4308" spans="1:3" ht="15">
      <c r="A4308" s="84" t="s">
        <v>379</v>
      </c>
      <c r="B4308" s="83" t="s">
        <v>2753</v>
      </c>
      <c r="C4308" s="91" t="s">
        <v>1243</v>
      </c>
    </row>
    <row r="4309" spans="1:3" ht="15">
      <c r="A4309" s="84" t="s">
        <v>379</v>
      </c>
      <c r="B4309" s="83" t="s">
        <v>3203</v>
      </c>
      <c r="C4309" s="91" t="s">
        <v>1243</v>
      </c>
    </row>
    <row r="4310" spans="1:3" ht="15">
      <c r="A4310" s="84" t="s">
        <v>379</v>
      </c>
      <c r="B4310" s="83" t="s">
        <v>2591</v>
      </c>
      <c r="C4310" s="91" t="s">
        <v>1243</v>
      </c>
    </row>
    <row r="4311" spans="1:3" ht="15">
      <c r="A4311" s="84" t="s">
        <v>379</v>
      </c>
      <c r="B4311" s="83" t="s">
        <v>2730</v>
      </c>
      <c r="C4311" s="91" t="s">
        <v>1243</v>
      </c>
    </row>
    <row r="4312" spans="1:3" ht="15">
      <c r="A4312" s="84" t="s">
        <v>379</v>
      </c>
      <c r="B4312" s="83" t="s">
        <v>2844</v>
      </c>
      <c r="C4312" s="91" t="s">
        <v>1243</v>
      </c>
    </row>
    <row r="4313" spans="1:3" ht="15">
      <c r="A4313" s="84" t="s">
        <v>379</v>
      </c>
      <c r="B4313" s="83" t="s">
        <v>2916</v>
      </c>
      <c r="C4313" s="91" t="s">
        <v>1243</v>
      </c>
    </row>
    <row r="4314" spans="1:3" ht="15">
      <c r="A4314" s="84" t="s">
        <v>379</v>
      </c>
      <c r="B4314" s="83" t="s">
        <v>2917</v>
      </c>
      <c r="C4314" s="91" t="s">
        <v>1243</v>
      </c>
    </row>
    <row r="4315" spans="1:3" ht="15">
      <c r="A4315" s="84" t="s">
        <v>379</v>
      </c>
      <c r="B4315" s="83" t="s">
        <v>3449</v>
      </c>
      <c r="C4315" s="91" t="s">
        <v>1243</v>
      </c>
    </row>
    <row r="4316" spans="1:3" ht="15">
      <c r="A4316" s="84" t="s">
        <v>379</v>
      </c>
      <c r="B4316" s="83" t="s">
        <v>2748</v>
      </c>
      <c r="C4316" s="91" t="s">
        <v>1243</v>
      </c>
    </row>
    <row r="4317" spans="1:3" ht="15">
      <c r="A4317" s="84" t="s">
        <v>379</v>
      </c>
      <c r="B4317" s="83" t="s">
        <v>2918</v>
      </c>
      <c r="C4317" s="91" t="s">
        <v>1243</v>
      </c>
    </row>
    <row r="4318" spans="1:3" ht="15">
      <c r="A4318" s="84" t="s">
        <v>379</v>
      </c>
      <c r="B4318" s="83" t="s">
        <v>2919</v>
      </c>
      <c r="C4318" s="91" t="s">
        <v>1243</v>
      </c>
    </row>
    <row r="4319" spans="1:3" ht="15">
      <c r="A4319" s="84" t="s">
        <v>379</v>
      </c>
      <c r="B4319" s="83" t="s">
        <v>2845</v>
      </c>
      <c r="C4319" s="91" t="s">
        <v>1243</v>
      </c>
    </row>
    <row r="4320" spans="1:3" ht="15">
      <c r="A4320" s="84" t="s">
        <v>379</v>
      </c>
      <c r="B4320" s="83" t="s">
        <v>2920</v>
      </c>
      <c r="C4320" s="91" t="s">
        <v>1243</v>
      </c>
    </row>
    <row r="4321" spans="1:3" ht="15">
      <c r="A4321" s="84" t="s">
        <v>379</v>
      </c>
      <c r="B4321" s="83" t="s">
        <v>2921</v>
      </c>
      <c r="C4321" s="91" t="s">
        <v>1243</v>
      </c>
    </row>
    <row r="4322" spans="1:3" ht="15">
      <c r="A4322" s="84" t="s">
        <v>379</v>
      </c>
      <c r="B4322" s="83" t="s">
        <v>2719</v>
      </c>
      <c r="C4322" s="91" t="s">
        <v>1243</v>
      </c>
    </row>
    <row r="4323" spans="1:3" ht="15">
      <c r="A4323" s="84" t="s">
        <v>379</v>
      </c>
      <c r="B4323" s="83" t="s">
        <v>2922</v>
      </c>
      <c r="C4323" s="91" t="s">
        <v>1243</v>
      </c>
    </row>
    <row r="4324" spans="1:3" ht="15">
      <c r="A4324" s="84" t="s">
        <v>379</v>
      </c>
      <c r="B4324" s="83" t="s">
        <v>3450</v>
      </c>
      <c r="C4324" s="91" t="s">
        <v>1243</v>
      </c>
    </row>
    <row r="4325" spans="1:3" ht="15">
      <c r="A4325" s="84" t="s">
        <v>379</v>
      </c>
      <c r="B4325" s="83" t="s">
        <v>2923</v>
      </c>
      <c r="C4325" s="91" t="s">
        <v>1243</v>
      </c>
    </row>
    <row r="4326" spans="1:3" ht="15">
      <c r="A4326" s="84" t="s">
        <v>379</v>
      </c>
      <c r="B4326" s="83" t="s">
        <v>2924</v>
      </c>
      <c r="C4326" s="91" t="s">
        <v>1243</v>
      </c>
    </row>
    <row r="4327" spans="1:3" ht="15">
      <c r="A4327" s="84" t="s">
        <v>379</v>
      </c>
      <c r="B4327" s="83" t="s">
        <v>2662</v>
      </c>
      <c r="C4327" s="91" t="s">
        <v>1243</v>
      </c>
    </row>
    <row r="4328" spans="1:3" ht="15">
      <c r="A4328" s="84" t="s">
        <v>379</v>
      </c>
      <c r="B4328" s="83" t="s">
        <v>2925</v>
      </c>
      <c r="C4328" s="91" t="s">
        <v>1243</v>
      </c>
    </row>
    <row r="4329" spans="1:3" ht="15">
      <c r="A4329" s="84" t="s">
        <v>379</v>
      </c>
      <c r="B4329" s="83" t="s">
        <v>3451</v>
      </c>
      <c r="C4329" s="91" t="s">
        <v>1243</v>
      </c>
    </row>
    <row r="4330" spans="1:3" ht="15">
      <c r="A4330" s="84" t="s">
        <v>379</v>
      </c>
      <c r="B4330" s="83" t="s">
        <v>2660</v>
      </c>
      <c r="C4330" s="91" t="s">
        <v>1243</v>
      </c>
    </row>
    <row r="4331" spans="1:3" ht="15">
      <c r="A4331" s="84" t="s">
        <v>379</v>
      </c>
      <c r="B4331" s="83" t="s">
        <v>2926</v>
      </c>
      <c r="C4331" s="91" t="s">
        <v>1243</v>
      </c>
    </row>
    <row r="4332" spans="1:3" ht="15">
      <c r="A4332" s="84" t="s">
        <v>379</v>
      </c>
      <c r="B4332" s="83" t="s">
        <v>2927</v>
      </c>
      <c r="C4332" s="91" t="s">
        <v>1243</v>
      </c>
    </row>
    <row r="4333" spans="1:3" ht="15">
      <c r="A4333" s="84" t="s">
        <v>379</v>
      </c>
      <c r="B4333" s="83" t="s">
        <v>2729</v>
      </c>
      <c r="C4333" s="91" t="s">
        <v>1243</v>
      </c>
    </row>
    <row r="4334" spans="1:3" ht="15">
      <c r="A4334" s="84" t="s">
        <v>379</v>
      </c>
      <c r="B4334" s="83" t="s">
        <v>2928</v>
      </c>
      <c r="C4334" s="91" t="s">
        <v>1243</v>
      </c>
    </row>
    <row r="4335" spans="1:3" ht="15">
      <c r="A4335" s="84" t="s">
        <v>379</v>
      </c>
      <c r="B4335" s="83" t="s">
        <v>2929</v>
      </c>
      <c r="C4335" s="91" t="s">
        <v>1243</v>
      </c>
    </row>
    <row r="4336" spans="1:3" ht="15">
      <c r="A4336" s="84" t="s">
        <v>379</v>
      </c>
      <c r="B4336" s="83" t="s">
        <v>2589</v>
      </c>
      <c r="C4336" s="91" t="s">
        <v>1243</v>
      </c>
    </row>
    <row r="4337" spans="1:3" ht="15">
      <c r="A4337" s="84" t="s">
        <v>379</v>
      </c>
      <c r="B4337" s="83" t="s">
        <v>2930</v>
      </c>
      <c r="C4337" s="91" t="s">
        <v>1243</v>
      </c>
    </row>
    <row r="4338" spans="1:3" ht="15">
      <c r="A4338" s="84" t="s">
        <v>379</v>
      </c>
      <c r="B4338" s="83" t="s">
        <v>2580</v>
      </c>
      <c r="C4338" s="91" t="s">
        <v>1243</v>
      </c>
    </row>
    <row r="4339" spans="1:3" ht="15">
      <c r="A4339" s="84" t="s">
        <v>379</v>
      </c>
      <c r="B4339" s="83" t="s">
        <v>2931</v>
      </c>
      <c r="C4339" s="91" t="s">
        <v>1243</v>
      </c>
    </row>
    <row r="4340" spans="1:3" ht="15">
      <c r="A4340" s="84" t="s">
        <v>379</v>
      </c>
      <c r="B4340" s="83" t="s">
        <v>3199</v>
      </c>
      <c r="C4340" s="91" t="s">
        <v>1243</v>
      </c>
    </row>
    <row r="4341" spans="1:3" ht="15">
      <c r="A4341" s="84" t="s">
        <v>379</v>
      </c>
      <c r="B4341" s="83" t="s">
        <v>2678</v>
      </c>
      <c r="C4341" s="91" t="s">
        <v>1243</v>
      </c>
    </row>
    <row r="4342" spans="1:3" ht="15">
      <c r="A4342" s="84" t="s">
        <v>377</v>
      </c>
      <c r="B4342" s="83" t="s">
        <v>3203</v>
      </c>
      <c r="C4342" s="91" t="s">
        <v>1241</v>
      </c>
    </row>
    <row r="4343" spans="1:3" ht="15">
      <c r="A4343" s="84" t="s">
        <v>377</v>
      </c>
      <c r="B4343" s="83">
        <v>19</v>
      </c>
      <c r="C4343" s="91" t="s">
        <v>1241</v>
      </c>
    </row>
    <row r="4344" spans="1:3" ht="15">
      <c r="A4344" s="84" t="s">
        <v>377</v>
      </c>
      <c r="B4344" s="83" t="s">
        <v>2581</v>
      </c>
      <c r="C4344" s="91" t="s">
        <v>1241</v>
      </c>
    </row>
    <row r="4345" spans="1:3" ht="15">
      <c r="A4345" s="84" t="s">
        <v>377</v>
      </c>
      <c r="B4345" s="83" t="s">
        <v>2634</v>
      </c>
      <c r="C4345" s="91" t="s">
        <v>1241</v>
      </c>
    </row>
    <row r="4346" spans="1:3" ht="15">
      <c r="A4346" s="84" t="s">
        <v>377</v>
      </c>
      <c r="B4346" s="83" t="s">
        <v>3452</v>
      </c>
      <c r="C4346" s="91" t="s">
        <v>1241</v>
      </c>
    </row>
    <row r="4347" spans="1:3" ht="15">
      <c r="A4347" s="84" t="s">
        <v>377</v>
      </c>
      <c r="B4347" s="83" t="s">
        <v>3453</v>
      </c>
      <c r="C4347" s="91" t="s">
        <v>1241</v>
      </c>
    </row>
    <row r="4348" spans="1:3" ht="15">
      <c r="A4348" s="84" t="s">
        <v>377</v>
      </c>
      <c r="B4348" s="83" t="s">
        <v>3454</v>
      </c>
      <c r="C4348" s="91" t="s">
        <v>1241</v>
      </c>
    </row>
    <row r="4349" spans="1:3" ht="15">
      <c r="A4349" s="84" t="s">
        <v>377</v>
      </c>
      <c r="B4349" s="83" t="s">
        <v>2582</v>
      </c>
      <c r="C4349" s="91" t="s">
        <v>1241</v>
      </c>
    </row>
    <row r="4350" spans="1:3" ht="15">
      <c r="A4350" s="84" t="s">
        <v>377</v>
      </c>
      <c r="B4350" s="83" t="s">
        <v>2589</v>
      </c>
      <c r="C4350" s="91" t="s">
        <v>1241</v>
      </c>
    </row>
    <row r="4351" spans="1:3" ht="15">
      <c r="A4351" s="84" t="s">
        <v>377</v>
      </c>
      <c r="B4351" s="83" t="s">
        <v>2771</v>
      </c>
      <c r="C4351" s="91" t="s">
        <v>1241</v>
      </c>
    </row>
    <row r="4352" spans="1:3" ht="15">
      <c r="A4352" s="84" t="s">
        <v>377</v>
      </c>
      <c r="B4352" s="83" t="s">
        <v>3073</v>
      </c>
      <c r="C4352" s="91" t="s">
        <v>1241</v>
      </c>
    </row>
    <row r="4353" spans="1:3" ht="15">
      <c r="A4353" s="84" t="s">
        <v>377</v>
      </c>
      <c r="B4353" s="83" t="s">
        <v>2737</v>
      </c>
      <c r="C4353" s="91" t="s">
        <v>1241</v>
      </c>
    </row>
    <row r="4354" spans="1:3" ht="15">
      <c r="A4354" s="84" t="s">
        <v>377</v>
      </c>
      <c r="B4354" s="83" t="s">
        <v>3455</v>
      </c>
      <c r="C4354" s="91" t="s">
        <v>1241</v>
      </c>
    </row>
    <row r="4355" spans="1:3" ht="15">
      <c r="A4355" s="84" t="s">
        <v>377</v>
      </c>
      <c r="B4355" s="83" t="s">
        <v>3456</v>
      </c>
      <c r="C4355" s="91" t="s">
        <v>1241</v>
      </c>
    </row>
    <row r="4356" spans="1:3" ht="15">
      <c r="A4356" s="84" t="s">
        <v>377</v>
      </c>
      <c r="B4356" s="83" t="s">
        <v>2591</v>
      </c>
      <c r="C4356" s="91" t="s">
        <v>1241</v>
      </c>
    </row>
    <row r="4357" spans="1:3" ht="15">
      <c r="A4357" s="84" t="s">
        <v>377</v>
      </c>
      <c r="B4357" s="83" t="s">
        <v>3457</v>
      </c>
      <c r="C4357" s="91" t="s">
        <v>1241</v>
      </c>
    </row>
    <row r="4358" spans="1:3" ht="15">
      <c r="A4358" s="84" t="s">
        <v>377</v>
      </c>
      <c r="B4358" s="83" t="s">
        <v>2577</v>
      </c>
      <c r="C4358" s="91" t="s">
        <v>1241</v>
      </c>
    </row>
    <row r="4359" spans="1:3" ht="15">
      <c r="A4359" s="84" t="s">
        <v>377</v>
      </c>
      <c r="B4359" s="83" t="s">
        <v>3458</v>
      </c>
      <c r="C4359" s="91" t="s">
        <v>1241</v>
      </c>
    </row>
    <row r="4360" spans="1:3" ht="15">
      <c r="A4360" s="84" t="s">
        <v>377</v>
      </c>
      <c r="B4360" s="83" t="s">
        <v>2636</v>
      </c>
      <c r="C4360" s="91" t="s">
        <v>1241</v>
      </c>
    </row>
    <row r="4361" spans="1:3" ht="15">
      <c r="A4361" s="84" t="s">
        <v>377</v>
      </c>
      <c r="B4361" s="83" t="s">
        <v>2680</v>
      </c>
      <c r="C4361" s="91" t="s">
        <v>1241</v>
      </c>
    </row>
    <row r="4362" spans="1:3" ht="15">
      <c r="A4362" s="84" t="s">
        <v>377</v>
      </c>
      <c r="B4362" s="83" t="s">
        <v>3024</v>
      </c>
      <c r="C4362" s="91" t="s">
        <v>1241</v>
      </c>
    </row>
    <row r="4363" spans="1:3" ht="15">
      <c r="A4363" s="84" t="s">
        <v>377</v>
      </c>
      <c r="B4363" s="83" t="s">
        <v>3459</v>
      </c>
      <c r="C4363" s="91" t="s">
        <v>1241</v>
      </c>
    </row>
    <row r="4364" spans="1:3" ht="15">
      <c r="A4364" s="84" t="s">
        <v>377</v>
      </c>
      <c r="B4364" s="83" t="s">
        <v>3460</v>
      </c>
      <c r="C4364" s="91" t="s">
        <v>1241</v>
      </c>
    </row>
    <row r="4365" spans="1:3" ht="15">
      <c r="A4365" s="84" t="s">
        <v>377</v>
      </c>
      <c r="B4365" s="83" t="s">
        <v>3461</v>
      </c>
      <c r="C4365" s="91" t="s">
        <v>1241</v>
      </c>
    </row>
    <row r="4366" spans="1:3" ht="15">
      <c r="A4366" s="84" t="s">
        <v>377</v>
      </c>
      <c r="B4366" s="83" t="s">
        <v>2580</v>
      </c>
      <c r="C4366" s="91" t="s">
        <v>1241</v>
      </c>
    </row>
    <row r="4367" spans="1:3" ht="15">
      <c r="A4367" s="84" t="s">
        <v>377</v>
      </c>
      <c r="B4367" s="83" t="s">
        <v>3462</v>
      </c>
      <c r="C4367" s="91" t="s">
        <v>1241</v>
      </c>
    </row>
    <row r="4368" spans="1:3" ht="15">
      <c r="A4368" s="84" t="s">
        <v>377</v>
      </c>
      <c r="B4368" s="83" t="s">
        <v>3463</v>
      </c>
      <c r="C4368" s="91" t="s">
        <v>1241</v>
      </c>
    </row>
    <row r="4369" spans="1:3" ht="15">
      <c r="A4369" s="84" t="s">
        <v>377</v>
      </c>
      <c r="B4369" s="83" t="s">
        <v>3464</v>
      </c>
      <c r="C4369" s="91" t="s">
        <v>1241</v>
      </c>
    </row>
    <row r="4370" spans="1:3" ht="15">
      <c r="A4370" s="84" t="s">
        <v>377</v>
      </c>
      <c r="B4370" s="83" t="s">
        <v>2568</v>
      </c>
      <c r="C4370" s="91" t="s">
        <v>1241</v>
      </c>
    </row>
    <row r="4371" spans="1:3" ht="15">
      <c r="A4371" s="84" t="s">
        <v>377</v>
      </c>
      <c r="B4371" s="83" t="s">
        <v>2768</v>
      </c>
      <c r="C4371" s="91" t="s">
        <v>1241</v>
      </c>
    </row>
    <row r="4372" spans="1:3" ht="15">
      <c r="A4372" s="84" t="s">
        <v>377</v>
      </c>
      <c r="B4372" s="83" t="s">
        <v>3465</v>
      </c>
      <c r="C4372" s="91" t="s">
        <v>1241</v>
      </c>
    </row>
    <row r="4373" spans="1:3" ht="15">
      <c r="A4373" s="84" t="s">
        <v>377</v>
      </c>
      <c r="B4373" s="83" t="s">
        <v>3466</v>
      </c>
      <c r="C4373" s="91" t="s">
        <v>1241</v>
      </c>
    </row>
    <row r="4374" spans="1:3" ht="15">
      <c r="A4374" s="84" t="s">
        <v>377</v>
      </c>
      <c r="B4374" s="83" t="s">
        <v>3467</v>
      </c>
      <c r="C4374" s="91" t="s">
        <v>1241</v>
      </c>
    </row>
    <row r="4375" spans="1:3" ht="15">
      <c r="A4375" s="84" t="s">
        <v>377</v>
      </c>
      <c r="B4375" s="83" t="s">
        <v>3468</v>
      </c>
      <c r="C4375" s="91" t="s">
        <v>1241</v>
      </c>
    </row>
    <row r="4376" spans="1:3" ht="15">
      <c r="A4376" s="84" t="s">
        <v>377</v>
      </c>
      <c r="B4376" s="83" t="s">
        <v>3199</v>
      </c>
      <c r="C4376" s="91" t="s">
        <v>1241</v>
      </c>
    </row>
    <row r="4377" spans="1:3" ht="15">
      <c r="A4377" s="84" t="s">
        <v>377</v>
      </c>
      <c r="B4377" s="83" t="s">
        <v>3469</v>
      </c>
      <c r="C4377" s="91" t="s">
        <v>1241</v>
      </c>
    </row>
    <row r="4378" spans="1:3" ht="15">
      <c r="A4378" s="84" t="s">
        <v>377</v>
      </c>
      <c r="B4378" s="83" t="s">
        <v>3198</v>
      </c>
      <c r="C4378" s="91" t="s">
        <v>1241</v>
      </c>
    </row>
    <row r="4379" spans="1:3" ht="15">
      <c r="A4379" s="84" t="s">
        <v>377</v>
      </c>
      <c r="B4379" s="83" t="s">
        <v>3470</v>
      </c>
      <c r="C4379" s="91" t="s">
        <v>1240</v>
      </c>
    </row>
    <row r="4380" spans="1:3" ht="15">
      <c r="A4380" s="84" t="s">
        <v>377</v>
      </c>
      <c r="B4380" s="83" t="s">
        <v>3203</v>
      </c>
      <c r="C4380" s="91" t="s">
        <v>1240</v>
      </c>
    </row>
    <row r="4381" spans="1:3" ht="15">
      <c r="A4381" s="84" t="s">
        <v>377</v>
      </c>
      <c r="B4381" s="83" t="s">
        <v>3471</v>
      </c>
      <c r="C4381" s="91" t="s">
        <v>1240</v>
      </c>
    </row>
    <row r="4382" spans="1:3" ht="15">
      <c r="A4382" s="84" t="s">
        <v>377</v>
      </c>
      <c r="B4382" s="83" t="s">
        <v>3472</v>
      </c>
      <c r="C4382" s="91" t="s">
        <v>1240</v>
      </c>
    </row>
    <row r="4383" spans="1:3" ht="15">
      <c r="A4383" s="84" t="s">
        <v>377</v>
      </c>
      <c r="B4383" s="83" t="s">
        <v>3199</v>
      </c>
      <c r="C4383" s="91" t="s">
        <v>1240</v>
      </c>
    </row>
    <row r="4384" spans="1:3" ht="15">
      <c r="A4384" s="84" t="s">
        <v>377</v>
      </c>
      <c r="B4384" s="83" t="s">
        <v>3469</v>
      </c>
      <c r="C4384" s="91" t="s">
        <v>1240</v>
      </c>
    </row>
    <row r="4385" spans="1:3" ht="15">
      <c r="A4385" s="84" t="s">
        <v>377</v>
      </c>
      <c r="B4385" s="83" t="s">
        <v>3468</v>
      </c>
      <c r="C4385" s="91" t="s">
        <v>1240</v>
      </c>
    </row>
    <row r="4386" spans="1:3" ht="15">
      <c r="A4386" s="84" t="s">
        <v>377</v>
      </c>
      <c r="B4386" s="83" t="s">
        <v>3473</v>
      </c>
      <c r="C4386" s="91" t="s">
        <v>1240</v>
      </c>
    </row>
    <row r="4387" spans="1:3" ht="15">
      <c r="A4387" s="84" t="s">
        <v>377</v>
      </c>
      <c r="B4387" s="83" t="s">
        <v>3474</v>
      </c>
      <c r="C4387" s="91" t="s">
        <v>1240</v>
      </c>
    </row>
    <row r="4388" spans="1:3" ht="15">
      <c r="A4388" s="84" t="s">
        <v>377</v>
      </c>
      <c r="B4388" s="83" t="s">
        <v>3475</v>
      </c>
      <c r="C4388" s="91" t="s">
        <v>1240</v>
      </c>
    </row>
    <row r="4389" spans="1:3" ht="15">
      <c r="A4389" s="84" t="s">
        <v>377</v>
      </c>
      <c r="B4389" s="83" t="s">
        <v>3476</v>
      </c>
      <c r="C4389" s="91" t="s">
        <v>1239</v>
      </c>
    </row>
    <row r="4390" spans="1:3" ht="15">
      <c r="A4390" s="84" t="s">
        <v>377</v>
      </c>
      <c r="B4390" s="83" t="s">
        <v>3468</v>
      </c>
      <c r="C4390" s="91" t="s">
        <v>1239</v>
      </c>
    </row>
    <row r="4391" spans="1:3" ht="15">
      <c r="A4391" s="84" t="s">
        <v>377</v>
      </c>
      <c r="B4391" s="83" t="s">
        <v>2655</v>
      </c>
      <c r="C4391" s="91" t="s">
        <v>1239</v>
      </c>
    </row>
    <row r="4392" spans="1:3" ht="15">
      <c r="A4392" s="84" t="s">
        <v>377</v>
      </c>
      <c r="B4392" s="83">
        <v>2</v>
      </c>
      <c r="C4392" s="91" t="s">
        <v>1239</v>
      </c>
    </row>
    <row r="4393" spans="1:3" ht="15">
      <c r="A4393" s="84" t="s">
        <v>377</v>
      </c>
      <c r="B4393" s="83">
        <v>8</v>
      </c>
      <c r="C4393" s="91" t="s">
        <v>1239</v>
      </c>
    </row>
    <row r="4394" spans="1:3" ht="15">
      <c r="A4394" s="84" t="s">
        <v>377</v>
      </c>
      <c r="B4394" s="83" t="s">
        <v>2568</v>
      </c>
      <c r="C4394" s="91" t="s">
        <v>1239</v>
      </c>
    </row>
    <row r="4395" spans="1:3" ht="15">
      <c r="A4395" s="84" t="s">
        <v>377</v>
      </c>
      <c r="B4395" s="83" t="s">
        <v>3477</v>
      </c>
      <c r="C4395" s="91" t="s">
        <v>1239</v>
      </c>
    </row>
    <row r="4396" spans="1:3" ht="15">
      <c r="A4396" s="84" t="s">
        <v>377</v>
      </c>
      <c r="B4396" s="83" t="s">
        <v>3478</v>
      </c>
      <c r="C4396" s="91" t="s">
        <v>1239</v>
      </c>
    </row>
    <row r="4397" spans="1:3" ht="15">
      <c r="A4397" s="84" t="s">
        <v>377</v>
      </c>
      <c r="B4397" s="83" t="s">
        <v>3479</v>
      </c>
      <c r="C4397" s="91" t="s">
        <v>1239</v>
      </c>
    </row>
    <row r="4398" spans="1:3" ht="15">
      <c r="A4398" s="84" t="s">
        <v>377</v>
      </c>
      <c r="B4398" s="83" t="s">
        <v>2582</v>
      </c>
      <c r="C4398" s="91" t="s">
        <v>1239</v>
      </c>
    </row>
    <row r="4399" spans="1:3" ht="15">
      <c r="A4399" s="84" t="s">
        <v>377</v>
      </c>
      <c r="B4399" s="83" t="s">
        <v>3480</v>
      </c>
      <c r="C4399" s="91" t="s">
        <v>1239</v>
      </c>
    </row>
    <row r="4400" spans="1:3" ht="15">
      <c r="A4400" s="84" t="s">
        <v>377</v>
      </c>
      <c r="B4400" s="83" t="s">
        <v>3078</v>
      </c>
      <c r="C4400" s="91" t="s">
        <v>1239</v>
      </c>
    </row>
    <row r="4401" spans="1:3" ht="15">
      <c r="A4401" s="84" t="s">
        <v>377</v>
      </c>
      <c r="B4401" s="83" t="s">
        <v>3199</v>
      </c>
      <c r="C4401" s="91" t="s">
        <v>1239</v>
      </c>
    </row>
    <row r="4402" spans="1:3" ht="15">
      <c r="A4402" s="84" t="s">
        <v>377</v>
      </c>
      <c r="B4402" s="83" t="s">
        <v>3481</v>
      </c>
      <c r="C4402" s="91" t="s">
        <v>1239</v>
      </c>
    </row>
    <row r="4403" spans="1:3" ht="15">
      <c r="A4403" s="84" t="s">
        <v>377</v>
      </c>
      <c r="B4403" s="83" t="s">
        <v>2576</v>
      </c>
      <c r="C4403" s="91" t="s">
        <v>1239</v>
      </c>
    </row>
    <row r="4404" spans="1:3" ht="15">
      <c r="A4404" s="84" t="s">
        <v>377</v>
      </c>
      <c r="B4404" s="83" t="s">
        <v>3203</v>
      </c>
      <c r="C4404" s="91" t="s">
        <v>1239</v>
      </c>
    </row>
    <row r="4405" spans="1:3" ht="15">
      <c r="A4405" s="84" t="s">
        <v>377</v>
      </c>
      <c r="B4405" s="83">
        <v>19</v>
      </c>
      <c r="C4405" s="91" t="s">
        <v>1239</v>
      </c>
    </row>
    <row r="4406" spans="1:3" ht="15">
      <c r="A4406" s="84" t="s">
        <v>377</v>
      </c>
      <c r="B4406" s="83" t="s">
        <v>2629</v>
      </c>
      <c r="C4406" s="91" t="s">
        <v>1239</v>
      </c>
    </row>
    <row r="4407" spans="1:3" ht="15">
      <c r="A4407" s="84" t="s">
        <v>377</v>
      </c>
      <c r="B4407" s="83" t="s">
        <v>2590</v>
      </c>
      <c r="C4407" s="91" t="s">
        <v>1239</v>
      </c>
    </row>
    <row r="4408" spans="1:3" ht="15">
      <c r="A4408" s="84" t="s">
        <v>377</v>
      </c>
      <c r="B4408" s="83" t="s">
        <v>3482</v>
      </c>
      <c r="C4408" s="91" t="s">
        <v>1239</v>
      </c>
    </row>
    <row r="4409" spans="1:3" ht="15">
      <c r="A4409" s="84" t="s">
        <v>377</v>
      </c>
      <c r="B4409" s="83" t="s">
        <v>3483</v>
      </c>
      <c r="C4409" s="91" t="s">
        <v>1239</v>
      </c>
    </row>
    <row r="4410" spans="1:3" ht="15">
      <c r="A4410" s="84" t="s">
        <v>377</v>
      </c>
      <c r="B4410" s="83" t="s">
        <v>3484</v>
      </c>
      <c r="C4410" s="91" t="s">
        <v>1239</v>
      </c>
    </row>
    <row r="4411" spans="1:3" ht="15">
      <c r="A4411" s="84" t="s">
        <v>377</v>
      </c>
      <c r="B4411" s="83" t="s">
        <v>3485</v>
      </c>
      <c r="C4411" s="91" t="s">
        <v>1239</v>
      </c>
    </row>
    <row r="4412" spans="1:3" ht="15">
      <c r="A4412" s="84" t="s">
        <v>377</v>
      </c>
      <c r="B4412" s="83" t="s">
        <v>3486</v>
      </c>
      <c r="C4412" s="91" t="s">
        <v>1239</v>
      </c>
    </row>
    <row r="4413" spans="1:3" ht="15">
      <c r="A4413" s="84" t="s">
        <v>377</v>
      </c>
      <c r="B4413" s="83" t="s">
        <v>3487</v>
      </c>
      <c r="C4413" s="91" t="s">
        <v>1239</v>
      </c>
    </row>
    <row r="4414" spans="1:3" ht="15">
      <c r="A4414" s="84" t="s">
        <v>377</v>
      </c>
      <c r="B4414" s="83" t="s">
        <v>2658</v>
      </c>
      <c r="C4414" s="91" t="s">
        <v>1239</v>
      </c>
    </row>
    <row r="4415" spans="1:3" ht="15">
      <c r="A4415" s="84" t="s">
        <v>377</v>
      </c>
      <c r="B4415" s="83" t="s">
        <v>3205</v>
      </c>
      <c r="C4415" s="91" t="s">
        <v>1239</v>
      </c>
    </row>
    <row r="4416" spans="1:3" ht="15">
      <c r="A4416" s="84" t="s">
        <v>377</v>
      </c>
      <c r="B4416" s="83" t="s">
        <v>3469</v>
      </c>
      <c r="C4416" s="91" t="s">
        <v>1239</v>
      </c>
    </row>
    <row r="4417" spans="1:3" ht="15">
      <c r="A4417" s="84" t="s">
        <v>376</v>
      </c>
      <c r="B4417" s="83">
        <v>9</v>
      </c>
      <c r="C4417" s="91" t="s">
        <v>1238</v>
      </c>
    </row>
    <row r="4418" spans="1:3" ht="15">
      <c r="A4418" s="84" t="s">
        <v>376</v>
      </c>
      <c r="B4418" s="83" t="s">
        <v>3488</v>
      </c>
      <c r="C4418" s="91" t="s">
        <v>1238</v>
      </c>
    </row>
    <row r="4419" spans="1:3" ht="15">
      <c r="A4419" s="84" t="s">
        <v>376</v>
      </c>
      <c r="B4419" s="83" t="s">
        <v>2877</v>
      </c>
      <c r="C4419" s="91" t="s">
        <v>1238</v>
      </c>
    </row>
    <row r="4420" spans="1:3" ht="15">
      <c r="A4420" s="84" t="s">
        <v>376</v>
      </c>
      <c r="B4420" s="83" t="s">
        <v>2878</v>
      </c>
      <c r="C4420" s="91" t="s">
        <v>1238</v>
      </c>
    </row>
    <row r="4421" spans="1:3" ht="15">
      <c r="A4421" s="84" t="s">
        <v>376</v>
      </c>
      <c r="B4421" s="83" t="s">
        <v>2879</v>
      </c>
      <c r="C4421" s="91" t="s">
        <v>1238</v>
      </c>
    </row>
    <row r="4422" spans="1:3" ht="15">
      <c r="A4422" s="84" t="s">
        <v>376</v>
      </c>
      <c r="B4422" s="83" t="s">
        <v>2880</v>
      </c>
      <c r="C4422" s="91" t="s">
        <v>1238</v>
      </c>
    </row>
    <row r="4423" spans="1:3" ht="15">
      <c r="A4423" s="84" t="s">
        <v>376</v>
      </c>
      <c r="B4423" s="83" t="s">
        <v>2881</v>
      </c>
      <c r="C4423" s="91" t="s">
        <v>1238</v>
      </c>
    </row>
    <row r="4424" spans="1:3" ht="15">
      <c r="A4424" s="84" t="s">
        <v>376</v>
      </c>
      <c r="B4424" s="83" t="s">
        <v>2882</v>
      </c>
      <c r="C4424" s="91" t="s">
        <v>1238</v>
      </c>
    </row>
    <row r="4425" spans="1:3" ht="15">
      <c r="A4425" s="84" t="s">
        <v>376</v>
      </c>
      <c r="B4425" s="83" t="s">
        <v>2883</v>
      </c>
      <c r="C4425" s="91" t="s">
        <v>1238</v>
      </c>
    </row>
    <row r="4426" spans="1:3" ht="15">
      <c r="A4426" s="84" t="s">
        <v>376</v>
      </c>
      <c r="B4426" s="83" t="s">
        <v>2884</v>
      </c>
      <c r="C4426" s="91" t="s">
        <v>1238</v>
      </c>
    </row>
    <row r="4427" spans="1:3" ht="15">
      <c r="A4427" s="84" t="s">
        <v>376</v>
      </c>
      <c r="B4427" s="83" t="s">
        <v>2885</v>
      </c>
      <c r="C4427" s="91" t="s">
        <v>1238</v>
      </c>
    </row>
    <row r="4428" spans="1:3" ht="15">
      <c r="A4428" s="84" t="s">
        <v>376</v>
      </c>
      <c r="B4428" s="83" t="s">
        <v>2886</v>
      </c>
      <c r="C4428" s="91" t="s">
        <v>1238</v>
      </c>
    </row>
    <row r="4429" spans="1:3" ht="15">
      <c r="A4429" s="84" t="s">
        <v>376</v>
      </c>
      <c r="B4429" s="83" t="s">
        <v>3489</v>
      </c>
      <c r="C4429" s="91" t="s">
        <v>1238</v>
      </c>
    </row>
    <row r="4430" spans="1:3" ht="15">
      <c r="A4430" s="84" t="s">
        <v>376</v>
      </c>
      <c r="B4430" s="83" t="s">
        <v>3490</v>
      </c>
      <c r="C4430" s="91" t="s">
        <v>1238</v>
      </c>
    </row>
    <row r="4431" spans="1:3" ht="15">
      <c r="A4431" s="84" t="s">
        <v>376</v>
      </c>
      <c r="B4431" s="83" t="s">
        <v>3491</v>
      </c>
      <c r="C4431" s="91" t="s">
        <v>1238</v>
      </c>
    </row>
    <row r="4432" spans="1:3" ht="15">
      <c r="A4432" s="84" t="s">
        <v>376</v>
      </c>
      <c r="B4432" s="83" t="s">
        <v>3257</v>
      </c>
      <c r="C4432" s="91" t="s">
        <v>1238</v>
      </c>
    </row>
    <row r="4433" spans="1:3" ht="15">
      <c r="A4433" s="84" t="s">
        <v>376</v>
      </c>
      <c r="B4433" s="83" t="s">
        <v>3203</v>
      </c>
      <c r="C4433" s="91" t="s">
        <v>1238</v>
      </c>
    </row>
    <row r="4434" spans="1:3" ht="15">
      <c r="A4434" s="84" t="s">
        <v>376</v>
      </c>
      <c r="B4434" s="83" t="s">
        <v>586</v>
      </c>
      <c r="C4434" s="91" t="s">
        <v>1238</v>
      </c>
    </row>
    <row r="4435" spans="1:3" ht="15">
      <c r="A4435" s="84" t="s">
        <v>376</v>
      </c>
      <c r="B4435" s="83">
        <v>9</v>
      </c>
      <c r="C4435" s="91" t="s">
        <v>1237</v>
      </c>
    </row>
    <row r="4436" spans="1:3" ht="15">
      <c r="A4436" s="84" t="s">
        <v>376</v>
      </c>
      <c r="B4436" s="83" t="s">
        <v>3492</v>
      </c>
      <c r="C4436" s="91" t="s">
        <v>1237</v>
      </c>
    </row>
    <row r="4437" spans="1:3" ht="15">
      <c r="A4437" s="84" t="s">
        <v>376</v>
      </c>
      <c r="B4437" s="83" t="s">
        <v>2877</v>
      </c>
      <c r="C4437" s="91" t="s">
        <v>1237</v>
      </c>
    </row>
    <row r="4438" spans="1:3" ht="15">
      <c r="A4438" s="84" t="s">
        <v>376</v>
      </c>
      <c r="B4438" s="83" t="s">
        <v>2878</v>
      </c>
      <c r="C4438" s="91" t="s">
        <v>1237</v>
      </c>
    </row>
    <row r="4439" spans="1:3" ht="15">
      <c r="A4439" s="84" t="s">
        <v>376</v>
      </c>
      <c r="B4439" s="83" t="s">
        <v>2879</v>
      </c>
      <c r="C4439" s="91" t="s">
        <v>1237</v>
      </c>
    </row>
    <row r="4440" spans="1:3" ht="15">
      <c r="A4440" s="84" t="s">
        <v>376</v>
      </c>
      <c r="B4440" s="83" t="s">
        <v>2880</v>
      </c>
      <c r="C4440" s="91" t="s">
        <v>1237</v>
      </c>
    </row>
    <row r="4441" spans="1:3" ht="15">
      <c r="A4441" s="84" t="s">
        <v>376</v>
      </c>
      <c r="B4441" s="83" t="s">
        <v>2881</v>
      </c>
      <c r="C4441" s="91" t="s">
        <v>1237</v>
      </c>
    </row>
    <row r="4442" spans="1:3" ht="15">
      <c r="A4442" s="84" t="s">
        <v>376</v>
      </c>
      <c r="B4442" s="83" t="s">
        <v>2882</v>
      </c>
      <c r="C4442" s="91" t="s">
        <v>1237</v>
      </c>
    </row>
    <row r="4443" spans="1:3" ht="15">
      <c r="A4443" s="84" t="s">
        <v>376</v>
      </c>
      <c r="B4443" s="83" t="s">
        <v>2883</v>
      </c>
      <c r="C4443" s="91" t="s">
        <v>1237</v>
      </c>
    </row>
    <row r="4444" spans="1:3" ht="15">
      <c r="A4444" s="84" t="s">
        <v>376</v>
      </c>
      <c r="B4444" s="83" t="s">
        <v>2884</v>
      </c>
      <c r="C4444" s="91" t="s">
        <v>1237</v>
      </c>
    </row>
    <row r="4445" spans="1:3" ht="15">
      <c r="A4445" s="84" t="s">
        <v>376</v>
      </c>
      <c r="B4445" s="83" t="s">
        <v>2885</v>
      </c>
      <c r="C4445" s="91" t="s">
        <v>1237</v>
      </c>
    </row>
    <row r="4446" spans="1:3" ht="15">
      <c r="A4446" s="84" t="s">
        <v>376</v>
      </c>
      <c r="B4446" s="83" t="s">
        <v>2886</v>
      </c>
      <c r="C4446" s="91" t="s">
        <v>1237</v>
      </c>
    </row>
    <row r="4447" spans="1:3" ht="15">
      <c r="A4447" s="84" t="s">
        <v>376</v>
      </c>
      <c r="B4447" s="83" t="s">
        <v>3489</v>
      </c>
      <c r="C4447" s="91" t="s">
        <v>1237</v>
      </c>
    </row>
    <row r="4448" spans="1:3" ht="15">
      <c r="A4448" s="84" t="s">
        <v>376</v>
      </c>
      <c r="B4448" s="83" t="s">
        <v>3490</v>
      </c>
      <c r="C4448" s="91" t="s">
        <v>1237</v>
      </c>
    </row>
    <row r="4449" spans="1:3" ht="15">
      <c r="A4449" s="84" t="s">
        <v>376</v>
      </c>
      <c r="B4449" s="83" t="s">
        <v>3491</v>
      </c>
      <c r="C4449" s="91" t="s">
        <v>1237</v>
      </c>
    </row>
    <row r="4450" spans="1:3" ht="15">
      <c r="A4450" s="84" t="s">
        <v>376</v>
      </c>
      <c r="B4450" s="83" t="s">
        <v>3257</v>
      </c>
      <c r="C4450" s="91" t="s">
        <v>1237</v>
      </c>
    </row>
    <row r="4451" spans="1:3" ht="15">
      <c r="A4451" s="84" t="s">
        <v>376</v>
      </c>
      <c r="B4451" s="83" t="s">
        <v>3203</v>
      </c>
      <c r="C4451" s="91" t="s">
        <v>1237</v>
      </c>
    </row>
    <row r="4452" spans="1:3" ht="15">
      <c r="A4452" s="84" t="s">
        <v>376</v>
      </c>
      <c r="B4452" s="83" t="s">
        <v>586</v>
      </c>
      <c r="C4452" s="91" t="s">
        <v>1237</v>
      </c>
    </row>
    <row r="4453" spans="1:3" ht="15">
      <c r="A4453" s="84" t="s">
        <v>376</v>
      </c>
      <c r="B4453" s="83">
        <v>9</v>
      </c>
      <c r="C4453" s="91" t="s">
        <v>1236</v>
      </c>
    </row>
    <row r="4454" spans="1:3" ht="15">
      <c r="A4454" s="84" t="s">
        <v>376</v>
      </c>
      <c r="B4454" s="83" t="s">
        <v>3493</v>
      </c>
      <c r="C4454" s="91" t="s">
        <v>1236</v>
      </c>
    </row>
    <row r="4455" spans="1:3" ht="15">
      <c r="A4455" s="84" t="s">
        <v>376</v>
      </c>
      <c r="B4455" s="83" t="s">
        <v>2877</v>
      </c>
      <c r="C4455" s="91" t="s">
        <v>1236</v>
      </c>
    </row>
    <row r="4456" spans="1:3" ht="15">
      <c r="A4456" s="84" t="s">
        <v>376</v>
      </c>
      <c r="B4456" s="83" t="s">
        <v>2878</v>
      </c>
      <c r="C4456" s="91" t="s">
        <v>1236</v>
      </c>
    </row>
    <row r="4457" spans="1:3" ht="15">
      <c r="A4457" s="84" t="s">
        <v>376</v>
      </c>
      <c r="B4457" s="83" t="s">
        <v>2879</v>
      </c>
      <c r="C4457" s="91" t="s">
        <v>1236</v>
      </c>
    </row>
    <row r="4458" spans="1:3" ht="15">
      <c r="A4458" s="84" t="s">
        <v>376</v>
      </c>
      <c r="B4458" s="83" t="s">
        <v>2880</v>
      </c>
      <c r="C4458" s="91" t="s">
        <v>1236</v>
      </c>
    </row>
    <row r="4459" spans="1:3" ht="15">
      <c r="A4459" s="84" t="s">
        <v>376</v>
      </c>
      <c r="B4459" s="83" t="s">
        <v>2881</v>
      </c>
      <c r="C4459" s="91" t="s">
        <v>1236</v>
      </c>
    </row>
    <row r="4460" spans="1:3" ht="15">
      <c r="A4460" s="84" t="s">
        <v>376</v>
      </c>
      <c r="B4460" s="83" t="s">
        <v>2882</v>
      </c>
      <c r="C4460" s="91" t="s">
        <v>1236</v>
      </c>
    </row>
    <row r="4461" spans="1:3" ht="15">
      <c r="A4461" s="84" t="s">
        <v>376</v>
      </c>
      <c r="B4461" s="83" t="s">
        <v>2883</v>
      </c>
      <c r="C4461" s="91" t="s">
        <v>1236</v>
      </c>
    </row>
    <row r="4462" spans="1:3" ht="15">
      <c r="A4462" s="84" t="s">
        <v>376</v>
      </c>
      <c r="B4462" s="83" t="s">
        <v>2884</v>
      </c>
      <c r="C4462" s="91" t="s">
        <v>1236</v>
      </c>
    </row>
    <row r="4463" spans="1:3" ht="15">
      <c r="A4463" s="84" t="s">
        <v>376</v>
      </c>
      <c r="B4463" s="83" t="s">
        <v>2885</v>
      </c>
      <c r="C4463" s="91" t="s">
        <v>1236</v>
      </c>
    </row>
    <row r="4464" spans="1:3" ht="15">
      <c r="A4464" s="84" t="s">
        <v>376</v>
      </c>
      <c r="B4464" s="83" t="s">
        <v>2886</v>
      </c>
      <c r="C4464" s="91" t="s">
        <v>1236</v>
      </c>
    </row>
    <row r="4465" spans="1:3" ht="15">
      <c r="A4465" s="84" t="s">
        <v>376</v>
      </c>
      <c r="B4465" s="83" t="s">
        <v>3489</v>
      </c>
      <c r="C4465" s="91" t="s">
        <v>1236</v>
      </c>
    </row>
    <row r="4466" spans="1:3" ht="15">
      <c r="A4466" s="84" t="s">
        <v>376</v>
      </c>
      <c r="B4466" s="83" t="s">
        <v>3490</v>
      </c>
      <c r="C4466" s="91" t="s">
        <v>1236</v>
      </c>
    </row>
    <row r="4467" spans="1:3" ht="15">
      <c r="A4467" s="84" t="s">
        <v>376</v>
      </c>
      <c r="B4467" s="83" t="s">
        <v>3491</v>
      </c>
      <c r="C4467" s="91" t="s">
        <v>1236</v>
      </c>
    </row>
    <row r="4468" spans="1:3" ht="15">
      <c r="A4468" s="84" t="s">
        <v>376</v>
      </c>
      <c r="B4468" s="83" t="s">
        <v>3257</v>
      </c>
      <c r="C4468" s="91" t="s">
        <v>1236</v>
      </c>
    </row>
    <row r="4469" spans="1:3" ht="15">
      <c r="A4469" s="84" t="s">
        <v>376</v>
      </c>
      <c r="B4469" s="83" t="s">
        <v>3203</v>
      </c>
      <c r="C4469" s="91" t="s">
        <v>1236</v>
      </c>
    </row>
    <row r="4470" spans="1:3" ht="15">
      <c r="A4470" s="84" t="s">
        <v>376</v>
      </c>
      <c r="B4470" s="83" t="s">
        <v>586</v>
      </c>
      <c r="C4470" s="91" t="s">
        <v>1236</v>
      </c>
    </row>
    <row r="4471" spans="1:3" ht="15">
      <c r="A4471" s="84" t="s">
        <v>376</v>
      </c>
      <c r="B4471" s="83">
        <v>9</v>
      </c>
      <c r="C4471" s="91" t="s">
        <v>1235</v>
      </c>
    </row>
    <row r="4472" spans="1:3" ht="15">
      <c r="A4472" s="84" t="s">
        <v>376</v>
      </c>
      <c r="B4472" s="83" t="s">
        <v>3494</v>
      </c>
      <c r="C4472" s="91" t="s">
        <v>1235</v>
      </c>
    </row>
    <row r="4473" spans="1:3" ht="15">
      <c r="A4473" s="84" t="s">
        <v>376</v>
      </c>
      <c r="B4473" s="83" t="s">
        <v>2877</v>
      </c>
      <c r="C4473" s="91" t="s">
        <v>1235</v>
      </c>
    </row>
    <row r="4474" spans="1:3" ht="15">
      <c r="A4474" s="84" t="s">
        <v>376</v>
      </c>
      <c r="B4474" s="83" t="s">
        <v>2878</v>
      </c>
      <c r="C4474" s="91" t="s">
        <v>1235</v>
      </c>
    </row>
    <row r="4475" spans="1:3" ht="15">
      <c r="A4475" s="84" t="s">
        <v>376</v>
      </c>
      <c r="B4475" s="83" t="s">
        <v>2879</v>
      </c>
      <c r="C4475" s="91" t="s">
        <v>1235</v>
      </c>
    </row>
    <row r="4476" spans="1:3" ht="15">
      <c r="A4476" s="84" t="s">
        <v>376</v>
      </c>
      <c r="B4476" s="83" t="s">
        <v>2880</v>
      </c>
      <c r="C4476" s="91" t="s">
        <v>1235</v>
      </c>
    </row>
    <row r="4477" spans="1:3" ht="15">
      <c r="A4477" s="84" t="s">
        <v>376</v>
      </c>
      <c r="B4477" s="83" t="s">
        <v>2881</v>
      </c>
      <c r="C4477" s="91" t="s">
        <v>1235</v>
      </c>
    </row>
    <row r="4478" spans="1:3" ht="15">
      <c r="A4478" s="84" t="s">
        <v>376</v>
      </c>
      <c r="B4478" s="83" t="s">
        <v>2882</v>
      </c>
      <c r="C4478" s="91" t="s">
        <v>1235</v>
      </c>
    </row>
    <row r="4479" spans="1:3" ht="15">
      <c r="A4479" s="84" t="s">
        <v>376</v>
      </c>
      <c r="B4479" s="83" t="s">
        <v>2883</v>
      </c>
      <c r="C4479" s="91" t="s">
        <v>1235</v>
      </c>
    </row>
    <row r="4480" spans="1:3" ht="15">
      <c r="A4480" s="84" t="s">
        <v>376</v>
      </c>
      <c r="B4480" s="83" t="s">
        <v>2884</v>
      </c>
      <c r="C4480" s="91" t="s">
        <v>1235</v>
      </c>
    </row>
    <row r="4481" spans="1:3" ht="15">
      <c r="A4481" s="84" t="s">
        <v>376</v>
      </c>
      <c r="B4481" s="83" t="s">
        <v>2885</v>
      </c>
      <c r="C4481" s="91" t="s">
        <v>1235</v>
      </c>
    </row>
    <row r="4482" spans="1:3" ht="15">
      <c r="A4482" s="84" t="s">
        <v>376</v>
      </c>
      <c r="B4482" s="83" t="s">
        <v>2886</v>
      </c>
      <c r="C4482" s="91" t="s">
        <v>1235</v>
      </c>
    </row>
    <row r="4483" spans="1:3" ht="15">
      <c r="A4483" s="84" t="s">
        <v>376</v>
      </c>
      <c r="B4483" s="83" t="s">
        <v>3489</v>
      </c>
      <c r="C4483" s="91" t="s">
        <v>1235</v>
      </c>
    </row>
    <row r="4484" spans="1:3" ht="15">
      <c r="A4484" s="84" t="s">
        <v>376</v>
      </c>
      <c r="B4484" s="83" t="s">
        <v>3490</v>
      </c>
      <c r="C4484" s="91" t="s">
        <v>1235</v>
      </c>
    </row>
    <row r="4485" spans="1:3" ht="15">
      <c r="A4485" s="84" t="s">
        <v>376</v>
      </c>
      <c r="B4485" s="83" t="s">
        <v>3491</v>
      </c>
      <c r="C4485" s="91" t="s">
        <v>1235</v>
      </c>
    </row>
    <row r="4486" spans="1:3" ht="15">
      <c r="A4486" s="84" t="s">
        <v>376</v>
      </c>
      <c r="B4486" s="83" t="s">
        <v>3257</v>
      </c>
      <c r="C4486" s="91" t="s">
        <v>1235</v>
      </c>
    </row>
    <row r="4487" spans="1:3" ht="15">
      <c r="A4487" s="84" t="s">
        <v>376</v>
      </c>
      <c r="B4487" s="83" t="s">
        <v>3203</v>
      </c>
      <c r="C4487" s="91" t="s">
        <v>1235</v>
      </c>
    </row>
    <row r="4488" spans="1:3" ht="15">
      <c r="A4488" s="84" t="s">
        <v>376</v>
      </c>
      <c r="B4488" s="83" t="s">
        <v>586</v>
      </c>
      <c r="C4488" s="91" t="s">
        <v>1235</v>
      </c>
    </row>
    <row r="4489" spans="1:3" ht="15">
      <c r="A4489" s="84" t="s">
        <v>376</v>
      </c>
      <c r="B4489" s="83">
        <v>9</v>
      </c>
      <c r="C4489" s="91" t="s">
        <v>1234</v>
      </c>
    </row>
    <row r="4490" spans="1:3" ht="15">
      <c r="A4490" s="84" t="s">
        <v>376</v>
      </c>
      <c r="B4490" s="83" t="s">
        <v>3495</v>
      </c>
      <c r="C4490" s="91" t="s">
        <v>1234</v>
      </c>
    </row>
    <row r="4491" spans="1:3" ht="15">
      <c r="A4491" s="84" t="s">
        <v>376</v>
      </c>
      <c r="B4491" s="83" t="s">
        <v>2877</v>
      </c>
      <c r="C4491" s="91" t="s">
        <v>1234</v>
      </c>
    </row>
    <row r="4492" spans="1:3" ht="15">
      <c r="A4492" s="84" t="s">
        <v>376</v>
      </c>
      <c r="B4492" s="83" t="s">
        <v>2878</v>
      </c>
      <c r="C4492" s="91" t="s">
        <v>1234</v>
      </c>
    </row>
    <row r="4493" spans="1:3" ht="15">
      <c r="A4493" s="84" t="s">
        <v>376</v>
      </c>
      <c r="B4493" s="83" t="s">
        <v>2879</v>
      </c>
      <c r="C4493" s="91" t="s">
        <v>1234</v>
      </c>
    </row>
    <row r="4494" spans="1:3" ht="15">
      <c r="A4494" s="84" t="s">
        <v>376</v>
      </c>
      <c r="B4494" s="83" t="s">
        <v>2880</v>
      </c>
      <c r="C4494" s="91" t="s">
        <v>1234</v>
      </c>
    </row>
    <row r="4495" spans="1:3" ht="15">
      <c r="A4495" s="84" t="s">
        <v>376</v>
      </c>
      <c r="B4495" s="83" t="s">
        <v>2881</v>
      </c>
      <c r="C4495" s="91" t="s">
        <v>1234</v>
      </c>
    </row>
    <row r="4496" spans="1:3" ht="15">
      <c r="A4496" s="84" t="s">
        <v>376</v>
      </c>
      <c r="B4496" s="83" t="s">
        <v>2882</v>
      </c>
      <c r="C4496" s="91" t="s">
        <v>1234</v>
      </c>
    </row>
    <row r="4497" spans="1:3" ht="15">
      <c r="A4497" s="84" t="s">
        <v>376</v>
      </c>
      <c r="B4497" s="83" t="s">
        <v>2883</v>
      </c>
      <c r="C4497" s="91" t="s">
        <v>1234</v>
      </c>
    </row>
    <row r="4498" spans="1:3" ht="15">
      <c r="A4498" s="84" t="s">
        <v>376</v>
      </c>
      <c r="B4498" s="83" t="s">
        <v>2884</v>
      </c>
      <c r="C4498" s="91" t="s">
        <v>1234</v>
      </c>
    </row>
    <row r="4499" spans="1:3" ht="15">
      <c r="A4499" s="84" t="s">
        <v>376</v>
      </c>
      <c r="B4499" s="83" t="s">
        <v>2885</v>
      </c>
      <c r="C4499" s="91" t="s">
        <v>1234</v>
      </c>
    </row>
    <row r="4500" spans="1:3" ht="15">
      <c r="A4500" s="84" t="s">
        <v>376</v>
      </c>
      <c r="B4500" s="83" t="s">
        <v>2886</v>
      </c>
      <c r="C4500" s="91" t="s">
        <v>1234</v>
      </c>
    </row>
    <row r="4501" spans="1:3" ht="15">
      <c r="A4501" s="84" t="s">
        <v>376</v>
      </c>
      <c r="B4501" s="83" t="s">
        <v>3489</v>
      </c>
      <c r="C4501" s="91" t="s">
        <v>1234</v>
      </c>
    </row>
    <row r="4502" spans="1:3" ht="15">
      <c r="A4502" s="84" t="s">
        <v>376</v>
      </c>
      <c r="B4502" s="83" t="s">
        <v>3490</v>
      </c>
      <c r="C4502" s="91" t="s">
        <v>1234</v>
      </c>
    </row>
    <row r="4503" spans="1:3" ht="15">
      <c r="A4503" s="84" t="s">
        <v>376</v>
      </c>
      <c r="B4503" s="83" t="s">
        <v>3491</v>
      </c>
      <c r="C4503" s="91" t="s">
        <v>1234</v>
      </c>
    </row>
    <row r="4504" spans="1:3" ht="15">
      <c r="A4504" s="84" t="s">
        <v>376</v>
      </c>
      <c r="B4504" s="83" t="s">
        <v>3257</v>
      </c>
      <c r="C4504" s="91" t="s">
        <v>1234</v>
      </c>
    </row>
    <row r="4505" spans="1:3" ht="15">
      <c r="A4505" s="84" t="s">
        <v>376</v>
      </c>
      <c r="B4505" s="83" t="s">
        <v>3203</v>
      </c>
      <c r="C4505" s="91" t="s">
        <v>1234</v>
      </c>
    </row>
    <row r="4506" spans="1:3" ht="15">
      <c r="A4506" s="84" t="s">
        <v>376</v>
      </c>
      <c r="B4506" s="83" t="s">
        <v>586</v>
      </c>
      <c r="C4506" s="91" t="s">
        <v>1234</v>
      </c>
    </row>
    <row r="4507" spans="1:3" ht="15">
      <c r="A4507" s="84" t="s">
        <v>376</v>
      </c>
      <c r="B4507" s="83">
        <v>9</v>
      </c>
      <c r="C4507" s="91" t="s">
        <v>1233</v>
      </c>
    </row>
    <row r="4508" spans="1:3" ht="15">
      <c r="A4508" s="84" t="s">
        <v>376</v>
      </c>
      <c r="B4508" s="83" t="s">
        <v>3496</v>
      </c>
      <c r="C4508" s="91" t="s">
        <v>1233</v>
      </c>
    </row>
    <row r="4509" spans="1:3" ht="15">
      <c r="A4509" s="84" t="s">
        <v>376</v>
      </c>
      <c r="B4509" s="83" t="s">
        <v>2877</v>
      </c>
      <c r="C4509" s="91" t="s">
        <v>1233</v>
      </c>
    </row>
    <row r="4510" spans="1:3" ht="15">
      <c r="A4510" s="84" t="s">
        <v>376</v>
      </c>
      <c r="B4510" s="83" t="s">
        <v>2878</v>
      </c>
      <c r="C4510" s="91" t="s">
        <v>1233</v>
      </c>
    </row>
    <row r="4511" spans="1:3" ht="15">
      <c r="A4511" s="84" t="s">
        <v>376</v>
      </c>
      <c r="B4511" s="83" t="s">
        <v>2879</v>
      </c>
      <c r="C4511" s="91" t="s">
        <v>1233</v>
      </c>
    </row>
    <row r="4512" spans="1:3" ht="15">
      <c r="A4512" s="84" t="s">
        <v>376</v>
      </c>
      <c r="B4512" s="83" t="s">
        <v>2880</v>
      </c>
      <c r="C4512" s="91" t="s">
        <v>1233</v>
      </c>
    </row>
    <row r="4513" spans="1:3" ht="15">
      <c r="A4513" s="84" t="s">
        <v>376</v>
      </c>
      <c r="B4513" s="83" t="s">
        <v>2881</v>
      </c>
      <c r="C4513" s="91" t="s">
        <v>1233</v>
      </c>
    </row>
    <row r="4514" spans="1:3" ht="15">
      <c r="A4514" s="84" t="s">
        <v>376</v>
      </c>
      <c r="B4514" s="83" t="s">
        <v>2882</v>
      </c>
      <c r="C4514" s="91" t="s">
        <v>1233</v>
      </c>
    </row>
    <row r="4515" spans="1:3" ht="15">
      <c r="A4515" s="84" t="s">
        <v>376</v>
      </c>
      <c r="B4515" s="83" t="s">
        <v>2883</v>
      </c>
      <c r="C4515" s="91" t="s">
        <v>1233</v>
      </c>
    </row>
    <row r="4516" spans="1:3" ht="15">
      <c r="A4516" s="84" t="s">
        <v>376</v>
      </c>
      <c r="B4516" s="83" t="s">
        <v>2884</v>
      </c>
      <c r="C4516" s="91" t="s">
        <v>1233</v>
      </c>
    </row>
    <row r="4517" spans="1:3" ht="15">
      <c r="A4517" s="84" t="s">
        <v>376</v>
      </c>
      <c r="B4517" s="83" t="s">
        <v>2885</v>
      </c>
      <c r="C4517" s="91" t="s">
        <v>1233</v>
      </c>
    </row>
    <row r="4518" spans="1:3" ht="15">
      <c r="A4518" s="84" t="s">
        <v>376</v>
      </c>
      <c r="B4518" s="83" t="s">
        <v>2886</v>
      </c>
      <c r="C4518" s="91" t="s">
        <v>1233</v>
      </c>
    </row>
    <row r="4519" spans="1:3" ht="15">
      <c r="A4519" s="84" t="s">
        <v>376</v>
      </c>
      <c r="B4519" s="83" t="s">
        <v>3489</v>
      </c>
      <c r="C4519" s="91" t="s">
        <v>1233</v>
      </c>
    </row>
    <row r="4520" spans="1:3" ht="15">
      <c r="A4520" s="84" t="s">
        <v>376</v>
      </c>
      <c r="B4520" s="83" t="s">
        <v>3490</v>
      </c>
      <c r="C4520" s="91" t="s">
        <v>1233</v>
      </c>
    </row>
    <row r="4521" spans="1:3" ht="15">
      <c r="A4521" s="84" t="s">
        <v>376</v>
      </c>
      <c r="B4521" s="83" t="s">
        <v>3491</v>
      </c>
      <c r="C4521" s="91" t="s">
        <v>1233</v>
      </c>
    </row>
    <row r="4522" spans="1:3" ht="15">
      <c r="A4522" s="84" t="s">
        <v>376</v>
      </c>
      <c r="B4522" s="83" t="s">
        <v>3257</v>
      </c>
      <c r="C4522" s="91" t="s">
        <v>1233</v>
      </c>
    </row>
    <row r="4523" spans="1:3" ht="15">
      <c r="A4523" s="84" t="s">
        <v>376</v>
      </c>
      <c r="B4523" s="83" t="s">
        <v>3203</v>
      </c>
      <c r="C4523" s="91" t="s">
        <v>1233</v>
      </c>
    </row>
    <row r="4524" spans="1:3" ht="15">
      <c r="A4524" s="84" t="s">
        <v>376</v>
      </c>
      <c r="B4524" s="83" t="s">
        <v>586</v>
      </c>
      <c r="C4524" s="91" t="s">
        <v>1233</v>
      </c>
    </row>
    <row r="4525" spans="1:3" ht="15">
      <c r="A4525" s="84" t="s">
        <v>376</v>
      </c>
      <c r="B4525" s="83">
        <v>9</v>
      </c>
      <c r="C4525" s="91" t="s">
        <v>1232</v>
      </c>
    </row>
    <row r="4526" spans="1:3" ht="15">
      <c r="A4526" s="84" t="s">
        <v>376</v>
      </c>
      <c r="B4526" s="83" t="s">
        <v>3497</v>
      </c>
      <c r="C4526" s="91" t="s">
        <v>1232</v>
      </c>
    </row>
    <row r="4527" spans="1:3" ht="15">
      <c r="A4527" s="84" t="s">
        <v>376</v>
      </c>
      <c r="B4527" s="83" t="s">
        <v>2877</v>
      </c>
      <c r="C4527" s="91" t="s">
        <v>1232</v>
      </c>
    </row>
    <row r="4528" spans="1:3" ht="15">
      <c r="A4528" s="84" t="s">
        <v>376</v>
      </c>
      <c r="B4528" s="83" t="s">
        <v>2878</v>
      </c>
      <c r="C4528" s="91" t="s">
        <v>1232</v>
      </c>
    </row>
    <row r="4529" spans="1:3" ht="15">
      <c r="A4529" s="84" t="s">
        <v>376</v>
      </c>
      <c r="B4529" s="83" t="s">
        <v>2879</v>
      </c>
      <c r="C4529" s="91" t="s">
        <v>1232</v>
      </c>
    </row>
    <row r="4530" spans="1:3" ht="15">
      <c r="A4530" s="84" t="s">
        <v>376</v>
      </c>
      <c r="B4530" s="83" t="s">
        <v>2880</v>
      </c>
      <c r="C4530" s="91" t="s">
        <v>1232</v>
      </c>
    </row>
    <row r="4531" spans="1:3" ht="15">
      <c r="A4531" s="84" t="s">
        <v>376</v>
      </c>
      <c r="B4531" s="83" t="s">
        <v>2881</v>
      </c>
      <c r="C4531" s="91" t="s">
        <v>1232</v>
      </c>
    </row>
    <row r="4532" spans="1:3" ht="15">
      <c r="A4532" s="84" t="s">
        <v>376</v>
      </c>
      <c r="B4532" s="83" t="s">
        <v>2882</v>
      </c>
      <c r="C4532" s="91" t="s">
        <v>1232</v>
      </c>
    </row>
    <row r="4533" spans="1:3" ht="15">
      <c r="A4533" s="84" t="s">
        <v>376</v>
      </c>
      <c r="B4533" s="83" t="s">
        <v>2883</v>
      </c>
      <c r="C4533" s="91" t="s">
        <v>1232</v>
      </c>
    </row>
    <row r="4534" spans="1:3" ht="15">
      <c r="A4534" s="84" t="s">
        <v>376</v>
      </c>
      <c r="B4534" s="83" t="s">
        <v>2884</v>
      </c>
      <c r="C4534" s="91" t="s">
        <v>1232</v>
      </c>
    </row>
    <row r="4535" spans="1:3" ht="15">
      <c r="A4535" s="84" t="s">
        <v>376</v>
      </c>
      <c r="B4535" s="83" t="s">
        <v>2885</v>
      </c>
      <c r="C4535" s="91" t="s">
        <v>1232</v>
      </c>
    </row>
    <row r="4536" spans="1:3" ht="15">
      <c r="A4536" s="84" t="s">
        <v>376</v>
      </c>
      <c r="B4536" s="83" t="s">
        <v>2886</v>
      </c>
      <c r="C4536" s="91" t="s">
        <v>1232</v>
      </c>
    </row>
    <row r="4537" spans="1:3" ht="15">
      <c r="A4537" s="84" t="s">
        <v>376</v>
      </c>
      <c r="B4537" s="83" t="s">
        <v>3489</v>
      </c>
      <c r="C4537" s="91" t="s">
        <v>1232</v>
      </c>
    </row>
    <row r="4538" spans="1:3" ht="15">
      <c r="A4538" s="84" t="s">
        <v>376</v>
      </c>
      <c r="B4538" s="83" t="s">
        <v>3490</v>
      </c>
      <c r="C4538" s="91" t="s">
        <v>1232</v>
      </c>
    </row>
    <row r="4539" spans="1:3" ht="15">
      <c r="A4539" s="84" t="s">
        <v>376</v>
      </c>
      <c r="B4539" s="83" t="s">
        <v>3491</v>
      </c>
      <c r="C4539" s="91" t="s">
        <v>1232</v>
      </c>
    </row>
    <row r="4540" spans="1:3" ht="15">
      <c r="A4540" s="84" t="s">
        <v>376</v>
      </c>
      <c r="B4540" s="83" t="s">
        <v>3257</v>
      </c>
      <c r="C4540" s="91" t="s">
        <v>1232</v>
      </c>
    </row>
    <row r="4541" spans="1:3" ht="15">
      <c r="A4541" s="84" t="s">
        <v>376</v>
      </c>
      <c r="B4541" s="83" t="s">
        <v>3203</v>
      </c>
      <c r="C4541" s="91" t="s">
        <v>1232</v>
      </c>
    </row>
    <row r="4542" spans="1:3" ht="15">
      <c r="A4542" s="84" t="s">
        <v>376</v>
      </c>
      <c r="B4542" s="83" t="s">
        <v>586</v>
      </c>
      <c r="C4542" s="91" t="s">
        <v>1232</v>
      </c>
    </row>
    <row r="4543" spans="1:3" ht="15">
      <c r="A4543" s="84" t="s">
        <v>375</v>
      </c>
      <c r="B4543" s="83" t="s">
        <v>3448</v>
      </c>
      <c r="C4543" s="91" t="s">
        <v>1231</v>
      </c>
    </row>
    <row r="4544" spans="1:3" ht="15">
      <c r="A4544" s="84" t="s">
        <v>375</v>
      </c>
      <c r="B4544" s="83" t="s">
        <v>2795</v>
      </c>
      <c r="C4544" s="91" t="s">
        <v>1231</v>
      </c>
    </row>
    <row r="4545" spans="1:3" ht="15">
      <c r="A4545" s="84" t="s">
        <v>375</v>
      </c>
      <c r="B4545" s="83" t="s">
        <v>2875</v>
      </c>
      <c r="C4545" s="91" t="s">
        <v>1231</v>
      </c>
    </row>
    <row r="4546" spans="1:3" ht="15">
      <c r="A4546" s="84" t="s">
        <v>375</v>
      </c>
      <c r="B4546" s="83" t="s">
        <v>2578</v>
      </c>
      <c r="C4546" s="91" t="s">
        <v>1231</v>
      </c>
    </row>
    <row r="4547" spans="1:3" ht="15">
      <c r="A4547" s="84" t="s">
        <v>375</v>
      </c>
      <c r="B4547" s="83" t="s">
        <v>2914</v>
      </c>
      <c r="C4547" s="91" t="s">
        <v>1231</v>
      </c>
    </row>
    <row r="4548" spans="1:3" ht="15">
      <c r="A4548" s="84" t="s">
        <v>375</v>
      </c>
      <c r="B4548" s="83" t="s">
        <v>2577</v>
      </c>
      <c r="C4548" s="91" t="s">
        <v>1231</v>
      </c>
    </row>
    <row r="4549" spans="1:3" ht="15">
      <c r="A4549" s="84" t="s">
        <v>375</v>
      </c>
      <c r="B4549" s="83" t="s">
        <v>2915</v>
      </c>
      <c r="C4549" s="91" t="s">
        <v>1231</v>
      </c>
    </row>
    <row r="4550" spans="1:3" ht="15">
      <c r="A4550" s="84" t="s">
        <v>375</v>
      </c>
      <c r="B4550" s="83" t="s">
        <v>2568</v>
      </c>
      <c r="C4550" s="91" t="s">
        <v>1231</v>
      </c>
    </row>
    <row r="4551" spans="1:3" ht="15">
      <c r="A4551" s="84" t="s">
        <v>375</v>
      </c>
      <c r="B4551" s="83" t="s">
        <v>2753</v>
      </c>
      <c r="C4551" s="91" t="s">
        <v>1231</v>
      </c>
    </row>
    <row r="4552" spans="1:3" ht="15">
      <c r="A4552" s="84" t="s">
        <v>375</v>
      </c>
      <c r="B4552" s="83" t="s">
        <v>3203</v>
      </c>
      <c r="C4552" s="91" t="s">
        <v>1231</v>
      </c>
    </row>
    <row r="4553" spans="1:3" ht="15">
      <c r="A4553" s="84" t="s">
        <v>375</v>
      </c>
      <c r="B4553" s="83" t="s">
        <v>2591</v>
      </c>
      <c r="C4553" s="91" t="s">
        <v>1231</v>
      </c>
    </row>
    <row r="4554" spans="1:3" ht="15">
      <c r="A4554" s="84" t="s">
        <v>375</v>
      </c>
      <c r="B4554" s="83" t="s">
        <v>2730</v>
      </c>
      <c r="C4554" s="91" t="s">
        <v>1231</v>
      </c>
    </row>
    <row r="4555" spans="1:3" ht="15">
      <c r="A4555" s="84" t="s">
        <v>375</v>
      </c>
      <c r="B4555" s="83" t="s">
        <v>2844</v>
      </c>
      <c r="C4555" s="91" t="s">
        <v>1231</v>
      </c>
    </row>
    <row r="4556" spans="1:3" ht="15">
      <c r="A4556" s="84" t="s">
        <v>375</v>
      </c>
      <c r="B4556" s="83" t="s">
        <v>2916</v>
      </c>
      <c r="C4556" s="91" t="s">
        <v>1231</v>
      </c>
    </row>
    <row r="4557" spans="1:3" ht="15">
      <c r="A4557" s="84" t="s">
        <v>375</v>
      </c>
      <c r="B4557" s="83" t="s">
        <v>2917</v>
      </c>
      <c r="C4557" s="91" t="s">
        <v>1231</v>
      </c>
    </row>
    <row r="4558" spans="1:3" ht="15">
      <c r="A4558" s="84" t="s">
        <v>375</v>
      </c>
      <c r="B4558" s="83" t="s">
        <v>3449</v>
      </c>
      <c r="C4558" s="91" t="s">
        <v>1231</v>
      </c>
    </row>
    <row r="4559" spans="1:3" ht="15">
      <c r="A4559" s="84" t="s">
        <v>375</v>
      </c>
      <c r="B4559" s="83" t="s">
        <v>2748</v>
      </c>
      <c r="C4559" s="91" t="s">
        <v>1231</v>
      </c>
    </row>
    <row r="4560" spans="1:3" ht="15">
      <c r="A4560" s="84" t="s">
        <v>375</v>
      </c>
      <c r="B4560" s="83" t="s">
        <v>2918</v>
      </c>
      <c r="C4560" s="91" t="s">
        <v>1231</v>
      </c>
    </row>
    <row r="4561" spans="1:3" ht="15">
      <c r="A4561" s="84" t="s">
        <v>375</v>
      </c>
      <c r="B4561" s="83" t="s">
        <v>2919</v>
      </c>
      <c r="C4561" s="91" t="s">
        <v>1231</v>
      </c>
    </row>
    <row r="4562" spans="1:3" ht="15">
      <c r="A4562" s="84" t="s">
        <v>375</v>
      </c>
      <c r="B4562" s="83" t="s">
        <v>2845</v>
      </c>
      <c r="C4562" s="91" t="s">
        <v>1231</v>
      </c>
    </row>
    <row r="4563" spans="1:3" ht="15">
      <c r="A4563" s="84" t="s">
        <v>375</v>
      </c>
      <c r="B4563" s="83" t="s">
        <v>2920</v>
      </c>
      <c r="C4563" s="91" t="s">
        <v>1231</v>
      </c>
    </row>
    <row r="4564" spans="1:3" ht="15">
      <c r="A4564" s="84" t="s">
        <v>375</v>
      </c>
      <c r="B4564" s="83" t="s">
        <v>2921</v>
      </c>
      <c r="C4564" s="91" t="s">
        <v>1231</v>
      </c>
    </row>
    <row r="4565" spans="1:3" ht="15">
      <c r="A4565" s="84" t="s">
        <v>375</v>
      </c>
      <c r="B4565" s="83" t="s">
        <v>2719</v>
      </c>
      <c r="C4565" s="91" t="s">
        <v>1231</v>
      </c>
    </row>
    <row r="4566" spans="1:3" ht="15">
      <c r="A4566" s="84" t="s">
        <v>375</v>
      </c>
      <c r="B4566" s="83" t="s">
        <v>2922</v>
      </c>
      <c r="C4566" s="91" t="s">
        <v>1231</v>
      </c>
    </row>
    <row r="4567" spans="1:3" ht="15">
      <c r="A4567" s="84" t="s">
        <v>375</v>
      </c>
      <c r="B4567" s="83" t="s">
        <v>3450</v>
      </c>
      <c r="C4567" s="91" t="s">
        <v>1231</v>
      </c>
    </row>
    <row r="4568" spans="1:3" ht="15">
      <c r="A4568" s="84" t="s">
        <v>375</v>
      </c>
      <c r="B4568" s="83" t="s">
        <v>2923</v>
      </c>
      <c r="C4568" s="91" t="s">
        <v>1231</v>
      </c>
    </row>
    <row r="4569" spans="1:3" ht="15">
      <c r="A4569" s="84" t="s">
        <v>375</v>
      </c>
      <c r="B4569" s="83" t="s">
        <v>2924</v>
      </c>
      <c r="C4569" s="91" t="s">
        <v>1231</v>
      </c>
    </row>
    <row r="4570" spans="1:3" ht="15">
      <c r="A4570" s="84" t="s">
        <v>375</v>
      </c>
      <c r="B4570" s="83" t="s">
        <v>2662</v>
      </c>
      <c r="C4570" s="91" t="s">
        <v>1231</v>
      </c>
    </row>
    <row r="4571" spans="1:3" ht="15">
      <c r="A4571" s="84" t="s">
        <v>375</v>
      </c>
      <c r="B4571" s="83" t="s">
        <v>2925</v>
      </c>
      <c r="C4571" s="91" t="s">
        <v>1231</v>
      </c>
    </row>
    <row r="4572" spans="1:3" ht="15">
      <c r="A4572" s="84" t="s">
        <v>375</v>
      </c>
      <c r="B4572" s="83" t="s">
        <v>3451</v>
      </c>
      <c r="C4572" s="91" t="s">
        <v>1231</v>
      </c>
    </row>
    <row r="4573" spans="1:3" ht="15">
      <c r="A4573" s="84" t="s">
        <v>375</v>
      </c>
      <c r="B4573" s="83" t="s">
        <v>2660</v>
      </c>
      <c r="C4573" s="91" t="s">
        <v>1231</v>
      </c>
    </row>
    <row r="4574" spans="1:3" ht="15">
      <c r="A4574" s="84" t="s">
        <v>375</v>
      </c>
      <c r="B4574" s="83" t="s">
        <v>2926</v>
      </c>
      <c r="C4574" s="91" t="s">
        <v>1231</v>
      </c>
    </row>
    <row r="4575" spans="1:3" ht="15">
      <c r="A4575" s="84" t="s">
        <v>375</v>
      </c>
      <c r="B4575" s="83" t="s">
        <v>2927</v>
      </c>
      <c r="C4575" s="91" t="s">
        <v>1231</v>
      </c>
    </row>
    <row r="4576" spans="1:3" ht="15">
      <c r="A4576" s="84" t="s">
        <v>375</v>
      </c>
      <c r="B4576" s="83" t="s">
        <v>2729</v>
      </c>
      <c r="C4576" s="91" t="s">
        <v>1231</v>
      </c>
    </row>
    <row r="4577" spans="1:3" ht="15">
      <c r="A4577" s="84" t="s">
        <v>375</v>
      </c>
      <c r="B4577" s="83" t="s">
        <v>2928</v>
      </c>
      <c r="C4577" s="91" t="s">
        <v>1231</v>
      </c>
    </row>
    <row r="4578" spans="1:3" ht="15">
      <c r="A4578" s="84" t="s">
        <v>375</v>
      </c>
      <c r="B4578" s="83" t="s">
        <v>2929</v>
      </c>
      <c r="C4578" s="91" t="s">
        <v>1231</v>
      </c>
    </row>
    <row r="4579" spans="1:3" ht="15">
      <c r="A4579" s="84" t="s">
        <v>375</v>
      </c>
      <c r="B4579" s="83" t="s">
        <v>2589</v>
      </c>
      <c r="C4579" s="91" t="s">
        <v>1231</v>
      </c>
    </row>
    <row r="4580" spans="1:3" ht="15">
      <c r="A4580" s="84" t="s">
        <v>375</v>
      </c>
      <c r="B4580" s="83" t="s">
        <v>2930</v>
      </c>
      <c r="C4580" s="91" t="s">
        <v>1231</v>
      </c>
    </row>
    <row r="4581" spans="1:3" ht="15">
      <c r="A4581" s="84" t="s">
        <v>375</v>
      </c>
      <c r="B4581" s="83" t="s">
        <v>2580</v>
      </c>
      <c r="C4581" s="91" t="s">
        <v>1231</v>
      </c>
    </row>
    <row r="4582" spans="1:3" ht="15">
      <c r="A4582" s="84" t="s">
        <v>375</v>
      </c>
      <c r="B4582" s="83" t="s">
        <v>2931</v>
      </c>
      <c r="C4582" s="91" t="s">
        <v>1231</v>
      </c>
    </row>
    <row r="4583" spans="1:3" ht="15">
      <c r="A4583" s="84" t="s">
        <v>375</v>
      </c>
      <c r="B4583" s="83" t="s">
        <v>3199</v>
      </c>
      <c r="C4583" s="91" t="s">
        <v>1231</v>
      </c>
    </row>
    <row r="4584" spans="1:3" ht="15">
      <c r="A4584" s="84" t="s">
        <v>375</v>
      </c>
      <c r="B4584" s="83" t="s">
        <v>2678</v>
      </c>
      <c r="C4584" s="91" t="s">
        <v>1231</v>
      </c>
    </row>
    <row r="4585" spans="1:3" ht="15">
      <c r="A4585" s="84" t="s">
        <v>374</v>
      </c>
      <c r="B4585" s="83" t="s">
        <v>3448</v>
      </c>
      <c r="C4585" s="91" t="s">
        <v>1230</v>
      </c>
    </row>
    <row r="4586" spans="1:3" ht="15">
      <c r="A4586" s="84" t="s">
        <v>374</v>
      </c>
      <c r="B4586" s="83" t="s">
        <v>2795</v>
      </c>
      <c r="C4586" s="91" t="s">
        <v>1230</v>
      </c>
    </row>
    <row r="4587" spans="1:3" ht="15">
      <c r="A4587" s="84" t="s">
        <v>374</v>
      </c>
      <c r="B4587" s="83" t="s">
        <v>2875</v>
      </c>
      <c r="C4587" s="91" t="s">
        <v>1230</v>
      </c>
    </row>
    <row r="4588" spans="1:3" ht="15">
      <c r="A4588" s="84" t="s">
        <v>374</v>
      </c>
      <c r="B4588" s="83" t="s">
        <v>2578</v>
      </c>
      <c r="C4588" s="91" t="s">
        <v>1230</v>
      </c>
    </row>
    <row r="4589" spans="1:3" ht="15">
      <c r="A4589" s="84" t="s">
        <v>374</v>
      </c>
      <c r="B4589" s="83" t="s">
        <v>2914</v>
      </c>
      <c r="C4589" s="91" t="s">
        <v>1230</v>
      </c>
    </row>
    <row r="4590" spans="1:3" ht="15">
      <c r="A4590" s="84" t="s">
        <v>374</v>
      </c>
      <c r="B4590" s="83" t="s">
        <v>2577</v>
      </c>
      <c r="C4590" s="91" t="s">
        <v>1230</v>
      </c>
    </row>
    <row r="4591" spans="1:3" ht="15">
      <c r="A4591" s="84" t="s">
        <v>374</v>
      </c>
      <c r="B4591" s="83" t="s">
        <v>2915</v>
      </c>
      <c r="C4591" s="91" t="s">
        <v>1230</v>
      </c>
    </row>
    <row r="4592" spans="1:3" ht="15">
      <c r="A4592" s="84" t="s">
        <v>374</v>
      </c>
      <c r="B4592" s="83" t="s">
        <v>2568</v>
      </c>
      <c r="C4592" s="91" t="s">
        <v>1230</v>
      </c>
    </row>
    <row r="4593" spans="1:3" ht="15">
      <c r="A4593" s="84" t="s">
        <v>374</v>
      </c>
      <c r="B4593" s="83" t="s">
        <v>2753</v>
      </c>
      <c r="C4593" s="91" t="s">
        <v>1230</v>
      </c>
    </row>
    <row r="4594" spans="1:3" ht="15">
      <c r="A4594" s="84" t="s">
        <v>374</v>
      </c>
      <c r="B4594" s="83" t="s">
        <v>3203</v>
      </c>
      <c r="C4594" s="91" t="s">
        <v>1230</v>
      </c>
    </row>
    <row r="4595" spans="1:3" ht="15">
      <c r="A4595" s="84" t="s">
        <v>374</v>
      </c>
      <c r="B4595" s="83" t="s">
        <v>2591</v>
      </c>
      <c r="C4595" s="91" t="s">
        <v>1230</v>
      </c>
    </row>
    <row r="4596" spans="1:3" ht="15">
      <c r="A4596" s="84" t="s">
        <v>374</v>
      </c>
      <c r="B4596" s="83" t="s">
        <v>2730</v>
      </c>
      <c r="C4596" s="91" t="s">
        <v>1230</v>
      </c>
    </row>
    <row r="4597" spans="1:3" ht="15">
      <c r="A4597" s="84" t="s">
        <v>374</v>
      </c>
      <c r="B4597" s="83" t="s">
        <v>2844</v>
      </c>
      <c r="C4597" s="91" t="s">
        <v>1230</v>
      </c>
    </row>
    <row r="4598" spans="1:3" ht="15">
      <c r="A4598" s="84" t="s">
        <v>374</v>
      </c>
      <c r="B4598" s="83" t="s">
        <v>2916</v>
      </c>
      <c r="C4598" s="91" t="s">
        <v>1230</v>
      </c>
    </row>
    <row r="4599" spans="1:3" ht="15">
      <c r="A4599" s="84" t="s">
        <v>374</v>
      </c>
      <c r="B4599" s="83" t="s">
        <v>2917</v>
      </c>
      <c r="C4599" s="91" t="s">
        <v>1230</v>
      </c>
    </row>
    <row r="4600" spans="1:3" ht="15">
      <c r="A4600" s="84" t="s">
        <v>374</v>
      </c>
      <c r="B4600" s="83" t="s">
        <v>3449</v>
      </c>
      <c r="C4600" s="91" t="s">
        <v>1230</v>
      </c>
    </row>
    <row r="4601" spans="1:3" ht="15">
      <c r="A4601" s="84" t="s">
        <v>374</v>
      </c>
      <c r="B4601" s="83" t="s">
        <v>2748</v>
      </c>
      <c r="C4601" s="91" t="s">
        <v>1230</v>
      </c>
    </row>
    <row r="4602" spans="1:3" ht="15">
      <c r="A4602" s="84" t="s">
        <v>374</v>
      </c>
      <c r="B4602" s="83" t="s">
        <v>2918</v>
      </c>
      <c r="C4602" s="91" t="s">
        <v>1230</v>
      </c>
    </row>
    <row r="4603" spans="1:3" ht="15">
      <c r="A4603" s="84" t="s">
        <v>374</v>
      </c>
      <c r="B4603" s="83" t="s">
        <v>2919</v>
      </c>
      <c r="C4603" s="91" t="s">
        <v>1230</v>
      </c>
    </row>
    <row r="4604" spans="1:3" ht="15">
      <c r="A4604" s="84" t="s">
        <v>374</v>
      </c>
      <c r="B4604" s="83" t="s">
        <v>2845</v>
      </c>
      <c r="C4604" s="91" t="s">
        <v>1230</v>
      </c>
    </row>
    <row r="4605" spans="1:3" ht="15">
      <c r="A4605" s="84" t="s">
        <v>374</v>
      </c>
      <c r="B4605" s="83" t="s">
        <v>2920</v>
      </c>
      <c r="C4605" s="91" t="s">
        <v>1230</v>
      </c>
    </row>
    <row r="4606" spans="1:3" ht="15">
      <c r="A4606" s="84" t="s">
        <v>374</v>
      </c>
      <c r="B4606" s="83" t="s">
        <v>2921</v>
      </c>
      <c r="C4606" s="91" t="s">
        <v>1230</v>
      </c>
    </row>
    <row r="4607" spans="1:3" ht="15">
      <c r="A4607" s="84" t="s">
        <v>374</v>
      </c>
      <c r="B4607" s="83" t="s">
        <v>2719</v>
      </c>
      <c r="C4607" s="91" t="s">
        <v>1230</v>
      </c>
    </row>
    <row r="4608" spans="1:3" ht="15">
      <c r="A4608" s="84" t="s">
        <v>374</v>
      </c>
      <c r="B4608" s="83" t="s">
        <v>2922</v>
      </c>
      <c r="C4608" s="91" t="s">
        <v>1230</v>
      </c>
    </row>
    <row r="4609" spans="1:3" ht="15">
      <c r="A4609" s="84" t="s">
        <v>374</v>
      </c>
      <c r="B4609" s="83" t="s">
        <v>3450</v>
      </c>
      <c r="C4609" s="91" t="s">
        <v>1230</v>
      </c>
    </row>
    <row r="4610" spans="1:3" ht="15">
      <c r="A4610" s="84" t="s">
        <v>374</v>
      </c>
      <c r="B4610" s="83" t="s">
        <v>2923</v>
      </c>
      <c r="C4610" s="91" t="s">
        <v>1230</v>
      </c>
    </row>
    <row r="4611" spans="1:3" ht="15">
      <c r="A4611" s="84" t="s">
        <v>374</v>
      </c>
      <c r="B4611" s="83" t="s">
        <v>2924</v>
      </c>
      <c r="C4611" s="91" t="s">
        <v>1230</v>
      </c>
    </row>
    <row r="4612" spans="1:3" ht="15">
      <c r="A4612" s="84" t="s">
        <v>374</v>
      </c>
      <c r="B4612" s="83" t="s">
        <v>2662</v>
      </c>
      <c r="C4612" s="91" t="s">
        <v>1230</v>
      </c>
    </row>
    <row r="4613" spans="1:3" ht="15">
      <c r="A4613" s="84" t="s">
        <v>374</v>
      </c>
      <c r="B4613" s="83" t="s">
        <v>2925</v>
      </c>
      <c r="C4613" s="91" t="s">
        <v>1230</v>
      </c>
    </row>
    <row r="4614" spans="1:3" ht="15">
      <c r="A4614" s="84" t="s">
        <v>374</v>
      </c>
      <c r="B4614" s="83" t="s">
        <v>3451</v>
      </c>
      <c r="C4614" s="91" t="s">
        <v>1230</v>
      </c>
    </row>
    <row r="4615" spans="1:3" ht="15">
      <c r="A4615" s="84" t="s">
        <v>374</v>
      </c>
      <c r="B4615" s="83" t="s">
        <v>2660</v>
      </c>
      <c r="C4615" s="91" t="s">
        <v>1230</v>
      </c>
    </row>
    <row r="4616" spans="1:3" ht="15">
      <c r="A4616" s="84" t="s">
        <v>374</v>
      </c>
      <c r="B4616" s="83" t="s">
        <v>2926</v>
      </c>
      <c r="C4616" s="91" t="s">
        <v>1230</v>
      </c>
    </row>
    <row r="4617" spans="1:3" ht="15">
      <c r="A4617" s="84" t="s">
        <v>374</v>
      </c>
      <c r="B4617" s="83" t="s">
        <v>2927</v>
      </c>
      <c r="C4617" s="91" t="s">
        <v>1230</v>
      </c>
    </row>
    <row r="4618" spans="1:3" ht="15">
      <c r="A4618" s="84" t="s">
        <v>374</v>
      </c>
      <c r="B4618" s="83" t="s">
        <v>2729</v>
      </c>
      <c r="C4618" s="91" t="s">
        <v>1230</v>
      </c>
    </row>
    <row r="4619" spans="1:3" ht="15">
      <c r="A4619" s="84" t="s">
        <v>374</v>
      </c>
      <c r="B4619" s="83" t="s">
        <v>2928</v>
      </c>
      <c r="C4619" s="91" t="s">
        <v>1230</v>
      </c>
    </row>
    <row r="4620" spans="1:3" ht="15">
      <c r="A4620" s="84" t="s">
        <v>374</v>
      </c>
      <c r="B4620" s="83" t="s">
        <v>2929</v>
      </c>
      <c r="C4620" s="91" t="s">
        <v>1230</v>
      </c>
    </row>
    <row r="4621" spans="1:3" ht="15">
      <c r="A4621" s="84" t="s">
        <v>374</v>
      </c>
      <c r="B4621" s="83" t="s">
        <v>2589</v>
      </c>
      <c r="C4621" s="91" t="s">
        <v>1230</v>
      </c>
    </row>
    <row r="4622" spans="1:3" ht="15">
      <c r="A4622" s="84" t="s">
        <v>374</v>
      </c>
      <c r="B4622" s="83" t="s">
        <v>2930</v>
      </c>
      <c r="C4622" s="91" t="s">
        <v>1230</v>
      </c>
    </row>
    <row r="4623" spans="1:3" ht="15">
      <c r="A4623" s="84" t="s">
        <v>374</v>
      </c>
      <c r="B4623" s="83" t="s">
        <v>2580</v>
      </c>
      <c r="C4623" s="91" t="s">
        <v>1230</v>
      </c>
    </row>
    <row r="4624" spans="1:3" ht="15">
      <c r="A4624" s="84" t="s">
        <v>374</v>
      </c>
      <c r="B4624" s="83" t="s">
        <v>2931</v>
      </c>
      <c r="C4624" s="91" t="s">
        <v>1230</v>
      </c>
    </row>
    <row r="4625" spans="1:3" ht="15">
      <c r="A4625" s="84" t="s">
        <v>374</v>
      </c>
      <c r="B4625" s="83" t="s">
        <v>3199</v>
      </c>
      <c r="C4625" s="91" t="s">
        <v>1230</v>
      </c>
    </row>
    <row r="4626" spans="1:3" ht="15">
      <c r="A4626" s="84" t="s">
        <v>374</v>
      </c>
      <c r="B4626" s="83" t="s">
        <v>2678</v>
      </c>
      <c r="C4626" s="91" t="s">
        <v>1230</v>
      </c>
    </row>
    <row r="4627" spans="1:3" ht="15">
      <c r="A4627" s="84" t="s">
        <v>373</v>
      </c>
      <c r="B4627" s="83" t="s">
        <v>3448</v>
      </c>
      <c r="C4627" s="91" t="s">
        <v>1229</v>
      </c>
    </row>
    <row r="4628" spans="1:3" ht="15">
      <c r="A4628" s="84" t="s">
        <v>373</v>
      </c>
      <c r="B4628" s="83" t="s">
        <v>2795</v>
      </c>
      <c r="C4628" s="91" t="s">
        <v>1229</v>
      </c>
    </row>
    <row r="4629" spans="1:3" ht="15">
      <c r="A4629" s="84" t="s">
        <v>373</v>
      </c>
      <c r="B4629" s="83" t="s">
        <v>2875</v>
      </c>
      <c r="C4629" s="91" t="s">
        <v>1229</v>
      </c>
    </row>
    <row r="4630" spans="1:3" ht="15">
      <c r="A4630" s="84" t="s">
        <v>373</v>
      </c>
      <c r="B4630" s="83" t="s">
        <v>2578</v>
      </c>
      <c r="C4630" s="91" t="s">
        <v>1229</v>
      </c>
    </row>
    <row r="4631" spans="1:3" ht="15">
      <c r="A4631" s="84" t="s">
        <v>373</v>
      </c>
      <c r="B4631" s="83" t="s">
        <v>2914</v>
      </c>
      <c r="C4631" s="91" t="s">
        <v>1229</v>
      </c>
    </row>
    <row r="4632" spans="1:3" ht="15">
      <c r="A4632" s="84" t="s">
        <v>373</v>
      </c>
      <c r="B4632" s="83" t="s">
        <v>2577</v>
      </c>
      <c r="C4632" s="91" t="s">
        <v>1229</v>
      </c>
    </row>
    <row r="4633" spans="1:3" ht="15">
      <c r="A4633" s="84" t="s">
        <v>373</v>
      </c>
      <c r="B4633" s="83" t="s">
        <v>2915</v>
      </c>
      <c r="C4633" s="91" t="s">
        <v>1229</v>
      </c>
    </row>
    <row r="4634" spans="1:3" ht="15">
      <c r="A4634" s="84" t="s">
        <v>373</v>
      </c>
      <c r="B4634" s="83" t="s">
        <v>2568</v>
      </c>
      <c r="C4634" s="91" t="s">
        <v>1229</v>
      </c>
    </row>
    <row r="4635" spans="1:3" ht="15">
      <c r="A4635" s="84" t="s">
        <v>373</v>
      </c>
      <c r="B4635" s="83" t="s">
        <v>2753</v>
      </c>
      <c r="C4635" s="91" t="s">
        <v>1229</v>
      </c>
    </row>
    <row r="4636" spans="1:3" ht="15">
      <c r="A4636" s="84" t="s">
        <v>373</v>
      </c>
      <c r="B4636" s="83" t="s">
        <v>3203</v>
      </c>
      <c r="C4636" s="91" t="s">
        <v>1229</v>
      </c>
    </row>
    <row r="4637" spans="1:3" ht="15">
      <c r="A4637" s="84" t="s">
        <v>373</v>
      </c>
      <c r="B4637" s="83" t="s">
        <v>2591</v>
      </c>
      <c r="C4637" s="91" t="s">
        <v>1229</v>
      </c>
    </row>
    <row r="4638" spans="1:3" ht="15">
      <c r="A4638" s="84" t="s">
        <v>373</v>
      </c>
      <c r="B4638" s="83" t="s">
        <v>2730</v>
      </c>
      <c r="C4638" s="91" t="s">
        <v>1229</v>
      </c>
    </row>
    <row r="4639" spans="1:3" ht="15">
      <c r="A4639" s="84" t="s">
        <v>373</v>
      </c>
      <c r="B4639" s="83" t="s">
        <v>2844</v>
      </c>
      <c r="C4639" s="91" t="s">
        <v>1229</v>
      </c>
    </row>
    <row r="4640" spans="1:3" ht="15">
      <c r="A4640" s="84" t="s">
        <v>373</v>
      </c>
      <c r="B4640" s="83" t="s">
        <v>2916</v>
      </c>
      <c r="C4640" s="91" t="s">
        <v>1229</v>
      </c>
    </row>
    <row r="4641" spans="1:3" ht="15">
      <c r="A4641" s="84" t="s">
        <v>373</v>
      </c>
      <c r="B4641" s="83" t="s">
        <v>2917</v>
      </c>
      <c r="C4641" s="91" t="s">
        <v>1229</v>
      </c>
    </row>
    <row r="4642" spans="1:3" ht="15">
      <c r="A4642" s="84" t="s">
        <v>373</v>
      </c>
      <c r="B4642" s="83" t="s">
        <v>3449</v>
      </c>
      <c r="C4642" s="91" t="s">
        <v>1229</v>
      </c>
    </row>
    <row r="4643" spans="1:3" ht="15">
      <c r="A4643" s="84" t="s">
        <v>373</v>
      </c>
      <c r="B4643" s="83" t="s">
        <v>2748</v>
      </c>
      <c r="C4643" s="91" t="s">
        <v>1229</v>
      </c>
    </row>
    <row r="4644" spans="1:3" ht="15">
      <c r="A4644" s="84" t="s">
        <v>373</v>
      </c>
      <c r="B4644" s="83" t="s">
        <v>2918</v>
      </c>
      <c r="C4644" s="91" t="s">
        <v>1229</v>
      </c>
    </row>
    <row r="4645" spans="1:3" ht="15">
      <c r="A4645" s="84" t="s">
        <v>373</v>
      </c>
      <c r="B4645" s="83" t="s">
        <v>2919</v>
      </c>
      <c r="C4645" s="91" t="s">
        <v>1229</v>
      </c>
    </row>
    <row r="4646" spans="1:3" ht="15">
      <c r="A4646" s="84" t="s">
        <v>373</v>
      </c>
      <c r="B4646" s="83" t="s">
        <v>2845</v>
      </c>
      <c r="C4646" s="91" t="s">
        <v>1229</v>
      </c>
    </row>
    <row r="4647" spans="1:3" ht="15">
      <c r="A4647" s="84" t="s">
        <v>373</v>
      </c>
      <c r="B4647" s="83" t="s">
        <v>2920</v>
      </c>
      <c r="C4647" s="91" t="s">
        <v>1229</v>
      </c>
    </row>
    <row r="4648" spans="1:3" ht="15">
      <c r="A4648" s="84" t="s">
        <v>373</v>
      </c>
      <c r="B4648" s="83" t="s">
        <v>2921</v>
      </c>
      <c r="C4648" s="91" t="s">
        <v>1229</v>
      </c>
    </row>
    <row r="4649" spans="1:3" ht="15">
      <c r="A4649" s="84" t="s">
        <v>373</v>
      </c>
      <c r="B4649" s="83" t="s">
        <v>2719</v>
      </c>
      <c r="C4649" s="91" t="s">
        <v>1229</v>
      </c>
    </row>
    <row r="4650" spans="1:3" ht="15">
      <c r="A4650" s="84" t="s">
        <v>373</v>
      </c>
      <c r="B4650" s="83" t="s">
        <v>2922</v>
      </c>
      <c r="C4650" s="91" t="s">
        <v>1229</v>
      </c>
    </row>
    <row r="4651" spans="1:3" ht="15">
      <c r="A4651" s="84" t="s">
        <v>373</v>
      </c>
      <c r="B4651" s="83" t="s">
        <v>3450</v>
      </c>
      <c r="C4651" s="91" t="s">
        <v>1229</v>
      </c>
    </row>
    <row r="4652" spans="1:3" ht="15">
      <c r="A4652" s="84" t="s">
        <v>373</v>
      </c>
      <c r="B4652" s="83" t="s">
        <v>2923</v>
      </c>
      <c r="C4652" s="91" t="s">
        <v>1229</v>
      </c>
    </row>
    <row r="4653" spans="1:3" ht="15">
      <c r="A4653" s="84" t="s">
        <v>373</v>
      </c>
      <c r="B4653" s="83" t="s">
        <v>2924</v>
      </c>
      <c r="C4653" s="91" t="s">
        <v>1229</v>
      </c>
    </row>
    <row r="4654" spans="1:3" ht="15">
      <c r="A4654" s="84" t="s">
        <v>373</v>
      </c>
      <c r="B4654" s="83" t="s">
        <v>2662</v>
      </c>
      <c r="C4654" s="91" t="s">
        <v>1229</v>
      </c>
    </row>
    <row r="4655" spans="1:3" ht="15">
      <c r="A4655" s="84" t="s">
        <v>373</v>
      </c>
      <c r="B4655" s="83" t="s">
        <v>2925</v>
      </c>
      <c r="C4655" s="91" t="s">
        <v>1229</v>
      </c>
    </row>
    <row r="4656" spans="1:3" ht="15">
      <c r="A4656" s="84" t="s">
        <v>373</v>
      </c>
      <c r="B4656" s="83" t="s">
        <v>3451</v>
      </c>
      <c r="C4656" s="91" t="s">
        <v>1229</v>
      </c>
    </row>
    <row r="4657" spans="1:3" ht="15">
      <c r="A4657" s="84" t="s">
        <v>373</v>
      </c>
      <c r="B4657" s="83" t="s">
        <v>2660</v>
      </c>
      <c r="C4657" s="91" t="s">
        <v>1229</v>
      </c>
    </row>
    <row r="4658" spans="1:3" ht="15">
      <c r="A4658" s="84" t="s">
        <v>373</v>
      </c>
      <c r="B4658" s="83" t="s">
        <v>2926</v>
      </c>
      <c r="C4658" s="91" t="s">
        <v>1229</v>
      </c>
    </row>
    <row r="4659" spans="1:3" ht="15">
      <c r="A4659" s="84" t="s">
        <v>373</v>
      </c>
      <c r="B4659" s="83" t="s">
        <v>2927</v>
      </c>
      <c r="C4659" s="91" t="s">
        <v>1229</v>
      </c>
    </row>
    <row r="4660" spans="1:3" ht="15">
      <c r="A4660" s="84" t="s">
        <v>373</v>
      </c>
      <c r="B4660" s="83" t="s">
        <v>2729</v>
      </c>
      <c r="C4660" s="91" t="s">
        <v>1229</v>
      </c>
    </row>
    <row r="4661" spans="1:3" ht="15">
      <c r="A4661" s="84" t="s">
        <v>373</v>
      </c>
      <c r="B4661" s="83" t="s">
        <v>2928</v>
      </c>
      <c r="C4661" s="91" t="s">
        <v>1229</v>
      </c>
    </row>
    <row r="4662" spans="1:3" ht="15">
      <c r="A4662" s="84" t="s">
        <v>373</v>
      </c>
      <c r="B4662" s="83" t="s">
        <v>2929</v>
      </c>
      <c r="C4662" s="91" t="s">
        <v>1229</v>
      </c>
    </row>
    <row r="4663" spans="1:3" ht="15">
      <c r="A4663" s="84" t="s">
        <v>373</v>
      </c>
      <c r="B4663" s="83" t="s">
        <v>2589</v>
      </c>
      <c r="C4663" s="91" t="s">
        <v>1229</v>
      </c>
    </row>
    <row r="4664" spans="1:3" ht="15">
      <c r="A4664" s="84" t="s">
        <v>373</v>
      </c>
      <c r="B4664" s="83" t="s">
        <v>2930</v>
      </c>
      <c r="C4664" s="91" t="s">
        <v>1229</v>
      </c>
    </row>
    <row r="4665" spans="1:3" ht="15">
      <c r="A4665" s="84" t="s">
        <v>373</v>
      </c>
      <c r="B4665" s="83" t="s">
        <v>2580</v>
      </c>
      <c r="C4665" s="91" t="s">
        <v>1229</v>
      </c>
    </row>
    <row r="4666" spans="1:3" ht="15">
      <c r="A4666" s="84" t="s">
        <v>373</v>
      </c>
      <c r="B4666" s="83" t="s">
        <v>2931</v>
      </c>
      <c r="C4666" s="91" t="s">
        <v>1229</v>
      </c>
    </row>
    <row r="4667" spans="1:3" ht="15">
      <c r="A4667" s="84" t="s">
        <v>373</v>
      </c>
      <c r="B4667" s="83" t="s">
        <v>3199</v>
      </c>
      <c r="C4667" s="91" t="s">
        <v>1229</v>
      </c>
    </row>
    <row r="4668" spans="1:3" ht="15">
      <c r="A4668" s="84" t="s">
        <v>373</v>
      </c>
      <c r="B4668" s="83" t="s">
        <v>2678</v>
      </c>
      <c r="C4668" s="91" t="s">
        <v>1229</v>
      </c>
    </row>
    <row r="4669" spans="1:3" ht="15">
      <c r="A4669" s="84" t="s">
        <v>373</v>
      </c>
      <c r="B4669" s="83" t="s">
        <v>3250</v>
      </c>
      <c r="C4669" s="91" t="s">
        <v>1228</v>
      </c>
    </row>
    <row r="4670" spans="1:3" ht="15">
      <c r="A4670" s="84" t="s">
        <v>373</v>
      </c>
      <c r="B4670" s="83" t="s">
        <v>2692</v>
      </c>
      <c r="C4670" s="91" t="s">
        <v>1228</v>
      </c>
    </row>
    <row r="4671" spans="1:3" ht="15">
      <c r="A4671" s="84" t="s">
        <v>373</v>
      </c>
      <c r="B4671" s="83" t="s">
        <v>2712</v>
      </c>
      <c r="C4671" s="91" t="s">
        <v>1228</v>
      </c>
    </row>
    <row r="4672" spans="1:3" ht="15">
      <c r="A4672" s="84" t="s">
        <v>373</v>
      </c>
      <c r="B4672" s="83" t="s">
        <v>2578</v>
      </c>
      <c r="C4672" s="91" t="s">
        <v>1228</v>
      </c>
    </row>
    <row r="4673" spans="1:3" ht="15">
      <c r="A4673" s="84" t="s">
        <v>373</v>
      </c>
      <c r="B4673" s="83" t="s">
        <v>2637</v>
      </c>
      <c r="C4673" s="91" t="s">
        <v>1228</v>
      </c>
    </row>
    <row r="4674" spans="1:3" ht="15">
      <c r="A4674" s="84" t="s">
        <v>373</v>
      </c>
      <c r="B4674" s="83" t="s">
        <v>3203</v>
      </c>
      <c r="C4674" s="91" t="s">
        <v>1228</v>
      </c>
    </row>
    <row r="4675" spans="1:3" ht="15">
      <c r="A4675" s="84" t="s">
        <v>373</v>
      </c>
      <c r="B4675" s="91" t="s">
        <v>3287</v>
      </c>
      <c r="C4675" s="91" t="s">
        <v>1228</v>
      </c>
    </row>
    <row r="4676" spans="1:3" ht="15">
      <c r="A4676" s="84" t="s">
        <v>373</v>
      </c>
      <c r="B4676" s="83" t="s">
        <v>3288</v>
      </c>
      <c r="C4676" s="91" t="s">
        <v>1228</v>
      </c>
    </row>
    <row r="4677" spans="1:3" ht="15">
      <c r="A4677" s="84" t="s">
        <v>373</v>
      </c>
      <c r="B4677" s="83" t="s">
        <v>3289</v>
      </c>
      <c r="C4677" s="91" t="s">
        <v>1228</v>
      </c>
    </row>
    <row r="4678" spans="1:3" ht="15">
      <c r="A4678" s="84" t="s">
        <v>373</v>
      </c>
      <c r="B4678" s="83" t="s">
        <v>2632</v>
      </c>
      <c r="C4678" s="91" t="s">
        <v>1228</v>
      </c>
    </row>
    <row r="4679" spans="1:3" ht="15">
      <c r="A4679" s="84" t="s">
        <v>373</v>
      </c>
      <c r="B4679" s="83" t="s">
        <v>435</v>
      </c>
      <c r="C4679" s="91" t="s">
        <v>1228</v>
      </c>
    </row>
    <row r="4680" spans="1:3" ht="15">
      <c r="A4680" s="84" t="s">
        <v>373</v>
      </c>
      <c r="B4680" s="83" t="s">
        <v>3290</v>
      </c>
      <c r="C4680" s="91" t="s">
        <v>1228</v>
      </c>
    </row>
    <row r="4681" spans="1:3" ht="15">
      <c r="A4681" s="84" t="s">
        <v>373</v>
      </c>
      <c r="B4681" s="83" t="s">
        <v>3213</v>
      </c>
      <c r="C4681" s="91" t="s">
        <v>1228</v>
      </c>
    </row>
    <row r="4682" spans="1:3" ht="15">
      <c r="A4682" s="84" t="s">
        <v>373</v>
      </c>
      <c r="B4682" s="83" t="s">
        <v>3291</v>
      </c>
      <c r="C4682" s="91" t="s">
        <v>1228</v>
      </c>
    </row>
    <row r="4683" spans="1:3" ht="15">
      <c r="A4683" s="84" t="s">
        <v>373</v>
      </c>
      <c r="B4683" s="83" t="s">
        <v>3292</v>
      </c>
      <c r="C4683" s="91" t="s">
        <v>1228</v>
      </c>
    </row>
    <row r="4684" spans="1:3" ht="15">
      <c r="A4684" s="84" t="s">
        <v>373</v>
      </c>
      <c r="B4684" s="83" t="s">
        <v>3293</v>
      </c>
      <c r="C4684" s="91" t="s">
        <v>1228</v>
      </c>
    </row>
    <row r="4685" spans="1:3" ht="15">
      <c r="A4685" s="84" t="s">
        <v>373</v>
      </c>
      <c r="B4685" s="83" t="s">
        <v>3294</v>
      </c>
      <c r="C4685" s="91" t="s">
        <v>1228</v>
      </c>
    </row>
    <row r="4686" spans="1:3" ht="15">
      <c r="A4686" s="84" t="s">
        <v>373</v>
      </c>
      <c r="B4686" s="83" t="s">
        <v>3295</v>
      </c>
      <c r="C4686" s="91" t="s">
        <v>1228</v>
      </c>
    </row>
    <row r="4687" spans="1:3" ht="15">
      <c r="A4687" s="84" t="s">
        <v>373</v>
      </c>
      <c r="B4687" s="83" t="s">
        <v>3237</v>
      </c>
      <c r="C4687" s="91" t="s">
        <v>1228</v>
      </c>
    </row>
    <row r="4688" spans="1:3" ht="15">
      <c r="A4688" s="84" t="s">
        <v>373</v>
      </c>
      <c r="B4688" s="83" t="s">
        <v>3296</v>
      </c>
      <c r="C4688" s="91" t="s">
        <v>1228</v>
      </c>
    </row>
    <row r="4689" spans="1:3" ht="15">
      <c r="A4689" s="84" t="s">
        <v>373</v>
      </c>
      <c r="B4689" s="83" t="s">
        <v>3297</v>
      </c>
      <c r="C4689" s="91" t="s">
        <v>1228</v>
      </c>
    </row>
    <row r="4690" spans="1:3" ht="15">
      <c r="A4690" s="84" t="s">
        <v>373</v>
      </c>
      <c r="B4690" s="83" t="s">
        <v>3218</v>
      </c>
      <c r="C4690" s="91" t="s">
        <v>1228</v>
      </c>
    </row>
    <row r="4691" spans="1:3" ht="15">
      <c r="A4691" s="84" t="s">
        <v>373</v>
      </c>
      <c r="B4691" s="83" t="s">
        <v>3298</v>
      </c>
      <c r="C4691" s="91" t="s">
        <v>1228</v>
      </c>
    </row>
    <row r="4692" spans="1:3" ht="15">
      <c r="A4692" s="84" t="s">
        <v>373</v>
      </c>
      <c r="B4692" s="83" t="s">
        <v>3299</v>
      </c>
      <c r="C4692" s="91" t="s">
        <v>1228</v>
      </c>
    </row>
    <row r="4693" spans="1:3" ht="15">
      <c r="A4693" s="84" t="s">
        <v>373</v>
      </c>
      <c r="B4693" s="83" t="s">
        <v>2179</v>
      </c>
      <c r="C4693" s="91" t="s">
        <v>1228</v>
      </c>
    </row>
    <row r="4694" spans="1:3" ht="15">
      <c r="A4694" s="84" t="s">
        <v>373</v>
      </c>
      <c r="B4694" s="83" t="s">
        <v>3300</v>
      </c>
      <c r="C4694" s="91" t="s">
        <v>1228</v>
      </c>
    </row>
    <row r="4695" spans="1:3" ht="15">
      <c r="A4695" s="84" t="s">
        <v>373</v>
      </c>
      <c r="B4695" s="83" t="s">
        <v>3301</v>
      </c>
      <c r="C4695" s="91" t="s">
        <v>1228</v>
      </c>
    </row>
    <row r="4696" spans="1:3" ht="15">
      <c r="A4696" s="84" t="s">
        <v>373</v>
      </c>
      <c r="B4696" s="83" t="s">
        <v>3199</v>
      </c>
      <c r="C4696" s="91" t="s">
        <v>1228</v>
      </c>
    </row>
    <row r="4697" spans="1:3" ht="15">
      <c r="A4697" s="84" t="s">
        <v>373</v>
      </c>
      <c r="B4697" s="83" t="s">
        <v>3214</v>
      </c>
      <c r="C4697" s="91" t="s">
        <v>1228</v>
      </c>
    </row>
    <row r="4698" spans="1:3" ht="15">
      <c r="A4698" s="84" t="s">
        <v>373</v>
      </c>
      <c r="B4698" s="83" t="s">
        <v>3302</v>
      </c>
      <c r="C4698" s="91" t="s">
        <v>1228</v>
      </c>
    </row>
    <row r="4699" spans="1:3" ht="15">
      <c r="A4699" s="84" t="s">
        <v>373</v>
      </c>
      <c r="B4699" s="83" t="s">
        <v>3303</v>
      </c>
      <c r="C4699" s="91" t="s">
        <v>1228</v>
      </c>
    </row>
    <row r="4700" spans="1:3" ht="15">
      <c r="A4700" s="84" t="s">
        <v>373</v>
      </c>
      <c r="B4700" s="83" t="s">
        <v>3340</v>
      </c>
      <c r="C4700" s="91" t="s">
        <v>1227</v>
      </c>
    </row>
    <row r="4701" spans="1:3" ht="15">
      <c r="A4701" s="84" t="s">
        <v>373</v>
      </c>
      <c r="B4701" s="83" t="s">
        <v>3213</v>
      </c>
      <c r="C4701" s="91" t="s">
        <v>1227</v>
      </c>
    </row>
    <row r="4702" spans="1:3" ht="15">
      <c r="A4702" s="84" t="s">
        <v>373</v>
      </c>
      <c r="B4702" s="83" t="s">
        <v>3341</v>
      </c>
      <c r="C4702" s="91" t="s">
        <v>1227</v>
      </c>
    </row>
    <row r="4703" spans="1:3" ht="15">
      <c r="A4703" s="84" t="s">
        <v>373</v>
      </c>
      <c r="B4703" s="83" t="s">
        <v>3342</v>
      </c>
      <c r="C4703" s="91" t="s">
        <v>1227</v>
      </c>
    </row>
    <row r="4704" spans="1:3" ht="15">
      <c r="A4704" s="84" t="s">
        <v>373</v>
      </c>
      <c r="B4704" s="83" t="s">
        <v>3343</v>
      </c>
      <c r="C4704" s="91" t="s">
        <v>1227</v>
      </c>
    </row>
    <row r="4705" spans="1:3" ht="15">
      <c r="A4705" s="84" t="s">
        <v>373</v>
      </c>
      <c r="B4705" s="83" t="s">
        <v>3344</v>
      </c>
      <c r="C4705" s="91" t="s">
        <v>1227</v>
      </c>
    </row>
    <row r="4706" spans="1:3" ht="15">
      <c r="A4706" s="84" t="s">
        <v>373</v>
      </c>
      <c r="B4706" s="83" t="s">
        <v>3345</v>
      </c>
      <c r="C4706" s="91" t="s">
        <v>1227</v>
      </c>
    </row>
    <row r="4707" spans="1:3" ht="15">
      <c r="A4707" s="84" t="s">
        <v>373</v>
      </c>
      <c r="B4707" s="83" t="s">
        <v>3290</v>
      </c>
      <c r="C4707" s="91" t="s">
        <v>1227</v>
      </c>
    </row>
    <row r="4708" spans="1:3" ht="15">
      <c r="A4708" s="84" t="s">
        <v>373</v>
      </c>
      <c r="B4708" s="83" t="s">
        <v>2179</v>
      </c>
      <c r="C4708" s="91" t="s">
        <v>1227</v>
      </c>
    </row>
    <row r="4709" spans="1:3" ht="15">
      <c r="A4709" s="84" t="s">
        <v>373</v>
      </c>
      <c r="B4709" s="83" t="s">
        <v>3300</v>
      </c>
      <c r="C4709" s="91" t="s">
        <v>1227</v>
      </c>
    </row>
    <row r="4710" spans="1:3" ht="15">
      <c r="A4710" s="84" t="s">
        <v>373</v>
      </c>
      <c r="B4710" s="83" t="s">
        <v>3301</v>
      </c>
      <c r="C4710" s="91" t="s">
        <v>1227</v>
      </c>
    </row>
    <row r="4711" spans="1:3" ht="15">
      <c r="A4711" s="84" t="s">
        <v>373</v>
      </c>
      <c r="B4711" s="83" t="s">
        <v>3302</v>
      </c>
      <c r="C4711" s="91" t="s">
        <v>1227</v>
      </c>
    </row>
    <row r="4712" spans="1:3" ht="15">
      <c r="A4712" s="84" t="s">
        <v>373</v>
      </c>
      <c r="B4712" s="83" t="s">
        <v>3303</v>
      </c>
      <c r="C4712" s="91" t="s">
        <v>1227</v>
      </c>
    </row>
    <row r="4713" spans="1:3" ht="15">
      <c r="A4713" s="84" t="s">
        <v>373</v>
      </c>
      <c r="B4713" s="83" t="s">
        <v>3291</v>
      </c>
      <c r="C4713" s="91" t="s">
        <v>1227</v>
      </c>
    </row>
    <row r="4714" spans="1:3" ht="15">
      <c r="A4714" s="84" t="s">
        <v>373</v>
      </c>
      <c r="B4714" s="83" t="s">
        <v>3292</v>
      </c>
      <c r="C4714" s="91" t="s">
        <v>1227</v>
      </c>
    </row>
    <row r="4715" spans="1:3" ht="15">
      <c r="A4715" s="84" t="s">
        <v>373</v>
      </c>
      <c r="B4715" s="83" t="s">
        <v>3293</v>
      </c>
      <c r="C4715" s="91" t="s">
        <v>1227</v>
      </c>
    </row>
    <row r="4716" spans="1:3" ht="15">
      <c r="A4716" s="84" t="s">
        <v>373</v>
      </c>
      <c r="B4716" s="83" t="s">
        <v>3294</v>
      </c>
      <c r="C4716" s="91" t="s">
        <v>1227</v>
      </c>
    </row>
    <row r="4717" spans="1:3" ht="15">
      <c r="A4717" s="84" t="s">
        <v>373</v>
      </c>
      <c r="B4717" s="83" t="s">
        <v>3295</v>
      </c>
      <c r="C4717" s="91" t="s">
        <v>1227</v>
      </c>
    </row>
    <row r="4718" spans="1:3" ht="15">
      <c r="A4718" s="84" t="s">
        <v>373</v>
      </c>
      <c r="B4718" s="83" t="s">
        <v>3237</v>
      </c>
      <c r="C4718" s="91" t="s">
        <v>1227</v>
      </c>
    </row>
    <row r="4719" spans="1:3" ht="15">
      <c r="A4719" s="84" t="s">
        <v>373</v>
      </c>
      <c r="B4719" s="83" t="s">
        <v>3296</v>
      </c>
      <c r="C4719" s="91" t="s">
        <v>1227</v>
      </c>
    </row>
    <row r="4720" spans="1:3" ht="15">
      <c r="A4720" s="84" t="s">
        <v>373</v>
      </c>
      <c r="B4720" s="83" t="s">
        <v>3297</v>
      </c>
      <c r="C4720" s="91" t="s">
        <v>1227</v>
      </c>
    </row>
    <row r="4721" spans="1:3" ht="15">
      <c r="A4721" s="84" t="s">
        <v>373</v>
      </c>
      <c r="B4721" s="83" t="s">
        <v>3218</v>
      </c>
      <c r="C4721" s="91" t="s">
        <v>1227</v>
      </c>
    </row>
    <row r="4722" spans="1:3" ht="15">
      <c r="A4722" s="84" t="s">
        <v>373</v>
      </c>
      <c r="B4722" s="83" t="s">
        <v>3346</v>
      </c>
      <c r="C4722" s="91" t="s">
        <v>1227</v>
      </c>
    </row>
    <row r="4723" spans="1:3" ht="15">
      <c r="A4723" s="84" t="s">
        <v>373</v>
      </c>
      <c r="B4723" s="83" t="s">
        <v>3298</v>
      </c>
      <c r="C4723" s="91" t="s">
        <v>1227</v>
      </c>
    </row>
    <row r="4724" spans="1:3" ht="15">
      <c r="A4724" s="84" t="s">
        <v>373</v>
      </c>
      <c r="B4724" s="83" t="s">
        <v>3299</v>
      </c>
      <c r="C4724" s="91" t="s">
        <v>1227</v>
      </c>
    </row>
    <row r="4725" spans="1:3" ht="15">
      <c r="A4725" s="84" t="s">
        <v>373</v>
      </c>
      <c r="B4725" s="83" t="s">
        <v>3199</v>
      </c>
      <c r="C4725" s="91" t="s">
        <v>1227</v>
      </c>
    </row>
    <row r="4726" spans="1:3" ht="15">
      <c r="A4726" s="84" t="s">
        <v>373</v>
      </c>
      <c r="B4726" s="83" t="s">
        <v>3347</v>
      </c>
      <c r="C4726" s="91" t="s">
        <v>1227</v>
      </c>
    </row>
    <row r="4727" spans="1:3" ht="15">
      <c r="A4727" s="84" t="s">
        <v>373</v>
      </c>
      <c r="B4727" s="83" t="s">
        <v>3396</v>
      </c>
      <c r="C4727" s="91" t="s">
        <v>1226</v>
      </c>
    </row>
    <row r="4728" spans="1:3" ht="15">
      <c r="A4728" s="84" t="s">
        <v>373</v>
      </c>
      <c r="B4728" s="83">
        <v>5</v>
      </c>
      <c r="C4728" s="91" t="s">
        <v>1226</v>
      </c>
    </row>
    <row r="4729" spans="1:3" ht="15">
      <c r="A4729" s="84" t="s">
        <v>373</v>
      </c>
      <c r="B4729" s="83" t="s">
        <v>3397</v>
      </c>
      <c r="C4729" s="91" t="s">
        <v>1226</v>
      </c>
    </row>
    <row r="4730" spans="1:3" ht="15">
      <c r="A4730" s="84" t="s">
        <v>373</v>
      </c>
      <c r="B4730" s="83" t="s">
        <v>3398</v>
      </c>
      <c r="C4730" s="91" t="s">
        <v>1226</v>
      </c>
    </row>
    <row r="4731" spans="1:3" ht="15">
      <c r="A4731" s="84" t="s">
        <v>373</v>
      </c>
      <c r="B4731" s="83" t="s">
        <v>2796</v>
      </c>
      <c r="C4731" s="91" t="s">
        <v>1226</v>
      </c>
    </row>
    <row r="4732" spans="1:3" ht="15">
      <c r="A4732" s="84" t="s">
        <v>373</v>
      </c>
      <c r="B4732" s="83" t="s">
        <v>3203</v>
      </c>
      <c r="C4732" s="91" t="s">
        <v>1226</v>
      </c>
    </row>
    <row r="4733" spans="1:3" ht="15">
      <c r="A4733" s="84" t="s">
        <v>373</v>
      </c>
      <c r="B4733" s="83">
        <v>19</v>
      </c>
      <c r="C4733" s="91" t="s">
        <v>1226</v>
      </c>
    </row>
    <row r="4734" spans="1:3" ht="15">
      <c r="A4734" s="84" t="s">
        <v>373</v>
      </c>
      <c r="B4734" s="83" t="s">
        <v>2873</v>
      </c>
      <c r="C4734" s="91" t="s">
        <v>1226</v>
      </c>
    </row>
    <row r="4735" spans="1:3" ht="15">
      <c r="A4735" s="84" t="s">
        <v>373</v>
      </c>
      <c r="B4735" s="83" t="s">
        <v>3382</v>
      </c>
      <c r="C4735" s="91" t="s">
        <v>1226</v>
      </c>
    </row>
    <row r="4736" spans="1:3" ht="15">
      <c r="A4736" s="84" t="s">
        <v>373</v>
      </c>
      <c r="B4736" s="83" t="s">
        <v>3399</v>
      </c>
      <c r="C4736" s="91" t="s">
        <v>1226</v>
      </c>
    </row>
    <row r="4737" spans="1:3" ht="15">
      <c r="A4737" s="84" t="s">
        <v>373</v>
      </c>
      <c r="B4737" s="83" t="s">
        <v>3386</v>
      </c>
      <c r="C4737" s="91" t="s">
        <v>1226</v>
      </c>
    </row>
    <row r="4738" spans="1:3" ht="15">
      <c r="A4738" s="84" t="s">
        <v>373</v>
      </c>
      <c r="B4738" s="83" t="s">
        <v>3400</v>
      </c>
      <c r="C4738" s="91" t="s">
        <v>1226</v>
      </c>
    </row>
    <row r="4739" spans="1:3" ht="15">
      <c r="A4739" s="84" t="s">
        <v>373</v>
      </c>
      <c r="B4739" s="83" t="s">
        <v>3354</v>
      </c>
      <c r="C4739" s="91" t="s">
        <v>1226</v>
      </c>
    </row>
    <row r="4740" spans="1:3" ht="15">
      <c r="A4740" s="84" t="s">
        <v>373</v>
      </c>
      <c r="B4740" s="83" t="s">
        <v>3313</v>
      </c>
      <c r="C4740" s="91" t="s">
        <v>1226</v>
      </c>
    </row>
    <row r="4741" spans="1:3" ht="15">
      <c r="A4741" s="84" t="s">
        <v>373</v>
      </c>
      <c r="B4741" s="83" t="s">
        <v>2766</v>
      </c>
      <c r="C4741" s="91" t="s">
        <v>1226</v>
      </c>
    </row>
    <row r="4742" spans="1:3" ht="15">
      <c r="A4742" s="84" t="s">
        <v>373</v>
      </c>
      <c r="B4742" s="83" t="s">
        <v>3119</v>
      </c>
      <c r="C4742" s="91" t="s">
        <v>1226</v>
      </c>
    </row>
    <row r="4743" spans="1:3" ht="15">
      <c r="A4743" s="84" t="s">
        <v>373</v>
      </c>
      <c r="B4743" s="83" t="s">
        <v>586</v>
      </c>
      <c r="C4743" s="91" t="s">
        <v>1226</v>
      </c>
    </row>
    <row r="4744" spans="1:3" ht="15">
      <c r="A4744" s="84" t="s">
        <v>373</v>
      </c>
      <c r="B4744" s="83" t="s">
        <v>2972</v>
      </c>
      <c r="C4744" s="91" t="s">
        <v>1226</v>
      </c>
    </row>
    <row r="4745" spans="1:3" ht="15">
      <c r="A4745" s="84" t="s">
        <v>373</v>
      </c>
      <c r="B4745" s="83" t="s">
        <v>3401</v>
      </c>
      <c r="C4745" s="91" t="s">
        <v>1226</v>
      </c>
    </row>
    <row r="4746" spans="1:3" ht="15">
      <c r="A4746" s="84" t="s">
        <v>373</v>
      </c>
      <c r="B4746" s="83" t="s">
        <v>3336</v>
      </c>
      <c r="C4746" s="91" t="s">
        <v>1226</v>
      </c>
    </row>
    <row r="4747" spans="1:3" ht="15">
      <c r="A4747" s="84" t="s">
        <v>373</v>
      </c>
      <c r="B4747" s="83" t="s">
        <v>3402</v>
      </c>
      <c r="C4747" s="91" t="s">
        <v>1226</v>
      </c>
    </row>
    <row r="4748" spans="1:3" ht="15">
      <c r="A4748" s="84" t="s">
        <v>373</v>
      </c>
      <c r="B4748" s="83" t="s">
        <v>2678</v>
      </c>
      <c r="C4748" s="91" t="s">
        <v>1226</v>
      </c>
    </row>
    <row r="4749" spans="1:3" ht="15">
      <c r="A4749" s="84" t="s">
        <v>373</v>
      </c>
      <c r="B4749" s="83" t="s">
        <v>2917</v>
      </c>
      <c r="C4749" s="91" t="s">
        <v>1226</v>
      </c>
    </row>
    <row r="4750" spans="1:3" ht="15">
      <c r="A4750" s="84" t="s">
        <v>373</v>
      </c>
      <c r="B4750" s="83" t="s">
        <v>3403</v>
      </c>
      <c r="C4750" s="91" t="s">
        <v>1226</v>
      </c>
    </row>
    <row r="4751" spans="1:3" ht="15">
      <c r="A4751" s="84" t="s">
        <v>373</v>
      </c>
      <c r="B4751" s="83" t="s">
        <v>3404</v>
      </c>
      <c r="C4751" s="91" t="s">
        <v>1226</v>
      </c>
    </row>
    <row r="4752" spans="1:3" ht="15">
      <c r="A4752" s="84" t="s">
        <v>373</v>
      </c>
      <c r="B4752" s="83" t="s">
        <v>3405</v>
      </c>
      <c r="C4752" s="91" t="s">
        <v>1226</v>
      </c>
    </row>
    <row r="4753" spans="1:3" ht="15">
      <c r="A4753" s="84" t="s">
        <v>373</v>
      </c>
      <c r="B4753" s="83" t="s">
        <v>3406</v>
      </c>
      <c r="C4753" s="91" t="s">
        <v>1226</v>
      </c>
    </row>
    <row r="4754" spans="1:3" ht="15">
      <c r="A4754" s="84" t="s">
        <v>373</v>
      </c>
      <c r="B4754" s="83" t="s">
        <v>3407</v>
      </c>
      <c r="C4754" s="91" t="s">
        <v>1226</v>
      </c>
    </row>
    <row r="4755" spans="1:3" ht="15">
      <c r="A4755" s="84" t="s">
        <v>373</v>
      </c>
      <c r="B4755" s="83" t="s">
        <v>2569</v>
      </c>
      <c r="C4755" s="91" t="s">
        <v>1226</v>
      </c>
    </row>
    <row r="4756" spans="1:3" ht="15">
      <c r="A4756" s="84" t="s">
        <v>373</v>
      </c>
      <c r="B4756" s="83" t="s">
        <v>3365</v>
      </c>
      <c r="C4756" s="91" t="s">
        <v>1226</v>
      </c>
    </row>
    <row r="4757" spans="1:3" ht="15">
      <c r="A4757" s="84" t="s">
        <v>373</v>
      </c>
      <c r="B4757" s="83" t="s">
        <v>3308</v>
      </c>
      <c r="C4757" s="91" t="s">
        <v>1225</v>
      </c>
    </row>
    <row r="4758" spans="1:3" ht="15">
      <c r="A4758" s="84" t="s">
        <v>373</v>
      </c>
      <c r="B4758" s="83" t="s">
        <v>2568</v>
      </c>
      <c r="C4758" s="91" t="s">
        <v>1225</v>
      </c>
    </row>
    <row r="4759" spans="1:3" ht="15">
      <c r="A4759" s="84" t="s">
        <v>373</v>
      </c>
      <c r="B4759" s="83" t="s">
        <v>3203</v>
      </c>
      <c r="C4759" s="91" t="s">
        <v>1225</v>
      </c>
    </row>
    <row r="4760" spans="1:3" ht="15">
      <c r="A4760" s="84" t="s">
        <v>373</v>
      </c>
      <c r="B4760" s="83">
        <v>19</v>
      </c>
      <c r="C4760" s="91" t="s">
        <v>1225</v>
      </c>
    </row>
    <row r="4761" spans="1:3" ht="15">
      <c r="A4761" s="84" t="s">
        <v>373</v>
      </c>
      <c r="B4761" s="83" t="s">
        <v>3309</v>
      </c>
      <c r="C4761" s="91" t="s">
        <v>1225</v>
      </c>
    </row>
    <row r="4762" spans="1:3" ht="15">
      <c r="A4762" s="84" t="s">
        <v>373</v>
      </c>
      <c r="B4762" s="83" t="s">
        <v>2666</v>
      </c>
      <c r="C4762" s="91" t="s">
        <v>1225</v>
      </c>
    </row>
    <row r="4763" spans="1:3" ht="15">
      <c r="A4763" s="84" t="s">
        <v>373</v>
      </c>
      <c r="B4763" s="83" t="s">
        <v>2630</v>
      </c>
      <c r="C4763" s="91" t="s">
        <v>1225</v>
      </c>
    </row>
    <row r="4764" spans="1:3" ht="15">
      <c r="A4764" s="84" t="s">
        <v>373</v>
      </c>
      <c r="B4764" s="83" t="s">
        <v>2676</v>
      </c>
      <c r="C4764" s="91" t="s">
        <v>1225</v>
      </c>
    </row>
    <row r="4765" spans="1:3" ht="15">
      <c r="A4765" s="84" t="s">
        <v>373</v>
      </c>
      <c r="B4765" s="83" t="s">
        <v>2580</v>
      </c>
      <c r="C4765" s="91" t="s">
        <v>1225</v>
      </c>
    </row>
    <row r="4766" spans="1:3" ht="15">
      <c r="A4766" s="84" t="s">
        <v>373</v>
      </c>
      <c r="B4766" s="83" t="s">
        <v>2677</v>
      </c>
      <c r="C4766" s="91" t="s">
        <v>1225</v>
      </c>
    </row>
    <row r="4767" spans="1:3" ht="15">
      <c r="A4767" s="84" t="s">
        <v>373</v>
      </c>
      <c r="B4767" s="83" t="s">
        <v>3310</v>
      </c>
      <c r="C4767" s="91" t="s">
        <v>1225</v>
      </c>
    </row>
    <row r="4768" spans="1:3" ht="15">
      <c r="A4768" s="84" t="s">
        <v>373</v>
      </c>
      <c r="B4768" s="83" t="s">
        <v>3282</v>
      </c>
      <c r="C4768" s="91" t="s">
        <v>1225</v>
      </c>
    </row>
    <row r="4769" spans="1:3" ht="15">
      <c r="A4769" s="84" t="s">
        <v>373</v>
      </c>
      <c r="B4769" s="83" t="s">
        <v>3311</v>
      </c>
      <c r="C4769" s="91" t="s">
        <v>1225</v>
      </c>
    </row>
    <row r="4770" spans="1:3" ht="15">
      <c r="A4770" s="84" t="s">
        <v>373</v>
      </c>
      <c r="B4770" s="83" t="s">
        <v>2577</v>
      </c>
      <c r="C4770" s="91" t="s">
        <v>1225</v>
      </c>
    </row>
    <row r="4771" spans="1:3" ht="15">
      <c r="A4771" s="84" t="s">
        <v>373</v>
      </c>
      <c r="B4771" s="83" t="s">
        <v>2658</v>
      </c>
      <c r="C4771" s="91" t="s">
        <v>1225</v>
      </c>
    </row>
    <row r="4772" spans="1:3" ht="15">
      <c r="A4772" s="84" t="s">
        <v>373</v>
      </c>
      <c r="B4772" s="83" t="s">
        <v>2653</v>
      </c>
      <c r="C4772" s="91" t="s">
        <v>1225</v>
      </c>
    </row>
    <row r="4773" spans="1:3" ht="15">
      <c r="A4773" s="84" t="s">
        <v>373</v>
      </c>
      <c r="B4773" s="83" t="s">
        <v>2667</v>
      </c>
      <c r="C4773" s="91" t="s">
        <v>1225</v>
      </c>
    </row>
    <row r="4774" spans="1:3" ht="15">
      <c r="A4774" s="84" t="s">
        <v>373</v>
      </c>
      <c r="B4774" s="83" t="s">
        <v>2578</v>
      </c>
      <c r="C4774" s="91" t="s">
        <v>1225</v>
      </c>
    </row>
    <row r="4775" spans="1:3" ht="15">
      <c r="A4775" s="84" t="s">
        <v>373</v>
      </c>
      <c r="B4775" s="83" t="s">
        <v>2678</v>
      </c>
      <c r="C4775" s="91" t="s">
        <v>1225</v>
      </c>
    </row>
    <row r="4776" spans="1:3" ht="15">
      <c r="A4776" s="84" t="s">
        <v>373</v>
      </c>
      <c r="B4776" s="83" t="s">
        <v>3312</v>
      </c>
      <c r="C4776" s="91" t="s">
        <v>1225</v>
      </c>
    </row>
    <row r="4777" spans="1:3" ht="15">
      <c r="A4777" s="84" t="s">
        <v>373</v>
      </c>
      <c r="B4777" s="83" t="s">
        <v>3290</v>
      </c>
      <c r="C4777" s="91" t="s">
        <v>1225</v>
      </c>
    </row>
    <row r="4778" spans="1:3" ht="15">
      <c r="A4778" s="84" t="s">
        <v>373</v>
      </c>
      <c r="B4778" s="83" t="s">
        <v>3313</v>
      </c>
      <c r="C4778" s="91" t="s">
        <v>1225</v>
      </c>
    </row>
    <row r="4779" spans="1:3" ht="15">
      <c r="A4779" s="84" t="s">
        <v>373</v>
      </c>
      <c r="B4779" s="83" t="s">
        <v>3314</v>
      </c>
      <c r="C4779" s="91" t="s">
        <v>1225</v>
      </c>
    </row>
    <row r="4780" spans="1:3" ht="15">
      <c r="A4780" s="84" t="s">
        <v>373</v>
      </c>
      <c r="B4780" s="83" t="s">
        <v>3315</v>
      </c>
      <c r="C4780" s="91" t="s">
        <v>1225</v>
      </c>
    </row>
    <row r="4781" spans="1:3" ht="15">
      <c r="A4781" s="84" t="s">
        <v>373</v>
      </c>
      <c r="B4781" s="83" t="s">
        <v>586</v>
      </c>
      <c r="C4781" s="91" t="s">
        <v>1225</v>
      </c>
    </row>
    <row r="4782" spans="1:3" ht="15">
      <c r="A4782" s="84" t="s">
        <v>373</v>
      </c>
      <c r="B4782" s="83" t="s">
        <v>3258</v>
      </c>
      <c r="C4782" s="91" t="s">
        <v>1225</v>
      </c>
    </row>
    <row r="4783" spans="1:3" ht="15">
      <c r="A4783" s="84" t="s">
        <v>373</v>
      </c>
      <c r="B4783" s="83" t="s">
        <v>2971</v>
      </c>
      <c r="C4783" s="91" t="s">
        <v>1224</v>
      </c>
    </row>
    <row r="4784" spans="1:3" ht="15">
      <c r="A4784" s="84" t="s">
        <v>373</v>
      </c>
      <c r="B4784" s="83" t="s">
        <v>3498</v>
      </c>
      <c r="C4784" s="91" t="s">
        <v>1224</v>
      </c>
    </row>
    <row r="4785" spans="1:3" ht="15">
      <c r="A4785" s="84" t="s">
        <v>373</v>
      </c>
      <c r="B4785" s="83" t="s">
        <v>2973</v>
      </c>
      <c r="C4785" s="91" t="s">
        <v>1224</v>
      </c>
    </row>
    <row r="4786" spans="1:3" ht="15">
      <c r="A4786" s="84" t="s">
        <v>373</v>
      </c>
      <c r="B4786" s="83" t="s">
        <v>3336</v>
      </c>
      <c r="C4786" s="91" t="s">
        <v>1224</v>
      </c>
    </row>
    <row r="4787" spans="1:3" ht="15">
      <c r="A4787" s="84" t="s">
        <v>373</v>
      </c>
      <c r="B4787" s="83" t="s">
        <v>586</v>
      </c>
      <c r="C4787" s="91" t="s">
        <v>1224</v>
      </c>
    </row>
    <row r="4788" spans="1:3" ht="15">
      <c r="A4788" s="84" t="s">
        <v>373</v>
      </c>
      <c r="B4788" s="83" t="s">
        <v>3258</v>
      </c>
      <c r="C4788" s="91" t="s">
        <v>1224</v>
      </c>
    </row>
    <row r="4789" spans="1:3" ht="15">
      <c r="A4789" s="84" t="s">
        <v>373</v>
      </c>
      <c r="B4789" s="83" t="s">
        <v>2678</v>
      </c>
      <c r="C4789" s="91" t="s">
        <v>1224</v>
      </c>
    </row>
    <row r="4790" spans="1:3" ht="15">
      <c r="A4790" s="84" t="s">
        <v>373</v>
      </c>
      <c r="B4790" s="83" t="s">
        <v>3119</v>
      </c>
      <c r="C4790" s="91" t="s">
        <v>1224</v>
      </c>
    </row>
    <row r="4791" spans="1:3" ht="15">
      <c r="A4791" s="84" t="s">
        <v>373</v>
      </c>
      <c r="B4791" s="83" t="s">
        <v>2917</v>
      </c>
      <c r="C4791" s="91" t="s">
        <v>1224</v>
      </c>
    </row>
    <row r="4792" spans="1:3" ht="15">
      <c r="A4792" s="84" t="s">
        <v>373</v>
      </c>
      <c r="B4792" s="83" t="s">
        <v>3499</v>
      </c>
      <c r="C4792" s="91" t="s">
        <v>1224</v>
      </c>
    </row>
    <row r="4793" spans="1:3" ht="15">
      <c r="A4793" s="84" t="s">
        <v>373</v>
      </c>
      <c r="B4793" s="83" t="s">
        <v>3500</v>
      </c>
      <c r="C4793" s="91" t="s">
        <v>1224</v>
      </c>
    </row>
    <row r="4794" spans="1:3" ht="15">
      <c r="A4794" s="84" t="s">
        <v>373</v>
      </c>
      <c r="B4794" s="83" t="s">
        <v>2972</v>
      </c>
      <c r="C4794" s="91" t="s">
        <v>1224</v>
      </c>
    </row>
    <row r="4795" spans="1:3" ht="15">
      <c r="A4795" s="84" t="s">
        <v>373</v>
      </c>
      <c r="B4795" s="83" t="s">
        <v>2766</v>
      </c>
      <c r="C4795" s="91" t="s">
        <v>1224</v>
      </c>
    </row>
    <row r="4796" spans="1:3" ht="15">
      <c r="A4796" s="84" t="s">
        <v>373</v>
      </c>
      <c r="B4796" s="83" t="s">
        <v>3501</v>
      </c>
      <c r="C4796" s="91" t="s">
        <v>1224</v>
      </c>
    </row>
    <row r="4797" spans="1:3" ht="15">
      <c r="A4797" s="84" t="s">
        <v>373</v>
      </c>
      <c r="B4797" s="83" t="s">
        <v>3502</v>
      </c>
      <c r="C4797" s="91" t="s">
        <v>1224</v>
      </c>
    </row>
    <row r="4798" spans="1:3" ht="15">
      <c r="A4798" s="84" t="s">
        <v>373</v>
      </c>
      <c r="B4798" s="83" t="s">
        <v>3337</v>
      </c>
      <c r="C4798" s="91" t="s">
        <v>1224</v>
      </c>
    </row>
    <row r="4799" spans="1:3" ht="15">
      <c r="A4799" s="84" t="s">
        <v>373</v>
      </c>
      <c r="B4799" s="83" t="s">
        <v>3116</v>
      </c>
      <c r="C4799" s="91" t="s">
        <v>1224</v>
      </c>
    </row>
    <row r="4800" spans="1:3" ht="15">
      <c r="A4800" s="84" t="s">
        <v>373</v>
      </c>
      <c r="B4800" s="83" t="s">
        <v>3503</v>
      </c>
      <c r="C4800" s="91" t="s">
        <v>1224</v>
      </c>
    </row>
    <row r="4801" spans="1:3" ht="15">
      <c r="A4801" s="84" t="s">
        <v>373</v>
      </c>
      <c r="B4801" s="83" t="s">
        <v>3334</v>
      </c>
      <c r="C4801" s="91" t="s">
        <v>1224</v>
      </c>
    </row>
    <row r="4802" spans="1:3" ht="15">
      <c r="A4802" s="84" t="s">
        <v>373</v>
      </c>
      <c r="B4802" s="83" t="s">
        <v>3504</v>
      </c>
      <c r="C4802" s="91" t="s">
        <v>1224</v>
      </c>
    </row>
    <row r="4803" spans="1:3" ht="15">
      <c r="A4803" s="84" t="s">
        <v>373</v>
      </c>
      <c r="B4803" s="83" t="s">
        <v>2872</v>
      </c>
      <c r="C4803" s="91" t="s">
        <v>1224</v>
      </c>
    </row>
    <row r="4804" spans="1:3" ht="15">
      <c r="A4804" s="84" t="s">
        <v>373</v>
      </c>
      <c r="B4804" s="83" t="s">
        <v>2569</v>
      </c>
      <c r="C4804" s="91" t="s">
        <v>1224</v>
      </c>
    </row>
    <row r="4805" spans="1:3" ht="15">
      <c r="A4805" s="84" t="s">
        <v>373</v>
      </c>
      <c r="B4805" s="83" t="s">
        <v>3255</v>
      </c>
      <c r="C4805" s="91" t="s">
        <v>1224</v>
      </c>
    </row>
    <row r="4806" spans="1:3" ht="15">
      <c r="A4806" s="84" t="s">
        <v>373</v>
      </c>
      <c r="B4806" s="83" t="s">
        <v>2776</v>
      </c>
      <c r="C4806" s="91" t="s">
        <v>1224</v>
      </c>
    </row>
    <row r="4807" spans="1:3" ht="15">
      <c r="A4807" s="84" t="s">
        <v>373</v>
      </c>
      <c r="B4807" s="83" t="s">
        <v>3505</v>
      </c>
      <c r="C4807" s="91" t="s">
        <v>1224</v>
      </c>
    </row>
    <row r="4808" spans="1:3" ht="15">
      <c r="A4808" s="84" t="s">
        <v>373</v>
      </c>
      <c r="B4808" s="83" t="s">
        <v>3506</v>
      </c>
      <c r="C4808" s="91" t="s">
        <v>1224</v>
      </c>
    </row>
    <row r="4809" spans="1:3" ht="15">
      <c r="A4809" s="84" t="s">
        <v>373</v>
      </c>
      <c r="B4809" s="83" t="s">
        <v>3507</v>
      </c>
      <c r="C4809" s="91" t="s">
        <v>1224</v>
      </c>
    </row>
    <row r="4810" spans="1:3" ht="15">
      <c r="A4810" s="84" t="s">
        <v>373</v>
      </c>
      <c r="B4810" s="83" t="s">
        <v>3508</v>
      </c>
      <c r="C4810" s="91" t="s">
        <v>1224</v>
      </c>
    </row>
    <row r="4811" spans="1:3" ht="15">
      <c r="A4811" s="84" t="s">
        <v>373</v>
      </c>
      <c r="B4811" s="83" t="s">
        <v>3509</v>
      </c>
      <c r="C4811" s="91" t="s">
        <v>1224</v>
      </c>
    </row>
    <row r="4812" spans="1:3" ht="15">
      <c r="A4812" s="84" t="s">
        <v>373</v>
      </c>
      <c r="B4812" s="83" t="s">
        <v>3366</v>
      </c>
      <c r="C4812" s="91" t="s">
        <v>1224</v>
      </c>
    </row>
    <row r="4813" spans="1:3" ht="15">
      <c r="A4813" s="84" t="s">
        <v>378</v>
      </c>
      <c r="B4813" s="83" t="s">
        <v>3448</v>
      </c>
      <c r="C4813" s="91" t="s">
        <v>1242</v>
      </c>
    </row>
    <row r="4814" spans="1:3" ht="15">
      <c r="A4814" s="84" t="s">
        <v>378</v>
      </c>
      <c r="B4814" s="83" t="s">
        <v>2795</v>
      </c>
      <c r="C4814" s="91" t="s">
        <v>1242</v>
      </c>
    </row>
    <row r="4815" spans="1:3" ht="15">
      <c r="A4815" s="84" t="s">
        <v>378</v>
      </c>
      <c r="B4815" s="83" t="s">
        <v>2875</v>
      </c>
      <c r="C4815" s="91" t="s">
        <v>1242</v>
      </c>
    </row>
    <row r="4816" spans="1:3" ht="15">
      <c r="A4816" s="84" t="s">
        <v>378</v>
      </c>
      <c r="B4816" s="83" t="s">
        <v>2578</v>
      </c>
      <c r="C4816" s="91" t="s">
        <v>1242</v>
      </c>
    </row>
    <row r="4817" spans="1:3" ht="15">
      <c r="A4817" s="84" t="s">
        <v>378</v>
      </c>
      <c r="B4817" s="83" t="s">
        <v>2914</v>
      </c>
      <c r="C4817" s="91" t="s">
        <v>1242</v>
      </c>
    </row>
    <row r="4818" spans="1:3" ht="15">
      <c r="A4818" s="84" t="s">
        <v>378</v>
      </c>
      <c r="B4818" s="83" t="s">
        <v>2577</v>
      </c>
      <c r="C4818" s="91" t="s">
        <v>1242</v>
      </c>
    </row>
    <row r="4819" spans="1:3" ht="15">
      <c r="A4819" s="84" t="s">
        <v>378</v>
      </c>
      <c r="B4819" s="83" t="s">
        <v>2915</v>
      </c>
      <c r="C4819" s="91" t="s">
        <v>1242</v>
      </c>
    </row>
    <row r="4820" spans="1:3" ht="15">
      <c r="A4820" s="84" t="s">
        <v>378</v>
      </c>
      <c r="B4820" s="83" t="s">
        <v>2568</v>
      </c>
      <c r="C4820" s="91" t="s">
        <v>1242</v>
      </c>
    </row>
    <row r="4821" spans="1:3" ht="15">
      <c r="A4821" s="84" t="s">
        <v>378</v>
      </c>
      <c r="B4821" s="83" t="s">
        <v>2753</v>
      </c>
      <c r="C4821" s="91" t="s">
        <v>1242</v>
      </c>
    </row>
    <row r="4822" spans="1:3" ht="15">
      <c r="A4822" s="84" t="s">
        <v>378</v>
      </c>
      <c r="B4822" s="83" t="s">
        <v>3203</v>
      </c>
      <c r="C4822" s="91" t="s">
        <v>1242</v>
      </c>
    </row>
    <row r="4823" spans="1:3" ht="15">
      <c r="A4823" s="84" t="s">
        <v>378</v>
      </c>
      <c r="B4823" s="83" t="s">
        <v>2591</v>
      </c>
      <c r="C4823" s="91" t="s">
        <v>1242</v>
      </c>
    </row>
    <row r="4824" spans="1:3" ht="15">
      <c r="A4824" s="84" t="s">
        <v>378</v>
      </c>
      <c r="B4824" s="83" t="s">
        <v>2730</v>
      </c>
      <c r="C4824" s="91" t="s">
        <v>1242</v>
      </c>
    </row>
    <row r="4825" spans="1:3" ht="15">
      <c r="A4825" s="84" t="s">
        <v>378</v>
      </c>
      <c r="B4825" s="83" t="s">
        <v>2844</v>
      </c>
      <c r="C4825" s="91" t="s">
        <v>1242</v>
      </c>
    </row>
    <row r="4826" spans="1:3" ht="15">
      <c r="A4826" s="84" t="s">
        <v>378</v>
      </c>
      <c r="B4826" s="83" t="s">
        <v>2916</v>
      </c>
      <c r="C4826" s="91" t="s">
        <v>1242</v>
      </c>
    </row>
    <row r="4827" spans="1:3" ht="15">
      <c r="A4827" s="84" t="s">
        <v>378</v>
      </c>
      <c r="B4827" s="83" t="s">
        <v>2917</v>
      </c>
      <c r="C4827" s="91" t="s">
        <v>1242</v>
      </c>
    </row>
    <row r="4828" spans="1:3" ht="15">
      <c r="A4828" s="84" t="s">
        <v>378</v>
      </c>
      <c r="B4828" s="83" t="s">
        <v>3449</v>
      </c>
      <c r="C4828" s="91" t="s">
        <v>1242</v>
      </c>
    </row>
    <row r="4829" spans="1:3" ht="15">
      <c r="A4829" s="84" t="s">
        <v>378</v>
      </c>
      <c r="B4829" s="83" t="s">
        <v>2748</v>
      </c>
      <c r="C4829" s="91" t="s">
        <v>1242</v>
      </c>
    </row>
    <row r="4830" spans="1:3" ht="15">
      <c r="A4830" s="84" t="s">
        <v>378</v>
      </c>
      <c r="B4830" s="83" t="s">
        <v>2918</v>
      </c>
      <c r="C4830" s="91" t="s">
        <v>1242</v>
      </c>
    </row>
    <row r="4831" spans="1:3" ht="15">
      <c r="A4831" s="84" t="s">
        <v>378</v>
      </c>
      <c r="B4831" s="83" t="s">
        <v>2919</v>
      </c>
      <c r="C4831" s="91" t="s">
        <v>1242</v>
      </c>
    </row>
    <row r="4832" spans="1:3" ht="15">
      <c r="A4832" s="84" t="s">
        <v>378</v>
      </c>
      <c r="B4832" s="83" t="s">
        <v>2845</v>
      </c>
      <c r="C4832" s="91" t="s">
        <v>1242</v>
      </c>
    </row>
    <row r="4833" spans="1:3" ht="15">
      <c r="A4833" s="84" t="s">
        <v>378</v>
      </c>
      <c r="B4833" s="83" t="s">
        <v>2920</v>
      </c>
      <c r="C4833" s="91" t="s">
        <v>1242</v>
      </c>
    </row>
    <row r="4834" spans="1:3" ht="15">
      <c r="A4834" s="84" t="s">
        <v>378</v>
      </c>
      <c r="B4834" s="83" t="s">
        <v>2921</v>
      </c>
      <c r="C4834" s="91" t="s">
        <v>1242</v>
      </c>
    </row>
    <row r="4835" spans="1:3" ht="15">
      <c r="A4835" s="84" t="s">
        <v>378</v>
      </c>
      <c r="B4835" s="83" t="s">
        <v>2719</v>
      </c>
      <c r="C4835" s="91" t="s">
        <v>1242</v>
      </c>
    </row>
    <row r="4836" spans="1:3" ht="15">
      <c r="A4836" s="84" t="s">
        <v>378</v>
      </c>
      <c r="B4836" s="83" t="s">
        <v>2922</v>
      </c>
      <c r="C4836" s="91" t="s">
        <v>1242</v>
      </c>
    </row>
    <row r="4837" spans="1:3" ht="15">
      <c r="A4837" s="84" t="s">
        <v>378</v>
      </c>
      <c r="B4837" s="83" t="s">
        <v>3450</v>
      </c>
      <c r="C4837" s="91" t="s">
        <v>1242</v>
      </c>
    </row>
    <row r="4838" spans="1:3" ht="15">
      <c r="A4838" s="84" t="s">
        <v>378</v>
      </c>
      <c r="B4838" s="83" t="s">
        <v>2923</v>
      </c>
      <c r="C4838" s="91" t="s">
        <v>1242</v>
      </c>
    </row>
    <row r="4839" spans="1:3" ht="15">
      <c r="A4839" s="84" t="s">
        <v>378</v>
      </c>
      <c r="B4839" s="83" t="s">
        <v>2924</v>
      </c>
      <c r="C4839" s="91" t="s">
        <v>1242</v>
      </c>
    </row>
    <row r="4840" spans="1:3" ht="15">
      <c r="A4840" s="84" t="s">
        <v>378</v>
      </c>
      <c r="B4840" s="83" t="s">
        <v>2662</v>
      </c>
      <c r="C4840" s="91" t="s">
        <v>1242</v>
      </c>
    </row>
    <row r="4841" spans="1:3" ht="15">
      <c r="A4841" s="84" t="s">
        <v>378</v>
      </c>
      <c r="B4841" s="83" t="s">
        <v>2925</v>
      </c>
      <c r="C4841" s="91" t="s">
        <v>1242</v>
      </c>
    </row>
    <row r="4842" spans="1:3" ht="15">
      <c r="A4842" s="84" t="s">
        <v>378</v>
      </c>
      <c r="B4842" s="83" t="s">
        <v>3451</v>
      </c>
      <c r="C4842" s="91" t="s">
        <v>1242</v>
      </c>
    </row>
    <row r="4843" spans="1:3" ht="15">
      <c r="A4843" s="84" t="s">
        <v>378</v>
      </c>
      <c r="B4843" s="83" t="s">
        <v>2660</v>
      </c>
      <c r="C4843" s="91" t="s">
        <v>1242</v>
      </c>
    </row>
    <row r="4844" spans="1:3" ht="15">
      <c r="A4844" s="84" t="s">
        <v>378</v>
      </c>
      <c r="B4844" s="83" t="s">
        <v>2926</v>
      </c>
      <c r="C4844" s="91" t="s">
        <v>1242</v>
      </c>
    </row>
    <row r="4845" spans="1:3" ht="15">
      <c r="A4845" s="84" t="s">
        <v>378</v>
      </c>
      <c r="B4845" s="83" t="s">
        <v>2927</v>
      </c>
      <c r="C4845" s="91" t="s">
        <v>1242</v>
      </c>
    </row>
    <row r="4846" spans="1:3" ht="15">
      <c r="A4846" s="84" t="s">
        <v>378</v>
      </c>
      <c r="B4846" s="83" t="s">
        <v>2729</v>
      </c>
      <c r="C4846" s="91" t="s">
        <v>1242</v>
      </c>
    </row>
    <row r="4847" spans="1:3" ht="15">
      <c r="A4847" s="84" t="s">
        <v>378</v>
      </c>
      <c r="B4847" s="83" t="s">
        <v>2928</v>
      </c>
      <c r="C4847" s="91" t="s">
        <v>1242</v>
      </c>
    </row>
    <row r="4848" spans="1:3" ht="15">
      <c r="A4848" s="84" t="s">
        <v>378</v>
      </c>
      <c r="B4848" s="83" t="s">
        <v>2929</v>
      </c>
      <c r="C4848" s="91" t="s">
        <v>1242</v>
      </c>
    </row>
    <row r="4849" spans="1:3" ht="15">
      <c r="A4849" s="84" t="s">
        <v>378</v>
      </c>
      <c r="B4849" s="83" t="s">
        <v>2589</v>
      </c>
      <c r="C4849" s="91" t="s">
        <v>1242</v>
      </c>
    </row>
    <row r="4850" spans="1:3" ht="15">
      <c r="A4850" s="84" t="s">
        <v>378</v>
      </c>
      <c r="B4850" s="83" t="s">
        <v>2930</v>
      </c>
      <c r="C4850" s="91" t="s">
        <v>1242</v>
      </c>
    </row>
    <row r="4851" spans="1:3" ht="15">
      <c r="A4851" s="84" t="s">
        <v>378</v>
      </c>
      <c r="B4851" s="83" t="s">
        <v>2580</v>
      </c>
      <c r="C4851" s="91" t="s">
        <v>1242</v>
      </c>
    </row>
    <row r="4852" spans="1:3" ht="15">
      <c r="A4852" s="84" t="s">
        <v>378</v>
      </c>
      <c r="B4852" s="83" t="s">
        <v>2931</v>
      </c>
      <c r="C4852" s="91" t="s">
        <v>1242</v>
      </c>
    </row>
    <row r="4853" spans="1:3" ht="15">
      <c r="A4853" s="84" t="s">
        <v>378</v>
      </c>
      <c r="B4853" s="83" t="s">
        <v>3199</v>
      </c>
      <c r="C4853" s="91" t="s">
        <v>1242</v>
      </c>
    </row>
    <row r="4854" spans="1:3" ht="15">
      <c r="A4854" s="84" t="s">
        <v>378</v>
      </c>
      <c r="B4854" s="83" t="s">
        <v>2678</v>
      </c>
      <c r="C4854" s="91" t="s">
        <v>1242</v>
      </c>
    </row>
    <row r="4855" spans="1:3" ht="15">
      <c r="A4855" s="84" t="s">
        <v>371</v>
      </c>
      <c r="B4855" s="83" t="s">
        <v>3448</v>
      </c>
      <c r="C4855" s="91" t="s">
        <v>1222</v>
      </c>
    </row>
    <row r="4856" spans="1:3" ht="15">
      <c r="A4856" s="84" t="s">
        <v>371</v>
      </c>
      <c r="B4856" s="83" t="s">
        <v>2795</v>
      </c>
      <c r="C4856" s="91" t="s">
        <v>1222</v>
      </c>
    </row>
    <row r="4857" spans="1:3" ht="15">
      <c r="A4857" s="84" t="s">
        <v>371</v>
      </c>
      <c r="B4857" s="83" t="s">
        <v>2875</v>
      </c>
      <c r="C4857" s="91" t="s">
        <v>1222</v>
      </c>
    </row>
    <row r="4858" spans="1:3" ht="15">
      <c r="A4858" s="84" t="s">
        <v>371</v>
      </c>
      <c r="B4858" s="83" t="s">
        <v>2578</v>
      </c>
      <c r="C4858" s="91" t="s">
        <v>1222</v>
      </c>
    </row>
    <row r="4859" spans="1:3" ht="15">
      <c r="A4859" s="84" t="s">
        <v>371</v>
      </c>
      <c r="B4859" s="83" t="s">
        <v>2914</v>
      </c>
      <c r="C4859" s="91" t="s">
        <v>1222</v>
      </c>
    </row>
    <row r="4860" spans="1:3" ht="15">
      <c r="A4860" s="84" t="s">
        <v>371</v>
      </c>
      <c r="B4860" s="83" t="s">
        <v>2577</v>
      </c>
      <c r="C4860" s="91" t="s">
        <v>1222</v>
      </c>
    </row>
    <row r="4861" spans="1:3" ht="15">
      <c r="A4861" s="84" t="s">
        <v>371</v>
      </c>
      <c r="B4861" s="83" t="s">
        <v>2915</v>
      </c>
      <c r="C4861" s="91" t="s">
        <v>1222</v>
      </c>
    </row>
    <row r="4862" spans="1:3" ht="15">
      <c r="A4862" s="84" t="s">
        <v>371</v>
      </c>
      <c r="B4862" s="83" t="s">
        <v>2568</v>
      </c>
      <c r="C4862" s="91" t="s">
        <v>1222</v>
      </c>
    </row>
    <row r="4863" spans="1:3" ht="15">
      <c r="A4863" s="84" t="s">
        <v>371</v>
      </c>
      <c r="B4863" s="83" t="s">
        <v>2753</v>
      </c>
      <c r="C4863" s="91" t="s">
        <v>1222</v>
      </c>
    </row>
    <row r="4864" spans="1:3" ht="15">
      <c r="A4864" s="84" t="s">
        <v>371</v>
      </c>
      <c r="B4864" s="83" t="s">
        <v>3203</v>
      </c>
      <c r="C4864" s="91" t="s">
        <v>1222</v>
      </c>
    </row>
    <row r="4865" spans="1:3" ht="15">
      <c r="A4865" s="84" t="s">
        <v>371</v>
      </c>
      <c r="B4865" s="83" t="s">
        <v>2591</v>
      </c>
      <c r="C4865" s="91" t="s">
        <v>1222</v>
      </c>
    </row>
    <row r="4866" spans="1:3" ht="15">
      <c r="A4866" s="84" t="s">
        <v>371</v>
      </c>
      <c r="B4866" s="83" t="s">
        <v>2730</v>
      </c>
      <c r="C4866" s="91" t="s">
        <v>1222</v>
      </c>
    </row>
    <row r="4867" spans="1:3" ht="15">
      <c r="A4867" s="84" t="s">
        <v>371</v>
      </c>
      <c r="B4867" s="83" t="s">
        <v>2844</v>
      </c>
      <c r="C4867" s="91" t="s">
        <v>1222</v>
      </c>
    </row>
    <row r="4868" spans="1:3" ht="15">
      <c r="A4868" s="84" t="s">
        <v>371</v>
      </c>
      <c r="B4868" s="83" t="s">
        <v>2916</v>
      </c>
      <c r="C4868" s="91" t="s">
        <v>1222</v>
      </c>
    </row>
    <row r="4869" spans="1:3" ht="15">
      <c r="A4869" s="84" t="s">
        <v>371</v>
      </c>
      <c r="B4869" s="83" t="s">
        <v>2917</v>
      </c>
      <c r="C4869" s="91" t="s">
        <v>1222</v>
      </c>
    </row>
    <row r="4870" spans="1:3" ht="15">
      <c r="A4870" s="84" t="s">
        <v>371</v>
      </c>
      <c r="B4870" s="83" t="s">
        <v>3449</v>
      </c>
      <c r="C4870" s="91" t="s">
        <v>1222</v>
      </c>
    </row>
    <row r="4871" spans="1:3" ht="15">
      <c r="A4871" s="84" t="s">
        <v>371</v>
      </c>
      <c r="B4871" s="83" t="s">
        <v>2748</v>
      </c>
      <c r="C4871" s="91" t="s">
        <v>1222</v>
      </c>
    </row>
    <row r="4872" spans="1:3" ht="15">
      <c r="A4872" s="84" t="s">
        <v>371</v>
      </c>
      <c r="B4872" s="83" t="s">
        <v>2918</v>
      </c>
      <c r="C4872" s="91" t="s">
        <v>1222</v>
      </c>
    </row>
    <row r="4873" spans="1:3" ht="15">
      <c r="A4873" s="84" t="s">
        <v>371</v>
      </c>
      <c r="B4873" s="83" t="s">
        <v>2919</v>
      </c>
      <c r="C4873" s="91" t="s">
        <v>1222</v>
      </c>
    </row>
    <row r="4874" spans="1:3" ht="15">
      <c r="A4874" s="84" t="s">
        <v>371</v>
      </c>
      <c r="B4874" s="83" t="s">
        <v>2845</v>
      </c>
      <c r="C4874" s="91" t="s">
        <v>1222</v>
      </c>
    </row>
    <row r="4875" spans="1:3" ht="15">
      <c r="A4875" s="84" t="s">
        <v>371</v>
      </c>
      <c r="B4875" s="83" t="s">
        <v>2920</v>
      </c>
      <c r="C4875" s="91" t="s">
        <v>1222</v>
      </c>
    </row>
    <row r="4876" spans="1:3" ht="15">
      <c r="A4876" s="84" t="s">
        <v>371</v>
      </c>
      <c r="B4876" s="83" t="s">
        <v>2921</v>
      </c>
      <c r="C4876" s="91" t="s">
        <v>1222</v>
      </c>
    </row>
    <row r="4877" spans="1:3" ht="15">
      <c r="A4877" s="84" t="s">
        <v>371</v>
      </c>
      <c r="B4877" s="83" t="s">
        <v>2719</v>
      </c>
      <c r="C4877" s="91" t="s">
        <v>1222</v>
      </c>
    </row>
    <row r="4878" spans="1:3" ht="15">
      <c r="A4878" s="84" t="s">
        <v>371</v>
      </c>
      <c r="B4878" s="83" t="s">
        <v>2922</v>
      </c>
      <c r="C4878" s="91" t="s">
        <v>1222</v>
      </c>
    </row>
    <row r="4879" spans="1:3" ht="15">
      <c r="A4879" s="84" t="s">
        <v>371</v>
      </c>
      <c r="B4879" s="83" t="s">
        <v>3450</v>
      </c>
      <c r="C4879" s="91" t="s">
        <v>1222</v>
      </c>
    </row>
    <row r="4880" spans="1:3" ht="15">
      <c r="A4880" s="84" t="s">
        <v>371</v>
      </c>
      <c r="B4880" s="83" t="s">
        <v>2923</v>
      </c>
      <c r="C4880" s="91" t="s">
        <v>1222</v>
      </c>
    </row>
    <row r="4881" spans="1:3" ht="15">
      <c r="A4881" s="84" t="s">
        <v>371</v>
      </c>
      <c r="B4881" s="83" t="s">
        <v>2924</v>
      </c>
      <c r="C4881" s="91" t="s">
        <v>1222</v>
      </c>
    </row>
    <row r="4882" spans="1:3" ht="15">
      <c r="A4882" s="84" t="s">
        <v>371</v>
      </c>
      <c r="B4882" s="83" t="s">
        <v>2662</v>
      </c>
      <c r="C4882" s="91" t="s">
        <v>1222</v>
      </c>
    </row>
    <row r="4883" spans="1:3" ht="15">
      <c r="A4883" s="84" t="s">
        <v>371</v>
      </c>
      <c r="B4883" s="83" t="s">
        <v>2925</v>
      </c>
      <c r="C4883" s="91" t="s">
        <v>1222</v>
      </c>
    </row>
    <row r="4884" spans="1:3" ht="15">
      <c r="A4884" s="84" t="s">
        <v>371</v>
      </c>
      <c r="B4884" s="83" t="s">
        <v>3451</v>
      </c>
      <c r="C4884" s="91" t="s">
        <v>1222</v>
      </c>
    </row>
    <row r="4885" spans="1:3" ht="15">
      <c r="A4885" s="84" t="s">
        <v>371</v>
      </c>
      <c r="B4885" s="83" t="s">
        <v>2660</v>
      </c>
      <c r="C4885" s="91" t="s">
        <v>1222</v>
      </c>
    </row>
    <row r="4886" spans="1:3" ht="15">
      <c r="A4886" s="84" t="s">
        <v>371</v>
      </c>
      <c r="B4886" s="83" t="s">
        <v>2926</v>
      </c>
      <c r="C4886" s="91" t="s">
        <v>1222</v>
      </c>
    </row>
    <row r="4887" spans="1:3" ht="15">
      <c r="A4887" s="84" t="s">
        <v>371</v>
      </c>
      <c r="B4887" s="83" t="s">
        <v>2927</v>
      </c>
      <c r="C4887" s="91" t="s">
        <v>1222</v>
      </c>
    </row>
    <row r="4888" spans="1:3" ht="15">
      <c r="A4888" s="84" t="s">
        <v>371</v>
      </c>
      <c r="B4888" s="83" t="s">
        <v>2729</v>
      </c>
      <c r="C4888" s="91" t="s">
        <v>1222</v>
      </c>
    </row>
    <row r="4889" spans="1:3" ht="15">
      <c r="A4889" s="84" t="s">
        <v>371</v>
      </c>
      <c r="B4889" s="83" t="s">
        <v>2928</v>
      </c>
      <c r="C4889" s="91" t="s">
        <v>1222</v>
      </c>
    </row>
    <row r="4890" spans="1:3" ht="15">
      <c r="A4890" s="84" t="s">
        <v>371</v>
      </c>
      <c r="B4890" s="83" t="s">
        <v>2929</v>
      </c>
      <c r="C4890" s="91" t="s">
        <v>1222</v>
      </c>
    </row>
    <row r="4891" spans="1:3" ht="15">
      <c r="A4891" s="84" t="s">
        <v>371</v>
      </c>
      <c r="B4891" s="83" t="s">
        <v>2589</v>
      </c>
      <c r="C4891" s="91" t="s">
        <v>1222</v>
      </c>
    </row>
    <row r="4892" spans="1:3" ht="15">
      <c r="A4892" s="84" t="s">
        <v>371</v>
      </c>
      <c r="B4892" s="83" t="s">
        <v>2930</v>
      </c>
      <c r="C4892" s="91" t="s">
        <v>1222</v>
      </c>
    </row>
    <row r="4893" spans="1:3" ht="15">
      <c r="A4893" s="84" t="s">
        <v>371</v>
      </c>
      <c r="B4893" s="83" t="s">
        <v>2580</v>
      </c>
      <c r="C4893" s="91" t="s">
        <v>1222</v>
      </c>
    </row>
    <row r="4894" spans="1:3" ht="15">
      <c r="A4894" s="84" t="s">
        <v>371</v>
      </c>
      <c r="B4894" s="83" t="s">
        <v>2931</v>
      </c>
      <c r="C4894" s="91" t="s">
        <v>1222</v>
      </c>
    </row>
    <row r="4895" spans="1:3" ht="15">
      <c r="A4895" s="84" t="s">
        <v>371</v>
      </c>
      <c r="B4895" s="83" t="s">
        <v>3199</v>
      </c>
      <c r="C4895" s="91" t="s">
        <v>1222</v>
      </c>
    </row>
    <row r="4896" spans="1:3" ht="15">
      <c r="A4896" s="84" t="s">
        <v>371</v>
      </c>
      <c r="B4896" s="83" t="s">
        <v>2678</v>
      </c>
      <c r="C4896" s="91" t="s">
        <v>1222</v>
      </c>
    </row>
    <row r="4897" spans="1:3" ht="15">
      <c r="A4897" s="84" t="s">
        <v>371</v>
      </c>
      <c r="B4897" s="83" t="s">
        <v>3308</v>
      </c>
      <c r="C4897" s="91" t="s">
        <v>1221</v>
      </c>
    </row>
    <row r="4898" spans="1:3" ht="15">
      <c r="A4898" s="84" t="s">
        <v>371</v>
      </c>
      <c r="B4898" s="83" t="s">
        <v>2568</v>
      </c>
      <c r="C4898" s="91" t="s">
        <v>1221</v>
      </c>
    </row>
    <row r="4899" spans="1:3" ht="15">
      <c r="A4899" s="84" t="s">
        <v>371</v>
      </c>
      <c r="B4899" s="83" t="s">
        <v>3203</v>
      </c>
      <c r="C4899" s="91" t="s">
        <v>1221</v>
      </c>
    </row>
    <row r="4900" spans="1:3" ht="15">
      <c r="A4900" s="84" t="s">
        <v>371</v>
      </c>
      <c r="B4900" s="83">
        <v>19</v>
      </c>
      <c r="C4900" s="91" t="s">
        <v>1221</v>
      </c>
    </row>
    <row r="4901" spans="1:3" ht="15">
      <c r="A4901" s="84" t="s">
        <v>371</v>
      </c>
      <c r="B4901" s="83" t="s">
        <v>3309</v>
      </c>
      <c r="C4901" s="91" t="s">
        <v>1221</v>
      </c>
    </row>
    <row r="4902" spans="1:3" ht="15">
      <c r="A4902" s="84" t="s">
        <v>371</v>
      </c>
      <c r="B4902" s="83" t="s">
        <v>2666</v>
      </c>
      <c r="C4902" s="91" t="s">
        <v>1221</v>
      </c>
    </row>
    <row r="4903" spans="1:3" ht="15">
      <c r="A4903" s="84" t="s">
        <v>371</v>
      </c>
      <c r="B4903" s="83" t="s">
        <v>2630</v>
      </c>
      <c r="C4903" s="91" t="s">
        <v>1221</v>
      </c>
    </row>
    <row r="4904" spans="1:3" ht="15">
      <c r="A4904" s="84" t="s">
        <v>371</v>
      </c>
      <c r="B4904" s="83" t="s">
        <v>2676</v>
      </c>
      <c r="C4904" s="91" t="s">
        <v>1221</v>
      </c>
    </row>
    <row r="4905" spans="1:3" ht="15">
      <c r="A4905" s="84" t="s">
        <v>371</v>
      </c>
      <c r="B4905" s="83" t="s">
        <v>2580</v>
      </c>
      <c r="C4905" s="91" t="s">
        <v>1221</v>
      </c>
    </row>
    <row r="4906" spans="1:3" ht="15">
      <c r="A4906" s="84" t="s">
        <v>371</v>
      </c>
      <c r="B4906" s="83" t="s">
        <v>2677</v>
      </c>
      <c r="C4906" s="91" t="s">
        <v>1221</v>
      </c>
    </row>
    <row r="4907" spans="1:3" ht="15">
      <c r="A4907" s="84" t="s">
        <v>371</v>
      </c>
      <c r="B4907" s="83" t="s">
        <v>3310</v>
      </c>
      <c r="C4907" s="91" t="s">
        <v>1221</v>
      </c>
    </row>
    <row r="4908" spans="1:3" ht="15">
      <c r="A4908" s="84" t="s">
        <v>371</v>
      </c>
      <c r="B4908" s="83" t="s">
        <v>3282</v>
      </c>
      <c r="C4908" s="91" t="s">
        <v>1221</v>
      </c>
    </row>
    <row r="4909" spans="1:3" ht="15">
      <c r="A4909" s="84" t="s">
        <v>371</v>
      </c>
      <c r="B4909" s="83" t="s">
        <v>3311</v>
      </c>
      <c r="C4909" s="91" t="s">
        <v>1221</v>
      </c>
    </row>
    <row r="4910" spans="1:3" ht="15">
      <c r="A4910" s="84" t="s">
        <v>371</v>
      </c>
      <c r="B4910" s="83" t="s">
        <v>2577</v>
      </c>
      <c r="C4910" s="91" t="s">
        <v>1221</v>
      </c>
    </row>
    <row r="4911" spans="1:3" ht="15">
      <c r="A4911" s="84" t="s">
        <v>371</v>
      </c>
      <c r="B4911" s="83" t="s">
        <v>2658</v>
      </c>
      <c r="C4911" s="91" t="s">
        <v>1221</v>
      </c>
    </row>
    <row r="4912" spans="1:3" ht="15">
      <c r="A4912" s="84" t="s">
        <v>371</v>
      </c>
      <c r="B4912" s="83" t="s">
        <v>2653</v>
      </c>
      <c r="C4912" s="91" t="s">
        <v>1221</v>
      </c>
    </row>
    <row r="4913" spans="1:3" ht="15">
      <c r="A4913" s="84" t="s">
        <v>371</v>
      </c>
      <c r="B4913" s="83" t="s">
        <v>2667</v>
      </c>
      <c r="C4913" s="91" t="s">
        <v>1221</v>
      </c>
    </row>
    <row r="4914" spans="1:3" ht="15">
      <c r="A4914" s="84" t="s">
        <v>371</v>
      </c>
      <c r="B4914" s="83" t="s">
        <v>2578</v>
      </c>
      <c r="C4914" s="91" t="s">
        <v>1221</v>
      </c>
    </row>
    <row r="4915" spans="1:3" ht="15">
      <c r="A4915" s="84" t="s">
        <v>371</v>
      </c>
      <c r="B4915" s="83" t="s">
        <v>2678</v>
      </c>
      <c r="C4915" s="91" t="s">
        <v>1221</v>
      </c>
    </row>
    <row r="4916" spans="1:3" ht="15">
      <c r="A4916" s="84" t="s">
        <v>371</v>
      </c>
      <c r="B4916" s="83" t="s">
        <v>3312</v>
      </c>
      <c r="C4916" s="91" t="s">
        <v>1221</v>
      </c>
    </row>
    <row r="4917" spans="1:3" ht="15">
      <c r="A4917" s="84" t="s">
        <v>371</v>
      </c>
      <c r="B4917" s="83" t="s">
        <v>3290</v>
      </c>
      <c r="C4917" s="91" t="s">
        <v>1221</v>
      </c>
    </row>
    <row r="4918" spans="1:3" ht="15">
      <c r="A4918" s="84" t="s">
        <v>371</v>
      </c>
      <c r="B4918" s="83" t="s">
        <v>3313</v>
      </c>
      <c r="C4918" s="91" t="s">
        <v>1221</v>
      </c>
    </row>
    <row r="4919" spans="1:3" ht="15">
      <c r="A4919" s="84" t="s">
        <v>371</v>
      </c>
      <c r="B4919" s="83" t="s">
        <v>3314</v>
      </c>
      <c r="C4919" s="91" t="s">
        <v>1221</v>
      </c>
    </row>
    <row r="4920" spans="1:3" ht="15">
      <c r="A4920" s="84" t="s">
        <v>371</v>
      </c>
      <c r="B4920" s="83" t="s">
        <v>3315</v>
      </c>
      <c r="C4920" s="91" t="s">
        <v>1221</v>
      </c>
    </row>
    <row r="4921" spans="1:3" ht="15">
      <c r="A4921" s="84" t="s">
        <v>371</v>
      </c>
      <c r="B4921" s="83" t="s">
        <v>586</v>
      </c>
      <c r="C4921" s="91" t="s">
        <v>1221</v>
      </c>
    </row>
    <row r="4922" spans="1:3" ht="15">
      <c r="A4922" s="84" t="s">
        <v>371</v>
      </c>
      <c r="B4922" s="83" t="s">
        <v>3258</v>
      </c>
      <c r="C4922" s="91" t="s">
        <v>1221</v>
      </c>
    </row>
    <row r="4923" spans="1:3" ht="15">
      <c r="A4923" s="84" t="s">
        <v>370</v>
      </c>
      <c r="B4923" s="83" t="s">
        <v>3510</v>
      </c>
      <c r="C4923" s="91" t="s">
        <v>1220</v>
      </c>
    </row>
    <row r="4924" spans="1:3" ht="15">
      <c r="A4924" s="84" t="s">
        <v>370</v>
      </c>
      <c r="B4924" s="83" t="s">
        <v>2773</v>
      </c>
      <c r="C4924" s="91" t="s">
        <v>1220</v>
      </c>
    </row>
    <row r="4925" spans="1:3" ht="15">
      <c r="A4925" s="84" t="s">
        <v>370</v>
      </c>
      <c r="B4925" s="83" t="s">
        <v>2893</v>
      </c>
      <c r="C4925" s="91" t="s">
        <v>1220</v>
      </c>
    </row>
    <row r="4926" spans="1:3" ht="15">
      <c r="A4926" s="84" t="s">
        <v>370</v>
      </c>
      <c r="B4926" s="83" t="s">
        <v>2589</v>
      </c>
      <c r="C4926" s="91" t="s">
        <v>1220</v>
      </c>
    </row>
    <row r="4927" spans="1:3" ht="15">
      <c r="A4927" s="84" t="s">
        <v>370</v>
      </c>
      <c r="B4927" s="83" t="s">
        <v>2263</v>
      </c>
      <c r="C4927" s="91" t="s">
        <v>1220</v>
      </c>
    </row>
    <row r="4928" spans="1:3" ht="15">
      <c r="A4928" s="84" t="s">
        <v>370</v>
      </c>
      <c r="B4928" s="83" t="s">
        <v>3511</v>
      </c>
      <c r="C4928" s="91" t="s">
        <v>1220</v>
      </c>
    </row>
    <row r="4929" spans="1:3" ht="15">
      <c r="A4929" s="84" t="s">
        <v>370</v>
      </c>
      <c r="B4929" s="83" t="s">
        <v>3512</v>
      </c>
      <c r="C4929" s="91" t="s">
        <v>1220</v>
      </c>
    </row>
    <row r="4930" spans="1:3" ht="15">
      <c r="A4930" s="84" t="s">
        <v>370</v>
      </c>
      <c r="B4930" s="83" t="s">
        <v>3227</v>
      </c>
      <c r="C4930" s="91" t="s">
        <v>1220</v>
      </c>
    </row>
    <row r="4931" spans="1:3" ht="15">
      <c r="A4931" s="84" t="s">
        <v>370</v>
      </c>
      <c r="B4931" s="83" t="s">
        <v>3513</v>
      </c>
      <c r="C4931" s="91" t="s">
        <v>1220</v>
      </c>
    </row>
    <row r="4932" spans="1:3" ht="15">
      <c r="A4932" s="84" t="s">
        <v>370</v>
      </c>
      <c r="B4932" s="83" t="s">
        <v>3082</v>
      </c>
      <c r="C4932" s="91" t="s">
        <v>1220</v>
      </c>
    </row>
    <row r="4933" spans="1:3" ht="15">
      <c r="A4933" s="84" t="s">
        <v>370</v>
      </c>
      <c r="B4933" s="83" t="s">
        <v>3514</v>
      </c>
      <c r="C4933" s="91" t="s">
        <v>1220</v>
      </c>
    </row>
    <row r="4934" spans="1:3" ht="15">
      <c r="A4934" s="84" t="s">
        <v>370</v>
      </c>
      <c r="B4934" s="83" t="s">
        <v>3308</v>
      </c>
      <c r="C4934" s="91" t="s">
        <v>1220</v>
      </c>
    </row>
    <row r="4935" spans="1:3" ht="15">
      <c r="A4935" s="84" t="s">
        <v>370</v>
      </c>
      <c r="B4935" s="83" t="s">
        <v>2568</v>
      </c>
      <c r="C4935" s="91" t="s">
        <v>1220</v>
      </c>
    </row>
    <row r="4936" spans="1:3" ht="15">
      <c r="A4936" s="84" t="s">
        <v>370</v>
      </c>
      <c r="B4936" s="83" t="s">
        <v>3203</v>
      </c>
      <c r="C4936" s="91" t="s">
        <v>1220</v>
      </c>
    </row>
    <row r="4937" spans="1:3" ht="15">
      <c r="A4937" s="84" t="s">
        <v>370</v>
      </c>
      <c r="B4937" s="83">
        <v>19</v>
      </c>
      <c r="C4937" s="91" t="s">
        <v>1220</v>
      </c>
    </row>
    <row r="4938" spans="1:3" ht="15">
      <c r="A4938" s="84" t="s">
        <v>370</v>
      </c>
      <c r="B4938" s="83" t="s">
        <v>2767</v>
      </c>
      <c r="C4938" s="91" t="s">
        <v>1220</v>
      </c>
    </row>
    <row r="4939" spans="1:3" ht="15">
      <c r="A4939" s="84" t="s">
        <v>370</v>
      </c>
      <c r="B4939" s="83" t="s">
        <v>3515</v>
      </c>
      <c r="C4939" s="91" t="s">
        <v>1220</v>
      </c>
    </row>
    <row r="4940" spans="1:3" ht="15">
      <c r="A4940" s="84" t="s">
        <v>370</v>
      </c>
      <c r="B4940" s="83">
        <v>2020</v>
      </c>
      <c r="C4940" s="91" t="s">
        <v>1220</v>
      </c>
    </row>
    <row r="4941" spans="1:3" ht="15">
      <c r="A4941" s="84" t="s">
        <v>370</v>
      </c>
      <c r="B4941" s="83" t="s">
        <v>3085</v>
      </c>
      <c r="C4941" s="91" t="s">
        <v>1220</v>
      </c>
    </row>
    <row r="4942" spans="1:3" ht="15">
      <c r="A4942" s="84" t="s">
        <v>370</v>
      </c>
      <c r="B4942" s="83" t="s">
        <v>2772</v>
      </c>
      <c r="C4942" s="91" t="s">
        <v>1220</v>
      </c>
    </row>
    <row r="4943" spans="1:3" ht="15">
      <c r="A4943" s="84" t="s">
        <v>370</v>
      </c>
      <c r="B4943" s="83" t="s">
        <v>3086</v>
      </c>
      <c r="C4943" s="91" t="s">
        <v>1220</v>
      </c>
    </row>
    <row r="4944" spans="1:3" ht="15">
      <c r="A4944" s="84" t="s">
        <v>370</v>
      </c>
      <c r="B4944" s="83" t="s">
        <v>2776</v>
      </c>
      <c r="C4944" s="91" t="s">
        <v>1220</v>
      </c>
    </row>
    <row r="4945" spans="1:3" ht="15">
      <c r="A4945" s="84" t="s">
        <v>370</v>
      </c>
      <c r="B4945" s="83" t="s">
        <v>2577</v>
      </c>
      <c r="C4945" s="91" t="s">
        <v>1220</v>
      </c>
    </row>
    <row r="4946" spans="1:3" ht="15">
      <c r="A4946" s="84" t="s">
        <v>370</v>
      </c>
      <c r="B4946" s="83" t="s">
        <v>2610</v>
      </c>
      <c r="C4946" s="91" t="s">
        <v>1220</v>
      </c>
    </row>
    <row r="4947" spans="1:3" ht="15">
      <c r="A4947" s="84" t="s">
        <v>370</v>
      </c>
      <c r="B4947" s="83" t="s">
        <v>3516</v>
      </c>
      <c r="C4947" s="91" t="s">
        <v>1220</v>
      </c>
    </row>
    <row r="4948" spans="1:3" ht="15">
      <c r="A4948" s="84" t="s">
        <v>370</v>
      </c>
      <c r="B4948" s="83" t="s">
        <v>3088</v>
      </c>
      <c r="C4948" s="91" t="s">
        <v>1220</v>
      </c>
    </row>
    <row r="4949" spans="1:3" ht="15">
      <c r="A4949" s="84" t="s">
        <v>370</v>
      </c>
      <c r="B4949" s="83" t="s">
        <v>2590</v>
      </c>
      <c r="C4949" s="91" t="s">
        <v>1220</v>
      </c>
    </row>
    <row r="4950" spans="1:3" ht="15">
      <c r="A4950" s="84" t="s">
        <v>370</v>
      </c>
      <c r="B4950" s="83" t="s">
        <v>2607</v>
      </c>
      <c r="C4950" s="91" t="s">
        <v>1220</v>
      </c>
    </row>
    <row r="4951" spans="1:3" ht="15">
      <c r="A4951" s="84" t="s">
        <v>370</v>
      </c>
      <c r="B4951" s="83" t="s">
        <v>3089</v>
      </c>
      <c r="C4951" s="91" t="s">
        <v>1220</v>
      </c>
    </row>
    <row r="4952" spans="1:3" ht="15">
      <c r="A4952" s="84" t="s">
        <v>370</v>
      </c>
      <c r="B4952" s="83" t="s">
        <v>3090</v>
      </c>
      <c r="C4952" s="91" t="s">
        <v>1220</v>
      </c>
    </row>
    <row r="4953" spans="1:3" ht="15">
      <c r="A4953" s="84" t="s">
        <v>370</v>
      </c>
      <c r="B4953" s="83" t="s">
        <v>2637</v>
      </c>
      <c r="C4953" s="91" t="s">
        <v>1220</v>
      </c>
    </row>
    <row r="4954" spans="1:3" ht="15">
      <c r="A4954" s="84" t="s">
        <v>370</v>
      </c>
      <c r="B4954" s="83" t="s">
        <v>3091</v>
      </c>
      <c r="C4954" s="91" t="s">
        <v>1220</v>
      </c>
    </row>
    <row r="4955" spans="1:3" ht="15">
      <c r="A4955" s="84" t="s">
        <v>370</v>
      </c>
      <c r="B4955" s="83" t="s">
        <v>2576</v>
      </c>
      <c r="C4955" s="91" t="s">
        <v>1220</v>
      </c>
    </row>
    <row r="4956" spans="1:3" ht="15">
      <c r="A4956" s="84" t="s">
        <v>370</v>
      </c>
      <c r="B4956" s="83" t="s">
        <v>3517</v>
      </c>
      <c r="C4956" s="91" t="s">
        <v>1220</v>
      </c>
    </row>
    <row r="4957" spans="1:3" ht="15">
      <c r="A4957" s="84" t="s">
        <v>370</v>
      </c>
      <c r="B4957" s="83" t="s">
        <v>2932</v>
      </c>
      <c r="C4957" s="91" t="s">
        <v>1220</v>
      </c>
    </row>
    <row r="4958" spans="1:3" ht="15">
      <c r="A4958" s="84" t="s">
        <v>370</v>
      </c>
      <c r="B4958" s="83" t="s">
        <v>586</v>
      </c>
      <c r="C4958" s="91" t="s">
        <v>1220</v>
      </c>
    </row>
    <row r="4959" spans="1:3" ht="15">
      <c r="A4959" s="84" t="s">
        <v>369</v>
      </c>
      <c r="B4959" s="83" t="s">
        <v>3510</v>
      </c>
      <c r="C4959" s="91" t="s">
        <v>1219</v>
      </c>
    </row>
    <row r="4960" spans="1:3" ht="15">
      <c r="A4960" s="84" t="s">
        <v>369</v>
      </c>
      <c r="B4960" s="83" t="s">
        <v>2773</v>
      </c>
      <c r="C4960" s="91" t="s">
        <v>1219</v>
      </c>
    </row>
    <row r="4961" spans="1:3" ht="15">
      <c r="A4961" s="84" t="s">
        <v>369</v>
      </c>
      <c r="B4961" s="83" t="s">
        <v>2893</v>
      </c>
      <c r="C4961" s="91" t="s">
        <v>1219</v>
      </c>
    </row>
    <row r="4962" spans="1:3" ht="15">
      <c r="A4962" s="84" t="s">
        <v>369</v>
      </c>
      <c r="B4962" s="83" t="s">
        <v>2589</v>
      </c>
      <c r="C4962" s="91" t="s">
        <v>1219</v>
      </c>
    </row>
    <row r="4963" spans="1:3" ht="15">
      <c r="A4963" s="84" t="s">
        <v>369</v>
      </c>
      <c r="B4963" s="83" t="s">
        <v>2263</v>
      </c>
      <c r="C4963" s="91" t="s">
        <v>1219</v>
      </c>
    </row>
    <row r="4964" spans="1:3" ht="15">
      <c r="A4964" s="84" t="s">
        <v>369</v>
      </c>
      <c r="B4964" s="83" t="s">
        <v>3511</v>
      </c>
      <c r="C4964" s="91" t="s">
        <v>1219</v>
      </c>
    </row>
    <row r="4965" spans="1:3" ht="15">
      <c r="A4965" s="84" t="s">
        <v>369</v>
      </c>
      <c r="B4965" s="83" t="s">
        <v>3512</v>
      </c>
      <c r="C4965" s="91" t="s">
        <v>1219</v>
      </c>
    </row>
    <row r="4966" spans="1:3" ht="15">
      <c r="A4966" s="84" t="s">
        <v>369</v>
      </c>
      <c r="B4966" s="83" t="s">
        <v>3227</v>
      </c>
      <c r="C4966" s="91" t="s">
        <v>1219</v>
      </c>
    </row>
    <row r="4967" spans="1:3" ht="15">
      <c r="A4967" s="84" t="s">
        <v>369</v>
      </c>
      <c r="B4967" s="83" t="s">
        <v>3513</v>
      </c>
      <c r="C4967" s="91" t="s">
        <v>1219</v>
      </c>
    </row>
    <row r="4968" spans="1:3" ht="15">
      <c r="A4968" s="84" t="s">
        <v>369</v>
      </c>
      <c r="B4968" s="83" t="s">
        <v>3082</v>
      </c>
      <c r="C4968" s="91" t="s">
        <v>1219</v>
      </c>
    </row>
    <row r="4969" spans="1:3" ht="15">
      <c r="A4969" s="84" t="s">
        <v>369</v>
      </c>
      <c r="B4969" s="83" t="s">
        <v>3514</v>
      </c>
      <c r="C4969" s="91" t="s">
        <v>1219</v>
      </c>
    </row>
    <row r="4970" spans="1:3" ht="15">
      <c r="A4970" s="84" t="s">
        <v>369</v>
      </c>
      <c r="B4970" s="83" t="s">
        <v>3308</v>
      </c>
      <c r="C4970" s="91" t="s">
        <v>1219</v>
      </c>
    </row>
    <row r="4971" spans="1:3" ht="15">
      <c r="A4971" s="84" t="s">
        <v>369</v>
      </c>
      <c r="B4971" s="83" t="s">
        <v>2568</v>
      </c>
      <c r="C4971" s="91" t="s">
        <v>1219</v>
      </c>
    </row>
    <row r="4972" spans="1:3" ht="15">
      <c r="A4972" s="84" t="s">
        <v>369</v>
      </c>
      <c r="B4972" s="83" t="s">
        <v>3203</v>
      </c>
      <c r="C4972" s="91" t="s">
        <v>1219</v>
      </c>
    </row>
    <row r="4973" spans="1:3" ht="15">
      <c r="A4973" s="84" t="s">
        <v>369</v>
      </c>
      <c r="B4973" s="83">
        <v>19</v>
      </c>
      <c r="C4973" s="91" t="s">
        <v>1219</v>
      </c>
    </row>
    <row r="4974" spans="1:3" ht="15">
      <c r="A4974" s="84" t="s">
        <v>369</v>
      </c>
      <c r="B4974" s="83" t="s">
        <v>2767</v>
      </c>
      <c r="C4974" s="91" t="s">
        <v>1219</v>
      </c>
    </row>
    <row r="4975" spans="1:3" ht="15">
      <c r="A4975" s="84" t="s">
        <v>369</v>
      </c>
      <c r="B4975" s="83" t="s">
        <v>3515</v>
      </c>
      <c r="C4975" s="91" t="s">
        <v>1219</v>
      </c>
    </row>
    <row r="4976" spans="1:3" ht="15">
      <c r="A4976" s="84" t="s">
        <v>369</v>
      </c>
      <c r="B4976" s="83">
        <v>2020</v>
      </c>
      <c r="C4976" s="91" t="s">
        <v>1219</v>
      </c>
    </row>
    <row r="4977" spans="1:3" ht="15">
      <c r="A4977" s="84" t="s">
        <v>369</v>
      </c>
      <c r="B4977" s="83" t="s">
        <v>3085</v>
      </c>
      <c r="C4977" s="91" t="s">
        <v>1219</v>
      </c>
    </row>
    <row r="4978" spans="1:3" ht="15">
      <c r="A4978" s="84" t="s">
        <v>369</v>
      </c>
      <c r="B4978" s="83" t="s">
        <v>2772</v>
      </c>
      <c r="C4978" s="91" t="s">
        <v>1219</v>
      </c>
    </row>
    <row r="4979" spans="1:3" ht="15">
      <c r="A4979" s="84" t="s">
        <v>369</v>
      </c>
      <c r="B4979" s="83" t="s">
        <v>3086</v>
      </c>
      <c r="C4979" s="91" t="s">
        <v>1219</v>
      </c>
    </row>
    <row r="4980" spans="1:3" ht="15">
      <c r="A4980" s="84" t="s">
        <v>369</v>
      </c>
      <c r="B4980" s="83" t="s">
        <v>2776</v>
      </c>
      <c r="C4980" s="91" t="s">
        <v>1219</v>
      </c>
    </row>
    <row r="4981" spans="1:3" ht="15">
      <c r="A4981" s="84" t="s">
        <v>369</v>
      </c>
      <c r="B4981" s="83" t="s">
        <v>2577</v>
      </c>
      <c r="C4981" s="91" t="s">
        <v>1219</v>
      </c>
    </row>
    <row r="4982" spans="1:3" ht="15">
      <c r="A4982" s="84" t="s">
        <v>369</v>
      </c>
      <c r="B4982" s="83" t="s">
        <v>2610</v>
      </c>
      <c r="C4982" s="91" t="s">
        <v>1219</v>
      </c>
    </row>
    <row r="4983" spans="1:3" ht="15">
      <c r="A4983" s="84" t="s">
        <v>369</v>
      </c>
      <c r="B4983" s="83" t="s">
        <v>3516</v>
      </c>
      <c r="C4983" s="91" t="s">
        <v>1219</v>
      </c>
    </row>
    <row r="4984" spans="1:3" ht="15">
      <c r="A4984" s="84" t="s">
        <v>369</v>
      </c>
      <c r="B4984" s="83" t="s">
        <v>3088</v>
      </c>
      <c r="C4984" s="91" t="s">
        <v>1219</v>
      </c>
    </row>
    <row r="4985" spans="1:3" ht="15">
      <c r="A4985" s="84" t="s">
        <v>369</v>
      </c>
      <c r="B4985" s="83" t="s">
        <v>2590</v>
      </c>
      <c r="C4985" s="91" t="s">
        <v>1219</v>
      </c>
    </row>
    <row r="4986" spans="1:3" ht="15">
      <c r="A4986" s="84" t="s">
        <v>369</v>
      </c>
      <c r="B4986" s="83" t="s">
        <v>2607</v>
      </c>
      <c r="C4986" s="91" t="s">
        <v>1219</v>
      </c>
    </row>
    <row r="4987" spans="1:3" ht="15">
      <c r="A4987" s="84" t="s">
        <v>369</v>
      </c>
      <c r="B4987" s="83" t="s">
        <v>3089</v>
      </c>
      <c r="C4987" s="91" t="s">
        <v>1219</v>
      </c>
    </row>
    <row r="4988" spans="1:3" ht="15">
      <c r="A4988" s="84" t="s">
        <v>369</v>
      </c>
      <c r="B4988" s="83" t="s">
        <v>3090</v>
      </c>
      <c r="C4988" s="91" t="s">
        <v>1219</v>
      </c>
    </row>
    <row r="4989" spans="1:3" ht="15">
      <c r="A4989" s="84" t="s">
        <v>369</v>
      </c>
      <c r="B4989" s="83" t="s">
        <v>2637</v>
      </c>
      <c r="C4989" s="91" t="s">
        <v>1219</v>
      </c>
    </row>
    <row r="4990" spans="1:3" ht="15">
      <c r="A4990" s="84" t="s">
        <v>369</v>
      </c>
      <c r="B4990" s="83" t="s">
        <v>3091</v>
      </c>
      <c r="C4990" s="91" t="s">
        <v>1219</v>
      </c>
    </row>
    <row r="4991" spans="1:3" ht="15">
      <c r="A4991" s="84" t="s">
        <v>369</v>
      </c>
      <c r="B4991" s="83" t="s">
        <v>2576</v>
      </c>
      <c r="C4991" s="91" t="s">
        <v>1219</v>
      </c>
    </row>
    <row r="4992" spans="1:3" ht="15">
      <c r="A4992" s="84" t="s">
        <v>369</v>
      </c>
      <c r="B4992" s="83" t="s">
        <v>3517</v>
      </c>
      <c r="C4992" s="91" t="s">
        <v>1219</v>
      </c>
    </row>
    <row r="4993" spans="1:3" ht="15">
      <c r="A4993" s="84" t="s">
        <v>369</v>
      </c>
      <c r="B4993" s="83" t="s">
        <v>2932</v>
      </c>
      <c r="C4993" s="91" t="s">
        <v>1219</v>
      </c>
    </row>
    <row r="4994" spans="1:3" ht="15">
      <c r="A4994" s="84" t="s">
        <v>369</v>
      </c>
      <c r="B4994" s="83" t="s">
        <v>586</v>
      </c>
      <c r="C4994" s="91" t="s">
        <v>1219</v>
      </c>
    </row>
    <row r="4995" spans="1:3" ht="15">
      <c r="A4995" s="84" t="s">
        <v>368</v>
      </c>
      <c r="B4995" s="83" t="s">
        <v>2650</v>
      </c>
      <c r="C4995" s="91" t="s">
        <v>1218</v>
      </c>
    </row>
    <row r="4996" spans="1:3" ht="15">
      <c r="A4996" s="84" t="s">
        <v>368</v>
      </c>
      <c r="B4996" s="83">
        <v>15</v>
      </c>
      <c r="C4996" s="91" t="s">
        <v>1218</v>
      </c>
    </row>
    <row r="4997" spans="1:3" ht="15">
      <c r="A4997" s="84" t="s">
        <v>368</v>
      </c>
      <c r="B4997" s="83" t="s">
        <v>3264</v>
      </c>
      <c r="C4997" s="91" t="s">
        <v>1218</v>
      </c>
    </row>
    <row r="4998" spans="1:3" ht="15">
      <c r="A4998" s="84" t="s">
        <v>368</v>
      </c>
      <c r="B4998" s="83" t="s">
        <v>2853</v>
      </c>
      <c r="C4998" s="91" t="s">
        <v>1218</v>
      </c>
    </row>
    <row r="4999" spans="1:3" ht="15">
      <c r="A4999" s="84" t="s">
        <v>368</v>
      </c>
      <c r="B4999" s="83" t="s">
        <v>2590</v>
      </c>
      <c r="C4999" s="91" t="s">
        <v>1218</v>
      </c>
    </row>
    <row r="5000" spans="1:3" ht="15">
      <c r="A5000" s="84" t="s">
        <v>368</v>
      </c>
      <c r="B5000" s="83" t="s">
        <v>2742</v>
      </c>
      <c r="C5000" s="91" t="s">
        <v>1218</v>
      </c>
    </row>
    <row r="5001" spans="1:3" ht="15">
      <c r="A5001" s="84" t="s">
        <v>368</v>
      </c>
      <c r="B5001" s="83" t="s">
        <v>2854</v>
      </c>
      <c r="C5001" s="91" t="s">
        <v>1218</v>
      </c>
    </row>
    <row r="5002" spans="1:3" ht="15">
      <c r="A5002" s="84" t="s">
        <v>368</v>
      </c>
      <c r="B5002" s="83" t="s">
        <v>3348</v>
      </c>
      <c r="C5002" s="91" t="s">
        <v>1218</v>
      </c>
    </row>
    <row r="5003" spans="1:3" ht="15">
      <c r="A5003" s="84" t="s">
        <v>368</v>
      </c>
      <c r="B5003" s="83" t="s">
        <v>2735</v>
      </c>
      <c r="C5003" s="91" t="s">
        <v>1218</v>
      </c>
    </row>
    <row r="5004" spans="1:3" ht="15">
      <c r="A5004" s="84" t="s">
        <v>368</v>
      </c>
      <c r="B5004" s="83" t="s">
        <v>2634</v>
      </c>
      <c r="C5004" s="91" t="s">
        <v>1218</v>
      </c>
    </row>
    <row r="5005" spans="1:3" ht="15">
      <c r="A5005" s="84" t="s">
        <v>368</v>
      </c>
      <c r="B5005" s="83" t="s">
        <v>2855</v>
      </c>
      <c r="C5005" s="91" t="s">
        <v>1218</v>
      </c>
    </row>
    <row r="5006" spans="1:3" ht="15">
      <c r="A5006" s="84" t="s">
        <v>368</v>
      </c>
      <c r="B5006" s="83" t="s">
        <v>2578</v>
      </c>
      <c r="C5006" s="91" t="s">
        <v>1218</v>
      </c>
    </row>
    <row r="5007" spans="1:3" ht="15">
      <c r="A5007" s="84" t="s">
        <v>368</v>
      </c>
      <c r="B5007" s="83" t="s">
        <v>2657</v>
      </c>
      <c r="C5007" s="91" t="s">
        <v>1218</v>
      </c>
    </row>
    <row r="5008" spans="1:3" ht="15">
      <c r="A5008" s="84" t="s">
        <v>368</v>
      </c>
      <c r="B5008" s="83" t="s">
        <v>2736</v>
      </c>
      <c r="C5008" s="91" t="s">
        <v>1218</v>
      </c>
    </row>
    <row r="5009" spans="1:3" ht="15">
      <c r="A5009" s="84" t="s">
        <v>368</v>
      </c>
      <c r="B5009" s="83" t="s">
        <v>2569</v>
      </c>
      <c r="C5009" s="91" t="s">
        <v>1218</v>
      </c>
    </row>
    <row r="5010" spans="1:3" ht="15">
      <c r="A5010" s="84" t="s">
        <v>368</v>
      </c>
      <c r="B5010" s="83">
        <v>19</v>
      </c>
      <c r="C5010" s="91" t="s">
        <v>1218</v>
      </c>
    </row>
    <row r="5011" spans="1:3" ht="15">
      <c r="A5011" s="84" t="s">
        <v>368</v>
      </c>
      <c r="B5011" s="83" t="s">
        <v>3349</v>
      </c>
      <c r="C5011" s="91" t="s">
        <v>1218</v>
      </c>
    </row>
    <row r="5012" spans="1:3" ht="15">
      <c r="A5012" s="84" t="s">
        <v>368</v>
      </c>
      <c r="B5012" s="83" t="s">
        <v>2856</v>
      </c>
      <c r="C5012" s="91" t="s">
        <v>1218</v>
      </c>
    </row>
    <row r="5013" spans="1:3" ht="15">
      <c r="A5013" s="84" t="s">
        <v>368</v>
      </c>
      <c r="B5013" s="83" t="s">
        <v>2857</v>
      </c>
      <c r="C5013" s="91" t="s">
        <v>1218</v>
      </c>
    </row>
    <row r="5014" spans="1:3" ht="15">
      <c r="A5014" s="84" t="s">
        <v>368</v>
      </c>
      <c r="B5014" s="83" t="s">
        <v>2730</v>
      </c>
      <c r="C5014" s="91" t="s">
        <v>1218</v>
      </c>
    </row>
    <row r="5015" spans="1:3" ht="15">
      <c r="A5015" s="84" t="s">
        <v>368</v>
      </c>
      <c r="B5015" s="83" t="s">
        <v>2858</v>
      </c>
      <c r="C5015" s="91" t="s">
        <v>1218</v>
      </c>
    </row>
    <row r="5016" spans="1:3" ht="15">
      <c r="A5016" s="84" t="s">
        <v>368</v>
      </c>
      <c r="B5016" s="83" t="s">
        <v>2665</v>
      </c>
      <c r="C5016" s="91" t="s">
        <v>1218</v>
      </c>
    </row>
    <row r="5017" spans="1:3" ht="15">
      <c r="A5017" s="84" t="s">
        <v>368</v>
      </c>
      <c r="B5017" s="83" t="s">
        <v>2568</v>
      </c>
      <c r="C5017" s="91" t="s">
        <v>1218</v>
      </c>
    </row>
    <row r="5018" spans="1:3" ht="15">
      <c r="A5018" s="84" t="s">
        <v>368</v>
      </c>
      <c r="B5018" s="83" t="s">
        <v>2772</v>
      </c>
      <c r="C5018" s="91" t="s">
        <v>1218</v>
      </c>
    </row>
    <row r="5019" spans="1:3" ht="15">
      <c r="A5019" s="84" t="s">
        <v>368</v>
      </c>
      <c r="B5019" s="83" t="s">
        <v>2797</v>
      </c>
      <c r="C5019" s="91" t="s">
        <v>1218</v>
      </c>
    </row>
    <row r="5020" spans="1:3" ht="15">
      <c r="A5020" s="84" t="s">
        <v>368</v>
      </c>
      <c r="B5020" s="83" t="s">
        <v>3350</v>
      </c>
      <c r="C5020" s="91" t="s">
        <v>1218</v>
      </c>
    </row>
    <row r="5021" spans="1:3" ht="15">
      <c r="A5021" s="84" t="s">
        <v>368</v>
      </c>
      <c r="B5021" s="83" t="s">
        <v>586</v>
      </c>
      <c r="C5021" s="91" t="s">
        <v>1218</v>
      </c>
    </row>
    <row r="5022" spans="1:3" ht="15">
      <c r="A5022" s="84" t="s">
        <v>368</v>
      </c>
      <c r="B5022" s="83" t="s">
        <v>3198</v>
      </c>
      <c r="C5022" s="91" t="s">
        <v>1218</v>
      </c>
    </row>
    <row r="5023" spans="1:3" ht="15">
      <c r="A5023" s="84" t="s">
        <v>368</v>
      </c>
      <c r="B5023" s="83" t="s">
        <v>2591</v>
      </c>
      <c r="C5023" s="91" t="s">
        <v>1218</v>
      </c>
    </row>
    <row r="5024" spans="1:3" ht="15">
      <c r="A5024" s="84" t="s">
        <v>368</v>
      </c>
      <c r="B5024" s="83" t="s">
        <v>3351</v>
      </c>
      <c r="C5024" s="91" t="s">
        <v>1218</v>
      </c>
    </row>
    <row r="5025" spans="1:3" ht="15">
      <c r="A5025" s="84" t="s">
        <v>409</v>
      </c>
      <c r="B5025" s="83" t="s">
        <v>2650</v>
      </c>
      <c r="C5025" s="91" t="s">
        <v>1361</v>
      </c>
    </row>
    <row r="5026" spans="1:3" ht="15">
      <c r="A5026" s="84" t="s">
        <v>409</v>
      </c>
      <c r="B5026" s="83">
        <v>15</v>
      </c>
      <c r="C5026" s="91" t="s">
        <v>1361</v>
      </c>
    </row>
    <row r="5027" spans="1:3" ht="15">
      <c r="A5027" s="84" t="s">
        <v>409</v>
      </c>
      <c r="B5027" s="83" t="s">
        <v>3264</v>
      </c>
      <c r="C5027" s="91" t="s">
        <v>1361</v>
      </c>
    </row>
    <row r="5028" spans="1:3" ht="15">
      <c r="A5028" s="84" t="s">
        <v>409</v>
      </c>
      <c r="B5028" s="83" t="s">
        <v>2853</v>
      </c>
      <c r="C5028" s="91" t="s">
        <v>1361</v>
      </c>
    </row>
    <row r="5029" spans="1:3" ht="15">
      <c r="A5029" s="84" t="s">
        <v>409</v>
      </c>
      <c r="B5029" s="83" t="s">
        <v>2590</v>
      </c>
      <c r="C5029" s="91" t="s">
        <v>1361</v>
      </c>
    </row>
    <row r="5030" spans="1:3" ht="15">
      <c r="A5030" s="84" t="s">
        <v>409</v>
      </c>
      <c r="B5030" s="83" t="s">
        <v>2742</v>
      </c>
      <c r="C5030" s="91" t="s">
        <v>1361</v>
      </c>
    </row>
    <row r="5031" spans="1:3" ht="15">
      <c r="A5031" s="84" t="s">
        <v>409</v>
      </c>
      <c r="B5031" s="83" t="s">
        <v>2854</v>
      </c>
      <c r="C5031" s="91" t="s">
        <v>1361</v>
      </c>
    </row>
    <row r="5032" spans="1:3" ht="15">
      <c r="A5032" s="84" t="s">
        <v>409</v>
      </c>
      <c r="B5032" s="83" t="s">
        <v>3348</v>
      </c>
      <c r="C5032" s="91" t="s">
        <v>1361</v>
      </c>
    </row>
    <row r="5033" spans="1:3" ht="15">
      <c r="A5033" s="84" t="s">
        <v>409</v>
      </c>
      <c r="B5033" s="83" t="s">
        <v>2735</v>
      </c>
      <c r="C5033" s="91" t="s">
        <v>1361</v>
      </c>
    </row>
    <row r="5034" spans="1:3" ht="15">
      <c r="A5034" s="84" t="s">
        <v>409</v>
      </c>
      <c r="B5034" s="83" t="s">
        <v>2634</v>
      </c>
      <c r="C5034" s="91" t="s">
        <v>1361</v>
      </c>
    </row>
    <row r="5035" spans="1:3" ht="15">
      <c r="A5035" s="84" t="s">
        <v>409</v>
      </c>
      <c r="B5035" s="83" t="s">
        <v>2855</v>
      </c>
      <c r="C5035" s="91" t="s">
        <v>1361</v>
      </c>
    </row>
    <row r="5036" spans="1:3" ht="15">
      <c r="A5036" s="84" t="s">
        <v>409</v>
      </c>
      <c r="B5036" s="83" t="s">
        <v>2578</v>
      </c>
      <c r="C5036" s="91" t="s">
        <v>1361</v>
      </c>
    </row>
    <row r="5037" spans="1:3" ht="15">
      <c r="A5037" s="84" t="s">
        <v>409</v>
      </c>
      <c r="B5037" s="83" t="s">
        <v>2657</v>
      </c>
      <c r="C5037" s="91" t="s">
        <v>1361</v>
      </c>
    </row>
    <row r="5038" spans="1:3" ht="15">
      <c r="A5038" s="84" t="s">
        <v>409</v>
      </c>
      <c r="B5038" s="83" t="s">
        <v>2736</v>
      </c>
      <c r="C5038" s="91" t="s">
        <v>1361</v>
      </c>
    </row>
    <row r="5039" spans="1:3" ht="15">
      <c r="A5039" s="84" t="s">
        <v>409</v>
      </c>
      <c r="B5039" s="83" t="s">
        <v>2569</v>
      </c>
      <c r="C5039" s="91" t="s">
        <v>1361</v>
      </c>
    </row>
    <row r="5040" spans="1:3" ht="15">
      <c r="A5040" s="84" t="s">
        <v>409</v>
      </c>
      <c r="B5040" s="83">
        <v>19</v>
      </c>
      <c r="C5040" s="91" t="s">
        <v>1361</v>
      </c>
    </row>
    <row r="5041" spans="1:3" ht="15">
      <c r="A5041" s="84" t="s">
        <v>409</v>
      </c>
      <c r="B5041" s="83" t="s">
        <v>3349</v>
      </c>
      <c r="C5041" s="91" t="s">
        <v>1361</v>
      </c>
    </row>
    <row r="5042" spans="1:3" ht="15">
      <c r="A5042" s="84" t="s">
        <v>409</v>
      </c>
      <c r="B5042" s="83" t="s">
        <v>2856</v>
      </c>
      <c r="C5042" s="91" t="s">
        <v>1361</v>
      </c>
    </row>
    <row r="5043" spans="1:3" ht="15">
      <c r="A5043" s="84" t="s">
        <v>409</v>
      </c>
      <c r="B5043" s="83" t="s">
        <v>2857</v>
      </c>
      <c r="C5043" s="91" t="s">
        <v>1361</v>
      </c>
    </row>
    <row r="5044" spans="1:3" ht="15">
      <c r="A5044" s="84" t="s">
        <v>409</v>
      </c>
      <c r="B5044" s="83" t="s">
        <v>2730</v>
      </c>
      <c r="C5044" s="91" t="s">
        <v>1361</v>
      </c>
    </row>
    <row r="5045" spans="1:3" ht="15">
      <c r="A5045" s="84" t="s">
        <v>409</v>
      </c>
      <c r="B5045" s="83" t="s">
        <v>2858</v>
      </c>
      <c r="C5045" s="91" t="s">
        <v>1361</v>
      </c>
    </row>
    <row r="5046" spans="1:3" ht="15">
      <c r="A5046" s="84" t="s">
        <v>409</v>
      </c>
      <c r="B5046" s="83" t="s">
        <v>2665</v>
      </c>
      <c r="C5046" s="91" t="s">
        <v>1361</v>
      </c>
    </row>
    <row r="5047" spans="1:3" ht="15">
      <c r="A5047" s="84" t="s">
        <v>409</v>
      </c>
      <c r="B5047" s="83" t="s">
        <v>2568</v>
      </c>
      <c r="C5047" s="91" t="s">
        <v>1361</v>
      </c>
    </row>
    <row r="5048" spans="1:3" ht="15">
      <c r="A5048" s="84" t="s">
        <v>409</v>
      </c>
      <c r="B5048" s="83" t="s">
        <v>2772</v>
      </c>
      <c r="C5048" s="91" t="s">
        <v>1361</v>
      </c>
    </row>
    <row r="5049" spans="1:3" ht="15">
      <c r="A5049" s="84" t="s">
        <v>409</v>
      </c>
      <c r="B5049" s="83" t="s">
        <v>2797</v>
      </c>
      <c r="C5049" s="91" t="s">
        <v>1361</v>
      </c>
    </row>
    <row r="5050" spans="1:3" ht="15">
      <c r="A5050" s="84" t="s">
        <v>409</v>
      </c>
      <c r="B5050" s="83" t="s">
        <v>3350</v>
      </c>
      <c r="C5050" s="91" t="s">
        <v>1361</v>
      </c>
    </row>
    <row r="5051" spans="1:3" ht="15">
      <c r="A5051" s="84" t="s">
        <v>409</v>
      </c>
      <c r="B5051" s="83" t="s">
        <v>586</v>
      </c>
      <c r="C5051" s="91" t="s">
        <v>1361</v>
      </c>
    </row>
    <row r="5052" spans="1:3" ht="15">
      <c r="A5052" s="84" t="s">
        <v>409</v>
      </c>
      <c r="B5052" s="83" t="s">
        <v>3198</v>
      </c>
      <c r="C5052" s="91" t="s">
        <v>1361</v>
      </c>
    </row>
    <row r="5053" spans="1:3" ht="15">
      <c r="A5053" s="84" t="s">
        <v>409</v>
      </c>
      <c r="B5053" s="83" t="s">
        <v>2591</v>
      </c>
      <c r="C5053" s="91" t="s">
        <v>1361</v>
      </c>
    </row>
    <row r="5054" spans="1:3" ht="15">
      <c r="A5054" s="84" t="s">
        <v>409</v>
      </c>
      <c r="B5054" s="83" t="s">
        <v>3351</v>
      </c>
      <c r="C5054" s="91" t="s">
        <v>1361</v>
      </c>
    </row>
    <row r="5055" spans="1:3" ht="15">
      <c r="A5055" s="84" t="s">
        <v>408</v>
      </c>
      <c r="B5055" s="83" t="s">
        <v>2650</v>
      </c>
      <c r="C5055" s="91" t="s">
        <v>1360</v>
      </c>
    </row>
    <row r="5056" spans="1:3" ht="15">
      <c r="A5056" s="84" t="s">
        <v>408</v>
      </c>
      <c r="B5056" s="83">
        <v>15</v>
      </c>
      <c r="C5056" s="91" t="s">
        <v>1360</v>
      </c>
    </row>
    <row r="5057" spans="1:3" ht="15">
      <c r="A5057" s="84" t="s">
        <v>408</v>
      </c>
      <c r="B5057" s="83" t="s">
        <v>3264</v>
      </c>
      <c r="C5057" s="91" t="s">
        <v>1360</v>
      </c>
    </row>
    <row r="5058" spans="1:3" ht="15">
      <c r="A5058" s="84" t="s">
        <v>408</v>
      </c>
      <c r="B5058" s="83" t="s">
        <v>2853</v>
      </c>
      <c r="C5058" s="91" t="s">
        <v>1360</v>
      </c>
    </row>
    <row r="5059" spans="1:3" ht="15">
      <c r="A5059" s="84" t="s">
        <v>408</v>
      </c>
      <c r="B5059" s="83" t="s">
        <v>2590</v>
      </c>
      <c r="C5059" s="91" t="s">
        <v>1360</v>
      </c>
    </row>
    <row r="5060" spans="1:3" ht="15">
      <c r="A5060" s="84" t="s">
        <v>408</v>
      </c>
      <c r="B5060" s="83" t="s">
        <v>2742</v>
      </c>
      <c r="C5060" s="91" t="s">
        <v>1360</v>
      </c>
    </row>
    <row r="5061" spans="1:3" ht="15">
      <c r="A5061" s="84" t="s">
        <v>408</v>
      </c>
      <c r="B5061" s="83" t="s">
        <v>2854</v>
      </c>
      <c r="C5061" s="91" t="s">
        <v>1360</v>
      </c>
    </row>
    <row r="5062" spans="1:3" ht="15">
      <c r="A5062" s="84" t="s">
        <v>408</v>
      </c>
      <c r="B5062" s="83" t="s">
        <v>3348</v>
      </c>
      <c r="C5062" s="91" t="s">
        <v>1360</v>
      </c>
    </row>
    <row r="5063" spans="1:3" ht="15">
      <c r="A5063" s="84" t="s">
        <v>408</v>
      </c>
      <c r="B5063" s="83" t="s">
        <v>2735</v>
      </c>
      <c r="C5063" s="91" t="s">
        <v>1360</v>
      </c>
    </row>
    <row r="5064" spans="1:3" ht="15">
      <c r="A5064" s="84" t="s">
        <v>408</v>
      </c>
      <c r="B5064" s="83" t="s">
        <v>2634</v>
      </c>
      <c r="C5064" s="91" t="s">
        <v>1360</v>
      </c>
    </row>
    <row r="5065" spans="1:3" ht="15">
      <c r="A5065" s="84" t="s">
        <v>408</v>
      </c>
      <c r="B5065" s="83" t="s">
        <v>2855</v>
      </c>
      <c r="C5065" s="91" t="s">
        <v>1360</v>
      </c>
    </row>
    <row r="5066" spans="1:3" ht="15">
      <c r="A5066" s="84" t="s">
        <v>408</v>
      </c>
      <c r="B5066" s="83" t="s">
        <v>2578</v>
      </c>
      <c r="C5066" s="91" t="s">
        <v>1360</v>
      </c>
    </row>
    <row r="5067" spans="1:3" ht="15">
      <c r="A5067" s="84" t="s">
        <v>408</v>
      </c>
      <c r="B5067" s="83" t="s">
        <v>2657</v>
      </c>
      <c r="C5067" s="91" t="s">
        <v>1360</v>
      </c>
    </row>
    <row r="5068" spans="1:3" ht="15">
      <c r="A5068" s="84" t="s">
        <v>408</v>
      </c>
      <c r="B5068" s="83" t="s">
        <v>2736</v>
      </c>
      <c r="C5068" s="91" t="s">
        <v>1360</v>
      </c>
    </row>
    <row r="5069" spans="1:3" ht="15">
      <c r="A5069" s="84" t="s">
        <v>408</v>
      </c>
      <c r="B5069" s="83" t="s">
        <v>2569</v>
      </c>
      <c r="C5069" s="91" t="s">
        <v>1360</v>
      </c>
    </row>
    <row r="5070" spans="1:3" ht="15">
      <c r="A5070" s="84" t="s">
        <v>408</v>
      </c>
      <c r="B5070" s="83">
        <v>19</v>
      </c>
      <c r="C5070" s="91" t="s">
        <v>1360</v>
      </c>
    </row>
    <row r="5071" spans="1:3" ht="15">
      <c r="A5071" s="84" t="s">
        <v>408</v>
      </c>
      <c r="B5071" s="83" t="s">
        <v>3349</v>
      </c>
      <c r="C5071" s="91" t="s">
        <v>1360</v>
      </c>
    </row>
    <row r="5072" spans="1:3" ht="15">
      <c r="A5072" s="84" t="s">
        <v>408</v>
      </c>
      <c r="B5072" s="83" t="s">
        <v>2856</v>
      </c>
      <c r="C5072" s="91" t="s">
        <v>1360</v>
      </c>
    </row>
    <row r="5073" spans="1:3" ht="15">
      <c r="A5073" s="84" t="s">
        <v>408</v>
      </c>
      <c r="B5073" s="83" t="s">
        <v>2857</v>
      </c>
      <c r="C5073" s="91" t="s">
        <v>1360</v>
      </c>
    </row>
    <row r="5074" spans="1:3" ht="15">
      <c r="A5074" s="84" t="s">
        <v>408</v>
      </c>
      <c r="B5074" s="83" t="s">
        <v>2730</v>
      </c>
      <c r="C5074" s="91" t="s">
        <v>1360</v>
      </c>
    </row>
    <row r="5075" spans="1:3" ht="15">
      <c r="A5075" s="84" t="s">
        <v>408</v>
      </c>
      <c r="B5075" s="83" t="s">
        <v>2858</v>
      </c>
      <c r="C5075" s="91" t="s">
        <v>1360</v>
      </c>
    </row>
    <row r="5076" spans="1:3" ht="15">
      <c r="A5076" s="84" t="s">
        <v>408</v>
      </c>
      <c r="B5076" s="83" t="s">
        <v>2665</v>
      </c>
      <c r="C5076" s="91" t="s">
        <v>1360</v>
      </c>
    </row>
    <row r="5077" spans="1:3" ht="15">
      <c r="A5077" s="84" t="s">
        <v>408</v>
      </c>
      <c r="B5077" s="83" t="s">
        <v>2568</v>
      </c>
      <c r="C5077" s="91" t="s">
        <v>1360</v>
      </c>
    </row>
    <row r="5078" spans="1:3" ht="15">
      <c r="A5078" s="84" t="s">
        <v>408</v>
      </c>
      <c r="B5078" s="83" t="s">
        <v>2772</v>
      </c>
      <c r="C5078" s="91" t="s">
        <v>1360</v>
      </c>
    </row>
    <row r="5079" spans="1:3" ht="15">
      <c r="A5079" s="84" t="s">
        <v>408</v>
      </c>
      <c r="B5079" s="83" t="s">
        <v>2797</v>
      </c>
      <c r="C5079" s="91" t="s">
        <v>1360</v>
      </c>
    </row>
    <row r="5080" spans="1:3" ht="15">
      <c r="A5080" s="84" t="s">
        <v>408</v>
      </c>
      <c r="B5080" s="83" t="s">
        <v>3350</v>
      </c>
      <c r="C5080" s="91" t="s">
        <v>1360</v>
      </c>
    </row>
    <row r="5081" spans="1:3" ht="15">
      <c r="A5081" s="84" t="s">
        <v>408</v>
      </c>
      <c r="B5081" s="83" t="s">
        <v>586</v>
      </c>
      <c r="C5081" s="91" t="s">
        <v>1360</v>
      </c>
    </row>
    <row r="5082" spans="1:3" ht="15">
      <c r="A5082" s="84" t="s">
        <v>408</v>
      </c>
      <c r="B5082" s="83" t="s">
        <v>3198</v>
      </c>
      <c r="C5082" s="91" t="s">
        <v>1360</v>
      </c>
    </row>
    <row r="5083" spans="1:3" ht="15">
      <c r="A5083" s="84" t="s">
        <v>408</v>
      </c>
      <c r="B5083" s="83" t="s">
        <v>2591</v>
      </c>
      <c r="C5083" s="91" t="s">
        <v>1360</v>
      </c>
    </row>
    <row r="5084" spans="1:3" ht="15">
      <c r="A5084" s="84" t="s">
        <v>408</v>
      </c>
      <c r="B5084" s="83" t="s">
        <v>3351</v>
      </c>
      <c r="C5084" s="91" t="s">
        <v>1360</v>
      </c>
    </row>
    <row r="5085" spans="1:3" ht="15">
      <c r="A5085" s="84" t="s">
        <v>367</v>
      </c>
      <c r="B5085" s="83" t="s">
        <v>2650</v>
      </c>
      <c r="C5085" s="91" t="s">
        <v>1217</v>
      </c>
    </row>
    <row r="5086" spans="1:3" ht="15">
      <c r="A5086" s="84" t="s">
        <v>367</v>
      </c>
      <c r="B5086" s="83">
        <v>15</v>
      </c>
      <c r="C5086" s="91" t="s">
        <v>1217</v>
      </c>
    </row>
    <row r="5087" spans="1:3" ht="15">
      <c r="A5087" s="84" t="s">
        <v>367</v>
      </c>
      <c r="B5087" s="83" t="s">
        <v>3264</v>
      </c>
      <c r="C5087" s="91" t="s">
        <v>1217</v>
      </c>
    </row>
    <row r="5088" spans="1:3" ht="15">
      <c r="A5088" s="84" t="s">
        <v>367</v>
      </c>
      <c r="B5088" s="83" t="s">
        <v>2853</v>
      </c>
      <c r="C5088" s="91" t="s">
        <v>1217</v>
      </c>
    </row>
    <row r="5089" spans="1:3" ht="15">
      <c r="A5089" s="84" t="s">
        <v>367</v>
      </c>
      <c r="B5089" s="83" t="s">
        <v>2590</v>
      </c>
      <c r="C5089" s="91" t="s">
        <v>1217</v>
      </c>
    </row>
    <row r="5090" spans="1:3" ht="15">
      <c r="A5090" s="84" t="s">
        <v>367</v>
      </c>
      <c r="B5090" s="83" t="s">
        <v>2742</v>
      </c>
      <c r="C5090" s="91" t="s">
        <v>1217</v>
      </c>
    </row>
    <row r="5091" spans="1:3" ht="15">
      <c r="A5091" s="84" t="s">
        <v>367</v>
      </c>
      <c r="B5091" s="83" t="s">
        <v>2854</v>
      </c>
      <c r="C5091" s="91" t="s">
        <v>1217</v>
      </c>
    </row>
    <row r="5092" spans="1:3" ht="15">
      <c r="A5092" s="84" t="s">
        <v>367</v>
      </c>
      <c r="B5092" s="83" t="s">
        <v>3348</v>
      </c>
      <c r="C5092" s="91" t="s">
        <v>1217</v>
      </c>
    </row>
    <row r="5093" spans="1:3" ht="15">
      <c r="A5093" s="84" t="s">
        <v>367</v>
      </c>
      <c r="B5093" s="83" t="s">
        <v>2735</v>
      </c>
      <c r="C5093" s="91" t="s">
        <v>1217</v>
      </c>
    </row>
    <row r="5094" spans="1:3" ht="15">
      <c r="A5094" s="84" t="s">
        <v>367</v>
      </c>
      <c r="B5094" s="83" t="s">
        <v>2634</v>
      </c>
      <c r="C5094" s="91" t="s">
        <v>1217</v>
      </c>
    </row>
    <row r="5095" spans="1:3" ht="15">
      <c r="A5095" s="84" t="s">
        <v>367</v>
      </c>
      <c r="B5095" s="83" t="s">
        <v>2855</v>
      </c>
      <c r="C5095" s="91" t="s">
        <v>1217</v>
      </c>
    </row>
    <row r="5096" spans="1:3" ht="15">
      <c r="A5096" s="84" t="s">
        <v>367</v>
      </c>
      <c r="B5096" s="83" t="s">
        <v>2578</v>
      </c>
      <c r="C5096" s="91" t="s">
        <v>1217</v>
      </c>
    </row>
    <row r="5097" spans="1:3" ht="15">
      <c r="A5097" s="84" t="s">
        <v>367</v>
      </c>
      <c r="B5097" s="83" t="s">
        <v>2657</v>
      </c>
      <c r="C5097" s="91" t="s">
        <v>1217</v>
      </c>
    </row>
    <row r="5098" spans="1:3" ht="15">
      <c r="A5098" s="84" t="s">
        <v>367</v>
      </c>
      <c r="B5098" s="83" t="s">
        <v>2736</v>
      </c>
      <c r="C5098" s="91" t="s">
        <v>1217</v>
      </c>
    </row>
    <row r="5099" spans="1:3" ht="15">
      <c r="A5099" s="84" t="s">
        <v>367</v>
      </c>
      <c r="B5099" s="83" t="s">
        <v>2569</v>
      </c>
      <c r="C5099" s="91" t="s">
        <v>1217</v>
      </c>
    </row>
    <row r="5100" spans="1:3" ht="15">
      <c r="A5100" s="84" t="s">
        <v>367</v>
      </c>
      <c r="B5100" s="83">
        <v>19</v>
      </c>
      <c r="C5100" s="91" t="s">
        <v>1217</v>
      </c>
    </row>
    <row r="5101" spans="1:3" ht="15">
      <c r="A5101" s="84" t="s">
        <v>367</v>
      </c>
      <c r="B5101" s="83" t="s">
        <v>3349</v>
      </c>
      <c r="C5101" s="91" t="s">
        <v>1217</v>
      </c>
    </row>
    <row r="5102" spans="1:3" ht="15">
      <c r="A5102" s="84" t="s">
        <v>367</v>
      </c>
      <c r="B5102" s="83" t="s">
        <v>2856</v>
      </c>
      <c r="C5102" s="91" t="s">
        <v>1217</v>
      </c>
    </row>
    <row r="5103" spans="1:3" ht="15">
      <c r="A5103" s="84" t="s">
        <v>367</v>
      </c>
      <c r="B5103" s="83" t="s">
        <v>2857</v>
      </c>
      <c r="C5103" s="91" t="s">
        <v>1217</v>
      </c>
    </row>
    <row r="5104" spans="1:3" ht="15">
      <c r="A5104" s="84" t="s">
        <v>367</v>
      </c>
      <c r="B5104" s="83" t="s">
        <v>2730</v>
      </c>
      <c r="C5104" s="91" t="s">
        <v>1217</v>
      </c>
    </row>
    <row r="5105" spans="1:3" ht="15">
      <c r="A5105" s="84" t="s">
        <v>367</v>
      </c>
      <c r="B5105" s="83" t="s">
        <v>2858</v>
      </c>
      <c r="C5105" s="91" t="s">
        <v>1217</v>
      </c>
    </row>
    <row r="5106" spans="1:3" ht="15">
      <c r="A5106" s="84" t="s">
        <v>367</v>
      </c>
      <c r="B5106" s="83" t="s">
        <v>2665</v>
      </c>
      <c r="C5106" s="91" t="s">
        <v>1217</v>
      </c>
    </row>
    <row r="5107" spans="1:3" ht="15">
      <c r="A5107" s="84" t="s">
        <v>367</v>
      </c>
      <c r="B5107" s="83" t="s">
        <v>2568</v>
      </c>
      <c r="C5107" s="91" t="s">
        <v>1217</v>
      </c>
    </row>
    <row r="5108" spans="1:3" ht="15">
      <c r="A5108" s="84" t="s">
        <v>367</v>
      </c>
      <c r="B5108" s="83" t="s">
        <v>2772</v>
      </c>
      <c r="C5108" s="91" t="s">
        <v>1217</v>
      </c>
    </row>
    <row r="5109" spans="1:3" ht="15">
      <c r="A5109" s="84" t="s">
        <v>367</v>
      </c>
      <c r="B5109" s="83" t="s">
        <v>2797</v>
      </c>
      <c r="C5109" s="91" t="s">
        <v>1217</v>
      </c>
    </row>
    <row r="5110" spans="1:3" ht="15">
      <c r="A5110" s="84" t="s">
        <v>367</v>
      </c>
      <c r="B5110" s="83" t="s">
        <v>3350</v>
      </c>
      <c r="C5110" s="91" t="s">
        <v>1217</v>
      </c>
    </row>
    <row r="5111" spans="1:3" ht="15">
      <c r="A5111" s="84" t="s">
        <v>367</v>
      </c>
      <c r="B5111" s="83" t="s">
        <v>586</v>
      </c>
      <c r="C5111" s="91" t="s">
        <v>1217</v>
      </c>
    </row>
    <row r="5112" spans="1:3" ht="15">
      <c r="A5112" s="84" t="s">
        <v>367</v>
      </c>
      <c r="B5112" s="83" t="s">
        <v>3198</v>
      </c>
      <c r="C5112" s="91" t="s">
        <v>1217</v>
      </c>
    </row>
    <row r="5113" spans="1:3" ht="15">
      <c r="A5113" s="84" t="s">
        <v>367</v>
      </c>
      <c r="B5113" s="83" t="s">
        <v>2591</v>
      </c>
      <c r="C5113" s="91" t="s">
        <v>1217</v>
      </c>
    </row>
    <row r="5114" spans="1:3" ht="15">
      <c r="A5114" s="84" t="s">
        <v>367</v>
      </c>
      <c r="B5114" s="83" t="s">
        <v>3351</v>
      </c>
      <c r="C5114" s="91" t="s">
        <v>1217</v>
      </c>
    </row>
    <row r="5115" spans="1:3" ht="15">
      <c r="A5115" s="84" t="s">
        <v>366</v>
      </c>
      <c r="B5115" s="83" t="s">
        <v>3449</v>
      </c>
      <c r="C5115" s="91" t="s">
        <v>1216</v>
      </c>
    </row>
    <row r="5116" spans="1:3" ht="15">
      <c r="A5116" s="84" t="s">
        <v>366</v>
      </c>
      <c r="B5116" s="83" t="s">
        <v>3094</v>
      </c>
      <c r="C5116" s="91" t="s">
        <v>1216</v>
      </c>
    </row>
    <row r="5117" spans="1:3" ht="15">
      <c r="A5117" s="84" t="s">
        <v>366</v>
      </c>
      <c r="B5117" s="83" t="s">
        <v>3518</v>
      </c>
      <c r="C5117" s="91" t="s">
        <v>1216</v>
      </c>
    </row>
    <row r="5118" spans="1:3" ht="15">
      <c r="A5118" s="84" t="s">
        <v>366</v>
      </c>
      <c r="B5118" s="83" t="s">
        <v>3203</v>
      </c>
      <c r="C5118" s="91" t="s">
        <v>1216</v>
      </c>
    </row>
    <row r="5119" spans="1:3" ht="15">
      <c r="A5119" s="84" t="s">
        <v>366</v>
      </c>
      <c r="B5119" s="83">
        <v>19</v>
      </c>
      <c r="C5119" s="91" t="s">
        <v>1216</v>
      </c>
    </row>
    <row r="5120" spans="1:3" ht="15">
      <c r="A5120" s="84" t="s">
        <v>366</v>
      </c>
      <c r="B5120" s="83" t="s">
        <v>2590</v>
      </c>
      <c r="C5120" s="91" t="s">
        <v>1216</v>
      </c>
    </row>
    <row r="5121" spans="1:3" ht="15">
      <c r="A5121" s="84" t="s">
        <v>366</v>
      </c>
      <c r="B5121" s="83" t="s">
        <v>3519</v>
      </c>
      <c r="C5121" s="91" t="s">
        <v>1216</v>
      </c>
    </row>
    <row r="5122" spans="1:3" ht="15">
      <c r="A5122" s="84" t="s">
        <v>366</v>
      </c>
      <c r="B5122" s="83" t="s">
        <v>15</v>
      </c>
      <c r="C5122" s="91" t="s">
        <v>1216</v>
      </c>
    </row>
    <row r="5123" spans="1:3" ht="15">
      <c r="A5123" s="84" t="s">
        <v>366</v>
      </c>
      <c r="B5123" s="83" t="s">
        <v>3317</v>
      </c>
      <c r="C5123" s="91" t="s">
        <v>1216</v>
      </c>
    </row>
    <row r="5124" spans="1:3" ht="15">
      <c r="A5124" s="84" t="s">
        <v>366</v>
      </c>
      <c r="B5124" s="83" t="s">
        <v>2718</v>
      </c>
      <c r="C5124" s="91" t="s">
        <v>1216</v>
      </c>
    </row>
    <row r="5125" spans="1:3" ht="15">
      <c r="A5125" s="84" t="s">
        <v>366</v>
      </c>
      <c r="B5125" s="83" t="s">
        <v>3217</v>
      </c>
      <c r="C5125" s="91" t="s">
        <v>1216</v>
      </c>
    </row>
    <row r="5126" spans="1:3" ht="15">
      <c r="A5126" s="84" t="s">
        <v>366</v>
      </c>
      <c r="B5126" s="83" t="s">
        <v>3520</v>
      </c>
      <c r="C5126" s="91" t="s">
        <v>1216</v>
      </c>
    </row>
    <row r="5127" spans="1:3" ht="15">
      <c r="A5127" s="84" t="s">
        <v>366</v>
      </c>
      <c r="B5127" s="83" t="s">
        <v>3098</v>
      </c>
      <c r="C5127" s="91" t="s">
        <v>1216</v>
      </c>
    </row>
    <row r="5128" spans="1:3" ht="15">
      <c r="A5128" s="84" t="s">
        <v>366</v>
      </c>
      <c r="B5128" s="83" t="s">
        <v>2661</v>
      </c>
      <c r="C5128" s="91" t="s">
        <v>1216</v>
      </c>
    </row>
    <row r="5129" spans="1:3" ht="15">
      <c r="A5129" s="84" t="s">
        <v>366</v>
      </c>
      <c r="B5129" s="83" t="s">
        <v>3099</v>
      </c>
      <c r="C5129" s="91" t="s">
        <v>1216</v>
      </c>
    </row>
    <row r="5130" spans="1:3" ht="15">
      <c r="A5130" s="84" t="s">
        <v>366</v>
      </c>
      <c r="B5130" s="83" t="s">
        <v>3309</v>
      </c>
      <c r="C5130" s="91" t="s">
        <v>1216</v>
      </c>
    </row>
    <row r="5131" spans="1:3" ht="15">
      <c r="A5131" s="84" t="s">
        <v>366</v>
      </c>
      <c r="B5131" s="83" t="s">
        <v>3199</v>
      </c>
      <c r="C5131" s="91" t="s">
        <v>1216</v>
      </c>
    </row>
    <row r="5132" spans="1:3" ht="15">
      <c r="A5132" s="84" t="s">
        <v>366</v>
      </c>
      <c r="B5132" s="83" t="s">
        <v>3319</v>
      </c>
      <c r="C5132" s="91" t="s">
        <v>1216</v>
      </c>
    </row>
    <row r="5133" spans="1:3" ht="15">
      <c r="A5133" s="84" t="s">
        <v>365</v>
      </c>
      <c r="B5133" s="83" t="s">
        <v>3449</v>
      </c>
      <c r="C5133" s="91" t="s">
        <v>1215</v>
      </c>
    </row>
    <row r="5134" spans="1:3" ht="15">
      <c r="A5134" s="84" t="s">
        <v>365</v>
      </c>
      <c r="B5134" s="83" t="s">
        <v>3094</v>
      </c>
      <c r="C5134" s="91" t="s">
        <v>1215</v>
      </c>
    </row>
    <row r="5135" spans="1:3" ht="15">
      <c r="A5135" s="84" t="s">
        <v>365</v>
      </c>
      <c r="B5135" s="83" t="s">
        <v>3518</v>
      </c>
      <c r="C5135" s="91" t="s">
        <v>1215</v>
      </c>
    </row>
    <row r="5136" spans="1:3" ht="15">
      <c r="A5136" s="84" t="s">
        <v>365</v>
      </c>
      <c r="B5136" s="83" t="s">
        <v>3203</v>
      </c>
      <c r="C5136" s="91" t="s">
        <v>1215</v>
      </c>
    </row>
    <row r="5137" spans="1:3" ht="15">
      <c r="A5137" s="84" t="s">
        <v>365</v>
      </c>
      <c r="B5137" s="83">
        <v>19</v>
      </c>
      <c r="C5137" s="91" t="s">
        <v>1215</v>
      </c>
    </row>
    <row r="5138" spans="1:3" ht="15">
      <c r="A5138" s="84" t="s">
        <v>365</v>
      </c>
      <c r="B5138" s="83" t="s">
        <v>2590</v>
      </c>
      <c r="C5138" s="91" t="s">
        <v>1215</v>
      </c>
    </row>
    <row r="5139" spans="1:3" ht="15">
      <c r="A5139" s="84" t="s">
        <v>365</v>
      </c>
      <c r="B5139" s="83" t="s">
        <v>3519</v>
      </c>
      <c r="C5139" s="91" t="s">
        <v>1215</v>
      </c>
    </row>
    <row r="5140" spans="1:3" ht="15">
      <c r="A5140" s="84" t="s">
        <v>365</v>
      </c>
      <c r="B5140" s="83" t="s">
        <v>15</v>
      </c>
      <c r="C5140" s="91" t="s">
        <v>1215</v>
      </c>
    </row>
    <row r="5141" spans="1:3" ht="15">
      <c r="A5141" s="84" t="s">
        <v>365</v>
      </c>
      <c r="B5141" s="83" t="s">
        <v>3317</v>
      </c>
      <c r="C5141" s="91" t="s">
        <v>1215</v>
      </c>
    </row>
    <row r="5142" spans="1:3" ht="15">
      <c r="A5142" s="84" t="s">
        <v>365</v>
      </c>
      <c r="B5142" s="83" t="s">
        <v>2718</v>
      </c>
      <c r="C5142" s="91" t="s">
        <v>1215</v>
      </c>
    </row>
    <row r="5143" spans="1:3" ht="15">
      <c r="A5143" s="84" t="s">
        <v>365</v>
      </c>
      <c r="B5143" s="83" t="s">
        <v>3217</v>
      </c>
      <c r="C5143" s="91" t="s">
        <v>1215</v>
      </c>
    </row>
    <row r="5144" spans="1:3" ht="15">
      <c r="A5144" s="84" t="s">
        <v>365</v>
      </c>
      <c r="B5144" s="83" t="s">
        <v>3520</v>
      </c>
      <c r="C5144" s="91" t="s">
        <v>1215</v>
      </c>
    </row>
    <row r="5145" spans="1:3" ht="15">
      <c r="A5145" s="84" t="s">
        <v>365</v>
      </c>
      <c r="B5145" s="83" t="s">
        <v>3098</v>
      </c>
      <c r="C5145" s="91" t="s">
        <v>1215</v>
      </c>
    </row>
    <row r="5146" spans="1:3" ht="15">
      <c r="A5146" s="84" t="s">
        <v>365</v>
      </c>
      <c r="B5146" s="83" t="s">
        <v>2661</v>
      </c>
      <c r="C5146" s="91" t="s">
        <v>1215</v>
      </c>
    </row>
    <row r="5147" spans="1:3" ht="15">
      <c r="A5147" s="84" t="s">
        <v>365</v>
      </c>
      <c r="B5147" s="83" t="s">
        <v>3099</v>
      </c>
      <c r="C5147" s="91" t="s">
        <v>1215</v>
      </c>
    </row>
    <row r="5148" spans="1:3" ht="15">
      <c r="A5148" s="84" t="s">
        <v>365</v>
      </c>
      <c r="B5148" s="83" t="s">
        <v>3309</v>
      </c>
      <c r="C5148" s="91" t="s">
        <v>1215</v>
      </c>
    </row>
    <row r="5149" spans="1:3" ht="15">
      <c r="A5149" s="84" t="s">
        <v>365</v>
      </c>
      <c r="B5149" s="83" t="s">
        <v>3199</v>
      </c>
      <c r="C5149" s="91" t="s">
        <v>1215</v>
      </c>
    </row>
    <row r="5150" spans="1:3" ht="15">
      <c r="A5150" s="84" t="s">
        <v>365</v>
      </c>
      <c r="B5150" s="83" t="s">
        <v>3319</v>
      </c>
      <c r="C5150" s="91" t="s">
        <v>1215</v>
      </c>
    </row>
    <row r="5151" spans="1:3" ht="15">
      <c r="A5151" s="84" t="s">
        <v>364</v>
      </c>
      <c r="B5151" s="83" t="s">
        <v>3226</v>
      </c>
      <c r="C5151" s="91" t="s">
        <v>1214</v>
      </c>
    </row>
    <row r="5152" spans="1:3" ht="15">
      <c r="A5152" s="84" t="s">
        <v>364</v>
      </c>
      <c r="B5152" s="83" t="s">
        <v>3227</v>
      </c>
      <c r="C5152" s="91" t="s">
        <v>1214</v>
      </c>
    </row>
    <row r="5153" spans="1:3" ht="15">
      <c r="A5153" s="84" t="s">
        <v>364</v>
      </c>
      <c r="B5153" s="83" t="s">
        <v>2607</v>
      </c>
      <c r="C5153" s="91" t="s">
        <v>1214</v>
      </c>
    </row>
    <row r="5154" spans="1:3" ht="15">
      <c r="A5154" s="84" t="s">
        <v>364</v>
      </c>
      <c r="B5154" s="83" t="s">
        <v>2698</v>
      </c>
      <c r="C5154" s="91" t="s">
        <v>1214</v>
      </c>
    </row>
    <row r="5155" spans="1:3" ht="15">
      <c r="A5155" s="84" t="s">
        <v>364</v>
      </c>
      <c r="B5155" s="83" t="s">
        <v>2699</v>
      </c>
      <c r="C5155" s="91" t="s">
        <v>1214</v>
      </c>
    </row>
    <row r="5156" spans="1:3" ht="15">
      <c r="A5156" s="84" t="s">
        <v>364</v>
      </c>
      <c r="B5156" s="83" t="s">
        <v>3228</v>
      </c>
      <c r="C5156" s="91" t="s">
        <v>1214</v>
      </c>
    </row>
    <row r="5157" spans="1:3" ht="15">
      <c r="A5157" s="84" t="s">
        <v>364</v>
      </c>
      <c r="B5157" s="83" t="s">
        <v>2581</v>
      </c>
      <c r="C5157" s="91" t="s">
        <v>1214</v>
      </c>
    </row>
    <row r="5158" spans="1:3" ht="15">
      <c r="A5158" s="84" t="s">
        <v>364</v>
      </c>
      <c r="B5158" s="83" t="s">
        <v>2586</v>
      </c>
      <c r="C5158" s="91" t="s">
        <v>1214</v>
      </c>
    </row>
    <row r="5159" spans="1:3" ht="15">
      <c r="A5159" s="84" t="s">
        <v>364</v>
      </c>
      <c r="B5159" s="83" t="s">
        <v>2595</v>
      </c>
      <c r="C5159" s="91" t="s">
        <v>1214</v>
      </c>
    </row>
    <row r="5160" spans="1:3" ht="15">
      <c r="A5160" s="84" t="s">
        <v>364</v>
      </c>
      <c r="B5160" s="83" t="s">
        <v>2568</v>
      </c>
      <c r="C5160" s="91" t="s">
        <v>1214</v>
      </c>
    </row>
    <row r="5161" spans="1:3" ht="15">
      <c r="A5161" s="84" t="s">
        <v>364</v>
      </c>
      <c r="B5161" s="83" t="s">
        <v>2592</v>
      </c>
      <c r="C5161" s="91" t="s">
        <v>1214</v>
      </c>
    </row>
    <row r="5162" spans="1:3" ht="15">
      <c r="A5162" s="84" t="s">
        <v>364</v>
      </c>
      <c r="B5162" s="83" t="s">
        <v>3213</v>
      </c>
      <c r="C5162" s="91" t="s">
        <v>1214</v>
      </c>
    </row>
    <row r="5163" spans="1:3" ht="15">
      <c r="A5163" s="84" t="s">
        <v>364</v>
      </c>
      <c r="B5163" s="83" t="s">
        <v>2576</v>
      </c>
      <c r="C5163" s="91" t="s">
        <v>1214</v>
      </c>
    </row>
    <row r="5164" spans="1:3" ht="15">
      <c r="A5164" s="84" t="s">
        <v>364</v>
      </c>
      <c r="B5164" s="83" t="s">
        <v>3229</v>
      </c>
      <c r="C5164" s="91" t="s">
        <v>1214</v>
      </c>
    </row>
    <row r="5165" spans="1:3" ht="15">
      <c r="A5165" s="84" t="s">
        <v>364</v>
      </c>
      <c r="B5165" s="83" t="s">
        <v>3230</v>
      </c>
      <c r="C5165" s="91" t="s">
        <v>1214</v>
      </c>
    </row>
    <row r="5166" spans="1:3" ht="15">
      <c r="A5166" s="84" t="s">
        <v>364</v>
      </c>
      <c r="B5166" s="83" t="s">
        <v>2598</v>
      </c>
      <c r="C5166" s="91" t="s">
        <v>1214</v>
      </c>
    </row>
    <row r="5167" spans="1:3" ht="15">
      <c r="A5167" s="84" t="s">
        <v>364</v>
      </c>
      <c r="B5167" s="83" t="s">
        <v>3231</v>
      </c>
      <c r="C5167" s="91" t="s">
        <v>1214</v>
      </c>
    </row>
    <row r="5168" spans="1:3" ht="15">
      <c r="A5168" s="84" t="s">
        <v>364</v>
      </c>
      <c r="B5168" s="83" t="s">
        <v>3232</v>
      </c>
      <c r="C5168" s="91" t="s">
        <v>1214</v>
      </c>
    </row>
    <row r="5169" spans="1:3" ht="15">
      <c r="A5169" s="84" t="s">
        <v>364</v>
      </c>
      <c r="B5169" s="83" t="s">
        <v>3233</v>
      </c>
      <c r="C5169" s="91" t="s">
        <v>1214</v>
      </c>
    </row>
    <row r="5170" spans="1:3" ht="15">
      <c r="A5170" s="84" t="s">
        <v>364</v>
      </c>
      <c r="B5170" s="83" t="s">
        <v>3211</v>
      </c>
      <c r="C5170" s="91" t="s">
        <v>1214</v>
      </c>
    </row>
    <row r="5171" spans="1:3" ht="15">
      <c r="A5171" s="84" t="s">
        <v>364</v>
      </c>
      <c r="B5171" s="83" t="s">
        <v>3199</v>
      </c>
      <c r="C5171" s="91" t="s">
        <v>1214</v>
      </c>
    </row>
    <row r="5172" spans="1:3" ht="15">
      <c r="A5172" s="84" t="s">
        <v>364</v>
      </c>
      <c r="B5172" s="83" t="s">
        <v>3218</v>
      </c>
      <c r="C5172" s="91" t="s">
        <v>1214</v>
      </c>
    </row>
    <row r="5173" spans="1:3" ht="15">
      <c r="A5173" s="84" t="s">
        <v>364</v>
      </c>
      <c r="B5173" s="83" t="s">
        <v>3234</v>
      </c>
      <c r="C5173" s="91" t="s">
        <v>1214</v>
      </c>
    </row>
    <row r="5174" spans="1:3" ht="15">
      <c r="A5174" s="84" t="s">
        <v>364</v>
      </c>
      <c r="B5174" s="83" t="s">
        <v>3235</v>
      </c>
      <c r="C5174" s="91" t="s">
        <v>1214</v>
      </c>
    </row>
    <row r="5175" spans="1:3" ht="15">
      <c r="A5175" s="84" t="s">
        <v>364</v>
      </c>
      <c r="B5175" s="83" t="s">
        <v>3236</v>
      </c>
      <c r="C5175" s="91" t="s">
        <v>1214</v>
      </c>
    </row>
    <row r="5176" spans="1:3" ht="15">
      <c r="A5176" s="84" t="s">
        <v>364</v>
      </c>
      <c r="B5176" s="83" t="s">
        <v>3237</v>
      </c>
      <c r="C5176" s="91" t="s">
        <v>1214</v>
      </c>
    </row>
    <row r="5177" spans="1:3" ht="15">
      <c r="A5177" s="84" t="s">
        <v>364</v>
      </c>
      <c r="B5177" s="83" t="s">
        <v>3238</v>
      </c>
      <c r="C5177" s="91" t="s">
        <v>1214</v>
      </c>
    </row>
    <row r="5178" spans="1:3" ht="15">
      <c r="A5178" s="84" t="s">
        <v>364</v>
      </c>
      <c r="B5178" s="83" t="s">
        <v>3239</v>
      </c>
      <c r="C5178" s="91" t="s">
        <v>1214</v>
      </c>
    </row>
    <row r="5179" spans="1:3" ht="15">
      <c r="A5179" s="84" t="s">
        <v>364</v>
      </c>
      <c r="B5179" s="83" t="s">
        <v>3240</v>
      </c>
      <c r="C5179" s="91" t="s">
        <v>1214</v>
      </c>
    </row>
    <row r="5180" spans="1:3" ht="15">
      <c r="A5180" s="84" t="s">
        <v>364</v>
      </c>
      <c r="B5180" s="83" t="s">
        <v>3241</v>
      </c>
      <c r="C5180" s="91" t="s">
        <v>1214</v>
      </c>
    </row>
    <row r="5181" spans="1:3" ht="15">
      <c r="A5181" s="84" t="s">
        <v>364</v>
      </c>
      <c r="B5181" s="83" t="s">
        <v>3242</v>
      </c>
      <c r="C5181" s="91" t="s">
        <v>1214</v>
      </c>
    </row>
    <row r="5182" spans="1:3" ht="15">
      <c r="A5182" s="84" t="s">
        <v>364</v>
      </c>
      <c r="B5182" s="83" t="s">
        <v>2767</v>
      </c>
      <c r="C5182" s="91" t="s">
        <v>1214</v>
      </c>
    </row>
    <row r="5183" spans="1:3" ht="15">
      <c r="A5183" s="84" t="s">
        <v>364</v>
      </c>
      <c r="B5183" s="83" t="s">
        <v>3243</v>
      </c>
      <c r="C5183" s="91" t="s">
        <v>1214</v>
      </c>
    </row>
    <row r="5184" spans="1:3" ht="15">
      <c r="A5184" s="84" t="s">
        <v>364</v>
      </c>
      <c r="B5184" s="83" t="s">
        <v>3395</v>
      </c>
      <c r="C5184" s="91" t="s">
        <v>1214</v>
      </c>
    </row>
    <row r="5185" spans="1:3" ht="15">
      <c r="A5185" s="84" t="s">
        <v>363</v>
      </c>
      <c r="B5185" s="83" t="s">
        <v>3261</v>
      </c>
      <c r="C5185" s="91" t="s">
        <v>1213</v>
      </c>
    </row>
    <row r="5186" spans="1:3" ht="15">
      <c r="A5186" s="84" t="s">
        <v>363</v>
      </c>
      <c r="B5186" s="83" t="s">
        <v>2581</v>
      </c>
      <c r="C5186" s="91" t="s">
        <v>1213</v>
      </c>
    </row>
    <row r="5187" spans="1:3" ht="15">
      <c r="A5187" s="84" t="s">
        <v>363</v>
      </c>
      <c r="B5187" s="83" t="s">
        <v>2586</v>
      </c>
      <c r="C5187" s="91" t="s">
        <v>1213</v>
      </c>
    </row>
    <row r="5188" spans="1:3" ht="15">
      <c r="A5188" s="84" t="s">
        <v>363</v>
      </c>
      <c r="B5188" s="83" t="s">
        <v>2670</v>
      </c>
      <c r="C5188" s="91" t="s">
        <v>1213</v>
      </c>
    </row>
    <row r="5189" spans="1:3" ht="15">
      <c r="A5189" s="84" t="s">
        <v>363</v>
      </c>
      <c r="B5189" s="83" t="s">
        <v>2655</v>
      </c>
      <c r="C5189" s="91" t="s">
        <v>1213</v>
      </c>
    </row>
    <row r="5190" spans="1:3" ht="15">
      <c r="A5190" s="84" t="s">
        <v>363</v>
      </c>
      <c r="B5190" s="83" t="s">
        <v>2580</v>
      </c>
      <c r="C5190" s="91" t="s">
        <v>1213</v>
      </c>
    </row>
    <row r="5191" spans="1:3" ht="15">
      <c r="A5191" s="84" t="s">
        <v>363</v>
      </c>
      <c r="B5191" s="83" t="s">
        <v>2661</v>
      </c>
      <c r="C5191" s="91" t="s">
        <v>1213</v>
      </c>
    </row>
    <row r="5192" spans="1:3" ht="15">
      <c r="A5192" s="84" t="s">
        <v>363</v>
      </c>
      <c r="B5192" s="83" t="s">
        <v>2656</v>
      </c>
      <c r="C5192" s="91" t="s">
        <v>1213</v>
      </c>
    </row>
    <row r="5193" spans="1:3" ht="15">
      <c r="A5193" s="84" t="s">
        <v>363</v>
      </c>
      <c r="B5193" s="83" t="s">
        <v>3199</v>
      </c>
      <c r="C5193" s="91" t="s">
        <v>1213</v>
      </c>
    </row>
    <row r="5194" spans="1:3" ht="15">
      <c r="A5194" s="84" t="s">
        <v>363</v>
      </c>
      <c r="B5194" s="83" t="s">
        <v>133</v>
      </c>
      <c r="C5194" s="91" t="s">
        <v>1213</v>
      </c>
    </row>
    <row r="5195" spans="1:3" ht="15">
      <c r="A5195" s="84" t="s">
        <v>363</v>
      </c>
      <c r="B5195" s="83" t="s">
        <v>2657</v>
      </c>
      <c r="C5195" s="91" t="s">
        <v>1213</v>
      </c>
    </row>
    <row r="5196" spans="1:3" ht="15">
      <c r="A5196" s="84" t="s">
        <v>363</v>
      </c>
      <c r="B5196" s="83" t="s">
        <v>2576</v>
      </c>
      <c r="C5196" s="91" t="s">
        <v>1213</v>
      </c>
    </row>
    <row r="5197" spans="1:3" ht="15">
      <c r="A5197" s="84" t="s">
        <v>363</v>
      </c>
      <c r="B5197" s="83" t="s">
        <v>2569</v>
      </c>
      <c r="C5197" s="91" t="s">
        <v>1213</v>
      </c>
    </row>
    <row r="5198" spans="1:3" ht="15">
      <c r="A5198" s="84" t="s">
        <v>363</v>
      </c>
      <c r="B5198" s="83">
        <v>19</v>
      </c>
      <c r="C5198" s="91" t="s">
        <v>1213</v>
      </c>
    </row>
    <row r="5199" spans="1:3" ht="15">
      <c r="A5199" s="84" t="s">
        <v>363</v>
      </c>
      <c r="B5199" s="83" t="s">
        <v>2629</v>
      </c>
      <c r="C5199" s="91" t="s">
        <v>1213</v>
      </c>
    </row>
    <row r="5200" spans="1:3" ht="15">
      <c r="A5200" s="84" t="s">
        <v>363</v>
      </c>
      <c r="B5200" s="83" t="s">
        <v>3262</v>
      </c>
      <c r="C5200" s="91" t="s">
        <v>1213</v>
      </c>
    </row>
    <row r="5201" spans="1:3" ht="15">
      <c r="A5201" s="84" t="s">
        <v>363</v>
      </c>
      <c r="B5201" s="83" t="s">
        <v>2702</v>
      </c>
      <c r="C5201" s="91" t="s">
        <v>1213</v>
      </c>
    </row>
    <row r="5202" spans="1:3" ht="15">
      <c r="A5202" s="84" t="s">
        <v>363</v>
      </c>
      <c r="B5202" s="83" t="s">
        <v>2652</v>
      </c>
      <c r="C5202" s="91" t="s">
        <v>1213</v>
      </c>
    </row>
    <row r="5203" spans="1:3" ht="15">
      <c r="A5203" s="84" t="s">
        <v>363</v>
      </c>
      <c r="B5203" s="83" t="s">
        <v>2703</v>
      </c>
      <c r="C5203" s="91" t="s">
        <v>1213</v>
      </c>
    </row>
    <row r="5204" spans="1:3" ht="15">
      <c r="A5204" s="84" t="s">
        <v>363</v>
      </c>
      <c r="B5204" s="83" t="s">
        <v>2704</v>
      </c>
      <c r="C5204" s="91" t="s">
        <v>1213</v>
      </c>
    </row>
    <row r="5205" spans="1:3" ht="15">
      <c r="A5205" s="84" t="s">
        <v>363</v>
      </c>
      <c r="B5205" s="83" t="s">
        <v>2577</v>
      </c>
      <c r="C5205" s="91" t="s">
        <v>1213</v>
      </c>
    </row>
    <row r="5206" spans="1:3" ht="15">
      <c r="A5206" s="84" t="s">
        <v>363</v>
      </c>
      <c r="B5206" s="83" t="s">
        <v>2630</v>
      </c>
      <c r="C5206" s="91" t="s">
        <v>1213</v>
      </c>
    </row>
    <row r="5207" spans="1:3" ht="15">
      <c r="A5207" s="84" t="s">
        <v>363</v>
      </c>
      <c r="B5207" s="83" t="s">
        <v>3263</v>
      </c>
      <c r="C5207" s="91" t="s">
        <v>1213</v>
      </c>
    </row>
    <row r="5208" spans="1:3" ht="15">
      <c r="A5208" s="84" t="s">
        <v>363</v>
      </c>
      <c r="B5208" s="83" t="s">
        <v>2705</v>
      </c>
      <c r="C5208" s="91" t="s">
        <v>1213</v>
      </c>
    </row>
    <row r="5209" spans="1:3" ht="15">
      <c r="A5209" s="84" t="s">
        <v>363</v>
      </c>
      <c r="B5209" s="83" t="s">
        <v>2671</v>
      </c>
      <c r="C5209" s="91" t="s">
        <v>1213</v>
      </c>
    </row>
    <row r="5210" spans="1:3" ht="15">
      <c r="A5210" s="84" t="s">
        <v>363</v>
      </c>
      <c r="B5210" s="83" t="s">
        <v>3264</v>
      </c>
      <c r="C5210" s="91" t="s">
        <v>1213</v>
      </c>
    </row>
    <row r="5211" spans="1:3" ht="15">
      <c r="A5211" s="84" t="s">
        <v>363</v>
      </c>
      <c r="B5211" s="83" t="s">
        <v>2706</v>
      </c>
      <c r="C5211" s="91" t="s">
        <v>1213</v>
      </c>
    </row>
    <row r="5212" spans="1:3" ht="15">
      <c r="A5212" s="84" t="s">
        <v>363</v>
      </c>
      <c r="B5212" s="83" t="s">
        <v>2707</v>
      </c>
      <c r="C5212" s="91" t="s">
        <v>1213</v>
      </c>
    </row>
    <row r="5213" spans="1:3" ht="15">
      <c r="A5213" s="84" t="s">
        <v>363</v>
      </c>
      <c r="B5213" s="83" t="s">
        <v>2568</v>
      </c>
      <c r="C5213" s="91" t="s">
        <v>1213</v>
      </c>
    </row>
    <row r="5214" spans="1:3" ht="15">
      <c r="A5214" s="84" t="s">
        <v>363</v>
      </c>
      <c r="B5214" s="83" t="s">
        <v>2662</v>
      </c>
      <c r="C5214" s="91" t="s">
        <v>1213</v>
      </c>
    </row>
    <row r="5215" spans="1:3" ht="15">
      <c r="A5215" s="84" t="s">
        <v>363</v>
      </c>
      <c r="B5215" s="83" t="s">
        <v>2708</v>
      </c>
      <c r="C5215" s="91" t="s">
        <v>1213</v>
      </c>
    </row>
    <row r="5216" spans="1:3" ht="15">
      <c r="A5216" s="84" t="s">
        <v>363</v>
      </c>
      <c r="B5216" s="83" t="s">
        <v>2709</v>
      </c>
      <c r="C5216" s="91" t="s">
        <v>1213</v>
      </c>
    </row>
    <row r="5217" spans="1:3" ht="15">
      <c r="A5217" s="84" t="s">
        <v>363</v>
      </c>
      <c r="B5217" s="83" t="s">
        <v>3265</v>
      </c>
      <c r="C5217" s="91" t="s">
        <v>1213</v>
      </c>
    </row>
    <row r="5218" spans="1:3" ht="15">
      <c r="A5218" s="84" t="s">
        <v>363</v>
      </c>
      <c r="B5218" s="83" t="s">
        <v>2578</v>
      </c>
      <c r="C5218" s="91" t="s">
        <v>1213</v>
      </c>
    </row>
    <row r="5219" spans="1:3" ht="15">
      <c r="A5219" s="84" t="s">
        <v>363</v>
      </c>
      <c r="B5219" s="83" t="s">
        <v>2710</v>
      </c>
      <c r="C5219" s="91" t="s">
        <v>1213</v>
      </c>
    </row>
    <row r="5220" spans="1:3" ht="15">
      <c r="A5220" s="84" t="s">
        <v>363</v>
      </c>
      <c r="B5220" s="83" t="s">
        <v>3238</v>
      </c>
      <c r="C5220" s="91" t="s">
        <v>1213</v>
      </c>
    </row>
    <row r="5221" spans="1:3" ht="15">
      <c r="A5221" s="84" t="s">
        <v>363</v>
      </c>
      <c r="B5221" s="83" t="s">
        <v>586</v>
      </c>
      <c r="C5221" s="91" t="s">
        <v>1213</v>
      </c>
    </row>
    <row r="5222" spans="1:3" ht="15">
      <c r="A5222" s="84" t="s">
        <v>363</v>
      </c>
      <c r="B5222" s="83" t="s">
        <v>3258</v>
      </c>
      <c r="C5222" s="91" t="s">
        <v>1213</v>
      </c>
    </row>
    <row r="5223" spans="1:3" ht="15">
      <c r="A5223" s="84" t="s">
        <v>363</v>
      </c>
      <c r="B5223" s="83" t="s">
        <v>3109</v>
      </c>
      <c r="C5223" s="91" t="s">
        <v>1213</v>
      </c>
    </row>
    <row r="5224" spans="1:3" ht="15">
      <c r="A5224" s="84" t="s">
        <v>362</v>
      </c>
      <c r="B5224" s="83" t="s">
        <v>3261</v>
      </c>
      <c r="C5224" s="91" t="s">
        <v>1212</v>
      </c>
    </row>
    <row r="5225" spans="1:3" ht="15">
      <c r="A5225" s="84" t="s">
        <v>362</v>
      </c>
      <c r="B5225" s="83" t="s">
        <v>2581</v>
      </c>
      <c r="C5225" s="91" t="s">
        <v>1212</v>
      </c>
    </row>
    <row r="5226" spans="1:3" ht="15">
      <c r="A5226" s="84" t="s">
        <v>362</v>
      </c>
      <c r="B5226" s="83" t="s">
        <v>2586</v>
      </c>
      <c r="C5226" s="91" t="s">
        <v>1212</v>
      </c>
    </row>
    <row r="5227" spans="1:3" ht="15">
      <c r="A5227" s="84" t="s">
        <v>362</v>
      </c>
      <c r="B5227" s="83" t="s">
        <v>2670</v>
      </c>
      <c r="C5227" s="91" t="s">
        <v>1212</v>
      </c>
    </row>
    <row r="5228" spans="1:3" ht="15">
      <c r="A5228" s="84" t="s">
        <v>362</v>
      </c>
      <c r="B5228" s="83" t="s">
        <v>2655</v>
      </c>
      <c r="C5228" s="91" t="s">
        <v>1212</v>
      </c>
    </row>
    <row r="5229" spans="1:3" ht="15">
      <c r="A5229" s="84" t="s">
        <v>362</v>
      </c>
      <c r="B5229" s="83" t="s">
        <v>2580</v>
      </c>
      <c r="C5229" s="91" t="s">
        <v>1212</v>
      </c>
    </row>
    <row r="5230" spans="1:3" ht="15">
      <c r="A5230" s="84" t="s">
        <v>362</v>
      </c>
      <c r="B5230" s="83" t="s">
        <v>2661</v>
      </c>
      <c r="C5230" s="91" t="s">
        <v>1212</v>
      </c>
    </row>
    <row r="5231" spans="1:3" ht="15">
      <c r="A5231" s="84" t="s">
        <v>362</v>
      </c>
      <c r="B5231" s="83" t="s">
        <v>2656</v>
      </c>
      <c r="C5231" s="91" t="s">
        <v>1212</v>
      </c>
    </row>
    <row r="5232" spans="1:3" ht="15">
      <c r="A5232" s="84" t="s">
        <v>362</v>
      </c>
      <c r="B5232" s="83" t="s">
        <v>3199</v>
      </c>
      <c r="C5232" s="91" t="s">
        <v>1212</v>
      </c>
    </row>
    <row r="5233" spans="1:3" ht="15">
      <c r="A5233" s="84" t="s">
        <v>362</v>
      </c>
      <c r="B5233" s="83" t="s">
        <v>133</v>
      </c>
      <c r="C5233" s="91" t="s">
        <v>1212</v>
      </c>
    </row>
    <row r="5234" spans="1:3" ht="15">
      <c r="A5234" s="84" t="s">
        <v>362</v>
      </c>
      <c r="B5234" s="83" t="s">
        <v>2657</v>
      </c>
      <c r="C5234" s="91" t="s">
        <v>1212</v>
      </c>
    </row>
    <row r="5235" spans="1:3" ht="15">
      <c r="A5235" s="84" t="s">
        <v>362</v>
      </c>
      <c r="B5235" s="83" t="s">
        <v>2576</v>
      </c>
      <c r="C5235" s="91" t="s">
        <v>1212</v>
      </c>
    </row>
    <row r="5236" spans="1:3" ht="15">
      <c r="A5236" s="84" t="s">
        <v>362</v>
      </c>
      <c r="B5236" s="83" t="s">
        <v>2569</v>
      </c>
      <c r="C5236" s="91" t="s">
        <v>1212</v>
      </c>
    </row>
    <row r="5237" spans="1:3" ht="15">
      <c r="A5237" s="84" t="s">
        <v>362</v>
      </c>
      <c r="B5237" s="83">
        <v>19</v>
      </c>
      <c r="C5237" s="91" t="s">
        <v>1212</v>
      </c>
    </row>
    <row r="5238" spans="1:3" ht="15">
      <c r="A5238" s="84" t="s">
        <v>362</v>
      </c>
      <c r="B5238" s="83" t="s">
        <v>2629</v>
      </c>
      <c r="C5238" s="91" t="s">
        <v>1212</v>
      </c>
    </row>
    <row r="5239" spans="1:3" ht="15">
      <c r="A5239" s="84" t="s">
        <v>362</v>
      </c>
      <c r="B5239" s="83" t="s">
        <v>3262</v>
      </c>
      <c r="C5239" s="91" t="s">
        <v>1212</v>
      </c>
    </row>
    <row r="5240" spans="1:3" ht="15">
      <c r="A5240" s="84" t="s">
        <v>362</v>
      </c>
      <c r="B5240" s="83" t="s">
        <v>2702</v>
      </c>
      <c r="C5240" s="91" t="s">
        <v>1212</v>
      </c>
    </row>
    <row r="5241" spans="1:3" ht="15">
      <c r="A5241" s="84" t="s">
        <v>362</v>
      </c>
      <c r="B5241" s="83" t="s">
        <v>2652</v>
      </c>
      <c r="C5241" s="91" t="s">
        <v>1212</v>
      </c>
    </row>
    <row r="5242" spans="1:3" ht="15">
      <c r="A5242" s="84" t="s">
        <v>362</v>
      </c>
      <c r="B5242" s="83" t="s">
        <v>2703</v>
      </c>
      <c r="C5242" s="91" t="s">
        <v>1212</v>
      </c>
    </row>
    <row r="5243" spans="1:3" ht="15">
      <c r="A5243" s="84" t="s">
        <v>362</v>
      </c>
      <c r="B5243" s="83" t="s">
        <v>2704</v>
      </c>
      <c r="C5243" s="91" t="s">
        <v>1212</v>
      </c>
    </row>
    <row r="5244" spans="1:3" ht="15">
      <c r="A5244" s="84" t="s">
        <v>362</v>
      </c>
      <c r="B5244" s="83" t="s">
        <v>2577</v>
      </c>
      <c r="C5244" s="91" t="s">
        <v>1212</v>
      </c>
    </row>
    <row r="5245" spans="1:3" ht="15">
      <c r="A5245" s="84" t="s">
        <v>362</v>
      </c>
      <c r="B5245" s="83" t="s">
        <v>2630</v>
      </c>
      <c r="C5245" s="91" t="s">
        <v>1212</v>
      </c>
    </row>
    <row r="5246" spans="1:3" ht="15">
      <c r="A5246" s="84" t="s">
        <v>362</v>
      </c>
      <c r="B5246" s="83" t="s">
        <v>3263</v>
      </c>
      <c r="C5246" s="91" t="s">
        <v>1212</v>
      </c>
    </row>
    <row r="5247" spans="1:3" ht="15">
      <c r="A5247" s="84" t="s">
        <v>362</v>
      </c>
      <c r="B5247" s="83" t="s">
        <v>2705</v>
      </c>
      <c r="C5247" s="91" t="s">
        <v>1212</v>
      </c>
    </row>
    <row r="5248" spans="1:3" ht="15">
      <c r="A5248" s="84" t="s">
        <v>362</v>
      </c>
      <c r="B5248" s="83" t="s">
        <v>2671</v>
      </c>
      <c r="C5248" s="91" t="s">
        <v>1212</v>
      </c>
    </row>
    <row r="5249" spans="1:3" ht="15">
      <c r="A5249" s="84" t="s">
        <v>362</v>
      </c>
      <c r="B5249" s="83" t="s">
        <v>3264</v>
      </c>
      <c r="C5249" s="91" t="s">
        <v>1212</v>
      </c>
    </row>
    <row r="5250" spans="1:3" ht="15">
      <c r="A5250" s="84" t="s">
        <v>362</v>
      </c>
      <c r="B5250" s="83" t="s">
        <v>2706</v>
      </c>
      <c r="C5250" s="91" t="s">
        <v>1212</v>
      </c>
    </row>
    <row r="5251" spans="1:3" ht="15">
      <c r="A5251" s="84" t="s">
        <v>362</v>
      </c>
      <c r="B5251" s="83" t="s">
        <v>2707</v>
      </c>
      <c r="C5251" s="91" t="s">
        <v>1212</v>
      </c>
    </row>
    <row r="5252" spans="1:3" ht="15">
      <c r="A5252" s="84" t="s">
        <v>362</v>
      </c>
      <c r="B5252" s="83" t="s">
        <v>2568</v>
      </c>
      <c r="C5252" s="91" t="s">
        <v>1212</v>
      </c>
    </row>
    <row r="5253" spans="1:3" ht="15">
      <c r="A5253" s="84" t="s">
        <v>362</v>
      </c>
      <c r="B5253" s="83" t="s">
        <v>2662</v>
      </c>
      <c r="C5253" s="91" t="s">
        <v>1212</v>
      </c>
    </row>
    <row r="5254" spans="1:3" ht="15">
      <c r="A5254" s="84" t="s">
        <v>362</v>
      </c>
      <c r="B5254" s="83" t="s">
        <v>2708</v>
      </c>
      <c r="C5254" s="91" t="s">
        <v>1212</v>
      </c>
    </row>
    <row r="5255" spans="1:3" ht="15">
      <c r="A5255" s="84" t="s">
        <v>362</v>
      </c>
      <c r="B5255" s="83" t="s">
        <v>2709</v>
      </c>
      <c r="C5255" s="91" t="s">
        <v>1212</v>
      </c>
    </row>
    <row r="5256" spans="1:3" ht="15">
      <c r="A5256" s="84" t="s">
        <v>362</v>
      </c>
      <c r="B5256" s="83" t="s">
        <v>3265</v>
      </c>
      <c r="C5256" s="91" t="s">
        <v>1212</v>
      </c>
    </row>
    <row r="5257" spans="1:3" ht="15">
      <c r="A5257" s="84" t="s">
        <v>362</v>
      </c>
      <c r="B5257" s="83" t="s">
        <v>2578</v>
      </c>
      <c r="C5257" s="91" t="s">
        <v>1212</v>
      </c>
    </row>
    <row r="5258" spans="1:3" ht="15">
      <c r="A5258" s="84" t="s">
        <v>362</v>
      </c>
      <c r="B5258" s="83" t="s">
        <v>2710</v>
      </c>
      <c r="C5258" s="91" t="s">
        <v>1212</v>
      </c>
    </row>
    <row r="5259" spans="1:3" ht="15">
      <c r="A5259" s="84" t="s">
        <v>362</v>
      </c>
      <c r="B5259" s="83" t="s">
        <v>3238</v>
      </c>
      <c r="C5259" s="91" t="s">
        <v>1212</v>
      </c>
    </row>
    <row r="5260" spans="1:3" ht="15">
      <c r="A5260" s="84" t="s">
        <v>362</v>
      </c>
      <c r="B5260" s="83" t="s">
        <v>586</v>
      </c>
      <c r="C5260" s="91" t="s">
        <v>1212</v>
      </c>
    </row>
    <row r="5261" spans="1:3" ht="15">
      <c r="A5261" s="84" t="s">
        <v>362</v>
      </c>
      <c r="B5261" s="83" t="s">
        <v>3258</v>
      </c>
      <c r="C5261" s="91" t="s">
        <v>1212</v>
      </c>
    </row>
    <row r="5262" spans="1:3" ht="15">
      <c r="A5262" s="84" t="s">
        <v>362</v>
      </c>
      <c r="B5262" s="83" t="s">
        <v>3109</v>
      </c>
      <c r="C5262" s="91" t="s">
        <v>1212</v>
      </c>
    </row>
    <row r="5263" spans="1:3" ht="15">
      <c r="A5263" s="84" t="s">
        <v>361</v>
      </c>
      <c r="B5263" s="83" t="s">
        <v>3323</v>
      </c>
      <c r="C5263" s="91" t="s">
        <v>1211</v>
      </c>
    </row>
    <row r="5264" spans="1:3" ht="15">
      <c r="A5264" s="84" t="s">
        <v>361</v>
      </c>
      <c r="B5264" s="83" t="s">
        <v>2694</v>
      </c>
      <c r="C5264" s="91" t="s">
        <v>1211</v>
      </c>
    </row>
    <row r="5265" spans="1:3" ht="15">
      <c r="A5265" s="84" t="s">
        <v>361</v>
      </c>
      <c r="B5265" s="83" t="s">
        <v>2568</v>
      </c>
      <c r="C5265" s="91" t="s">
        <v>1211</v>
      </c>
    </row>
    <row r="5266" spans="1:3" ht="15">
      <c r="A5266" s="84" t="s">
        <v>361</v>
      </c>
      <c r="B5266" s="83" t="s">
        <v>2592</v>
      </c>
      <c r="C5266" s="91" t="s">
        <v>1211</v>
      </c>
    </row>
    <row r="5267" spans="1:3" ht="15">
      <c r="A5267" s="84" t="s">
        <v>361</v>
      </c>
      <c r="B5267" s="83" t="s">
        <v>3211</v>
      </c>
      <c r="C5267" s="91" t="s">
        <v>1211</v>
      </c>
    </row>
    <row r="5268" spans="1:3" ht="15">
      <c r="A5268" s="84" t="s">
        <v>361</v>
      </c>
      <c r="B5268" s="83" t="s">
        <v>2629</v>
      </c>
      <c r="C5268" s="91" t="s">
        <v>1211</v>
      </c>
    </row>
    <row r="5269" spans="1:3" ht="15">
      <c r="A5269" s="84" t="s">
        <v>361</v>
      </c>
      <c r="B5269" s="83" t="s">
        <v>2781</v>
      </c>
      <c r="C5269" s="91" t="s">
        <v>1211</v>
      </c>
    </row>
    <row r="5270" spans="1:3" ht="15">
      <c r="A5270" s="84" t="s">
        <v>361</v>
      </c>
      <c r="B5270" s="83" t="s">
        <v>2782</v>
      </c>
      <c r="C5270" s="91" t="s">
        <v>1211</v>
      </c>
    </row>
    <row r="5271" spans="1:3" ht="15">
      <c r="A5271" s="84" t="s">
        <v>361</v>
      </c>
      <c r="B5271" s="83" t="s">
        <v>2771</v>
      </c>
      <c r="C5271" s="91" t="s">
        <v>1211</v>
      </c>
    </row>
    <row r="5272" spans="1:3" ht="15">
      <c r="A5272" s="84" t="s">
        <v>361</v>
      </c>
      <c r="B5272" s="83" t="s">
        <v>2734</v>
      </c>
      <c r="C5272" s="91" t="s">
        <v>1211</v>
      </c>
    </row>
    <row r="5273" spans="1:3" ht="15">
      <c r="A5273" s="84" t="s">
        <v>361</v>
      </c>
      <c r="B5273" s="83" t="s">
        <v>3324</v>
      </c>
      <c r="C5273" s="91" t="s">
        <v>1211</v>
      </c>
    </row>
    <row r="5274" spans="1:3" ht="15">
      <c r="A5274" s="84" t="s">
        <v>361</v>
      </c>
      <c r="B5274" s="83" t="s">
        <v>2576</v>
      </c>
      <c r="C5274" s="91" t="s">
        <v>1211</v>
      </c>
    </row>
    <row r="5275" spans="1:3" ht="15">
      <c r="A5275" s="84" t="s">
        <v>361</v>
      </c>
      <c r="B5275" s="83" t="s">
        <v>2578</v>
      </c>
      <c r="C5275" s="91" t="s">
        <v>1211</v>
      </c>
    </row>
    <row r="5276" spans="1:3" ht="15">
      <c r="A5276" s="84" t="s">
        <v>361</v>
      </c>
      <c r="B5276" s="83" t="s">
        <v>3325</v>
      </c>
      <c r="C5276" s="91" t="s">
        <v>1211</v>
      </c>
    </row>
    <row r="5277" spans="1:3" ht="15">
      <c r="A5277" s="84" t="s">
        <v>361</v>
      </c>
      <c r="B5277" s="83" t="s">
        <v>3227</v>
      </c>
      <c r="C5277" s="91" t="s">
        <v>1211</v>
      </c>
    </row>
    <row r="5278" spans="1:3" ht="15">
      <c r="A5278" s="84" t="s">
        <v>361</v>
      </c>
      <c r="B5278" s="83" t="s">
        <v>3203</v>
      </c>
      <c r="C5278" s="91" t="s">
        <v>1211</v>
      </c>
    </row>
    <row r="5279" spans="1:3" ht="15">
      <c r="A5279" s="84" t="s">
        <v>361</v>
      </c>
      <c r="B5279" s="83">
        <v>19</v>
      </c>
      <c r="C5279" s="91" t="s">
        <v>1211</v>
      </c>
    </row>
    <row r="5280" spans="1:3" ht="15">
      <c r="A5280" s="84" t="s">
        <v>361</v>
      </c>
      <c r="B5280" s="83" t="s">
        <v>3326</v>
      </c>
      <c r="C5280" s="91" t="s">
        <v>1211</v>
      </c>
    </row>
    <row r="5281" spans="1:3" ht="15">
      <c r="A5281" s="84" t="s">
        <v>361</v>
      </c>
      <c r="B5281" s="83" t="s">
        <v>3327</v>
      </c>
      <c r="C5281" s="91" t="s">
        <v>1211</v>
      </c>
    </row>
    <row r="5282" spans="1:3" ht="15">
      <c r="A5282" s="84" t="s">
        <v>361</v>
      </c>
      <c r="B5282" s="83" t="s">
        <v>2590</v>
      </c>
      <c r="C5282" s="91" t="s">
        <v>1211</v>
      </c>
    </row>
    <row r="5283" spans="1:3" ht="15">
      <c r="A5283" s="84" t="s">
        <v>361</v>
      </c>
      <c r="B5283" s="83" t="s">
        <v>3328</v>
      </c>
      <c r="C5283" s="91" t="s">
        <v>1211</v>
      </c>
    </row>
    <row r="5284" spans="1:3" ht="15">
      <c r="A5284" s="84" t="s">
        <v>361</v>
      </c>
      <c r="B5284" s="83" t="s">
        <v>3225</v>
      </c>
      <c r="C5284" s="91" t="s">
        <v>1211</v>
      </c>
    </row>
    <row r="5285" spans="1:3" ht="15">
      <c r="A5285" s="84" t="s">
        <v>361</v>
      </c>
      <c r="B5285" s="83">
        <v>13</v>
      </c>
      <c r="C5285" s="91" t="s">
        <v>1211</v>
      </c>
    </row>
    <row r="5286" spans="1:3" ht="15">
      <c r="A5286" s="84" t="s">
        <v>361</v>
      </c>
      <c r="B5286" s="83" t="s">
        <v>3329</v>
      </c>
      <c r="C5286" s="91" t="s">
        <v>1211</v>
      </c>
    </row>
    <row r="5287" spans="1:3" ht="15">
      <c r="A5287" s="84" t="s">
        <v>361</v>
      </c>
      <c r="B5287" s="83">
        <v>11</v>
      </c>
      <c r="C5287" s="91" t="s">
        <v>1211</v>
      </c>
    </row>
    <row r="5288" spans="1:3" ht="15">
      <c r="A5288" s="84" t="s">
        <v>361</v>
      </c>
      <c r="B5288" s="83">
        <v>30</v>
      </c>
      <c r="C5288" s="91" t="s">
        <v>1211</v>
      </c>
    </row>
    <row r="5289" spans="1:3" ht="15">
      <c r="A5289" s="84" t="s">
        <v>361</v>
      </c>
      <c r="B5289" s="83" t="s">
        <v>3330</v>
      </c>
      <c r="C5289" s="91" t="s">
        <v>1211</v>
      </c>
    </row>
    <row r="5290" spans="1:3" ht="15">
      <c r="A5290" s="84" t="s">
        <v>361</v>
      </c>
      <c r="B5290" s="83" t="s">
        <v>3331</v>
      </c>
      <c r="C5290" s="91" t="s">
        <v>1211</v>
      </c>
    </row>
    <row r="5291" spans="1:3" ht="15">
      <c r="A5291" s="84" t="s">
        <v>361</v>
      </c>
      <c r="B5291" s="83">
        <v>1</v>
      </c>
      <c r="C5291" s="91" t="s">
        <v>1211</v>
      </c>
    </row>
    <row r="5292" spans="1:3" ht="15">
      <c r="A5292" s="84" t="s">
        <v>361</v>
      </c>
      <c r="B5292" s="83" t="s">
        <v>3332</v>
      </c>
      <c r="C5292" s="91" t="s">
        <v>1211</v>
      </c>
    </row>
    <row r="5293" spans="1:3" ht="15">
      <c r="A5293" s="84" t="s">
        <v>361</v>
      </c>
      <c r="B5293" s="83">
        <v>2</v>
      </c>
      <c r="C5293" s="91" t="s">
        <v>1211</v>
      </c>
    </row>
    <row r="5294" spans="1:3" ht="15">
      <c r="A5294" s="84" t="s">
        <v>361</v>
      </c>
      <c r="B5294" s="83" t="s">
        <v>3333</v>
      </c>
      <c r="C5294" s="91" t="s">
        <v>1211</v>
      </c>
    </row>
    <row r="5295" spans="1:3" ht="15">
      <c r="A5295" s="84" t="s">
        <v>361</v>
      </c>
      <c r="B5295" s="83" t="s">
        <v>2664</v>
      </c>
      <c r="C5295" s="91" t="s">
        <v>1211</v>
      </c>
    </row>
    <row r="5296" spans="1:3" ht="15">
      <c r="A5296" s="84" t="s">
        <v>361</v>
      </c>
      <c r="B5296" s="83" t="s">
        <v>2794</v>
      </c>
      <c r="C5296" s="91" t="s">
        <v>1211</v>
      </c>
    </row>
    <row r="5297" spans="1:3" ht="15">
      <c r="A5297" s="84" t="s">
        <v>361</v>
      </c>
      <c r="B5297" s="83" t="s">
        <v>3334</v>
      </c>
      <c r="C5297" s="91" t="s">
        <v>1211</v>
      </c>
    </row>
    <row r="5298" spans="1:3" ht="15">
      <c r="A5298" s="84" t="s">
        <v>361</v>
      </c>
      <c r="B5298" s="83" t="s">
        <v>3335</v>
      </c>
      <c r="C5298" s="91" t="s">
        <v>1211</v>
      </c>
    </row>
    <row r="5299" spans="1:3" ht="15">
      <c r="A5299" s="84" t="s">
        <v>361</v>
      </c>
      <c r="B5299" s="83" t="s">
        <v>3238</v>
      </c>
      <c r="C5299" s="91" t="s">
        <v>1211</v>
      </c>
    </row>
    <row r="5300" spans="1:3" ht="15">
      <c r="A5300" s="84" t="s">
        <v>361</v>
      </c>
      <c r="B5300" s="83" t="s">
        <v>3199</v>
      </c>
      <c r="C5300" s="91" t="s">
        <v>1211</v>
      </c>
    </row>
    <row r="5301" spans="1:3" ht="15">
      <c r="A5301" s="84" t="s">
        <v>361</v>
      </c>
      <c r="B5301" s="83" t="s">
        <v>3328</v>
      </c>
      <c r="C5301" s="91" t="s">
        <v>1210</v>
      </c>
    </row>
    <row r="5302" spans="1:3" ht="15">
      <c r="A5302" s="84" t="s">
        <v>361</v>
      </c>
      <c r="B5302" s="83" t="s">
        <v>3225</v>
      </c>
      <c r="C5302" s="91" t="s">
        <v>1210</v>
      </c>
    </row>
    <row r="5303" spans="1:3" ht="15">
      <c r="A5303" s="84" t="s">
        <v>361</v>
      </c>
      <c r="B5303" s="83" t="s">
        <v>2648</v>
      </c>
      <c r="C5303" s="91" t="s">
        <v>1210</v>
      </c>
    </row>
    <row r="5304" spans="1:3" ht="15">
      <c r="A5304" s="84" t="s">
        <v>361</v>
      </c>
      <c r="B5304" s="83" t="s">
        <v>3408</v>
      </c>
      <c r="C5304" s="91" t="s">
        <v>1210</v>
      </c>
    </row>
    <row r="5305" spans="1:3" ht="15">
      <c r="A5305" s="84" t="s">
        <v>361</v>
      </c>
      <c r="B5305" s="83" t="s">
        <v>2582</v>
      </c>
      <c r="C5305" s="91" t="s">
        <v>1210</v>
      </c>
    </row>
    <row r="5306" spans="1:3" ht="15">
      <c r="A5306" s="84" t="s">
        <v>361</v>
      </c>
      <c r="B5306" s="83" t="s">
        <v>2589</v>
      </c>
      <c r="C5306" s="91" t="s">
        <v>1210</v>
      </c>
    </row>
    <row r="5307" spans="1:3" ht="15">
      <c r="A5307" s="84" t="s">
        <v>361</v>
      </c>
      <c r="B5307" s="83" t="s">
        <v>3409</v>
      </c>
      <c r="C5307" s="91" t="s">
        <v>1210</v>
      </c>
    </row>
    <row r="5308" spans="1:3" ht="15">
      <c r="A5308" s="84" t="s">
        <v>361</v>
      </c>
      <c r="B5308" s="83" t="s">
        <v>3203</v>
      </c>
      <c r="C5308" s="91" t="s">
        <v>1210</v>
      </c>
    </row>
    <row r="5309" spans="1:3" ht="15">
      <c r="A5309" s="84" t="s">
        <v>361</v>
      </c>
      <c r="B5309" s="83" t="s">
        <v>3410</v>
      </c>
      <c r="C5309" s="91" t="s">
        <v>1210</v>
      </c>
    </row>
    <row r="5310" spans="1:3" ht="15">
      <c r="A5310" s="84" t="s">
        <v>361</v>
      </c>
      <c r="B5310" s="83" t="s">
        <v>3198</v>
      </c>
      <c r="C5310" s="91" t="s">
        <v>1210</v>
      </c>
    </row>
    <row r="5311" spans="1:3" ht="15">
      <c r="A5311" s="84" t="s">
        <v>361</v>
      </c>
      <c r="B5311" s="83" t="s">
        <v>3214</v>
      </c>
      <c r="C5311" s="91" t="s">
        <v>1210</v>
      </c>
    </row>
    <row r="5312" spans="1:3" ht="15">
      <c r="A5312" s="84" t="s">
        <v>361</v>
      </c>
      <c r="B5312" s="83" t="s">
        <v>3411</v>
      </c>
      <c r="C5312" s="91" t="s">
        <v>1210</v>
      </c>
    </row>
    <row r="5313" spans="1:3" ht="15">
      <c r="A5313" s="84" t="s">
        <v>361</v>
      </c>
      <c r="B5313" s="83" t="s">
        <v>3412</v>
      </c>
      <c r="C5313" s="91" t="s">
        <v>1210</v>
      </c>
    </row>
    <row r="5314" spans="1:3" ht="15">
      <c r="A5314" s="84" t="s">
        <v>361</v>
      </c>
      <c r="B5314" s="83" t="s">
        <v>3413</v>
      </c>
      <c r="C5314" s="91" t="s">
        <v>1210</v>
      </c>
    </row>
    <row r="5315" spans="1:3" ht="15">
      <c r="A5315" s="84" t="s">
        <v>361</v>
      </c>
      <c r="B5315" s="83" t="s">
        <v>3215</v>
      </c>
      <c r="C5315" s="91" t="s">
        <v>1210</v>
      </c>
    </row>
    <row r="5316" spans="1:3" ht="15">
      <c r="A5316" s="84" t="s">
        <v>361</v>
      </c>
      <c r="B5316" s="83" t="s">
        <v>3414</v>
      </c>
      <c r="C5316" s="91" t="s">
        <v>1210</v>
      </c>
    </row>
    <row r="5317" spans="1:3" ht="15">
      <c r="A5317" s="84" t="s">
        <v>361</v>
      </c>
      <c r="B5317" s="83" t="s">
        <v>3415</v>
      </c>
      <c r="C5317" s="91" t="s">
        <v>1210</v>
      </c>
    </row>
    <row r="5318" spans="1:3" ht="15">
      <c r="A5318" s="84" t="s">
        <v>361</v>
      </c>
      <c r="B5318" s="83" t="s">
        <v>3416</v>
      </c>
      <c r="C5318" s="91" t="s">
        <v>1210</v>
      </c>
    </row>
    <row r="5319" spans="1:3" ht="15">
      <c r="A5319" s="84" t="s">
        <v>361</v>
      </c>
      <c r="B5319" s="83" t="s">
        <v>3417</v>
      </c>
      <c r="C5319" s="91" t="s">
        <v>1210</v>
      </c>
    </row>
    <row r="5320" spans="1:3" ht="15">
      <c r="A5320" s="84" t="s">
        <v>361</v>
      </c>
      <c r="B5320" s="83" t="s">
        <v>3418</v>
      </c>
      <c r="C5320" s="91" t="s">
        <v>1210</v>
      </c>
    </row>
    <row r="5321" spans="1:3" ht="15">
      <c r="A5321" s="84" t="s">
        <v>361</v>
      </c>
      <c r="B5321" s="83" t="s">
        <v>3419</v>
      </c>
      <c r="C5321" s="91" t="s">
        <v>1210</v>
      </c>
    </row>
    <row r="5322" spans="1:3" ht="15">
      <c r="A5322" s="84" t="s">
        <v>361</v>
      </c>
      <c r="B5322" s="83" t="s">
        <v>3221</v>
      </c>
      <c r="C5322" s="91" t="s">
        <v>1210</v>
      </c>
    </row>
    <row r="5323" spans="1:3" ht="15">
      <c r="A5323" s="84" t="s">
        <v>361</v>
      </c>
      <c r="B5323" s="83" t="s">
        <v>3254</v>
      </c>
      <c r="C5323" s="91" t="s">
        <v>1210</v>
      </c>
    </row>
    <row r="5324" spans="1:3" ht="15">
      <c r="A5324" s="84" t="s">
        <v>361</v>
      </c>
      <c r="B5324" s="83" t="s">
        <v>3420</v>
      </c>
      <c r="C5324" s="91" t="s">
        <v>1210</v>
      </c>
    </row>
    <row r="5325" spans="1:3" ht="15">
      <c r="A5325" s="84" t="s">
        <v>361</v>
      </c>
      <c r="B5325" s="83" t="s">
        <v>3421</v>
      </c>
      <c r="C5325" s="91" t="s">
        <v>1210</v>
      </c>
    </row>
    <row r="5326" spans="1:3" ht="15">
      <c r="A5326" s="84" t="s">
        <v>361</v>
      </c>
      <c r="B5326" s="83" t="s">
        <v>586</v>
      </c>
      <c r="C5326" s="91" t="s">
        <v>1210</v>
      </c>
    </row>
    <row r="5327" spans="1:3" ht="15">
      <c r="A5327" s="84" t="s">
        <v>361</v>
      </c>
      <c r="B5327" s="83" t="s">
        <v>3393</v>
      </c>
      <c r="C5327" s="91" t="s">
        <v>1210</v>
      </c>
    </row>
    <row r="5328" spans="1:3" ht="15">
      <c r="A5328" s="84" t="s">
        <v>361</v>
      </c>
      <c r="B5328" s="83" t="s">
        <v>3422</v>
      </c>
      <c r="C5328" s="91" t="s">
        <v>1210</v>
      </c>
    </row>
    <row r="5329" spans="1:3" ht="15">
      <c r="A5329" s="84" t="s">
        <v>406</v>
      </c>
      <c r="B5329" s="83" t="s">
        <v>3352</v>
      </c>
      <c r="C5329" s="91" t="s">
        <v>1358</v>
      </c>
    </row>
    <row r="5330" spans="1:3" ht="15">
      <c r="A5330" s="84" t="s">
        <v>406</v>
      </c>
      <c r="B5330" s="83" t="s">
        <v>2664</v>
      </c>
      <c r="C5330" s="91" t="s">
        <v>1358</v>
      </c>
    </row>
    <row r="5331" spans="1:3" ht="15">
      <c r="A5331" s="84" t="s">
        <v>406</v>
      </c>
      <c r="B5331" s="83" t="s">
        <v>2766</v>
      </c>
      <c r="C5331" s="91" t="s">
        <v>1358</v>
      </c>
    </row>
    <row r="5332" spans="1:3" ht="15">
      <c r="A5332" s="84" t="s">
        <v>406</v>
      </c>
      <c r="B5332" s="83" t="s">
        <v>2581</v>
      </c>
      <c r="C5332" s="91" t="s">
        <v>1358</v>
      </c>
    </row>
    <row r="5333" spans="1:3" ht="15">
      <c r="A5333" s="84" t="s">
        <v>406</v>
      </c>
      <c r="B5333" s="83" t="s">
        <v>2589</v>
      </c>
      <c r="C5333" s="91" t="s">
        <v>1358</v>
      </c>
    </row>
    <row r="5334" spans="1:3" ht="15">
      <c r="A5334" s="84" t="s">
        <v>406</v>
      </c>
      <c r="B5334" s="83" t="s">
        <v>2897</v>
      </c>
      <c r="C5334" s="91" t="s">
        <v>1358</v>
      </c>
    </row>
    <row r="5335" spans="1:3" ht="15">
      <c r="A5335" s="84" t="s">
        <v>406</v>
      </c>
      <c r="B5335" s="83" t="s">
        <v>2655</v>
      </c>
      <c r="C5335" s="91" t="s">
        <v>1358</v>
      </c>
    </row>
    <row r="5336" spans="1:3" ht="15">
      <c r="A5336" s="84" t="s">
        <v>406</v>
      </c>
      <c r="B5336" s="83" t="s">
        <v>2580</v>
      </c>
      <c r="C5336" s="91" t="s">
        <v>1358</v>
      </c>
    </row>
    <row r="5337" spans="1:3" ht="15">
      <c r="A5337" s="84" t="s">
        <v>406</v>
      </c>
      <c r="B5337" s="83" t="s">
        <v>2898</v>
      </c>
      <c r="C5337" s="91" t="s">
        <v>1358</v>
      </c>
    </row>
    <row r="5338" spans="1:3" ht="15">
      <c r="A5338" s="84" t="s">
        <v>406</v>
      </c>
      <c r="B5338" s="83" t="s">
        <v>2899</v>
      </c>
      <c r="C5338" s="91" t="s">
        <v>1358</v>
      </c>
    </row>
    <row r="5339" spans="1:3" ht="15">
      <c r="A5339" s="84" t="s">
        <v>406</v>
      </c>
      <c r="B5339" s="83" t="s">
        <v>2900</v>
      </c>
      <c r="C5339" s="91" t="s">
        <v>1358</v>
      </c>
    </row>
    <row r="5340" spans="1:3" ht="15">
      <c r="A5340" s="84" t="s">
        <v>406</v>
      </c>
      <c r="B5340" s="83" t="s">
        <v>2901</v>
      </c>
      <c r="C5340" s="91" t="s">
        <v>1358</v>
      </c>
    </row>
    <row r="5341" spans="1:3" ht="15">
      <c r="A5341" s="84" t="s">
        <v>406</v>
      </c>
      <c r="B5341" s="83" t="s">
        <v>3242</v>
      </c>
      <c r="C5341" s="91" t="s">
        <v>1358</v>
      </c>
    </row>
    <row r="5342" spans="1:3" ht="15">
      <c r="A5342" s="84" t="s">
        <v>406</v>
      </c>
      <c r="B5342" s="83" t="s">
        <v>3353</v>
      </c>
      <c r="C5342" s="91" t="s">
        <v>1358</v>
      </c>
    </row>
    <row r="5343" spans="1:3" ht="15">
      <c r="A5343" s="84" t="s">
        <v>406</v>
      </c>
      <c r="B5343" s="83" t="s">
        <v>3238</v>
      </c>
      <c r="C5343" s="91" t="s">
        <v>1358</v>
      </c>
    </row>
    <row r="5344" spans="1:3" ht="15">
      <c r="A5344" s="84" t="s">
        <v>406</v>
      </c>
      <c r="B5344" s="83" t="s">
        <v>3258</v>
      </c>
      <c r="C5344" s="91" t="s">
        <v>1358</v>
      </c>
    </row>
    <row r="5345" spans="1:3" ht="15">
      <c r="A5345" s="84" t="s">
        <v>406</v>
      </c>
      <c r="B5345" s="83" t="s">
        <v>3199</v>
      </c>
      <c r="C5345" s="91" t="s">
        <v>1358</v>
      </c>
    </row>
    <row r="5346" spans="1:3" ht="15">
      <c r="A5346" s="84" t="s">
        <v>406</v>
      </c>
      <c r="B5346" s="83" t="s">
        <v>3214</v>
      </c>
      <c r="C5346" s="91" t="s">
        <v>1358</v>
      </c>
    </row>
    <row r="5347" spans="1:3" ht="15">
      <c r="A5347" s="84" t="s">
        <v>406</v>
      </c>
      <c r="B5347" s="83" t="s">
        <v>3354</v>
      </c>
      <c r="C5347" s="91" t="s">
        <v>1358</v>
      </c>
    </row>
    <row r="5348" spans="1:3" ht="15">
      <c r="A5348" s="84" t="s">
        <v>406</v>
      </c>
      <c r="B5348" s="83" t="s">
        <v>3355</v>
      </c>
      <c r="C5348" s="91" t="s">
        <v>1358</v>
      </c>
    </row>
    <row r="5349" spans="1:3" ht="15">
      <c r="A5349" s="84" t="s">
        <v>360</v>
      </c>
      <c r="B5349" s="83" t="s">
        <v>3352</v>
      </c>
      <c r="C5349" s="91" t="s">
        <v>1208</v>
      </c>
    </row>
    <row r="5350" spans="1:3" ht="15">
      <c r="A5350" s="84" t="s">
        <v>360</v>
      </c>
      <c r="B5350" s="83" t="s">
        <v>2664</v>
      </c>
      <c r="C5350" s="91" t="s">
        <v>1208</v>
      </c>
    </row>
    <row r="5351" spans="1:3" ht="15">
      <c r="A5351" s="84" t="s">
        <v>360</v>
      </c>
      <c r="B5351" s="83" t="s">
        <v>2766</v>
      </c>
      <c r="C5351" s="91" t="s">
        <v>1208</v>
      </c>
    </row>
    <row r="5352" spans="1:3" ht="15">
      <c r="A5352" s="84" t="s">
        <v>360</v>
      </c>
      <c r="B5352" s="83" t="s">
        <v>2581</v>
      </c>
      <c r="C5352" s="91" t="s">
        <v>1208</v>
      </c>
    </row>
    <row r="5353" spans="1:3" ht="15">
      <c r="A5353" s="84" t="s">
        <v>360</v>
      </c>
      <c r="B5353" s="83" t="s">
        <v>2589</v>
      </c>
      <c r="C5353" s="91" t="s">
        <v>1208</v>
      </c>
    </row>
    <row r="5354" spans="1:3" ht="15">
      <c r="A5354" s="84" t="s">
        <v>360</v>
      </c>
      <c r="B5354" s="83" t="s">
        <v>2897</v>
      </c>
      <c r="C5354" s="91" t="s">
        <v>1208</v>
      </c>
    </row>
    <row r="5355" spans="1:3" ht="15">
      <c r="A5355" s="84" t="s">
        <v>360</v>
      </c>
      <c r="B5355" s="83" t="s">
        <v>2655</v>
      </c>
      <c r="C5355" s="91" t="s">
        <v>1208</v>
      </c>
    </row>
    <row r="5356" spans="1:3" ht="15">
      <c r="A5356" s="84" t="s">
        <v>360</v>
      </c>
      <c r="B5356" s="83" t="s">
        <v>2580</v>
      </c>
      <c r="C5356" s="91" t="s">
        <v>1208</v>
      </c>
    </row>
    <row r="5357" spans="1:3" ht="15">
      <c r="A5357" s="84" t="s">
        <v>360</v>
      </c>
      <c r="B5357" s="83" t="s">
        <v>2898</v>
      </c>
      <c r="C5357" s="91" t="s">
        <v>1208</v>
      </c>
    </row>
    <row r="5358" spans="1:3" ht="15">
      <c r="A5358" s="84" t="s">
        <v>360</v>
      </c>
      <c r="B5358" s="83" t="s">
        <v>2899</v>
      </c>
      <c r="C5358" s="91" t="s">
        <v>1208</v>
      </c>
    </row>
    <row r="5359" spans="1:3" ht="15">
      <c r="A5359" s="84" t="s">
        <v>360</v>
      </c>
      <c r="B5359" s="83" t="s">
        <v>2900</v>
      </c>
      <c r="C5359" s="91" t="s">
        <v>1208</v>
      </c>
    </row>
    <row r="5360" spans="1:3" ht="15">
      <c r="A5360" s="84" t="s">
        <v>360</v>
      </c>
      <c r="B5360" s="83" t="s">
        <v>2901</v>
      </c>
      <c r="C5360" s="91" t="s">
        <v>1208</v>
      </c>
    </row>
    <row r="5361" spans="1:3" ht="15">
      <c r="A5361" s="84" t="s">
        <v>360</v>
      </c>
      <c r="B5361" s="83" t="s">
        <v>3242</v>
      </c>
      <c r="C5361" s="91" t="s">
        <v>1208</v>
      </c>
    </row>
    <row r="5362" spans="1:3" ht="15">
      <c r="A5362" s="84" t="s">
        <v>360</v>
      </c>
      <c r="B5362" s="83" t="s">
        <v>3353</v>
      </c>
      <c r="C5362" s="91" t="s">
        <v>1208</v>
      </c>
    </row>
    <row r="5363" spans="1:3" ht="15">
      <c r="A5363" s="84" t="s">
        <v>360</v>
      </c>
      <c r="B5363" s="83" t="s">
        <v>3238</v>
      </c>
      <c r="C5363" s="91" t="s">
        <v>1208</v>
      </c>
    </row>
    <row r="5364" spans="1:3" ht="15">
      <c r="A5364" s="84" t="s">
        <v>360</v>
      </c>
      <c r="B5364" s="83" t="s">
        <v>3258</v>
      </c>
      <c r="C5364" s="91" t="s">
        <v>1208</v>
      </c>
    </row>
    <row r="5365" spans="1:3" ht="15">
      <c r="A5365" s="84" t="s">
        <v>360</v>
      </c>
      <c r="B5365" s="83" t="s">
        <v>3199</v>
      </c>
      <c r="C5365" s="91" t="s">
        <v>1208</v>
      </c>
    </row>
    <row r="5366" spans="1:3" ht="15">
      <c r="A5366" s="84" t="s">
        <v>360</v>
      </c>
      <c r="B5366" s="83" t="s">
        <v>3214</v>
      </c>
      <c r="C5366" s="91" t="s">
        <v>1208</v>
      </c>
    </row>
    <row r="5367" spans="1:3" ht="15">
      <c r="A5367" s="84" t="s">
        <v>360</v>
      </c>
      <c r="B5367" s="83" t="s">
        <v>3354</v>
      </c>
      <c r="C5367" s="91" t="s">
        <v>1208</v>
      </c>
    </row>
    <row r="5368" spans="1:3" ht="15">
      <c r="A5368" s="84" t="s">
        <v>360</v>
      </c>
      <c r="B5368" s="83" t="s">
        <v>3355</v>
      </c>
      <c r="C5368" s="91" t="s">
        <v>1208</v>
      </c>
    </row>
    <row r="5369" spans="1:3" ht="15">
      <c r="A5369" s="84" t="s">
        <v>360</v>
      </c>
      <c r="B5369" s="83" t="s">
        <v>3323</v>
      </c>
      <c r="C5369" s="91" t="s">
        <v>1209</v>
      </c>
    </row>
    <row r="5370" spans="1:3" ht="15">
      <c r="A5370" s="84" t="s">
        <v>360</v>
      </c>
      <c r="B5370" s="83" t="s">
        <v>2694</v>
      </c>
      <c r="C5370" s="91" t="s">
        <v>1209</v>
      </c>
    </row>
    <row r="5371" spans="1:3" ht="15">
      <c r="A5371" s="84" t="s">
        <v>360</v>
      </c>
      <c r="B5371" s="83" t="s">
        <v>2568</v>
      </c>
      <c r="C5371" s="91" t="s">
        <v>1209</v>
      </c>
    </row>
    <row r="5372" spans="1:3" ht="15">
      <c r="A5372" s="84" t="s">
        <v>360</v>
      </c>
      <c r="B5372" s="83" t="s">
        <v>2592</v>
      </c>
      <c r="C5372" s="91" t="s">
        <v>1209</v>
      </c>
    </row>
    <row r="5373" spans="1:3" ht="15">
      <c r="A5373" s="84" t="s">
        <v>360</v>
      </c>
      <c r="B5373" s="83" t="s">
        <v>3211</v>
      </c>
      <c r="C5373" s="91" t="s">
        <v>1209</v>
      </c>
    </row>
    <row r="5374" spans="1:3" ht="15">
      <c r="A5374" s="84" t="s">
        <v>360</v>
      </c>
      <c r="B5374" s="83" t="s">
        <v>2629</v>
      </c>
      <c r="C5374" s="91" t="s">
        <v>1209</v>
      </c>
    </row>
    <row r="5375" spans="1:3" ht="15">
      <c r="A5375" s="84" t="s">
        <v>360</v>
      </c>
      <c r="B5375" s="83" t="s">
        <v>2781</v>
      </c>
      <c r="C5375" s="91" t="s">
        <v>1209</v>
      </c>
    </row>
    <row r="5376" spans="1:3" ht="15">
      <c r="A5376" s="84" t="s">
        <v>360</v>
      </c>
      <c r="B5376" s="83" t="s">
        <v>2782</v>
      </c>
      <c r="C5376" s="91" t="s">
        <v>1209</v>
      </c>
    </row>
    <row r="5377" spans="1:3" ht="15">
      <c r="A5377" s="84" t="s">
        <v>360</v>
      </c>
      <c r="B5377" s="83" t="s">
        <v>2771</v>
      </c>
      <c r="C5377" s="91" t="s">
        <v>1209</v>
      </c>
    </row>
    <row r="5378" spans="1:3" ht="15">
      <c r="A5378" s="84" t="s">
        <v>360</v>
      </c>
      <c r="B5378" s="83" t="s">
        <v>2734</v>
      </c>
      <c r="C5378" s="91" t="s">
        <v>1209</v>
      </c>
    </row>
    <row r="5379" spans="1:3" ht="15">
      <c r="A5379" s="84" t="s">
        <v>360</v>
      </c>
      <c r="B5379" s="83" t="s">
        <v>3324</v>
      </c>
      <c r="C5379" s="91" t="s">
        <v>1209</v>
      </c>
    </row>
    <row r="5380" spans="1:3" ht="15">
      <c r="A5380" s="84" t="s">
        <v>360</v>
      </c>
      <c r="B5380" s="83" t="s">
        <v>2576</v>
      </c>
      <c r="C5380" s="91" t="s">
        <v>1209</v>
      </c>
    </row>
    <row r="5381" spans="1:3" ht="15">
      <c r="A5381" s="84" t="s">
        <v>360</v>
      </c>
      <c r="B5381" s="83" t="s">
        <v>2578</v>
      </c>
      <c r="C5381" s="91" t="s">
        <v>1209</v>
      </c>
    </row>
    <row r="5382" spans="1:3" ht="15">
      <c r="A5382" s="84" t="s">
        <v>360</v>
      </c>
      <c r="B5382" s="83" t="s">
        <v>3325</v>
      </c>
      <c r="C5382" s="91" t="s">
        <v>1209</v>
      </c>
    </row>
    <row r="5383" spans="1:3" ht="15">
      <c r="A5383" s="84" t="s">
        <v>360</v>
      </c>
      <c r="B5383" s="83" t="s">
        <v>3227</v>
      </c>
      <c r="C5383" s="91" t="s">
        <v>1209</v>
      </c>
    </row>
    <row r="5384" spans="1:3" ht="15">
      <c r="A5384" s="84" t="s">
        <v>360</v>
      </c>
      <c r="B5384" s="83" t="s">
        <v>3203</v>
      </c>
      <c r="C5384" s="91" t="s">
        <v>1209</v>
      </c>
    </row>
    <row r="5385" spans="1:3" ht="15">
      <c r="A5385" s="84" t="s">
        <v>360</v>
      </c>
      <c r="B5385" s="83">
        <v>19</v>
      </c>
      <c r="C5385" s="91" t="s">
        <v>1209</v>
      </c>
    </row>
    <row r="5386" spans="1:3" ht="15">
      <c r="A5386" s="84" t="s">
        <v>360</v>
      </c>
      <c r="B5386" s="83" t="s">
        <v>3326</v>
      </c>
      <c r="C5386" s="91" t="s">
        <v>1209</v>
      </c>
    </row>
    <row r="5387" spans="1:3" ht="15">
      <c r="A5387" s="84" t="s">
        <v>360</v>
      </c>
      <c r="B5387" s="83" t="s">
        <v>3327</v>
      </c>
      <c r="C5387" s="91" t="s">
        <v>1209</v>
      </c>
    </row>
    <row r="5388" spans="1:3" ht="15">
      <c r="A5388" s="84" t="s">
        <v>360</v>
      </c>
      <c r="B5388" s="83" t="s">
        <v>2590</v>
      </c>
      <c r="C5388" s="91" t="s">
        <v>1209</v>
      </c>
    </row>
    <row r="5389" spans="1:3" ht="15">
      <c r="A5389" s="84" t="s">
        <v>360</v>
      </c>
      <c r="B5389" s="83" t="s">
        <v>3328</v>
      </c>
      <c r="C5389" s="91" t="s">
        <v>1209</v>
      </c>
    </row>
    <row r="5390" spans="1:3" ht="15">
      <c r="A5390" s="84" t="s">
        <v>360</v>
      </c>
      <c r="B5390" s="83" t="s">
        <v>3225</v>
      </c>
      <c r="C5390" s="91" t="s">
        <v>1209</v>
      </c>
    </row>
    <row r="5391" spans="1:3" ht="15">
      <c r="A5391" s="84" t="s">
        <v>360</v>
      </c>
      <c r="B5391" s="83">
        <v>13</v>
      </c>
      <c r="C5391" s="91" t="s">
        <v>1209</v>
      </c>
    </row>
    <row r="5392" spans="1:3" ht="15">
      <c r="A5392" s="84" t="s">
        <v>360</v>
      </c>
      <c r="B5392" s="83" t="s">
        <v>3329</v>
      </c>
      <c r="C5392" s="91" t="s">
        <v>1209</v>
      </c>
    </row>
    <row r="5393" spans="1:3" ht="15">
      <c r="A5393" s="84" t="s">
        <v>360</v>
      </c>
      <c r="B5393" s="83">
        <v>11</v>
      </c>
      <c r="C5393" s="91" t="s">
        <v>1209</v>
      </c>
    </row>
    <row r="5394" spans="1:3" ht="15">
      <c r="A5394" s="84" t="s">
        <v>360</v>
      </c>
      <c r="B5394" s="83">
        <v>30</v>
      </c>
      <c r="C5394" s="91" t="s">
        <v>1209</v>
      </c>
    </row>
    <row r="5395" spans="1:3" ht="15">
      <c r="A5395" s="84" t="s">
        <v>360</v>
      </c>
      <c r="B5395" s="83" t="s">
        <v>3330</v>
      </c>
      <c r="C5395" s="91" t="s">
        <v>1209</v>
      </c>
    </row>
    <row r="5396" spans="1:3" ht="15">
      <c r="A5396" s="84" t="s">
        <v>360</v>
      </c>
      <c r="B5396" s="83" t="s">
        <v>3331</v>
      </c>
      <c r="C5396" s="91" t="s">
        <v>1209</v>
      </c>
    </row>
    <row r="5397" spans="1:3" ht="15">
      <c r="A5397" s="84" t="s">
        <v>360</v>
      </c>
      <c r="B5397" s="83">
        <v>1</v>
      </c>
      <c r="C5397" s="91" t="s">
        <v>1209</v>
      </c>
    </row>
    <row r="5398" spans="1:3" ht="15">
      <c r="A5398" s="84" t="s">
        <v>360</v>
      </c>
      <c r="B5398" s="83" t="s">
        <v>3332</v>
      </c>
      <c r="C5398" s="91" t="s">
        <v>1209</v>
      </c>
    </row>
    <row r="5399" spans="1:3" ht="15">
      <c r="A5399" s="84" t="s">
        <v>360</v>
      </c>
      <c r="B5399" s="83">
        <v>2</v>
      </c>
      <c r="C5399" s="91" t="s">
        <v>1209</v>
      </c>
    </row>
    <row r="5400" spans="1:3" ht="15">
      <c r="A5400" s="84" t="s">
        <v>360</v>
      </c>
      <c r="B5400" s="83" t="s">
        <v>3333</v>
      </c>
      <c r="C5400" s="91" t="s">
        <v>1209</v>
      </c>
    </row>
    <row r="5401" spans="1:3" ht="15">
      <c r="A5401" s="84" t="s">
        <v>360</v>
      </c>
      <c r="B5401" s="83" t="s">
        <v>2664</v>
      </c>
      <c r="C5401" s="91" t="s">
        <v>1209</v>
      </c>
    </row>
    <row r="5402" spans="1:3" ht="15">
      <c r="A5402" s="84" t="s">
        <v>360</v>
      </c>
      <c r="B5402" s="83" t="s">
        <v>2794</v>
      </c>
      <c r="C5402" s="91" t="s">
        <v>1209</v>
      </c>
    </row>
    <row r="5403" spans="1:3" ht="15">
      <c r="A5403" s="84" t="s">
        <v>360</v>
      </c>
      <c r="B5403" s="83" t="s">
        <v>3334</v>
      </c>
      <c r="C5403" s="91" t="s">
        <v>1209</v>
      </c>
    </row>
    <row r="5404" spans="1:3" ht="15">
      <c r="A5404" s="84" t="s">
        <v>360</v>
      </c>
      <c r="B5404" s="83" t="s">
        <v>3335</v>
      </c>
      <c r="C5404" s="91" t="s">
        <v>1209</v>
      </c>
    </row>
    <row r="5405" spans="1:3" ht="15">
      <c r="A5405" s="84" t="s">
        <v>360</v>
      </c>
      <c r="B5405" s="83" t="s">
        <v>3238</v>
      </c>
      <c r="C5405" s="91" t="s">
        <v>1209</v>
      </c>
    </row>
    <row r="5406" spans="1:3" ht="15">
      <c r="A5406" s="84" t="s">
        <v>360</v>
      </c>
      <c r="B5406" s="83" t="s">
        <v>3199</v>
      </c>
      <c r="C5406" s="91" t="s">
        <v>1209</v>
      </c>
    </row>
    <row r="5407" spans="1:3" ht="15">
      <c r="A5407" s="84" t="s">
        <v>360</v>
      </c>
      <c r="B5407" s="83" t="s">
        <v>3279</v>
      </c>
      <c r="C5407" s="91" t="s">
        <v>1207</v>
      </c>
    </row>
    <row r="5408" spans="1:3" ht="15">
      <c r="A5408" s="84" t="s">
        <v>360</v>
      </c>
      <c r="B5408" s="83" t="s">
        <v>3280</v>
      </c>
      <c r="C5408" s="91" t="s">
        <v>1207</v>
      </c>
    </row>
    <row r="5409" spans="1:3" ht="15">
      <c r="A5409" s="84" t="s">
        <v>360</v>
      </c>
      <c r="B5409" s="83" t="s">
        <v>2581</v>
      </c>
      <c r="C5409" s="91" t="s">
        <v>1207</v>
      </c>
    </row>
    <row r="5410" spans="1:3" ht="15">
      <c r="A5410" s="84" t="s">
        <v>360</v>
      </c>
      <c r="B5410" s="83" t="s">
        <v>2675</v>
      </c>
      <c r="C5410" s="91" t="s">
        <v>1207</v>
      </c>
    </row>
    <row r="5411" spans="1:3" ht="15">
      <c r="A5411" s="84" t="s">
        <v>360</v>
      </c>
      <c r="B5411" s="83" t="s">
        <v>3281</v>
      </c>
      <c r="C5411" s="91" t="s">
        <v>1207</v>
      </c>
    </row>
    <row r="5412" spans="1:3" ht="15">
      <c r="A5412" s="84" t="s">
        <v>360</v>
      </c>
      <c r="B5412" s="83" t="s">
        <v>3213</v>
      </c>
      <c r="C5412" s="91" t="s">
        <v>1207</v>
      </c>
    </row>
    <row r="5413" spans="1:3" ht="15">
      <c r="A5413" s="84" t="s">
        <v>360</v>
      </c>
      <c r="B5413" s="83" t="s">
        <v>3266</v>
      </c>
      <c r="C5413" s="91" t="s">
        <v>1207</v>
      </c>
    </row>
    <row r="5414" spans="1:3" ht="15">
      <c r="A5414" s="84" t="s">
        <v>360</v>
      </c>
      <c r="B5414" s="83" t="s">
        <v>2577</v>
      </c>
      <c r="C5414" s="91" t="s">
        <v>1207</v>
      </c>
    </row>
    <row r="5415" spans="1:3" ht="15">
      <c r="A5415" s="84" t="s">
        <v>360</v>
      </c>
      <c r="B5415" s="83" t="s">
        <v>3198</v>
      </c>
      <c r="C5415" s="91" t="s">
        <v>1207</v>
      </c>
    </row>
    <row r="5416" spans="1:3" ht="15">
      <c r="A5416" s="84" t="s">
        <v>360</v>
      </c>
      <c r="B5416" s="83" t="s">
        <v>3282</v>
      </c>
      <c r="C5416" s="91" t="s">
        <v>1207</v>
      </c>
    </row>
    <row r="5417" spans="1:3" ht="15">
      <c r="A5417" s="84" t="s">
        <v>360</v>
      </c>
      <c r="B5417" s="83" t="s">
        <v>3283</v>
      </c>
      <c r="C5417" s="91" t="s">
        <v>1207</v>
      </c>
    </row>
    <row r="5418" spans="1:3" ht="15">
      <c r="A5418" s="84" t="s">
        <v>360</v>
      </c>
      <c r="B5418" s="83" t="s">
        <v>3214</v>
      </c>
      <c r="C5418" s="91" t="s">
        <v>1207</v>
      </c>
    </row>
    <row r="5419" spans="1:3" ht="15">
      <c r="A5419" s="84" t="s">
        <v>360</v>
      </c>
      <c r="B5419" s="83" t="s">
        <v>3211</v>
      </c>
      <c r="C5419" s="91" t="s">
        <v>1207</v>
      </c>
    </row>
    <row r="5420" spans="1:3" ht="15">
      <c r="A5420" s="84" t="s">
        <v>360</v>
      </c>
      <c r="B5420" s="83" t="s">
        <v>3215</v>
      </c>
      <c r="C5420" s="91" t="s">
        <v>1207</v>
      </c>
    </row>
    <row r="5421" spans="1:3" ht="15">
      <c r="A5421" s="84" t="s">
        <v>360</v>
      </c>
      <c r="B5421" s="83" t="s">
        <v>3199</v>
      </c>
      <c r="C5421" s="91" t="s">
        <v>1207</v>
      </c>
    </row>
    <row r="5422" spans="1:3" ht="15">
      <c r="A5422" s="84" t="s">
        <v>360</v>
      </c>
      <c r="B5422" s="83" t="s">
        <v>3218</v>
      </c>
      <c r="C5422" s="91" t="s">
        <v>1207</v>
      </c>
    </row>
    <row r="5423" spans="1:3" ht="15">
      <c r="A5423" s="84" t="s">
        <v>360</v>
      </c>
      <c r="B5423" s="83" t="s">
        <v>3235</v>
      </c>
      <c r="C5423" s="91" t="s">
        <v>1207</v>
      </c>
    </row>
    <row r="5424" spans="1:3" ht="15">
      <c r="A5424" s="84" t="s">
        <v>360</v>
      </c>
      <c r="B5424" s="83" t="s">
        <v>3236</v>
      </c>
      <c r="C5424" s="91" t="s">
        <v>1207</v>
      </c>
    </row>
    <row r="5425" spans="1:3" ht="15">
      <c r="A5425" s="84" t="s">
        <v>360</v>
      </c>
      <c r="B5425" s="83" t="s">
        <v>3220</v>
      </c>
      <c r="C5425" s="91" t="s">
        <v>1207</v>
      </c>
    </row>
    <row r="5426" spans="1:3" ht="15">
      <c r="A5426" s="84" t="s">
        <v>360</v>
      </c>
      <c r="B5426" s="83" t="s">
        <v>3221</v>
      </c>
      <c r="C5426" s="91" t="s">
        <v>1207</v>
      </c>
    </row>
    <row r="5427" spans="1:3" ht="15">
      <c r="A5427" s="84" t="s">
        <v>360</v>
      </c>
      <c r="B5427" s="83" t="s">
        <v>3237</v>
      </c>
      <c r="C5427" s="91" t="s">
        <v>1207</v>
      </c>
    </row>
    <row r="5428" spans="1:3" ht="15">
      <c r="A5428" s="84" t="s">
        <v>360</v>
      </c>
      <c r="B5428" s="83" t="s">
        <v>3284</v>
      </c>
      <c r="C5428" s="91" t="s">
        <v>1207</v>
      </c>
    </row>
    <row r="5429" spans="1:3" ht="15">
      <c r="A5429" s="84" t="s">
        <v>360</v>
      </c>
      <c r="B5429" s="83" t="s">
        <v>3285</v>
      </c>
      <c r="C5429" s="91" t="s">
        <v>1207</v>
      </c>
    </row>
    <row r="5430" spans="1:3" ht="15">
      <c r="A5430" s="84" t="s">
        <v>360</v>
      </c>
      <c r="B5430" s="83" t="s">
        <v>2632</v>
      </c>
      <c r="C5430" s="91" t="s">
        <v>1207</v>
      </c>
    </row>
    <row r="5431" spans="1:3" ht="15">
      <c r="A5431" s="84" t="s">
        <v>360</v>
      </c>
      <c r="B5431" s="83" t="s">
        <v>3286</v>
      </c>
      <c r="C5431" s="91" t="s">
        <v>1207</v>
      </c>
    </row>
    <row r="5432" spans="1:3" ht="15">
      <c r="A5432" s="84" t="s">
        <v>360</v>
      </c>
      <c r="B5432" s="83" t="s">
        <v>3250</v>
      </c>
      <c r="C5432" s="91" t="s">
        <v>1206</v>
      </c>
    </row>
    <row r="5433" spans="1:3" ht="15">
      <c r="A5433" s="84" t="s">
        <v>360</v>
      </c>
      <c r="B5433" s="83" t="s">
        <v>2692</v>
      </c>
      <c r="C5433" s="91" t="s">
        <v>1206</v>
      </c>
    </row>
    <row r="5434" spans="1:3" ht="15">
      <c r="A5434" s="84" t="s">
        <v>360</v>
      </c>
      <c r="B5434" s="83" t="s">
        <v>2712</v>
      </c>
      <c r="C5434" s="91" t="s">
        <v>1206</v>
      </c>
    </row>
    <row r="5435" spans="1:3" ht="15">
      <c r="A5435" s="84" t="s">
        <v>360</v>
      </c>
      <c r="B5435" s="83" t="s">
        <v>2578</v>
      </c>
      <c r="C5435" s="91" t="s">
        <v>1206</v>
      </c>
    </row>
    <row r="5436" spans="1:3" ht="15">
      <c r="A5436" s="84" t="s">
        <v>360</v>
      </c>
      <c r="B5436" s="83" t="s">
        <v>2637</v>
      </c>
      <c r="C5436" s="91" t="s">
        <v>1206</v>
      </c>
    </row>
    <row r="5437" spans="1:3" ht="15">
      <c r="A5437" s="84" t="s">
        <v>360</v>
      </c>
      <c r="B5437" s="83" t="s">
        <v>3203</v>
      </c>
      <c r="C5437" s="91" t="s">
        <v>1206</v>
      </c>
    </row>
    <row r="5438" spans="1:3" ht="15">
      <c r="A5438" s="84" t="s">
        <v>360</v>
      </c>
      <c r="B5438" s="91" t="s">
        <v>3287</v>
      </c>
      <c r="C5438" s="91" t="s">
        <v>1206</v>
      </c>
    </row>
    <row r="5439" spans="1:3" ht="15">
      <c r="A5439" s="84" t="s">
        <v>360</v>
      </c>
      <c r="B5439" s="83" t="s">
        <v>3288</v>
      </c>
      <c r="C5439" s="91" t="s">
        <v>1206</v>
      </c>
    </row>
    <row r="5440" spans="1:3" ht="15">
      <c r="A5440" s="84" t="s">
        <v>360</v>
      </c>
      <c r="B5440" s="83" t="s">
        <v>3289</v>
      </c>
      <c r="C5440" s="91" t="s">
        <v>1206</v>
      </c>
    </row>
    <row r="5441" spans="1:3" ht="15">
      <c r="A5441" s="84" t="s">
        <v>360</v>
      </c>
      <c r="B5441" s="83" t="s">
        <v>2632</v>
      </c>
      <c r="C5441" s="91" t="s">
        <v>1206</v>
      </c>
    </row>
    <row r="5442" spans="1:3" ht="15">
      <c r="A5442" s="84" t="s">
        <v>360</v>
      </c>
      <c r="B5442" s="83" t="s">
        <v>435</v>
      </c>
      <c r="C5442" s="91" t="s">
        <v>1206</v>
      </c>
    </row>
    <row r="5443" spans="1:3" ht="15">
      <c r="A5443" s="84" t="s">
        <v>360</v>
      </c>
      <c r="B5443" s="83" t="s">
        <v>3290</v>
      </c>
      <c r="C5443" s="91" t="s">
        <v>1206</v>
      </c>
    </row>
    <row r="5444" spans="1:3" ht="15">
      <c r="A5444" s="84" t="s">
        <v>360</v>
      </c>
      <c r="B5444" s="83" t="s">
        <v>3213</v>
      </c>
      <c r="C5444" s="91" t="s">
        <v>1206</v>
      </c>
    </row>
    <row r="5445" spans="1:3" ht="15">
      <c r="A5445" s="84" t="s">
        <v>360</v>
      </c>
      <c r="B5445" s="83" t="s">
        <v>3291</v>
      </c>
      <c r="C5445" s="91" t="s">
        <v>1206</v>
      </c>
    </row>
    <row r="5446" spans="1:3" ht="15">
      <c r="A5446" s="84" t="s">
        <v>360</v>
      </c>
      <c r="B5446" s="83" t="s">
        <v>3292</v>
      </c>
      <c r="C5446" s="91" t="s">
        <v>1206</v>
      </c>
    </row>
    <row r="5447" spans="1:3" ht="15">
      <c r="A5447" s="84" t="s">
        <v>360</v>
      </c>
      <c r="B5447" s="83" t="s">
        <v>3293</v>
      </c>
      <c r="C5447" s="91" t="s">
        <v>1206</v>
      </c>
    </row>
    <row r="5448" spans="1:3" ht="15">
      <c r="A5448" s="84" t="s">
        <v>360</v>
      </c>
      <c r="B5448" s="83" t="s">
        <v>3294</v>
      </c>
      <c r="C5448" s="91" t="s">
        <v>1206</v>
      </c>
    </row>
    <row r="5449" spans="1:3" ht="15">
      <c r="A5449" s="84" t="s">
        <v>360</v>
      </c>
      <c r="B5449" s="83" t="s">
        <v>3295</v>
      </c>
      <c r="C5449" s="91" t="s">
        <v>1206</v>
      </c>
    </row>
    <row r="5450" spans="1:3" ht="15">
      <c r="A5450" s="84" t="s">
        <v>360</v>
      </c>
      <c r="B5450" s="83" t="s">
        <v>3237</v>
      </c>
      <c r="C5450" s="91" t="s">
        <v>1206</v>
      </c>
    </row>
    <row r="5451" spans="1:3" ht="15">
      <c r="A5451" s="84" t="s">
        <v>360</v>
      </c>
      <c r="B5451" s="83" t="s">
        <v>3296</v>
      </c>
      <c r="C5451" s="91" t="s">
        <v>1206</v>
      </c>
    </row>
    <row r="5452" spans="1:3" ht="15">
      <c r="A5452" s="84" t="s">
        <v>360</v>
      </c>
      <c r="B5452" s="83" t="s">
        <v>3297</v>
      </c>
      <c r="C5452" s="91" t="s">
        <v>1206</v>
      </c>
    </row>
    <row r="5453" spans="1:3" ht="15">
      <c r="A5453" s="84" t="s">
        <v>360</v>
      </c>
      <c r="B5453" s="83" t="s">
        <v>3218</v>
      </c>
      <c r="C5453" s="91" t="s">
        <v>1206</v>
      </c>
    </row>
    <row r="5454" spans="1:3" ht="15">
      <c r="A5454" s="84" t="s">
        <v>360</v>
      </c>
      <c r="B5454" s="83" t="s">
        <v>3298</v>
      </c>
      <c r="C5454" s="91" t="s">
        <v>1206</v>
      </c>
    </row>
    <row r="5455" spans="1:3" ht="15">
      <c r="A5455" s="84" t="s">
        <v>360</v>
      </c>
      <c r="B5455" s="83" t="s">
        <v>3299</v>
      </c>
      <c r="C5455" s="91" t="s">
        <v>1206</v>
      </c>
    </row>
    <row r="5456" spans="1:3" ht="15">
      <c r="A5456" s="84" t="s">
        <v>360</v>
      </c>
      <c r="B5456" s="83" t="s">
        <v>2179</v>
      </c>
      <c r="C5456" s="91" t="s">
        <v>1206</v>
      </c>
    </row>
    <row r="5457" spans="1:3" ht="15">
      <c r="A5457" s="84" t="s">
        <v>360</v>
      </c>
      <c r="B5457" s="83" t="s">
        <v>3300</v>
      </c>
      <c r="C5457" s="91" t="s">
        <v>1206</v>
      </c>
    </row>
    <row r="5458" spans="1:3" ht="15">
      <c r="A5458" s="84" t="s">
        <v>360</v>
      </c>
      <c r="B5458" s="83" t="s">
        <v>3301</v>
      </c>
      <c r="C5458" s="91" t="s">
        <v>1206</v>
      </c>
    </row>
    <row r="5459" spans="1:3" ht="15">
      <c r="A5459" s="84" t="s">
        <v>360</v>
      </c>
      <c r="B5459" s="83" t="s">
        <v>3199</v>
      </c>
      <c r="C5459" s="91" t="s">
        <v>1206</v>
      </c>
    </row>
    <row r="5460" spans="1:3" ht="15">
      <c r="A5460" s="84" t="s">
        <v>360</v>
      </c>
      <c r="B5460" s="83" t="s">
        <v>3214</v>
      </c>
      <c r="C5460" s="91" t="s">
        <v>1206</v>
      </c>
    </row>
    <row r="5461" spans="1:3" ht="15">
      <c r="A5461" s="84" t="s">
        <v>360</v>
      </c>
      <c r="B5461" s="83" t="s">
        <v>3302</v>
      </c>
      <c r="C5461" s="91" t="s">
        <v>1206</v>
      </c>
    </row>
    <row r="5462" spans="1:3" ht="15">
      <c r="A5462" s="84" t="s">
        <v>360</v>
      </c>
      <c r="B5462" s="83" t="s">
        <v>3303</v>
      </c>
      <c r="C5462" s="91" t="s">
        <v>1206</v>
      </c>
    </row>
    <row r="5463" spans="1:3" ht="15">
      <c r="A5463" s="84" t="s">
        <v>360</v>
      </c>
      <c r="B5463" s="83" t="s">
        <v>3250</v>
      </c>
      <c r="C5463" s="91" t="s">
        <v>1205</v>
      </c>
    </row>
    <row r="5464" spans="1:3" ht="15">
      <c r="A5464" s="84" t="s">
        <v>360</v>
      </c>
      <c r="B5464" s="83" t="s">
        <v>2692</v>
      </c>
      <c r="C5464" s="91" t="s">
        <v>1205</v>
      </c>
    </row>
    <row r="5465" spans="1:3" ht="15">
      <c r="A5465" s="84" t="s">
        <v>360</v>
      </c>
      <c r="B5465" s="83" t="s">
        <v>2712</v>
      </c>
      <c r="C5465" s="91" t="s">
        <v>1205</v>
      </c>
    </row>
    <row r="5466" spans="1:3" ht="15">
      <c r="A5466" s="84" t="s">
        <v>360</v>
      </c>
      <c r="B5466" s="83" t="s">
        <v>2578</v>
      </c>
      <c r="C5466" s="91" t="s">
        <v>1205</v>
      </c>
    </row>
    <row r="5467" spans="1:3" ht="15">
      <c r="A5467" s="84" t="s">
        <v>360</v>
      </c>
      <c r="B5467" s="83" t="s">
        <v>2637</v>
      </c>
      <c r="C5467" s="91" t="s">
        <v>1205</v>
      </c>
    </row>
    <row r="5468" spans="1:3" ht="15">
      <c r="A5468" s="84" t="s">
        <v>360</v>
      </c>
      <c r="B5468" s="83" t="s">
        <v>3203</v>
      </c>
      <c r="C5468" s="91" t="s">
        <v>1205</v>
      </c>
    </row>
    <row r="5469" spans="1:3" ht="15">
      <c r="A5469" s="84" t="s">
        <v>360</v>
      </c>
      <c r="B5469" s="91" t="s">
        <v>3287</v>
      </c>
      <c r="C5469" s="91" t="s">
        <v>1205</v>
      </c>
    </row>
    <row r="5470" spans="1:3" ht="15">
      <c r="A5470" s="84" t="s">
        <v>360</v>
      </c>
      <c r="B5470" s="83" t="s">
        <v>3288</v>
      </c>
      <c r="C5470" s="91" t="s">
        <v>1205</v>
      </c>
    </row>
    <row r="5471" spans="1:3" ht="15">
      <c r="A5471" s="84" t="s">
        <v>360</v>
      </c>
      <c r="B5471" s="83" t="s">
        <v>3289</v>
      </c>
      <c r="C5471" s="91" t="s">
        <v>1205</v>
      </c>
    </row>
    <row r="5472" spans="1:3" ht="15">
      <c r="A5472" s="84" t="s">
        <v>360</v>
      </c>
      <c r="B5472" s="83" t="s">
        <v>2632</v>
      </c>
      <c r="C5472" s="91" t="s">
        <v>1205</v>
      </c>
    </row>
    <row r="5473" spans="1:3" ht="15">
      <c r="A5473" s="84" t="s">
        <v>360</v>
      </c>
      <c r="B5473" s="83" t="s">
        <v>435</v>
      </c>
      <c r="C5473" s="91" t="s">
        <v>1205</v>
      </c>
    </row>
    <row r="5474" spans="1:3" ht="15">
      <c r="A5474" s="84" t="s">
        <v>360</v>
      </c>
      <c r="B5474" s="83" t="s">
        <v>3290</v>
      </c>
      <c r="C5474" s="91" t="s">
        <v>1205</v>
      </c>
    </row>
    <row r="5475" spans="1:3" ht="15">
      <c r="A5475" s="84" t="s">
        <v>360</v>
      </c>
      <c r="B5475" s="83" t="s">
        <v>3213</v>
      </c>
      <c r="C5475" s="91" t="s">
        <v>1205</v>
      </c>
    </row>
    <row r="5476" spans="1:3" ht="15">
      <c r="A5476" s="84" t="s">
        <v>360</v>
      </c>
      <c r="B5476" s="83" t="s">
        <v>3291</v>
      </c>
      <c r="C5476" s="91" t="s">
        <v>1205</v>
      </c>
    </row>
    <row r="5477" spans="1:3" ht="15">
      <c r="A5477" s="84" t="s">
        <v>360</v>
      </c>
      <c r="B5477" s="83" t="s">
        <v>3292</v>
      </c>
      <c r="C5477" s="91" t="s">
        <v>1205</v>
      </c>
    </row>
    <row r="5478" spans="1:3" ht="15">
      <c r="A5478" s="84" t="s">
        <v>360</v>
      </c>
      <c r="B5478" s="83" t="s">
        <v>3293</v>
      </c>
      <c r="C5478" s="91" t="s">
        <v>1205</v>
      </c>
    </row>
    <row r="5479" spans="1:3" ht="15">
      <c r="A5479" s="84" t="s">
        <v>360</v>
      </c>
      <c r="B5479" s="83" t="s">
        <v>3294</v>
      </c>
      <c r="C5479" s="91" t="s">
        <v>1205</v>
      </c>
    </row>
    <row r="5480" spans="1:3" ht="15">
      <c r="A5480" s="84" t="s">
        <v>360</v>
      </c>
      <c r="B5480" s="83" t="s">
        <v>3295</v>
      </c>
      <c r="C5480" s="91" t="s">
        <v>1205</v>
      </c>
    </row>
    <row r="5481" spans="1:3" ht="15">
      <c r="A5481" s="84" t="s">
        <v>360</v>
      </c>
      <c r="B5481" s="83" t="s">
        <v>3237</v>
      </c>
      <c r="C5481" s="91" t="s">
        <v>1205</v>
      </c>
    </row>
    <row r="5482" spans="1:3" ht="15">
      <c r="A5482" s="84" t="s">
        <v>360</v>
      </c>
      <c r="B5482" s="83" t="s">
        <v>3296</v>
      </c>
      <c r="C5482" s="91" t="s">
        <v>1205</v>
      </c>
    </row>
    <row r="5483" spans="1:3" ht="15">
      <c r="A5483" s="84" t="s">
        <v>360</v>
      </c>
      <c r="B5483" s="83" t="s">
        <v>3297</v>
      </c>
      <c r="C5483" s="91" t="s">
        <v>1205</v>
      </c>
    </row>
    <row r="5484" spans="1:3" ht="15">
      <c r="A5484" s="84" t="s">
        <v>360</v>
      </c>
      <c r="B5484" s="83" t="s">
        <v>3218</v>
      </c>
      <c r="C5484" s="91" t="s">
        <v>1205</v>
      </c>
    </row>
    <row r="5485" spans="1:3" ht="15">
      <c r="A5485" s="84" t="s">
        <v>360</v>
      </c>
      <c r="B5485" s="83" t="s">
        <v>3298</v>
      </c>
      <c r="C5485" s="91" t="s">
        <v>1205</v>
      </c>
    </row>
    <row r="5486" spans="1:3" ht="15">
      <c r="A5486" s="84" t="s">
        <v>360</v>
      </c>
      <c r="B5486" s="83" t="s">
        <v>3299</v>
      </c>
      <c r="C5486" s="91" t="s">
        <v>1205</v>
      </c>
    </row>
    <row r="5487" spans="1:3" ht="15">
      <c r="A5487" s="84" t="s">
        <v>360</v>
      </c>
      <c r="B5487" s="83" t="s">
        <v>2179</v>
      </c>
      <c r="C5487" s="91" t="s">
        <v>1205</v>
      </c>
    </row>
    <row r="5488" spans="1:3" ht="15">
      <c r="A5488" s="84" t="s">
        <v>360</v>
      </c>
      <c r="B5488" s="83" t="s">
        <v>3300</v>
      </c>
      <c r="C5488" s="91" t="s">
        <v>1205</v>
      </c>
    </row>
    <row r="5489" spans="1:3" ht="15">
      <c r="A5489" s="84" t="s">
        <v>360</v>
      </c>
      <c r="B5489" s="83" t="s">
        <v>3301</v>
      </c>
      <c r="C5489" s="91" t="s">
        <v>1205</v>
      </c>
    </row>
    <row r="5490" spans="1:3" ht="15">
      <c r="A5490" s="84" t="s">
        <v>360</v>
      </c>
      <c r="B5490" s="83" t="s">
        <v>3199</v>
      </c>
      <c r="C5490" s="91" t="s">
        <v>1205</v>
      </c>
    </row>
    <row r="5491" spans="1:3" ht="15">
      <c r="A5491" s="84" t="s">
        <v>360</v>
      </c>
      <c r="B5491" s="83" t="s">
        <v>3214</v>
      </c>
      <c r="C5491" s="91" t="s">
        <v>1205</v>
      </c>
    </row>
    <row r="5492" spans="1:3" ht="15">
      <c r="A5492" s="84" t="s">
        <v>360</v>
      </c>
      <c r="B5492" s="83" t="s">
        <v>3302</v>
      </c>
      <c r="C5492" s="91" t="s">
        <v>1205</v>
      </c>
    </row>
    <row r="5493" spans="1:3" ht="15">
      <c r="A5493" s="84" t="s">
        <v>360</v>
      </c>
      <c r="B5493" s="83" t="s">
        <v>3303</v>
      </c>
      <c r="C5493" s="91" t="s">
        <v>1205</v>
      </c>
    </row>
    <row r="5494" spans="1:3" ht="15">
      <c r="A5494" s="84" t="s">
        <v>360</v>
      </c>
      <c r="B5494" s="83" t="s">
        <v>3261</v>
      </c>
      <c r="C5494" s="91" t="s">
        <v>1204</v>
      </c>
    </row>
    <row r="5495" spans="1:3" ht="15">
      <c r="A5495" s="84" t="s">
        <v>360</v>
      </c>
      <c r="B5495" s="83" t="s">
        <v>2581</v>
      </c>
      <c r="C5495" s="91" t="s">
        <v>1204</v>
      </c>
    </row>
    <row r="5496" spans="1:3" ht="15">
      <c r="A5496" s="84" t="s">
        <v>360</v>
      </c>
      <c r="B5496" s="83" t="s">
        <v>2586</v>
      </c>
      <c r="C5496" s="91" t="s">
        <v>1204</v>
      </c>
    </row>
    <row r="5497" spans="1:3" ht="15">
      <c r="A5497" s="84" t="s">
        <v>360</v>
      </c>
      <c r="B5497" s="83" t="s">
        <v>2670</v>
      </c>
      <c r="C5497" s="91" t="s">
        <v>1204</v>
      </c>
    </row>
    <row r="5498" spans="1:3" ht="15">
      <c r="A5498" s="84" t="s">
        <v>360</v>
      </c>
      <c r="B5498" s="83" t="s">
        <v>2655</v>
      </c>
      <c r="C5498" s="91" t="s">
        <v>1204</v>
      </c>
    </row>
    <row r="5499" spans="1:3" ht="15">
      <c r="A5499" s="84" t="s">
        <v>360</v>
      </c>
      <c r="B5499" s="83" t="s">
        <v>2580</v>
      </c>
      <c r="C5499" s="91" t="s">
        <v>1204</v>
      </c>
    </row>
    <row r="5500" spans="1:3" ht="15">
      <c r="A5500" s="84" t="s">
        <v>360</v>
      </c>
      <c r="B5500" s="83" t="s">
        <v>2661</v>
      </c>
      <c r="C5500" s="91" t="s">
        <v>1204</v>
      </c>
    </row>
    <row r="5501" spans="1:3" ht="15">
      <c r="A5501" s="84" t="s">
        <v>360</v>
      </c>
      <c r="B5501" s="83" t="s">
        <v>2656</v>
      </c>
      <c r="C5501" s="91" t="s">
        <v>1204</v>
      </c>
    </row>
    <row r="5502" spans="1:3" ht="15">
      <c r="A5502" s="84" t="s">
        <v>360</v>
      </c>
      <c r="B5502" s="83" t="s">
        <v>3199</v>
      </c>
      <c r="C5502" s="91" t="s">
        <v>1204</v>
      </c>
    </row>
    <row r="5503" spans="1:3" ht="15">
      <c r="A5503" s="84" t="s">
        <v>360</v>
      </c>
      <c r="B5503" s="83" t="s">
        <v>133</v>
      </c>
      <c r="C5503" s="91" t="s">
        <v>1204</v>
      </c>
    </row>
    <row r="5504" spans="1:3" ht="15">
      <c r="A5504" s="84" t="s">
        <v>360</v>
      </c>
      <c r="B5504" s="83" t="s">
        <v>2657</v>
      </c>
      <c r="C5504" s="91" t="s">
        <v>1204</v>
      </c>
    </row>
    <row r="5505" spans="1:3" ht="15">
      <c r="A5505" s="84" t="s">
        <v>360</v>
      </c>
      <c r="B5505" s="83" t="s">
        <v>2576</v>
      </c>
      <c r="C5505" s="91" t="s">
        <v>1204</v>
      </c>
    </row>
    <row r="5506" spans="1:3" ht="15">
      <c r="A5506" s="84" t="s">
        <v>360</v>
      </c>
      <c r="B5506" s="83" t="s">
        <v>2569</v>
      </c>
      <c r="C5506" s="91" t="s">
        <v>1204</v>
      </c>
    </row>
    <row r="5507" spans="1:3" ht="15">
      <c r="A5507" s="84" t="s">
        <v>360</v>
      </c>
      <c r="B5507" s="83">
        <v>19</v>
      </c>
      <c r="C5507" s="91" t="s">
        <v>1204</v>
      </c>
    </row>
    <row r="5508" spans="1:3" ht="15">
      <c r="A5508" s="84" t="s">
        <v>360</v>
      </c>
      <c r="B5508" s="83" t="s">
        <v>2629</v>
      </c>
      <c r="C5508" s="91" t="s">
        <v>1204</v>
      </c>
    </row>
    <row r="5509" spans="1:3" ht="15">
      <c r="A5509" s="84" t="s">
        <v>360</v>
      </c>
      <c r="B5509" s="83" t="s">
        <v>3262</v>
      </c>
      <c r="C5509" s="91" t="s">
        <v>1204</v>
      </c>
    </row>
    <row r="5510" spans="1:3" ht="15">
      <c r="A5510" s="84" t="s">
        <v>360</v>
      </c>
      <c r="B5510" s="83" t="s">
        <v>2702</v>
      </c>
      <c r="C5510" s="91" t="s">
        <v>1204</v>
      </c>
    </row>
    <row r="5511" spans="1:3" ht="15">
      <c r="A5511" s="84" t="s">
        <v>360</v>
      </c>
      <c r="B5511" s="83" t="s">
        <v>2652</v>
      </c>
      <c r="C5511" s="91" t="s">
        <v>1204</v>
      </c>
    </row>
    <row r="5512" spans="1:3" ht="15">
      <c r="A5512" s="84" t="s">
        <v>360</v>
      </c>
      <c r="B5512" s="83" t="s">
        <v>2703</v>
      </c>
      <c r="C5512" s="91" t="s">
        <v>1204</v>
      </c>
    </row>
    <row r="5513" spans="1:3" ht="15">
      <c r="A5513" s="84" t="s">
        <v>360</v>
      </c>
      <c r="B5513" s="83" t="s">
        <v>2704</v>
      </c>
      <c r="C5513" s="91" t="s">
        <v>1204</v>
      </c>
    </row>
    <row r="5514" spans="1:3" ht="15">
      <c r="A5514" s="84" t="s">
        <v>360</v>
      </c>
      <c r="B5514" s="83" t="s">
        <v>2577</v>
      </c>
      <c r="C5514" s="91" t="s">
        <v>1204</v>
      </c>
    </row>
    <row r="5515" spans="1:3" ht="15">
      <c r="A5515" s="84" t="s">
        <v>360</v>
      </c>
      <c r="B5515" s="83" t="s">
        <v>2630</v>
      </c>
      <c r="C5515" s="91" t="s">
        <v>1204</v>
      </c>
    </row>
    <row r="5516" spans="1:3" ht="15">
      <c r="A5516" s="84" t="s">
        <v>360</v>
      </c>
      <c r="B5516" s="83" t="s">
        <v>3263</v>
      </c>
      <c r="C5516" s="91" t="s">
        <v>1204</v>
      </c>
    </row>
    <row r="5517" spans="1:3" ht="15">
      <c r="A5517" s="84" t="s">
        <v>360</v>
      </c>
      <c r="B5517" s="83" t="s">
        <v>2705</v>
      </c>
      <c r="C5517" s="91" t="s">
        <v>1204</v>
      </c>
    </row>
    <row r="5518" spans="1:3" ht="15">
      <c r="A5518" s="84" t="s">
        <v>360</v>
      </c>
      <c r="B5518" s="83" t="s">
        <v>2671</v>
      </c>
      <c r="C5518" s="91" t="s">
        <v>1204</v>
      </c>
    </row>
    <row r="5519" spans="1:3" ht="15">
      <c r="A5519" s="84" t="s">
        <v>360</v>
      </c>
      <c r="B5519" s="83" t="s">
        <v>3264</v>
      </c>
      <c r="C5519" s="91" t="s">
        <v>1204</v>
      </c>
    </row>
    <row r="5520" spans="1:3" ht="15">
      <c r="A5520" s="84" t="s">
        <v>360</v>
      </c>
      <c r="B5520" s="83" t="s">
        <v>2706</v>
      </c>
      <c r="C5520" s="91" t="s">
        <v>1204</v>
      </c>
    </row>
    <row r="5521" spans="1:3" ht="15">
      <c r="A5521" s="84" t="s">
        <v>360</v>
      </c>
      <c r="B5521" s="83" t="s">
        <v>2707</v>
      </c>
      <c r="C5521" s="91" t="s">
        <v>1204</v>
      </c>
    </row>
    <row r="5522" spans="1:3" ht="15">
      <c r="A5522" s="84" t="s">
        <v>360</v>
      </c>
      <c r="B5522" s="83" t="s">
        <v>2568</v>
      </c>
      <c r="C5522" s="91" t="s">
        <v>1204</v>
      </c>
    </row>
    <row r="5523" spans="1:3" ht="15">
      <c r="A5523" s="84" t="s">
        <v>360</v>
      </c>
      <c r="B5523" s="83" t="s">
        <v>2662</v>
      </c>
      <c r="C5523" s="91" t="s">
        <v>1204</v>
      </c>
    </row>
    <row r="5524" spans="1:3" ht="15">
      <c r="A5524" s="84" t="s">
        <v>360</v>
      </c>
      <c r="B5524" s="83" t="s">
        <v>2708</v>
      </c>
      <c r="C5524" s="91" t="s">
        <v>1204</v>
      </c>
    </row>
    <row r="5525" spans="1:3" ht="15">
      <c r="A5525" s="84" t="s">
        <v>360</v>
      </c>
      <c r="B5525" s="83" t="s">
        <v>2709</v>
      </c>
      <c r="C5525" s="91" t="s">
        <v>1204</v>
      </c>
    </row>
    <row r="5526" spans="1:3" ht="15">
      <c r="A5526" s="84" t="s">
        <v>360</v>
      </c>
      <c r="B5526" s="83" t="s">
        <v>3265</v>
      </c>
      <c r="C5526" s="91" t="s">
        <v>1204</v>
      </c>
    </row>
    <row r="5527" spans="1:3" ht="15">
      <c r="A5527" s="84" t="s">
        <v>360</v>
      </c>
      <c r="B5527" s="83" t="s">
        <v>2578</v>
      </c>
      <c r="C5527" s="91" t="s">
        <v>1204</v>
      </c>
    </row>
    <row r="5528" spans="1:3" ht="15">
      <c r="A5528" s="84" t="s">
        <v>360</v>
      </c>
      <c r="B5528" s="83" t="s">
        <v>2710</v>
      </c>
      <c r="C5528" s="91" t="s">
        <v>1204</v>
      </c>
    </row>
    <row r="5529" spans="1:3" ht="15">
      <c r="A5529" s="84" t="s">
        <v>360</v>
      </c>
      <c r="B5529" s="83" t="s">
        <v>3238</v>
      </c>
      <c r="C5529" s="91" t="s">
        <v>1204</v>
      </c>
    </row>
    <row r="5530" spans="1:3" ht="15">
      <c r="A5530" s="84" t="s">
        <v>360</v>
      </c>
      <c r="B5530" s="83" t="s">
        <v>586</v>
      </c>
      <c r="C5530" s="91" t="s">
        <v>1204</v>
      </c>
    </row>
    <row r="5531" spans="1:3" ht="15">
      <c r="A5531" s="84" t="s">
        <v>360</v>
      </c>
      <c r="B5531" s="83" t="s">
        <v>3258</v>
      </c>
      <c r="C5531" s="91" t="s">
        <v>1204</v>
      </c>
    </row>
    <row r="5532" spans="1:3" ht="15">
      <c r="A5532" s="84" t="s">
        <v>360</v>
      </c>
      <c r="B5532" s="83" t="s">
        <v>3109</v>
      </c>
      <c r="C5532" s="91" t="s">
        <v>1204</v>
      </c>
    </row>
    <row r="5533" spans="1:3" ht="15">
      <c r="A5533" s="84" t="s">
        <v>360</v>
      </c>
      <c r="B5533" s="83" t="s">
        <v>3340</v>
      </c>
      <c r="C5533" s="91" t="s">
        <v>1203</v>
      </c>
    </row>
    <row r="5534" spans="1:3" ht="15">
      <c r="A5534" s="84" t="s">
        <v>360</v>
      </c>
      <c r="B5534" s="83" t="s">
        <v>3213</v>
      </c>
      <c r="C5534" s="91" t="s">
        <v>1203</v>
      </c>
    </row>
    <row r="5535" spans="1:3" ht="15">
      <c r="A5535" s="84" t="s">
        <v>360</v>
      </c>
      <c r="B5535" s="83" t="s">
        <v>3341</v>
      </c>
      <c r="C5535" s="91" t="s">
        <v>1203</v>
      </c>
    </row>
    <row r="5536" spans="1:3" ht="15">
      <c r="A5536" s="84" t="s">
        <v>360</v>
      </c>
      <c r="B5536" s="83" t="s">
        <v>3342</v>
      </c>
      <c r="C5536" s="91" t="s">
        <v>1203</v>
      </c>
    </row>
    <row r="5537" spans="1:3" ht="15">
      <c r="A5537" s="84" t="s">
        <v>360</v>
      </c>
      <c r="B5537" s="83" t="s">
        <v>3343</v>
      </c>
      <c r="C5537" s="91" t="s">
        <v>1203</v>
      </c>
    </row>
    <row r="5538" spans="1:3" ht="15">
      <c r="A5538" s="84" t="s">
        <v>360</v>
      </c>
      <c r="B5538" s="83" t="s">
        <v>3344</v>
      </c>
      <c r="C5538" s="91" t="s">
        <v>1203</v>
      </c>
    </row>
    <row r="5539" spans="1:3" ht="15">
      <c r="A5539" s="84" t="s">
        <v>360</v>
      </c>
      <c r="B5539" s="83" t="s">
        <v>3345</v>
      </c>
      <c r="C5539" s="91" t="s">
        <v>1203</v>
      </c>
    </row>
    <row r="5540" spans="1:3" ht="15">
      <c r="A5540" s="84" t="s">
        <v>360</v>
      </c>
      <c r="B5540" s="83" t="s">
        <v>3290</v>
      </c>
      <c r="C5540" s="91" t="s">
        <v>1203</v>
      </c>
    </row>
    <row r="5541" spans="1:3" ht="15">
      <c r="A5541" s="84" t="s">
        <v>360</v>
      </c>
      <c r="B5541" s="83" t="s">
        <v>2179</v>
      </c>
      <c r="C5541" s="91" t="s">
        <v>1203</v>
      </c>
    </row>
    <row r="5542" spans="1:3" ht="15">
      <c r="A5542" s="84" t="s">
        <v>360</v>
      </c>
      <c r="B5542" s="83" t="s">
        <v>3300</v>
      </c>
      <c r="C5542" s="91" t="s">
        <v>1203</v>
      </c>
    </row>
    <row r="5543" spans="1:3" ht="15">
      <c r="A5543" s="84" t="s">
        <v>360</v>
      </c>
      <c r="B5543" s="83" t="s">
        <v>3301</v>
      </c>
      <c r="C5543" s="91" t="s">
        <v>1203</v>
      </c>
    </row>
    <row r="5544" spans="1:3" ht="15">
      <c r="A5544" s="84" t="s">
        <v>360</v>
      </c>
      <c r="B5544" s="83" t="s">
        <v>3302</v>
      </c>
      <c r="C5544" s="91" t="s">
        <v>1203</v>
      </c>
    </row>
    <row r="5545" spans="1:3" ht="15">
      <c r="A5545" s="84" t="s">
        <v>360</v>
      </c>
      <c r="B5545" s="83" t="s">
        <v>3303</v>
      </c>
      <c r="C5545" s="91" t="s">
        <v>1203</v>
      </c>
    </row>
    <row r="5546" spans="1:3" ht="15">
      <c r="A5546" s="84" t="s">
        <v>360</v>
      </c>
      <c r="B5546" s="83" t="s">
        <v>3291</v>
      </c>
      <c r="C5546" s="91" t="s">
        <v>1203</v>
      </c>
    </row>
    <row r="5547" spans="1:3" ht="15">
      <c r="A5547" s="84" t="s">
        <v>360</v>
      </c>
      <c r="B5547" s="83" t="s">
        <v>3292</v>
      </c>
      <c r="C5547" s="91" t="s">
        <v>1203</v>
      </c>
    </row>
    <row r="5548" spans="1:3" ht="15">
      <c r="A5548" s="84" t="s">
        <v>360</v>
      </c>
      <c r="B5548" s="83" t="s">
        <v>3293</v>
      </c>
      <c r="C5548" s="91" t="s">
        <v>1203</v>
      </c>
    </row>
    <row r="5549" spans="1:3" ht="15">
      <c r="A5549" s="84" t="s">
        <v>360</v>
      </c>
      <c r="B5549" s="83" t="s">
        <v>3294</v>
      </c>
      <c r="C5549" s="91" t="s">
        <v>1203</v>
      </c>
    </row>
    <row r="5550" spans="1:3" ht="15">
      <c r="A5550" s="84" t="s">
        <v>360</v>
      </c>
      <c r="B5550" s="83" t="s">
        <v>3295</v>
      </c>
      <c r="C5550" s="91" t="s">
        <v>1203</v>
      </c>
    </row>
    <row r="5551" spans="1:3" ht="15">
      <c r="A5551" s="84" t="s">
        <v>360</v>
      </c>
      <c r="B5551" s="83" t="s">
        <v>3237</v>
      </c>
      <c r="C5551" s="91" t="s">
        <v>1203</v>
      </c>
    </row>
    <row r="5552" spans="1:3" ht="15">
      <c r="A5552" s="84" t="s">
        <v>360</v>
      </c>
      <c r="B5552" s="83" t="s">
        <v>3296</v>
      </c>
      <c r="C5552" s="91" t="s">
        <v>1203</v>
      </c>
    </row>
    <row r="5553" spans="1:3" ht="15">
      <c r="A5553" s="84" t="s">
        <v>360</v>
      </c>
      <c r="B5553" s="83" t="s">
        <v>3297</v>
      </c>
      <c r="C5553" s="91" t="s">
        <v>1203</v>
      </c>
    </row>
    <row r="5554" spans="1:3" ht="15">
      <c r="A5554" s="84" t="s">
        <v>360</v>
      </c>
      <c r="B5554" s="83" t="s">
        <v>3218</v>
      </c>
      <c r="C5554" s="91" t="s">
        <v>1203</v>
      </c>
    </row>
    <row r="5555" spans="1:3" ht="15">
      <c r="A5555" s="84" t="s">
        <v>360</v>
      </c>
      <c r="B5555" s="83" t="s">
        <v>3346</v>
      </c>
      <c r="C5555" s="91" t="s">
        <v>1203</v>
      </c>
    </row>
    <row r="5556" spans="1:3" ht="15">
      <c r="A5556" s="84" t="s">
        <v>360</v>
      </c>
      <c r="B5556" s="83" t="s">
        <v>3298</v>
      </c>
      <c r="C5556" s="91" t="s">
        <v>1203</v>
      </c>
    </row>
    <row r="5557" spans="1:3" ht="15">
      <c r="A5557" s="84" t="s">
        <v>360</v>
      </c>
      <c r="B5557" s="83" t="s">
        <v>3299</v>
      </c>
      <c r="C5557" s="91" t="s">
        <v>1203</v>
      </c>
    </row>
    <row r="5558" spans="1:3" ht="15">
      <c r="A5558" s="84" t="s">
        <v>360</v>
      </c>
      <c r="B5558" s="83" t="s">
        <v>3199</v>
      </c>
      <c r="C5558" s="91" t="s">
        <v>1203</v>
      </c>
    </row>
    <row r="5559" spans="1:3" ht="15">
      <c r="A5559" s="84" t="s">
        <v>360</v>
      </c>
      <c r="B5559" s="83" t="s">
        <v>3347</v>
      </c>
      <c r="C5559" s="91" t="s">
        <v>1203</v>
      </c>
    </row>
    <row r="5560" spans="1:3" ht="15">
      <c r="A5560" s="84" t="s">
        <v>360</v>
      </c>
      <c r="B5560" s="83" t="s">
        <v>3228</v>
      </c>
      <c r="C5560" s="91" t="s">
        <v>1202</v>
      </c>
    </row>
    <row r="5561" spans="1:3" ht="15">
      <c r="A5561" s="84" t="s">
        <v>360</v>
      </c>
      <c r="B5561" s="83" t="s">
        <v>2581</v>
      </c>
      <c r="C5561" s="91" t="s">
        <v>1202</v>
      </c>
    </row>
    <row r="5562" spans="1:3" ht="15">
      <c r="A5562" s="84" t="s">
        <v>360</v>
      </c>
      <c r="B5562" s="83" t="s">
        <v>2586</v>
      </c>
      <c r="C5562" s="91" t="s">
        <v>1202</v>
      </c>
    </row>
    <row r="5563" spans="1:3" ht="15">
      <c r="A5563" s="84" t="s">
        <v>360</v>
      </c>
      <c r="B5563" s="83" t="s">
        <v>2595</v>
      </c>
      <c r="C5563" s="91" t="s">
        <v>1202</v>
      </c>
    </row>
    <row r="5564" spans="1:3" ht="15">
      <c r="A5564" s="84" t="s">
        <v>360</v>
      </c>
      <c r="B5564" s="83" t="s">
        <v>2568</v>
      </c>
      <c r="C5564" s="91" t="s">
        <v>1202</v>
      </c>
    </row>
    <row r="5565" spans="1:3" ht="15">
      <c r="A5565" s="84" t="s">
        <v>360</v>
      </c>
      <c r="B5565" s="83" t="s">
        <v>2592</v>
      </c>
      <c r="C5565" s="91" t="s">
        <v>1202</v>
      </c>
    </row>
    <row r="5566" spans="1:3" ht="15">
      <c r="A5566" s="84" t="s">
        <v>360</v>
      </c>
      <c r="B5566" s="83" t="s">
        <v>3213</v>
      </c>
      <c r="C5566" s="91" t="s">
        <v>1202</v>
      </c>
    </row>
    <row r="5567" spans="1:3" ht="15">
      <c r="A5567" s="84" t="s">
        <v>360</v>
      </c>
      <c r="B5567" s="83" t="s">
        <v>2576</v>
      </c>
      <c r="C5567" s="91" t="s">
        <v>1202</v>
      </c>
    </row>
    <row r="5568" spans="1:3" ht="15">
      <c r="A5568" s="84" t="s">
        <v>360</v>
      </c>
      <c r="B5568" s="83" t="s">
        <v>3229</v>
      </c>
      <c r="C5568" s="91" t="s">
        <v>1202</v>
      </c>
    </row>
    <row r="5569" spans="1:3" ht="15">
      <c r="A5569" s="84" t="s">
        <v>360</v>
      </c>
      <c r="B5569" s="83" t="s">
        <v>3230</v>
      </c>
      <c r="C5569" s="91" t="s">
        <v>1202</v>
      </c>
    </row>
    <row r="5570" spans="1:3" ht="15">
      <c r="A5570" s="84" t="s">
        <v>360</v>
      </c>
      <c r="B5570" s="83" t="s">
        <v>2598</v>
      </c>
      <c r="C5570" s="91" t="s">
        <v>1202</v>
      </c>
    </row>
    <row r="5571" spans="1:3" ht="15">
      <c r="A5571" s="84" t="s">
        <v>360</v>
      </c>
      <c r="B5571" s="83" t="s">
        <v>3231</v>
      </c>
      <c r="C5571" s="91" t="s">
        <v>1202</v>
      </c>
    </row>
    <row r="5572" spans="1:3" ht="15">
      <c r="A5572" s="84" t="s">
        <v>360</v>
      </c>
      <c r="B5572" s="83" t="s">
        <v>3232</v>
      </c>
      <c r="C5572" s="91" t="s">
        <v>1202</v>
      </c>
    </row>
    <row r="5573" spans="1:3" ht="15">
      <c r="A5573" s="84" t="s">
        <v>360</v>
      </c>
      <c r="B5573" s="83" t="s">
        <v>3233</v>
      </c>
      <c r="C5573" s="91" t="s">
        <v>1202</v>
      </c>
    </row>
    <row r="5574" spans="1:3" ht="15">
      <c r="A5574" s="84" t="s">
        <v>360</v>
      </c>
      <c r="B5574" s="83" t="s">
        <v>3211</v>
      </c>
      <c r="C5574" s="91" t="s">
        <v>1202</v>
      </c>
    </row>
    <row r="5575" spans="1:3" ht="15">
      <c r="A5575" s="84" t="s">
        <v>360</v>
      </c>
      <c r="B5575" s="83" t="s">
        <v>3199</v>
      </c>
      <c r="C5575" s="91" t="s">
        <v>1202</v>
      </c>
    </row>
    <row r="5576" spans="1:3" ht="15">
      <c r="A5576" s="84" t="s">
        <v>360</v>
      </c>
      <c r="B5576" s="83" t="s">
        <v>3218</v>
      </c>
      <c r="C5576" s="91" t="s">
        <v>1202</v>
      </c>
    </row>
    <row r="5577" spans="1:3" ht="15">
      <c r="A5577" s="84" t="s">
        <v>360</v>
      </c>
      <c r="B5577" s="83" t="s">
        <v>3234</v>
      </c>
      <c r="C5577" s="91" t="s">
        <v>1202</v>
      </c>
    </row>
    <row r="5578" spans="1:3" ht="15">
      <c r="A5578" s="84" t="s">
        <v>360</v>
      </c>
      <c r="B5578" s="83" t="s">
        <v>3235</v>
      </c>
      <c r="C5578" s="91" t="s">
        <v>1202</v>
      </c>
    </row>
    <row r="5579" spans="1:3" ht="15">
      <c r="A5579" s="84" t="s">
        <v>360</v>
      </c>
      <c r="B5579" s="83" t="s">
        <v>3236</v>
      </c>
      <c r="C5579" s="91" t="s">
        <v>1202</v>
      </c>
    </row>
    <row r="5580" spans="1:3" ht="15">
      <c r="A5580" s="84" t="s">
        <v>360</v>
      </c>
      <c r="B5580" s="83" t="s">
        <v>3237</v>
      </c>
      <c r="C5580" s="91" t="s">
        <v>1202</v>
      </c>
    </row>
    <row r="5581" spans="1:3" ht="15">
      <c r="A5581" s="84" t="s">
        <v>360</v>
      </c>
      <c r="B5581" s="83" t="s">
        <v>3238</v>
      </c>
      <c r="C5581" s="91" t="s">
        <v>1202</v>
      </c>
    </row>
    <row r="5582" spans="1:3" ht="15">
      <c r="A5582" s="84" t="s">
        <v>360</v>
      </c>
      <c r="B5582" s="83" t="s">
        <v>3239</v>
      </c>
      <c r="C5582" s="91" t="s">
        <v>1202</v>
      </c>
    </row>
    <row r="5583" spans="1:3" ht="15">
      <c r="A5583" s="84" t="s">
        <v>360</v>
      </c>
      <c r="B5583" s="83" t="s">
        <v>3240</v>
      </c>
      <c r="C5583" s="91" t="s">
        <v>1202</v>
      </c>
    </row>
    <row r="5584" spans="1:3" ht="15">
      <c r="A5584" s="84" t="s">
        <v>360</v>
      </c>
      <c r="B5584" s="83" t="s">
        <v>3241</v>
      </c>
      <c r="C5584" s="91" t="s">
        <v>1202</v>
      </c>
    </row>
    <row r="5585" spans="1:3" ht="15">
      <c r="A5585" s="84" t="s">
        <v>360</v>
      </c>
      <c r="B5585" s="83" t="s">
        <v>3242</v>
      </c>
      <c r="C5585" s="91" t="s">
        <v>1202</v>
      </c>
    </row>
    <row r="5586" spans="1:3" ht="15">
      <c r="A5586" s="84" t="s">
        <v>360</v>
      </c>
      <c r="B5586" s="83" t="s">
        <v>2767</v>
      </c>
      <c r="C5586" s="91" t="s">
        <v>1202</v>
      </c>
    </row>
    <row r="5587" spans="1:3" ht="15">
      <c r="A5587" s="84" t="s">
        <v>360</v>
      </c>
      <c r="B5587" s="83" t="s">
        <v>3243</v>
      </c>
      <c r="C5587" s="91" t="s">
        <v>1202</v>
      </c>
    </row>
    <row r="5588" spans="1:3" ht="15">
      <c r="A5588" s="84" t="s">
        <v>360</v>
      </c>
      <c r="B5588" s="83" t="s">
        <v>3244</v>
      </c>
      <c r="C5588" s="91" t="s">
        <v>1202</v>
      </c>
    </row>
    <row r="5589" spans="1:3" ht="15">
      <c r="A5589" s="84" t="s">
        <v>360</v>
      </c>
      <c r="B5589" s="83" t="s">
        <v>3223</v>
      </c>
      <c r="C5589" s="91" t="s">
        <v>1202</v>
      </c>
    </row>
    <row r="5590" spans="1:3" ht="15">
      <c r="A5590" s="84" t="s">
        <v>360</v>
      </c>
      <c r="B5590" s="83" t="s">
        <v>3266</v>
      </c>
      <c r="C5590" s="91" t="s">
        <v>1202</v>
      </c>
    </row>
    <row r="5591" spans="1:3" ht="15">
      <c r="A5591" s="84" t="s">
        <v>360</v>
      </c>
      <c r="B5591" s="83" t="s">
        <v>3228</v>
      </c>
      <c r="C5591" s="91" t="s">
        <v>1201</v>
      </c>
    </row>
    <row r="5592" spans="1:3" ht="15">
      <c r="A5592" s="84" t="s">
        <v>360</v>
      </c>
      <c r="B5592" s="83" t="s">
        <v>2581</v>
      </c>
      <c r="C5592" s="91" t="s">
        <v>1201</v>
      </c>
    </row>
    <row r="5593" spans="1:3" ht="15">
      <c r="A5593" s="84" t="s">
        <v>360</v>
      </c>
      <c r="B5593" s="83" t="s">
        <v>2586</v>
      </c>
      <c r="C5593" s="91" t="s">
        <v>1201</v>
      </c>
    </row>
    <row r="5594" spans="1:3" ht="15">
      <c r="A5594" s="84" t="s">
        <v>360</v>
      </c>
      <c r="B5594" s="83" t="s">
        <v>2595</v>
      </c>
      <c r="C5594" s="91" t="s">
        <v>1201</v>
      </c>
    </row>
    <row r="5595" spans="1:3" ht="15">
      <c r="A5595" s="84" t="s">
        <v>360</v>
      </c>
      <c r="B5595" s="83" t="s">
        <v>2568</v>
      </c>
      <c r="C5595" s="91" t="s">
        <v>1201</v>
      </c>
    </row>
    <row r="5596" spans="1:3" ht="15">
      <c r="A5596" s="84" t="s">
        <v>360</v>
      </c>
      <c r="B5596" s="83" t="s">
        <v>2592</v>
      </c>
      <c r="C5596" s="91" t="s">
        <v>1201</v>
      </c>
    </row>
    <row r="5597" spans="1:3" ht="15">
      <c r="A5597" s="84" t="s">
        <v>360</v>
      </c>
      <c r="B5597" s="83" t="s">
        <v>3213</v>
      </c>
      <c r="C5597" s="91" t="s">
        <v>1201</v>
      </c>
    </row>
    <row r="5598" spans="1:3" ht="15">
      <c r="A5598" s="84" t="s">
        <v>360</v>
      </c>
      <c r="B5598" s="83" t="s">
        <v>2576</v>
      </c>
      <c r="C5598" s="91" t="s">
        <v>1201</v>
      </c>
    </row>
    <row r="5599" spans="1:3" ht="15">
      <c r="A5599" s="84" t="s">
        <v>360</v>
      </c>
      <c r="B5599" s="83" t="s">
        <v>3229</v>
      </c>
      <c r="C5599" s="91" t="s">
        <v>1201</v>
      </c>
    </row>
    <row r="5600" spans="1:3" ht="15">
      <c r="A5600" s="84" t="s">
        <v>360</v>
      </c>
      <c r="B5600" s="83" t="s">
        <v>3230</v>
      </c>
      <c r="C5600" s="91" t="s">
        <v>1201</v>
      </c>
    </row>
    <row r="5601" spans="1:3" ht="15">
      <c r="A5601" s="84" t="s">
        <v>360</v>
      </c>
      <c r="B5601" s="83" t="s">
        <v>2598</v>
      </c>
      <c r="C5601" s="91" t="s">
        <v>1201</v>
      </c>
    </row>
    <row r="5602" spans="1:3" ht="15">
      <c r="A5602" s="84" t="s">
        <v>360</v>
      </c>
      <c r="B5602" s="83" t="s">
        <v>3231</v>
      </c>
      <c r="C5602" s="91" t="s">
        <v>1201</v>
      </c>
    </row>
    <row r="5603" spans="1:3" ht="15">
      <c r="A5603" s="84" t="s">
        <v>360</v>
      </c>
      <c r="B5603" s="83" t="s">
        <v>3232</v>
      </c>
      <c r="C5603" s="91" t="s">
        <v>1201</v>
      </c>
    </row>
    <row r="5604" spans="1:3" ht="15">
      <c r="A5604" s="84" t="s">
        <v>360</v>
      </c>
      <c r="B5604" s="83" t="s">
        <v>3233</v>
      </c>
      <c r="C5604" s="91" t="s">
        <v>1201</v>
      </c>
    </row>
    <row r="5605" spans="1:3" ht="15">
      <c r="A5605" s="84" t="s">
        <v>360</v>
      </c>
      <c r="B5605" s="83" t="s">
        <v>3211</v>
      </c>
      <c r="C5605" s="91" t="s">
        <v>1201</v>
      </c>
    </row>
    <row r="5606" spans="1:3" ht="15">
      <c r="A5606" s="84" t="s">
        <v>360</v>
      </c>
      <c r="B5606" s="83" t="s">
        <v>3199</v>
      </c>
      <c r="C5606" s="91" t="s">
        <v>1201</v>
      </c>
    </row>
    <row r="5607" spans="1:3" ht="15">
      <c r="A5607" s="84" t="s">
        <v>360</v>
      </c>
      <c r="B5607" s="83" t="s">
        <v>3218</v>
      </c>
      <c r="C5607" s="91" t="s">
        <v>1201</v>
      </c>
    </row>
    <row r="5608" spans="1:3" ht="15">
      <c r="A5608" s="84" t="s">
        <v>360</v>
      </c>
      <c r="B5608" s="83" t="s">
        <v>3234</v>
      </c>
      <c r="C5608" s="91" t="s">
        <v>1201</v>
      </c>
    </row>
    <row r="5609" spans="1:3" ht="15">
      <c r="A5609" s="84" t="s">
        <v>360</v>
      </c>
      <c r="B5609" s="83" t="s">
        <v>3235</v>
      </c>
      <c r="C5609" s="91" t="s">
        <v>1201</v>
      </c>
    </row>
    <row r="5610" spans="1:3" ht="15">
      <c r="A5610" s="84" t="s">
        <v>360</v>
      </c>
      <c r="B5610" s="83" t="s">
        <v>3236</v>
      </c>
      <c r="C5610" s="91" t="s">
        <v>1201</v>
      </c>
    </row>
    <row r="5611" spans="1:3" ht="15">
      <c r="A5611" s="84" t="s">
        <v>360</v>
      </c>
      <c r="B5611" s="83" t="s">
        <v>3237</v>
      </c>
      <c r="C5611" s="91" t="s">
        <v>1201</v>
      </c>
    </row>
    <row r="5612" spans="1:3" ht="15">
      <c r="A5612" s="84" t="s">
        <v>360</v>
      </c>
      <c r="B5612" s="83" t="s">
        <v>3238</v>
      </c>
      <c r="C5612" s="91" t="s">
        <v>1201</v>
      </c>
    </row>
    <row r="5613" spans="1:3" ht="15">
      <c r="A5613" s="84" t="s">
        <v>360</v>
      </c>
      <c r="B5613" s="83" t="s">
        <v>3239</v>
      </c>
      <c r="C5613" s="91" t="s">
        <v>1201</v>
      </c>
    </row>
    <row r="5614" spans="1:3" ht="15">
      <c r="A5614" s="84" t="s">
        <v>360</v>
      </c>
      <c r="B5614" s="83" t="s">
        <v>3240</v>
      </c>
      <c r="C5614" s="91" t="s">
        <v>1201</v>
      </c>
    </row>
    <row r="5615" spans="1:3" ht="15">
      <c r="A5615" s="84" t="s">
        <v>360</v>
      </c>
      <c r="B5615" s="83" t="s">
        <v>3241</v>
      </c>
      <c r="C5615" s="91" t="s">
        <v>1201</v>
      </c>
    </row>
    <row r="5616" spans="1:3" ht="15">
      <c r="A5616" s="84" t="s">
        <v>360</v>
      </c>
      <c r="B5616" s="83" t="s">
        <v>3242</v>
      </c>
      <c r="C5616" s="91" t="s">
        <v>1201</v>
      </c>
    </row>
    <row r="5617" spans="1:3" ht="15">
      <c r="A5617" s="84" t="s">
        <v>360</v>
      </c>
      <c r="B5617" s="83" t="s">
        <v>2767</v>
      </c>
      <c r="C5617" s="91" t="s">
        <v>1201</v>
      </c>
    </row>
    <row r="5618" spans="1:3" ht="15">
      <c r="A5618" s="84" t="s">
        <v>360</v>
      </c>
      <c r="B5618" s="83" t="s">
        <v>3243</v>
      </c>
      <c r="C5618" s="91" t="s">
        <v>1201</v>
      </c>
    </row>
    <row r="5619" spans="1:3" ht="15">
      <c r="A5619" s="84" t="s">
        <v>360</v>
      </c>
      <c r="B5619" s="83" t="s">
        <v>3244</v>
      </c>
      <c r="C5619" s="91" t="s">
        <v>1201</v>
      </c>
    </row>
    <row r="5620" spans="1:3" ht="15">
      <c r="A5620" s="84" t="s">
        <v>360</v>
      </c>
      <c r="B5620" s="83" t="s">
        <v>3223</v>
      </c>
      <c r="C5620" s="91" t="s">
        <v>1201</v>
      </c>
    </row>
    <row r="5621" spans="1:3" ht="15">
      <c r="A5621" s="84" t="s">
        <v>360</v>
      </c>
      <c r="B5621" s="83" t="s">
        <v>3266</v>
      </c>
      <c r="C5621" s="91" t="s">
        <v>1201</v>
      </c>
    </row>
    <row r="5622" spans="1:3" ht="15">
      <c r="A5622" s="84" t="s">
        <v>360</v>
      </c>
      <c r="B5622" s="83" t="s">
        <v>3228</v>
      </c>
      <c r="C5622" s="91" t="s">
        <v>1200</v>
      </c>
    </row>
    <row r="5623" spans="1:3" ht="15">
      <c r="A5623" s="84" t="s">
        <v>360</v>
      </c>
      <c r="B5623" s="83" t="s">
        <v>2581</v>
      </c>
      <c r="C5623" s="91" t="s">
        <v>1200</v>
      </c>
    </row>
    <row r="5624" spans="1:3" ht="15">
      <c r="A5624" s="84" t="s">
        <v>360</v>
      </c>
      <c r="B5624" s="83" t="s">
        <v>2586</v>
      </c>
      <c r="C5624" s="91" t="s">
        <v>1200</v>
      </c>
    </row>
    <row r="5625" spans="1:3" ht="15">
      <c r="A5625" s="84" t="s">
        <v>360</v>
      </c>
      <c r="B5625" s="83" t="s">
        <v>2595</v>
      </c>
      <c r="C5625" s="91" t="s">
        <v>1200</v>
      </c>
    </row>
    <row r="5626" spans="1:3" ht="15">
      <c r="A5626" s="84" t="s">
        <v>360</v>
      </c>
      <c r="B5626" s="83" t="s">
        <v>2568</v>
      </c>
      <c r="C5626" s="91" t="s">
        <v>1200</v>
      </c>
    </row>
    <row r="5627" spans="1:3" ht="15">
      <c r="A5627" s="84" t="s">
        <v>360</v>
      </c>
      <c r="B5627" s="83" t="s">
        <v>2592</v>
      </c>
      <c r="C5627" s="91" t="s">
        <v>1200</v>
      </c>
    </row>
    <row r="5628" spans="1:3" ht="15">
      <c r="A5628" s="84" t="s">
        <v>360</v>
      </c>
      <c r="B5628" s="83" t="s">
        <v>3213</v>
      </c>
      <c r="C5628" s="91" t="s">
        <v>1200</v>
      </c>
    </row>
    <row r="5629" spans="1:3" ht="15">
      <c r="A5629" s="84" t="s">
        <v>360</v>
      </c>
      <c r="B5629" s="83" t="s">
        <v>2576</v>
      </c>
      <c r="C5629" s="91" t="s">
        <v>1200</v>
      </c>
    </row>
    <row r="5630" spans="1:3" ht="15">
      <c r="A5630" s="84" t="s">
        <v>360</v>
      </c>
      <c r="B5630" s="83" t="s">
        <v>3229</v>
      </c>
      <c r="C5630" s="91" t="s">
        <v>1200</v>
      </c>
    </row>
    <row r="5631" spans="1:3" ht="15">
      <c r="A5631" s="84" t="s">
        <v>360</v>
      </c>
      <c r="B5631" s="83" t="s">
        <v>3230</v>
      </c>
      <c r="C5631" s="91" t="s">
        <v>1200</v>
      </c>
    </row>
    <row r="5632" spans="1:3" ht="15">
      <c r="A5632" s="84" t="s">
        <v>360</v>
      </c>
      <c r="B5632" s="83" t="s">
        <v>2598</v>
      </c>
      <c r="C5632" s="91" t="s">
        <v>1200</v>
      </c>
    </row>
    <row r="5633" spans="1:3" ht="15">
      <c r="A5633" s="84" t="s">
        <v>360</v>
      </c>
      <c r="B5633" s="83" t="s">
        <v>3231</v>
      </c>
      <c r="C5633" s="91" t="s">
        <v>1200</v>
      </c>
    </row>
    <row r="5634" spans="1:3" ht="15">
      <c r="A5634" s="84" t="s">
        <v>360</v>
      </c>
      <c r="B5634" s="83" t="s">
        <v>3232</v>
      </c>
      <c r="C5634" s="91" t="s">
        <v>1200</v>
      </c>
    </row>
    <row r="5635" spans="1:3" ht="15">
      <c r="A5635" s="84" t="s">
        <v>360</v>
      </c>
      <c r="B5635" s="83" t="s">
        <v>3233</v>
      </c>
      <c r="C5635" s="91" t="s">
        <v>1200</v>
      </c>
    </row>
    <row r="5636" spans="1:3" ht="15">
      <c r="A5636" s="84" t="s">
        <v>360</v>
      </c>
      <c r="B5636" s="83" t="s">
        <v>3211</v>
      </c>
      <c r="C5636" s="91" t="s">
        <v>1200</v>
      </c>
    </row>
    <row r="5637" spans="1:3" ht="15">
      <c r="A5637" s="84" t="s">
        <v>360</v>
      </c>
      <c r="B5637" s="83" t="s">
        <v>3199</v>
      </c>
      <c r="C5637" s="91" t="s">
        <v>1200</v>
      </c>
    </row>
    <row r="5638" spans="1:3" ht="15">
      <c r="A5638" s="84" t="s">
        <v>360</v>
      </c>
      <c r="B5638" s="83" t="s">
        <v>3218</v>
      </c>
      <c r="C5638" s="91" t="s">
        <v>1200</v>
      </c>
    </row>
    <row r="5639" spans="1:3" ht="15">
      <c r="A5639" s="84" t="s">
        <v>360</v>
      </c>
      <c r="B5639" s="83" t="s">
        <v>3234</v>
      </c>
      <c r="C5639" s="91" t="s">
        <v>1200</v>
      </c>
    </row>
    <row r="5640" spans="1:3" ht="15">
      <c r="A5640" s="84" t="s">
        <v>360</v>
      </c>
      <c r="B5640" s="83" t="s">
        <v>3235</v>
      </c>
      <c r="C5640" s="91" t="s">
        <v>1200</v>
      </c>
    </row>
    <row r="5641" spans="1:3" ht="15">
      <c r="A5641" s="84" t="s">
        <v>360</v>
      </c>
      <c r="B5641" s="83" t="s">
        <v>3236</v>
      </c>
      <c r="C5641" s="91" t="s">
        <v>1200</v>
      </c>
    </row>
    <row r="5642" spans="1:3" ht="15">
      <c r="A5642" s="84" t="s">
        <v>360</v>
      </c>
      <c r="B5642" s="83" t="s">
        <v>3237</v>
      </c>
      <c r="C5642" s="91" t="s">
        <v>1200</v>
      </c>
    </row>
    <row r="5643" spans="1:3" ht="15">
      <c r="A5643" s="84" t="s">
        <v>360</v>
      </c>
      <c r="B5643" s="83" t="s">
        <v>3238</v>
      </c>
      <c r="C5643" s="91" t="s">
        <v>1200</v>
      </c>
    </row>
    <row r="5644" spans="1:3" ht="15">
      <c r="A5644" s="84" t="s">
        <v>360</v>
      </c>
      <c r="B5644" s="83" t="s">
        <v>3239</v>
      </c>
      <c r="C5644" s="91" t="s">
        <v>1200</v>
      </c>
    </row>
    <row r="5645" spans="1:3" ht="15">
      <c r="A5645" s="84" t="s">
        <v>360</v>
      </c>
      <c r="B5645" s="83" t="s">
        <v>3240</v>
      </c>
      <c r="C5645" s="91" t="s">
        <v>1200</v>
      </c>
    </row>
    <row r="5646" spans="1:3" ht="15">
      <c r="A5646" s="84" t="s">
        <v>360</v>
      </c>
      <c r="B5646" s="83" t="s">
        <v>3241</v>
      </c>
      <c r="C5646" s="91" t="s">
        <v>1200</v>
      </c>
    </row>
    <row r="5647" spans="1:3" ht="15">
      <c r="A5647" s="84" t="s">
        <v>360</v>
      </c>
      <c r="B5647" s="83" t="s">
        <v>3242</v>
      </c>
      <c r="C5647" s="91" t="s">
        <v>1200</v>
      </c>
    </row>
    <row r="5648" spans="1:3" ht="15">
      <c r="A5648" s="84" t="s">
        <v>360</v>
      </c>
      <c r="B5648" s="83" t="s">
        <v>2767</v>
      </c>
      <c r="C5648" s="91" t="s">
        <v>1200</v>
      </c>
    </row>
    <row r="5649" spans="1:3" ht="15">
      <c r="A5649" s="84" t="s">
        <v>360</v>
      </c>
      <c r="B5649" s="83" t="s">
        <v>3243</v>
      </c>
      <c r="C5649" s="91" t="s">
        <v>1200</v>
      </c>
    </row>
    <row r="5650" spans="1:3" ht="15">
      <c r="A5650" s="84" t="s">
        <v>360</v>
      </c>
      <c r="B5650" s="83" t="s">
        <v>3244</v>
      </c>
      <c r="C5650" s="91" t="s">
        <v>1200</v>
      </c>
    </row>
    <row r="5651" spans="1:3" ht="15">
      <c r="A5651" s="84" t="s">
        <v>360</v>
      </c>
      <c r="B5651" s="83" t="s">
        <v>3223</v>
      </c>
      <c r="C5651" s="91" t="s">
        <v>1200</v>
      </c>
    </row>
    <row r="5652" spans="1:3" ht="15">
      <c r="A5652" s="84" t="s">
        <v>360</v>
      </c>
      <c r="B5652" s="83" t="s">
        <v>3266</v>
      </c>
      <c r="C5652" s="91" t="s">
        <v>1200</v>
      </c>
    </row>
    <row r="5653" spans="1:3" ht="15">
      <c r="A5653" s="84" t="s">
        <v>360</v>
      </c>
      <c r="B5653" s="83" t="s">
        <v>3226</v>
      </c>
      <c r="C5653" s="91" t="s">
        <v>1199</v>
      </c>
    </row>
    <row r="5654" spans="1:3" ht="15">
      <c r="A5654" s="84" t="s">
        <v>360</v>
      </c>
      <c r="B5654" s="83" t="s">
        <v>3227</v>
      </c>
      <c r="C5654" s="91" t="s">
        <v>1199</v>
      </c>
    </row>
    <row r="5655" spans="1:3" ht="15">
      <c r="A5655" s="84" t="s">
        <v>360</v>
      </c>
      <c r="B5655" s="83" t="s">
        <v>2607</v>
      </c>
      <c r="C5655" s="91" t="s">
        <v>1199</v>
      </c>
    </row>
    <row r="5656" spans="1:3" ht="15">
      <c r="A5656" s="84" t="s">
        <v>360</v>
      </c>
      <c r="B5656" s="83" t="s">
        <v>2698</v>
      </c>
      <c r="C5656" s="91" t="s">
        <v>1199</v>
      </c>
    </row>
    <row r="5657" spans="1:3" ht="15">
      <c r="A5657" s="84" t="s">
        <v>360</v>
      </c>
      <c r="B5657" s="83" t="s">
        <v>2699</v>
      </c>
      <c r="C5657" s="91" t="s">
        <v>1199</v>
      </c>
    </row>
    <row r="5658" spans="1:3" ht="15">
      <c r="A5658" s="84" t="s">
        <v>360</v>
      </c>
      <c r="B5658" s="83" t="s">
        <v>3228</v>
      </c>
      <c r="C5658" s="91" t="s">
        <v>1199</v>
      </c>
    </row>
    <row r="5659" spans="1:3" ht="15">
      <c r="A5659" s="84" t="s">
        <v>360</v>
      </c>
      <c r="B5659" s="83" t="s">
        <v>2581</v>
      </c>
      <c r="C5659" s="91" t="s">
        <v>1199</v>
      </c>
    </row>
    <row r="5660" spans="1:3" ht="15">
      <c r="A5660" s="84" t="s">
        <v>360</v>
      </c>
      <c r="B5660" s="83" t="s">
        <v>2586</v>
      </c>
      <c r="C5660" s="91" t="s">
        <v>1199</v>
      </c>
    </row>
    <row r="5661" spans="1:3" ht="15">
      <c r="A5661" s="84" t="s">
        <v>360</v>
      </c>
      <c r="B5661" s="83" t="s">
        <v>2595</v>
      </c>
      <c r="C5661" s="91" t="s">
        <v>1199</v>
      </c>
    </row>
    <row r="5662" spans="1:3" ht="15">
      <c r="A5662" s="84" t="s">
        <v>360</v>
      </c>
      <c r="B5662" s="83" t="s">
        <v>2568</v>
      </c>
      <c r="C5662" s="91" t="s">
        <v>1199</v>
      </c>
    </row>
    <row r="5663" spans="1:3" ht="15">
      <c r="A5663" s="84" t="s">
        <v>360</v>
      </c>
      <c r="B5663" s="83" t="s">
        <v>2592</v>
      </c>
      <c r="C5663" s="91" t="s">
        <v>1199</v>
      </c>
    </row>
    <row r="5664" spans="1:3" ht="15">
      <c r="A5664" s="84" t="s">
        <v>360</v>
      </c>
      <c r="B5664" s="83" t="s">
        <v>3213</v>
      </c>
      <c r="C5664" s="91" t="s">
        <v>1199</v>
      </c>
    </row>
    <row r="5665" spans="1:3" ht="15">
      <c r="A5665" s="84" t="s">
        <v>360</v>
      </c>
      <c r="B5665" s="83" t="s">
        <v>2576</v>
      </c>
      <c r="C5665" s="91" t="s">
        <v>1199</v>
      </c>
    </row>
    <row r="5666" spans="1:3" ht="15">
      <c r="A5666" s="84" t="s">
        <v>360</v>
      </c>
      <c r="B5666" s="83" t="s">
        <v>3229</v>
      </c>
      <c r="C5666" s="91" t="s">
        <v>1199</v>
      </c>
    </row>
    <row r="5667" spans="1:3" ht="15">
      <c r="A5667" s="84" t="s">
        <v>360</v>
      </c>
      <c r="B5667" s="83" t="s">
        <v>3230</v>
      </c>
      <c r="C5667" s="91" t="s">
        <v>1199</v>
      </c>
    </row>
    <row r="5668" spans="1:3" ht="15">
      <c r="A5668" s="84" t="s">
        <v>360</v>
      </c>
      <c r="B5668" s="83" t="s">
        <v>2598</v>
      </c>
      <c r="C5668" s="91" t="s">
        <v>1199</v>
      </c>
    </row>
    <row r="5669" spans="1:3" ht="15">
      <c r="A5669" s="84" t="s">
        <v>360</v>
      </c>
      <c r="B5669" s="83" t="s">
        <v>3231</v>
      </c>
      <c r="C5669" s="91" t="s">
        <v>1199</v>
      </c>
    </row>
    <row r="5670" spans="1:3" ht="15">
      <c r="A5670" s="84" t="s">
        <v>360</v>
      </c>
      <c r="B5670" s="83" t="s">
        <v>3232</v>
      </c>
      <c r="C5670" s="91" t="s">
        <v>1199</v>
      </c>
    </row>
    <row r="5671" spans="1:3" ht="15">
      <c r="A5671" s="84" t="s">
        <v>360</v>
      </c>
      <c r="B5671" s="83" t="s">
        <v>3233</v>
      </c>
      <c r="C5671" s="91" t="s">
        <v>1199</v>
      </c>
    </row>
    <row r="5672" spans="1:3" ht="15">
      <c r="A5672" s="84" t="s">
        <v>360</v>
      </c>
      <c r="B5672" s="83" t="s">
        <v>3211</v>
      </c>
      <c r="C5672" s="91" t="s">
        <v>1199</v>
      </c>
    </row>
    <row r="5673" spans="1:3" ht="15">
      <c r="A5673" s="84" t="s">
        <v>360</v>
      </c>
      <c r="B5673" s="83" t="s">
        <v>3199</v>
      </c>
      <c r="C5673" s="91" t="s">
        <v>1199</v>
      </c>
    </row>
    <row r="5674" spans="1:3" ht="15">
      <c r="A5674" s="84" t="s">
        <v>360</v>
      </c>
      <c r="B5674" s="83" t="s">
        <v>3218</v>
      </c>
      <c r="C5674" s="91" t="s">
        <v>1199</v>
      </c>
    </row>
    <row r="5675" spans="1:3" ht="15">
      <c r="A5675" s="84" t="s">
        <v>360</v>
      </c>
      <c r="B5675" s="83" t="s">
        <v>3234</v>
      </c>
      <c r="C5675" s="91" t="s">
        <v>1199</v>
      </c>
    </row>
    <row r="5676" spans="1:3" ht="15">
      <c r="A5676" s="84" t="s">
        <v>360</v>
      </c>
      <c r="B5676" s="83" t="s">
        <v>3235</v>
      </c>
      <c r="C5676" s="91" t="s">
        <v>1199</v>
      </c>
    </row>
    <row r="5677" spans="1:3" ht="15">
      <c r="A5677" s="84" t="s">
        <v>360</v>
      </c>
      <c r="B5677" s="83" t="s">
        <v>3236</v>
      </c>
      <c r="C5677" s="91" t="s">
        <v>1199</v>
      </c>
    </row>
    <row r="5678" spans="1:3" ht="15">
      <c r="A5678" s="84" t="s">
        <v>360</v>
      </c>
      <c r="B5678" s="83" t="s">
        <v>3237</v>
      </c>
      <c r="C5678" s="91" t="s">
        <v>1199</v>
      </c>
    </row>
    <row r="5679" spans="1:3" ht="15">
      <c r="A5679" s="84" t="s">
        <v>360</v>
      </c>
      <c r="B5679" s="83" t="s">
        <v>3238</v>
      </c>
      <c r="C5679" s="91" t="s">
        <v>1199</v>
      </c>
    </row>
    <row r="5680" spans="1:3" ht="15">
      <c r="A5680" s="84" t="s">
        <v>360</v>
      </c>
      <c r="B5680" s="83" t="s">
        <v>3239</v>
      </c>
      <c r="C5680" s="91" t="s">
        <v>1199</v>
      </c>
    </row>
    <row r="5681" spans="1:3" ht="15">
      <c r="A5681" s="84" t="s">
        <v>360</v>
      </c>
      <c r="B5681" s="83" t="s">
        <v>3240</v>
      </c>
      <c r="C5681" s="91" t="s">
        <v>1199</v>
      </c>
    </row>
    <row r="5682" spans="1:3" ht="15">
      <c r="A5682" s="84" t="s">
        <v>360</v>
      </c>
      <c r="B5682" s="83" t="s">
        <v>3241</v>
      </c>
      <c r="C5682" s="91" t="s">
        <v>1199</v>
      </c>
    </row>
    <row r="5683" spans="1:3" ht="15">
      <c r="A5683" s="84" t="s">
        <v>360</v>
      </c>
      <c r="B5683" s="83" t="s">
        <v>3242</v>
      </c>
      <c r="C5683" s="91" t="s">
        <v>1199</v>
      </c>
    </row>
    <row r="5684" spans="1:3" ht="15">
      <c r="A5684" s="84" t="s">
        <v>360</v>
      </c>
      <c r="B5684" s="83" t="s">
        <v>2767</v>
      </c>
      <c r="C5684" s="91" t="s">
        <v>1199</v>
      </c>
    </row>
    <row r="5685" spans="1:3" ht="15">
      <c r="A5685" s="84" t="s">
        <v>360</v>
      </c>
      <c r="B5685" s="83" t="s">
        <v>3243</v>
      </c>
      <c r="C5685" s="91" t="s">
        <v>1199</v>
      </c>
    </row>
    <row r="5686" spans="1:3" ht="15">
      <c r="A5686" s="84" t="s">
        <v>360</v>
      </c>
      <c r="B5686" s="83" t="s">
        <v>3244</v>
      </c>
      <c r="C5686" s="91" t="s">
        <v>1199</v>
      </c>
    </row>
    <row r="5687" spans="1:3" ht="15">
      <c r="A5687" s="84" t="s">
        <v>359</v>
      </c>
      <c r="B5687" s="83" t="s">
        <v>3323</v>
      </c>
      <c r="C5687" s="91" t="s">
        <v>1198</v>
      </c>
    </row>
    <row r="5688" spans="1:3" ht="15">
      <c r="A5688" s="84" t="s">
        <v>359</v>
      </c>
      <c r="B5688" s="83" t="s">
        <v>2694</v>
      </c>
      <c r="C5688" s="91" t="s">
        <v>1198</v>
      </c>
    </row>
    <row r="5689" spans="1:3" ht="15">
      <c r="A5689" s="84" t="s">
        <v>359</v>
      </c>
      <c r="B5689" s="83" t="s">
        <v>2568</v>
      </c>
      <c r="C5689" s="91" t="s">
        <v>1198</v>
      </c>
    </row>
    <row r="5690" spans="1:3" ht="15">
      <c r="A5690" s="84" t="s">
        <v>359</v>
      </c>
      <c r="B5690" s="83" t="s">
        <v>2592</v>
      </c>
      <c r="C5690" s="91" t="s">
        <v>1198</v>
      </c>
    </row>
    <row r="5691" spans="1:3" ht="15">
      <c r="A5691" s="84" t="s">
        <v>359</v>
      </c>
      <c r="B5691" s="83" t="s">
        <v>3211</v>
      </c>
      <c r="C5691" s="91" t="s">
        <v>1198</v>
      </c>
    </row>
    <row r="5692" spans="1:3" ht="15">
      <c r="A5692" s="84" t="s">
        <v>359</v>
      </c>
      <c r="B5692" s="83" t="s">
        <v>2629</v>
      </c>
      <c r="C5692" s="91" t="s">
        <v>1198</v>
      </c>
    </row>
    <row r="5693" spans="1:3" ht="15">
      <c r="A5693" s="84" t="s">
        <v>359</v>
      </c>
      <c r="B5693" s="83" t="s">
        <v>2781</v>
      </c>
      <c r="C5693" s="91" t="s">
        <v>1198</v>
      </c>
    </row>
    <row r="5694" spans="1:3" ht="15">
      <c r="A5694" s="84" t="s">
        <v>359</v>
      </c>
      <c r="B5694" s="83" t="s">
        <v>2782</v>
      </c>
      <c r="C5694" s="91" t="s">
        <v>1198</v>
      </c>
    </row>
    <row r="5695" spans="1:3" ht="15">
      <c r="A5695" s="84" t="s">
        <v>359</v>
      </c>
      <c r="B5695" s="83" t="s">
        <v>2771</v>
      </c>
      <c r="C5695" s="91" t="s">
        <v>1198</v>
      </c>
    </row>
    <row r="5696" spans="1:3" ht="15">
      <c r="A5696" s="84" t="s">
        <v>359</v>
      </c>
      <c r="B5696" s="83" t="s">
        <v>2734</v>
      </c>
      <c r="C5696" s="91" t="s">
        <v>1198</v>
      </c>
    </row>
    <row r="5697" spans="1:3" ht="15">
      <c r="A5697" s="84" t="s">
        <v>359</v>
      </c>
      <c r="B5697" s="83" t="s">
        <v>3324</v>
      </c>
      <c r="C5697" s="91" t="s">
        <v>1198</v>
      </c>
    </row>
    <row r="5698" spans="1:3" ht="15">
      <c r="A5698" s="84" t="s">
        <v>359</v>
      </c>
      <c r="B5698" s="83" t="s">
        <v>2576</v>
      </c>
      <c r="C5698" s="91" t="s">
        <v>1198</v>
      </c>
    </row>
    <row r="5699" spans="1:3" ht="15">
      <c r="A5699" s="84" t="s">
        <v>359</v>
      </c>
      <c r="B5699" s="83" t="s">
        <v>2578</v>
      </c>
      <c r="C5699" s="91" t="s">
        <v>1198</v>
      </c>
    </row>
    <row r="5700" spans="1:3" ht="15">
      <c r="A5700" s="84" t="s">
        <v>359</v>
      </c>
      <c r="B5700" s="83" t="s">
        <v>3325</v>
      </c>
      <c r="C5700" s="91" t="s">
        <v>1198</v>
      </c>
    </row>
    <row r="5701" spans="1:3" ht="15">
      <c r="A5701" s="84" t="s">
        <v>359</v>
      </c>
      <c r="B5701" s="83" t="s">
        <v>3227</v>
      </c>
      <c r="C5701" s="91" t="s">
        <v>1198</v>
      </c>
    </row>
    <row r="5702" spans="1:3" ht="15">
      <c r="A5702" s="84" t="s">
        <v>359</v>
      </c>
      <c r="B5702" s="83" t="s">
        <v>3203</v>
      </c>
      <c r="C5702" s="91" t="s">
        <v>1198</v>
      </c>
    </row>
    <row r="5703" spans="1:3" ht="15">
      <c r="A5703" s="84" t="s">
        <v>359</v>
      </c>
      <c r="B5703" s="83">
        <v>19</v>
      </c>
      <c r="C5703" s="91" t="s">
        <v>1198</v>
      </c>
    </row>
    <row r="5704" spans="1:3" ht="15">
      <c r="A5704" s="84" t="s">
        <v>359</v>
      </c>
      <c r="B5704" s="83" t="s">
        <v>3326</v>
      </c>
      <c r="C5704" s="91" t="s">
        <v>1198</v>
      </c>
    </row>
    <row r="5705" spans="1:3" ht="15">
      <c r="A5705" s="84" t="s">
        <v>359</v>
      </c>
      <c r="B5705" s="83" t="s">
        <v>3327</v>
      </c>
      <c r="C5705" s="91" t="s">
        <v>1198</v>
      </c>
    </row>
    <row r="5706" spans="1:3" ht="15">
      <c r="A5706" s="84" t="s">
        <v>359</v>
      </c>
      <c r="B5706" s="83" t="s">
        <v>2590</v>
      </c>
      <c r="C5706" s="91" t="s">
        <v>1198</v>
      </c>
    </row>
    <row r="5707" spans="1:3" ht="15">
      <c r="A5707" s="84" t="s">
        <v>359</v>
      </c>
      <c r="B5707" s="83" t="s">
        <v>3328</v>
      </c>
      <c r="C5707" s="91" t="s">
        <v>1198</v>
      </c>
    </row>
    <row r="5708" spans="1:3" ht="15">
      <c r="A5708" s="84" t="s">
        <v>359</v>
      </c>
      <c r="B5708" s="83" t="s">
        <v>3225</v>
      </c>
      <c r="C5708" s="91" t="s">
        <v>1198</v>
      </c>
    </row>
    <row r="5709" spans="1:3" ht="15">
      <c r="A5709" s="84" t="s">
        <v>359</v>
      </c>
      <c r="B5709" s="83">
        <v>13</v>
      </c>
      <c r="C5709" s="91" t="s">
        <v>1198</v>
      </c>
    </row>
    <row r="5710" spans="1:3" ht="15">
      <c r="A5710" s="84" t="s">
        <v>359</v>
      </c>
      <c r="B5710" s="83" t="s">
        <v>3329</v>
      </c>
      <c r="C5710" s="91" t="s">
        <v>1198</v>
      </c>
    </row>
    <row r="5711" spans="1:3" ht="15">
      <c r="A5711" s="84" t="s">
        <v>359</v>
      </c>
      <c r="B5711" s="83">
        <v>11</v>
      </c>
      <c r="C5711" s="91" t="s">
        <v>1198</v>
      </c>
    </row>
    <row r="5712" spans="1:3" ht="15">
      <c r="A5712" s="84" t="s">
        <v>359</v>
      </c>
      <c r="B5712" s="83">
        <v>30</v>
      </c>
      <c r="C5712" s="91" t="s">
        <v>1198</v>
      </c>
    </row>
    <row r="5713" spans="1:3" ht="15">
      <c r="A5713" s="84" t="s">
        <v>359</v>
      </c>
      <c r="B5713" s="83" t="s">
        <v>3330</v>
      </c>
      <c r="C5713" s="91" t="s">
        <v>1198</v>
      </c>
    </row>
    <row r="5714" spans="1:3" ht="15">
      <c r="A5714" s="84" t="s">
        <v>359</v>
      </c>
      <c r="B5714" s="83" t="s">
        <v>3331</v>
      </c>
      <c r="C5714" s="91" t="s">
        <v>1198</v>
      </c>
    </row>
    <row r="5715" spans="1:3" ht="15">
      <c r="A5715" s="84" t="s">
        <v>359</v>
      </c>
      <c r="B5715" s="83">
        <v>1</v>
      </c>
      <c r="C5715" s="91" t="s">
        <v>1198</v>
      </c>
    </row>
    <row r="5716" spans="1:3" ht="15">
      <c r="A5716" s="84" t="s">
        <v>359</v>
      </c>
      <c r="B5716" s="83" t="s">
        <v>3332</v>
      </c>
      <c r="C5716" s="91" t="s">
        <v>1198</v>
      </c>
    </row>
    <row r="5717" spans="1:3" ht="15">
      <c r="A5717" s="84" t="s">
        <v>359</v>
      </c>
      <c r="B5717" s="83">
        <v>2</v>
      </c>
      <c r="C5717" s="91" t="s">
        <v>1198</v>
      </c>
    </row>
    <row r="5718" spans="1:3" ht="15">
      <c r="A5718" s="84" t="s">
        <v>359</v>
      </c>
      <c r="B5718" s="83" t="s">
        <v>3333</v>
      </c>
      <c r="C5718" s="91" t="s">
        <v>1198</v>
      </c>
    </row>
    <row r="5719" spans="1:3" ht="15">
      <c r="A5719" s="84" t="s">
        <v>359</v>
      </c>
      <c r="B5719" s="83" t="s">
        <v>2664</v>
      </c>
      <c r="C5719" s="91" t="s">
        <v>1198</v>
      </c>
    </row>
    <row r="5720" spans="1:3" ht="15">
      <c r="A5720" s="84" t="s">
        <v>359</v>
      </c>
      <c r="B5720" s="83" t="s">
        <v>2794</v>
      </c>
      <c r="C5720" s="91" t="s">
        <v>1198</v>
      </c>
    </row>
    <row r="5721" spans="1:3" ht="15">
      <c r="A5721" s="84" t="s">
        <v>359</v>
      </c>
      <c r="B5721" s="83" t="s">
        <v>3334</v>
      </c>
      <c r="C5721" s="91" t="s">
        <v>1198</v>
      </c>
    </row>
    <row r="5722" spans="1:3" ht="15">
      <c r="A5722" s="84" t="s">
        <v>359</v>
      </c>
      <c r="B5722" s="83" t="s">
        <v>3335</v>
      </c>
      <c r="C5722" s="91" t="s">
        <v>1198</v>
      </c>
    </row>
    <row r="5723" spans="1:3" ht="15">
      <c r="A5723" s="84" t="s">
        <v>359</v>
      </c>
      <c r="B5723" s="83" t="s">
        <v>3238</v>
      </c>
      <c r="C5723" s="91" t="s">
        <v>1198</v>
      </c>
    </row>
    <row r="5724" spans="1:3" ht="15">
      <c r="A5724" s="84" t="s">
        <v>359</v>
      </c>
      <c r="B5724" s="83" t="s">
        <v>3199</v>
      </c>
      <c r="C5724" s="91" t="s">
        <v>1198</v>
      </c>
    </row>
    <row r="5725" spans="1:3" ht="15">
      <c r="A5725" s="84" t="s">
        <v>358</v>
      </c>
      <c r="B5725" s="83" t="s">
        <v>3521</v>
      </c>
      <c r="C5725" s="91" t="s">
        <v>1197</v>
      </c>
    </row>
    <row r="5726" spans="1:3" ht="15">
      <c r="A5726" s="84" t="s">
        <v>358</v>
      </c>
      <c r="B5726" s="83" t="s">
        <v>3522</v>
      </c>
      <c r="C5726" s="91" t="s">
        <v>1197</v>
      </c>
    </row>
    <row r="5727" spans="1:3" ht="15">
      <c r="A5727" s="84" t="s">
        <v>358</v>
      </c>
      <c r="B5727" s="83" t="s">
        <v>2985</v>
      </c>
      <c r="C5727" s="91" t="s">
        <v>1197</v>
      </c>
    </row>
    <row r="5728" spans="1:3" ht="15">
      <c r="A5728" s="84" t="s">
        <v>358</v>
      </c>
      <c r="B5728" s="83" t="s">
        <v>2743</v>
      </c>
      <c r="C5728" s="91" t="s">
        <v>1197</v>
      </c>
    </row>
    <row r="5729" spans="1:3" ht="15">
      <c r="A5729" s="84" t="s">
        <v>358</v>
      </c>
      <c r="B5729" s="83" t="s">
        <v>2578</v>
      </c>
      <c r="C5729" s="91" t="s">
        <v>1197</v>
      </c>
    </row>
    <row r="5730" spans="1:3" ht="15">
      <c r="A5730" s="84" t="s">
        <v>358</v>
      </c>
      <c r="B5730" s="83" t="s">
        <v>2986</v>
      </c>
      <c r="C5730" s="91" t="s">
        <v>1197</v>
      </c>
    </row>
    <row r="5731" spans="1:3" ht="15">
      <c r="A5731" s="84" t="s">
        <v>358</v>
      </c>
      <c r="B5731" s="83" t="s">
        <v>2568</v>
      </c>
      <c r="C5731" s="91" t="s">
        <v>1197</v>
      </c>
    </row>
    <row r="5732" spans="1:3" ht="15">
      <c r="A5732" s="84" t="s">
        <v>358</v>
      </c>
      <c r="B5732" s="83" t="s">
        <v>3210</v>
      </c>
      <c r="C5732" s="91" t="s">
        <v>1197</v>
      </c>
    </row>
    <row r="5733" spans="1:3" ht="15">
      <c r="A5733" s="84" t="s">
        <v>358</v>
      </c>
      <c r="B5733" s="83">
        <v>19</v>
      </c>
      <c r="C5733" s="91" t="s">
        <v>1197</v>
      </c>
    </row>
    <row r="5734" spans="1:3" ht="15">
      <c r="A5734" s="84" t="s">
        <v>358</v>
      </c>
      <c r="B5734" s="83" t="s">
        <v>3190</v>
      </c>
      <c r="C5734" s="91" t="s">
        <v>1197</v>
      </c>
    </row>
    <row r="5735" spans="1:3" ht="15">
      <c r="A5735" s="84" t="s">
        <v>358</v>
      </c>
      <c r="B5735" s="83" t="s">
        <v>2263</v>
      </c>
      <c r="C5735" s="91" t="s">
        <v>1197</v>
      </c>
    </row>
    <row r="5736" spans="1:3" ht="15">
      <c r="A5736" s="84" t="s">
        <v>358</v>
      </c>
      <c r="B5736" s="83" t="s">
        <v>3523</v>
      </c>
      <c r="C5736" s="91" t="s">
        <v>1197</v>
      </c>
    </row>
    <row r="5737" spans="1:3" ht="15">
      <c r="A5737" s="84" t="s">
        <v>358</v>
      </c>
      <c r="B5737" s="83" t="s">
        <v>586</v>
      </c>
      <c r="C5737" s="91" t="s">
        <v>1197</v>
      </c>
    </row>
    <row r="5738" spans="1:3" ht="15">
      <c r="A5738" s="84" t="s">
        <v>358</v>
      </c>
      <c r="B5738" s="83" t="s">
        <v>3524</v>
      </c>
      <c r="C5738" s="91" t="s">
        <v>1197</v>
      </c>
    </row>
    <row r="5739" spans="1:3" ht="15">
      <c r="A5739" s="84" t="s">
        <v>358</v>
      </c>
      <c r="B5739" s="83" t="s">
        <v>3525</v>
      </c>
      <c r="C5739" s="91" t="s">
        <v>1197</v>
      </c>
    </row>
    <row r="5740" spans="1:3" ht="15">
      <c r="A5740" s="84" t="s">
        <v>358</v>
      </c>
      <c r="B5740" s="83" t="s">
        <v>3424</v>
      </c>
      <c r="C5740" s="91" t="s">
        <v>1197</v>
      </c>
    </row>
    <row r="5741" spans="1:3" ht="15">
      <c r="A5741" s="84" t="s">
        <v>358</v>
      </c>
      <c r="B5741" s="83" t="s">
        <v>3526</v>
      </c>
      <c r="C5741" s="91" t="s">
        <v>1197</v>
      </c>
    </row>
    <row r="5742" spans="1:3" ht="15">
      <c r="A5742" s="84" t="s">
        <v>358</v>
      </c>
      <c r="B5742" s="83" t="s">
        <v>3527</v>
      </c>
      <c r="C5742" s="91" t="s">
        <v>1197</v>
      </c>
    </row>
    <row r="5743" spans="1:3" ht="15">
      <c r="A5743" s="84" t="s">
        <v>358</v>
      </c>
      <c r="B5743" s="83" t="s">
        <v>3528</v>
      </c>
      <c r="C5743" s="91" t="s">
        <v>1197</v>
      </c>
    </row>
    <row r="5744" spans="1:3" ht="15">
      <c r="A5744" s="84" t="s">
        <v>357</v>
      </c>
      <c r="B5744" s="83" t="s">
        <v>3521</v>
      </c>
      <c r="C5744" s="91" t="s">
        <v>1196</v>
      </c>
    </row>
    <row r="5745" spans="1:3" ht="15">
      <c r="A5745" s="84" t="s">
        <v>357</v>
      </c>
      <c r="B5745" s="83" t="s">
        <v>3522</v>
      </c>
      <c r="C5745" s="91" t="s">
        <v>1196</v>
      </c>
    </row>
    <row r="5746" spans="1:3" ht="15">
      <c r="A5746" s="84" t="s">
        <v>357</v>
      </c>
      <c r="B5746" s="83" t="s">
        <v>2985</v>
      </c>
      <c r="C5746" s="91" t="s">
        <v>1196</v>
      </c>
    </row>
    <row r="5747" spans="1:3" ht="15">
      <c r="A5747" s="84" t="s">
        <v>357</v>
      </c>
      <c r="B5747" s="83" t="s">
        <v>2743</v>
      </c>
      <c r="C5747" s="91" t="s">
        <v>1196</v>
      </c>
    </row>
    <row r="5748" spans="1:3" ht="15">
      <c r="A5748" s="84" t="s">
        <v>357</v>
      </c>
      <c r="B5748" s="83" t="s">
        <v>2578</v>
      </c>
      <c r="C5748" s="91" t="s">
        <v>1196</v>
      </c>
    </row>
    <row r="5749" spans="1:3" ht="15">
      <c r="A5749" s="84" t="s">
        <v>357</v>
      </c>
      <c r="B5749" s="83" t="s">
        <v>2986</v>
      </c>
      <c r="C5749" s="91" t="s">
        <v>1196</v>
      </c>
    </row>
    <row r="5750" spans="1:3" ht="15">
      <c r="A5750" s="84" t="s">
        <v>357</v>
      </c>
      <c r="B5750" s="83" t="s">
        <v>2568</v>
      </c>
      <c r="C5750" s="91" t="s">
        <v>1196</v>
      </c>
    </row>
    <row r="5751" spans="1:3" ht="15">
      <c r="A5751" s="84" t="s">
        <v>357</v>
      </c>
      <c r="B5751" s="83" t="s">
        <v>3210</v>
      </c>
      <c r="C5751" s="91" t="s">
        <v>1196</v>
      </c>
    </row>
    <row r="5752" spans="1:3" ht="15">
      <c r="A5752" s="84" t="s">
        <v>357</v>
      </c>
      <c r="B5752" s="83">
        <v>19</v>
      </c>
      <c r="C5752" s="91" t="s">
        <v>1196</v>
      </c>
    </row>
    <row r="5753" spans="1:3" ht="15">
      <c r="A5753" s="84" t="s">
        <v>357</v>
      </c>
      <c r="B5753" s="83" t="s">
        <v>3190</v>
      </c>
      <c r="C5753" s="91" t="s">
        <v>1196</v>
      </c>
    </row>
    <row r="5754" spans="1:3" ht="15">
      <c r="A5754" s="84" t="s">
        <v>357</v>
      </c>
      <c r="B5754" s="83" t="s">
        <v>2263</v>
      </c>
      <c r="C5754" s="91" t="s">
        <v>1196</v>
      </c>
    </row>
    <row r="5755" spans="1:3" ht="15">
      <c r="A5755" s="84" t="s">
        <v>357</v>
      </c>
      <c r="B5755" s="83" t="s">
        <v>3523</v>
      </c>
      <c r="C5755" s="91" t="s">
        <v>1196</v>
      </c>
    </row>
    <row r="5756" spans="1:3" ht="15">
      <c r="A5756" s="84" t="s">
        <v>357</v>
      </c>
      <c r="B5756" s="83" t="s">
        <v>586</v>
      </c>
      <c r="C5756" s="91" t="s">
        <v>1196</v>
      </c>
    </row>
    <row r="5757" spans="1:3" ht="15">
      <c r="A5757" s="84" t="s">
        <v>357</v>
      </c>
      <c r="B5757" s="83" t="s">
        <v>3524</v>
      </c>
      <c r="C5757" s="91" t="s">
        <v>1196</v>
      </c>
    </row>
    <row r="5758" spans="1:3" ht="15">
      <c r="A5758" s="84" t="s">
        <v>357</v>
      </c>
      <c r="B5758" s="83" t="s">
        <v>3525</v>
      </c>
      <c r="C5758" s="91" t="s">
        <v>1196</v>
      </c>
    </row>
    <row r="5759" spans="1:3" ht="15">
      <c r="A5759" s="84" t="s">
        <v>357</v>
      </c>
      <c r="B5759" s="83" t="s">
        <v>3424</v>
      </c>
      <c r="C5759" s="91" t="s">
        <v>1196</v>
      </c>
    </row>
    <row r="5760" spans="1:3" ht="15">
      <c r="A5760" s="84" t="s">
        <v>357</v>
      </c>
      <c r="B5760" s="83" t="s">
        <v>3526</v>
      </c>
      <c r="C5760" s="91" t="s">
        <v>1196</v>
      </c>
    </row>
    <row r="5761" spans="1:3" ht="15">
      <c r="A5761" s="84" t="s">
        <v>357</v>
      </c>
      <c r="B5761" s="83" t="s">
        <v>3527</v>
      </c>
      <c r="C5761" s="91" t="s">
        <v>1196</v>
      </c>
    </row>
    <row r="5762" spans="1:3" ht="15">
      <c r="A5762" s="84" t="s">
        <v>357</v>
      </c>
      <c r="B5762" s="83" t="s">
        <v>3528</v>
      </c>
      <c r="C5762" s="91" t="s">
        <v>1196</v>
      </c>
    </row>
    <row r="5763" spans="1:3" ht="15">
      <c r="A5763" s="84" t="s">
        <v>356</v>
      </c>
      <c r="B5763" s="83" t="s">
        <v>3521</v>
      </c>
      <c r="C5763" s="91" t="s">
        <v>1195</v>
      </c>
    </row>
    <row r="5764" spans="1:3" ht="15">
      <c r="A5764" s="84" t="s">
        <v>356</v>
      </c>
      <c r="B5764" s="83" t="s">
        <v>3522</v>
      </c>
      <c r="C5764" s="91" t="s">
        <v>1195</v>
      </c>
    </row>
    <row r="5765" spans="1:3" ht="15">
      <c r="A5765" s="84" t="s">
        <v>356</v>
      </c>
      <c r="B5765" s="83" t="s">
        <v>2985</v>
      </c>
      <c r="C5765" s="91" t="s">
        <v>1195</v>
      </c>
    </row>
    <row r="5766" spans="1:3" ht="15">
      <c r="A5766" s="84" t="s">
        <v>356</v>
      </c>
      <c r="B5766" s="83" t="s">
        <v>2743</v>
      </c>
      <c r="C5766" s="91" t="s">
        <v>1195</v>
      </c>
    </row>
    <row r="5767" spans="1:3" ht="15">
      <c r="A5767" s="84" t="s">
        <v>356</v>
      </c>
      <c r="B5767" s="83" t="s">
        <v>2578</v>
      </c>
      <c r="C5767" s="91" t="s">
        <v>1195</v>
      </c>
    </row>
    <row r="5768" spans="1:3" ht="15">
      <c r="A5768" s="84" t="s">
        <v>356</v>
      </c>
      <c r="B5768" s="83" t="s">
        <v>2986</v>
      </c>
      <c r="C5768" s="91" t="s">
        <v>1195</v>
      </c>
    </row>
    <row r="5769" spans="1:3" ht="15">
      <c r="A5769" s="84" t="s">
        <v>356</v>
      </c>
      <c r="B5769" s="83" t="s">
        <v>2568</v>
      </c>
      <c r="C5769" s="91" t="s">
        <v>1195</v>
      </c>
    </row>
    <row r="5770" spans="1:3" ht="15">
      <c r="A5770" s="84" t="s">
        <v>356</v>
      </c>
      <c r="B5770" s="83" t="s">
        <v>3210</v>
      </c>
      <c r="C5770" s="91" t="s">
        <v>1195</v>
      </c>
    </row>
    <row r="5771" spans="1:3" ht="15">
      <c r="A5771" s="84" t="s">
        <v>356</v>
      </c>
      <c r="B5771" s="83">
        <v>19</v>
      </c>
      <c r="C5771" s="91" t="s">
        <v>1195</v>
      </c>
    </row>
    <row r="5772" spans="1:3" ht="15">
      <c r="A5772" s="84" t="s">
        <v>356</v>
      </c>
      <c r="B5772" s="83" t="s">
        <v>3190</v>
      </c>
      <c r="C5772" s="91" t="s">
        <v>1195</v>
      </c>
    </row>
    <row r="5773" spans="1:3" ht="15">
      <c r="A5773" s="84" t="s">
        <v>356</v>
      </c>
      <c r="B5773" s="83" t="s">
        <v>2263</v>
      </c>
      <c r="C5773" s="91" t="s">
        <v>1195</v>
      </c>
    </row>
    <row r="5774" spans="1:3" ht="15">
      <c r="A5774" s="84" t="s">
        <v>356</v>
      </c>
      <c r="B5774" s="83" t="s">
        <v>3523</v>
      </c>
      <c r="C5774" s="91" t="s">
        <v>1195</v>
      </c>
    </row>
    <row r="5775" spans="1:3" ht="15">
      <c r="A5775" s="84" t="s">
        <v>356</v>
      </c>
      <c r="B5775" s="83" t="s">
        <v>586</v>
      </c>
      <c r="C5775" s="91" t="s">
        <v>1195</v>
      </c>
    </row>
    <row r="5776" spans="1:3" ht="15">
      <c r="A5776" s="84" t="s">
        <v>356</v>
      </c>
      <c r="B5776" s="83" t="s">
        <v>3524</v>
      </c>
      <c r="C5776" s="91" t="s">
        <v>1195</v>
      </c>
    </row>
    <row r="5777" spans="1:3" ht="15">
      <c r="A5777" s="84" t="s">
        <v>356</v>
      </c>
      <c r="B5777" s="83" t="s">
        <v>3525</v>
      </c>
      <c r="C5777" s="91" t="s">
        <v>1195</v>
      </c>
    </row>
    <row r="5778" spans="1:3" ht="15">
      <c r="A5778" s="84" t="s">
        <v>356</v>
      </c>
      <c r="B5778" s="83" t="s">
        <v>3424</v>
      </c>
      <c r="C5778" s="91" t="s">
        <v>1195</v>
      </c>
    </row>
    <row r="5779" spans="1:3" ht="15">
      <c r="A5779" s="84" t="s">
        <v>356</v>
      </c>
      <c r="B5779" s="83" t="s">
        <v>3526</v>
      </c>
      <c r="C5779" s="91" t="s">
        <v>1195</v>
      </c>
    </row>
    <row r="5780" spans="1:3" ht="15">
      <c r="A5780" s="84" t="s">
        <v>356</v>
      </c>
      <c r="B5780" s="83" t="s">
        <v>3527</v>
      </c>
      <c r="C5780" s="91" t="s">
        <v>1195</v>
      </c>
    </row>
    <row r="5781" spans="1:3" ht="15">
      <c r="A5781" s="84" t="s">
        <v>356</v>
      </c>
      <c r="B5781" s="83" t="s">
        <v>3528</v>
      </c>
      <c r="C5781" s="91" t="s">
        <v>1195</v>
      </c>
    </row>
    <row r="5782" spans="1:3" ht="15">
      <c r="A5782" s="84" t="s">
        <v>390</v>
      </c>
      <c r="B5782" s="83" t="s">
        <v>3323</v>
      </c>
      <c r="C5782" s="91" t="s">
        <v>1382</v>
      </c>
    </row>
    <row r="5783" spans="1:3" ht="15">
      <c r="A5783" s="84" t="s">
        <v>390</v>
      </c>
      <c r="B5783" s="83" t="s">
        <v>2694</v>
      </c>
      <c r="C5783" s="91" t="s">
        <v>1382</v>
      </c>
    </row>
    <row r="5784" spans="1:3" ht="15">
      <c r="A5784" s="84" t="s">
        <v>390</v>
      </c>
      <c r="B5784" s="83" t="s">
        <v>2568</v>
      </c>
      <c r="C5784" s="91" t="s">
        <v>1382</v>
      </c>
    </row>
    <row r="5785" spans="1:3" ht="15">
      <c r="A5785" s="84" t="s">
        <v>390</v>
      </c>
      <c r="B5785" s="83" t="s">
        <v>2592</v>
      </c>
      <c r="C5785" s="91" t="s">
        <v>1382</v>
      </c>
    </row>
    <row r="5786" spans="1:3" ht="15">
      <c r="A5786" s="84" t="s">
        <v>390</v>
      </c>
      <c r="B5786" s="83" t="s">
        <v>3211</v>
      </c>
      <c r="C5786" s="91" t="s">
        <v>1382</v>
      </c>
    </row>
    <row r="5787" spans="1:3" ht="15">
      <c r="A5787" s="84" t="s">
        <v>390</v>
      </c>
      <c r="B5787" s="83" t="s">
        <v>2629</v>
      </c>
      <c r="C5787" s="91" t="s">
        <v>1382</v>
      </c>
    </row>
    <row r="5788" spans="1:3" ht="15">
      <c r="A5788" s="84" t="s">
        <v>390</v>
      </c>
      <c r="B5788" s="83" t="s">
        <v>2781</v>
      </c>
      <c r="C5788" s="91" t="s">
        <v>1382</v>
      </c>
    </row>
    <row r="5789" spans="1:3" ht="15">
      <c r="A5789" s="84" t="s">
        <v>390</v>
      </c>
      <c r="B5789" s="83" t="s">
        <v>2782</v>
      </c>
      <c r="C5789" s="91" t="s">
        <v>1382</v>
      </c>
    </row>
    <row r="5790" spans="1:3" ht="15">
      <c r="A5790" s="84" t="s">
        <v>390</v>
      </c>
      <c r="B5790" s="83" t="s">
        <v>2771</v>
      </c>
      <c r="C5790" s="91" t="s">
        <v>1382</v>
      </c>
    </row>
    <row r="5791" spans="1:3" ht="15">
      <c r="A5791" s="84" t="s">
        <v>390</v>
      </c>
      <c r="B5791" s="83" t="s">
        <v>2734</v>
      </c>
      <c r="C5791" s="91" t="s">
        <v>1382</v>
      </c>
    </row>
    <row r="5792" spans="1:3" ht="15">
      <c r="A5792" s="84" t="s">
        <v>390</v>
      </c>
      <c r="B5792" s="83" t="s">
        <v>3324</v>
      </c>
      <c r="C5792" s="91" t="s">
        <v>1382</v>
      </c>
    </row>
    <row r="5793" spans="1:3" ht="15">
      <c r="A5793" s="84" t="s">
        <v>390</v>
      </c>
      <c r="B5793" s="83" t="s">
        <v>2576</v>
      </c>
      <c r="C5793" s="91" t="s">
        <v>1382</v>
      </c>
    </row>
    <row r="5794" spans="1:3" ht="15">
      <c r="A5794" s="84" t="s">
        <v>390</v>
      </c>
      <c r="B5794" s="83" t="s">
        <v>2578</v>
      </c>
      <c r="C5794" s="91" t="s">
        <v>1382</v>
      </c>
    </row>
    <row r="5795" spans="1:3" ht="15">
      <c r="A5795" s="84" t="s">
        <v>390</v>
      </c>
      <c r="B5795" s="83" t="s">
        <v>3325</v>
      </c>
      <c r="C5795" s="91" t="s">
        <v>1382</v>
      </c>
    </row>
    <row r="5796" spans="1:3" ht="15">
      <c r="A5796" s="84" t="s">
        <v>390</v>
      </c>
      <c r="B5796" s="83" t="s">
        <v>3227</v>
      </c>
      <c r="C5796" s="91" t="s">
        <v>1382</v>
      </c>
    </row>
    <row r="5797" spans="1:3" ht="15">
      <c r="A5797" s="84" t="s">
        <v>390</v>
      </c>
      <c r="B5797" s="83" t="s">
        <v>3203</v>
      </c>
      <c r="C5797" s="91" t="s">
        <v>1382</v>
      </c>
    </row>
    <row r="5798" spans="1:3" ht="15">
      <c r="A5798" s="84" t="s">
        <v>390</v>
      </c>
      <c r="B5798" s="83">
        <v>19</v>
      </c>
      <c r="C5798" s="91" t="s">
        <v>1382</v>
      </c>
    </row>
    <row r="5799" spans="1:3" ht="15">
      <c r="A5799" s="84" t="s">
        <v>390</v>
      </c>
      <c r="B5799" s="83" t="s">
        <v>3326</v>
      </c>
      <c r="C5799" s="91" t="s">
        <v>1382</v>
      </c>
    </row>
    <row r="5800" spans="1:3" ht="15">
      <c r="A5800" s="84" t="s">
        <v>390</v>
      </c>
      <c r="B5800" s="83" t="s">
        <v>3327</v>
      </c>
      <c r="C5800" s="91" t="s">
        <v>1382</v>
      </c>
    </row>
    <row r="5801" spans="1:3" ht="15">
      <c r="A5801" s="84" t="s">
        <v>390</v>
      </c>
      <c r="B5801" s="83" t="s">
        <v>2590</v>
      </c>
      <c r="C5801" s="91" t="s">
        <v>1382</v>
      </c>
    </row>
    <row r="5802" spans="1:3" ht="15">
      <c r="A5802" s="84" t="s">
        <v>390</v>
      </c>
      <c r="B5802" s="83" t="s">
        <v>3328</v>
      </c>
      <c r="C5802" s="91" t="s">
        <v>1382</v>
      </c>
    </row>
    <row r="5803" spans="1:3" ht="15">
      <c r="A5803" s="84" t="s">
        <v>390</v>
      </c>
      <c r="B5803" s="83" t="s">
        <v>3225</v>
      </c>
      <c r="C5803" s="91" t="s">
        <v>1382</v>
      </c>
    </row>
    <row r="5804" spans="1:3" ht="15">
      <c r="A5804" s="84" t="s">
        <v>390</v>
      </c>
      <c r="B5804" s="83">
        <v>13</v>
      </c>
      <c r="C5804" s="91" t="s">
        <v>1382</v>
      </c>
    </row>
    <row r="5805" spans="1:3" ht="15">
      <c r="A5805" s="84" t="s">
        <v>390</v>
      </c>
      <c r="B5805" s="83" t="s">
        <v>3329</v>
      </c>
      <c r="C5805" s="91" t="s">
        <v>1382</v>
      </c>
    </row>
    <row r="5806" spans="1:3" ht="15">
      <c r="A5806" s="84" t="s">
        <v>390</v>
      </c>
      <c r="B5806" s="83">
        <v>11</v>
      </c>
      <c r="C5806" s="91" t="s">
        <v>1382</v>
      </c>
    </row>
    <row r="5807" spans="1:3" ht="15">
      <c r="A5807" s="84" t="s">
        <v>390</v>
      </c>
      <c r="B5807" s="83">
        <v>30</v>
      </c>
      <c r="C5807" s="91" t="s">
        <v>1382</v>
      </c>
    </row>
    <row r="5808" spans="1:3" ht="15">
      <c r="A5808" s="84" t="s">
        <v>390</v>
      </c>
      <c r="B5808" s="83" t="s">
        <v>3330</v>
      </c>
      <c r="C5808" s="91" t="s">
        <v>1382</v>
      </c>
    </row>
    <row r="5809" spans="1:3" ht="15">
      <c r="A5809" s="84" t="s">
        <v>390</v>
      </c>
      <c r="B5809" s="83" t="s">
        <v>3331</v>
      </c>
      <c r="C5809" s="91" t="s">
        <v>1382</v>
      </c>
    </row>
    <row r="5810" spans="1:3" ht="15">
      <c r="A5810" s="84" t="s">
        <v>390</v>
      </c>
      <c r="B5810" s="83">
        <v>1</v>
      </c>
      <c r="C5810" s="91" t="s">
        <v>1382</v>
      </c>
    </row>
    <row r="5811" spans="1:3" ht="15">
      <c r="A5811" s="84" t="s">
        <v>390</v>
      </c>
      <c r="B5811" s="83" t="s">
        <v>3332</v>
      </c>
      <c r="C5811" s="91" t="s">
        <v>1382</v>
      </c>
    </row>
    <row r="5812" spans="1:3" ht="15">
      <c r="A5812" s="84" t="s">
        <v>390</v>
      </c>
      <c r="B5812" s="83">
        <v>2</v>
      </c>
      <c r="C5812" s="91" t="s">
        <v>1382</v>
      </c>
    </row>
    <row r="5813" spans="1:3" ht="15">
      <c r="A5813" s="84" t="s">
        <v>390</v>
      </c>
      <c r="B5813" s="83" t="s">
        <v>3333</v>
      </c>
      <c r="C5813" s="91" t="s">
        <v>1382</v>
      </c>
    </row>
    <row r="5814" spans="1:3" ht="15">
      <c r="A5814" s="84" t="s">
        <v>390</v>
      </c>
      <c r="B5814" s="83" t="s">
        <v>2664</v>
      </c>
      <c r="C5814" s="91" t="s">
        <v>1382</v>
      </c>
    </row>
    <row r="5815" spans="1:3" ht="15">
      <c r="A5815" s="84" t="s">
        <v>390</v>
      </c>
      <c r="B5815" s="83" t="s">
        <v>2794</v>
      </c>
      <c r="C5815" s="91" t="s">
        <v>1382</v>
      </c>
    </row>
    <row r="5816" spans="1:3" ht="15">
      <c r="A5816" s="84" t="s">
        <v>390</v>
      </c>
      <c r="B5816" s="83" t="s">
        <v>3334</v>
      </c>
      <c r="C5816" s="91" t="s">
        <v>1382</v>
      </c>
    </row>
    <row r="5817" spans="1:3" ht="15">
      <c r="A5817" s="84" t="s">
        <v>390</v>
      </c>
      <c r="B5817" s="83" t="s">
        <v>3335</v>
      </c>
      <c r="C5817" s="91" t="s">
        <v>1382</v>
      </c>
    </row>
    <row r="5818" spans="1:3" ht="15">
      <c r="A5818" s="84" t="s">
        <v>390</v>
      </c>
      <c r="B5818" s="83" t="s">
        <v>3238</v>
      </c>
      <c r="C5818" s="91" t="s">
        <v>1382</v>
      </c>
    </row>
    <row r="5819" spans="1:3" ht="15">
      <c r="A5819" s="84" t="s">
        <v>390</v>
      </c>
      <c r="B5819" s="83" t="s">
        <v>3199</v>
      </c>
      <c r="C5819" s="91" t="s">
        <v>1382</v>
      </c>
    </row>
    <row r="5820" spans="1:3" ht="15">
      <c r="A5820" s="84" t="s">
        <v>414</v>
      </c>
      <c r="B5820" s="83" t="s">
        <v>3323</v>
      </c>
      <c r="C5820" s="91" t="s">
        <v>1381</v>
      </c>
    </row>
    <row r="5821" spans="1:3" ht="15">
      <c r="A5821" s="84" t="s">
        <v>414</v>
      </c>
      <c r="B5821" s="83" t="s">
        <v>2694</v>
      </c>
      <c r="C5821" s="91" t="s">
        <v>1381</v>
      </c>
    </row>
    <row r="5822" spans="1:3" ht="15">
      <c r="A5822" s="84" t="s">
        <v>414</v>
      </c>
      <c r="B5822" s="83" t="s">
        <v>2568</v>
      </c>
      <c r="C5822" s="91" t="s">
        <v>1381</v>
      </c>
    </row>
    <row r="5823" spans="1:3" ht="15">
      <c r="A5823" s="84" t="s">
        <v>414</v>
      </c>
      <c r="B5823" s="83" t="s">
        <v>2592</v>
      </c>
      <c r="C5823" s="91" t="s">
        <v>1381</v>
      </c>
    </row>
    <row r="5824" spans="1:3" ht="15">
      <c r="A5824" s="84" t="s">
        <v>414</v>
      </c>
      <c r="B5824" s="83" t="s">
        <v>3211</v>
      </c>
      <c r="C5824" s="91" t="s">
        <v>1381</v>
      </c>
    </row>
    <row r="5825" spans="1:3" ht="15">
      <c r="A5825" s="84" t="s">
        <v>414</v>
      </c>
      <c r="B5825" s="83" t="s">
        <v>2629</v>
      </c>
      <c r="C5825" s="91" t="s">
        <v>1381</v>
      </c>
    </row>
    <row r="5826" spans="1:3" ht="15">
      <c r="A5826" s="84" t="s">
        <v>414</v>
      </c>
      <c r="B5826" s="83" t="s">
        <v>2781</v>
      </c>
      <c r="C5826" s="91" t="s">
        <v>1381</v>
      </c>
    </row>
    <row r="5827" spans="1:3" ht="15">
      <c r="A5827" s="84" t="s">
        <v>414</v>
      </c>
      <c r="B5827" s="83" t="s">
        <v>2782</v>
      </c>
      <c r="C5827" s="91" t="s">
        <v>1381</v>
      </c>
    </row>
    <row r="5828" spans="1:3" ht="15">
      <c r="A5828" s="84" t="s">
        <v>414</v>
      </c>
      <c r="B5828" s="83" t="s">
        <v>2771</v>
      </c>
      <c r="C5828" s="91" t="s">
        <v>1381</v>
      </c>
    </row>
    <row r="5829" spans="1:3" ht="15">
      <c r="A5829" s="84" t="s">
        <v>414</v>
      </c>
      <c r="B5829" s="83" t="s">
        <v>2734</v>
      </c>
      <c r="C5829" s="91" t="s">
        <v>1381</v>
      </c>
    </row>
    <row r="5830" spans="1:3" ht="15">
      <c r="A5830" s="84" t="s">
        <v>414</v>
      </c>
      <c r="B5830" s="83" t="s">
        <v>3324</v>
      </c>
      <c r="C5830" s="91" t="s">
        <v>1381</v>
      </c>
    </row>
    <row r="5831" spans="1:3" ht="15">
      <c r="A5831" s="84" t="s">
        <v>414</v>
      </c>
      <c r="B5831" s="83" t="s">
        <v>2576</v>
      </c>
      <c r="C5831" s="91" t="s">
        <v>1381</v>
      </c>
    </row>
    <row r="5832" spans="1:3" ht="15">
      <c r="A5832" s="84" t="s">
        <v>414</v>
      </c>
      <c r="B5832" s="83" t="s">
        <v>2578</v>
      </c>
      <c r="C5832" s="91" t="s">
        <v>1381</v>
      </c>
    </row>
    <row r="5833" spans="1:3" ht="15">
      <c r="A5833" s="84" t="s">
        <v>414</v>
      </c>
      <c r="B5833" s="83" t="s">
        <v>3325</v>
      </c>
      <c r="C5833" s="91" t="s">
        <v>1381</v>
      </c>
    </row>
    <row r="5834" spans="1:3" ht="15">
      <c r="A5834" s="84" t="s">
        <v>414</v>
      </c>
      <c r="B5834" s="83" t="s">
        <v>3227</v>
      </c>
      <c r="C5834" s="91" t="s">
        <v>1381</v>
      </c>
    </row>
    <row r="5835" spans="1:3" ht="15">
      <c r="A5835" s="84" t="s">
        <v>414</v>
      </c>
      <c r="B5835" s="83" t="s">
        <v>3203</v>
      </c>
      <c r="C5835" s="91" t="s">
        <v>1381</v>
      </c>
    </row>
    <row r="5836" spans="1:3" ht="15">
      <c r="A5836" s="84" t="s">
        <v>414</v>
      </c>
      <c r="B5836" s="83">
        <v>19</v>
      </c>
      <c r="C5836" s="91" t="s">
        <v>1381</v>
      </c>
    </row>
    <row r="5837" spans="1:3" ht="15">
      <c r="A5837" s="84" t="s">
        <v>414</v>
      </c>
      <c r="B5837" s="83" t="s">
        <v>3326</v>
      </c>
      <c r="C5837" s="91" t="s">
        <v>1381</v>
      </c>
    </row>
    <row r="5838" spans="1:3" ht="15">
      <c r="A5838" s="84" t="s">
        <v>414</v>
      </c>
      <c r="B5838" s="83" t="s">
        <v>3327</v>
      </c>
      <c r="C5838" s="91" t="s">
        <v>1381</v>
      </c>
    </row>
    <row r="5839" spans="1:3" ht="15">
      <c r="A5839" s="84" t="s">
        <v>414</v>
      </c>
      <c r="B5839" s="83" t="s">
        <v>2590</v>
      </c>
      <c r="C5839" s="91" t="s">
        <v>1381</v>
      </c>
    </row>
    <row r="5840" spans="1:3" ht="15">
      <c r="A5840" s="84" t="s">
        <v>414</v>
      </c>
      <c r="B5840" s="83" t="s">
        <v>3328</v>
      </c>
      <c r="C5840" s="91" t="s">
        <v>1381</v>
      </c>
    </row>
    <row r="5841" spans="1:3" ht="15">
      <c r="A5841" s="84" t="s">
        <v>414</v>
      </c>
      <c r="B5841" s="83" t="s">
        <v>3225</v>
      </c>
      <c r="C5841" s="91" t="s">
        <v>1381</v>
      </c>
    </row>
    <row r="5842" spans="1:3" ht="15">
      <c r="A5842" s="84" t="s">
        <v>414</v>
      </c>
      <c r="B5842" s="83">
        <v>13</v>
      </c>
      <c r="C5842" s="91" t="s">
        <v>1381</v>
      </c>
    </row>
    <row r="5843" spans="1:3" ht="15">
      <c r="A5843" s="84" t="s">
        <v>414</v>
      </c>
      <c r="B5843" s="83" t="s">
        <v>3329</v>
      </c>
      <c r="C5843" s="91" t="s">
        <v>1381</v>
      </c>
    </row>
    <row r="5844" spans="1:3" ht="15">
      <c r="A5844" s="84" t="s">
        <v>414</v>
      </c>
      <c r="B5844" s="83">
        <v>11</v>
      </c>
      <c r="C5844" s="91" t="s">
        <v>1381</v>
      </c>
    </row>
    <row r="5845" spans="1:3" ht="15">
      <c r="A5845" s="84" t="s">
        <v>414</v>
      </c>
      <c r="B5845" s="83">
        <v>30</v>
      </c>
      <c r="C5845" s="91" t="s">
        <v>1381</v>
      </c>
    </row>
    <row r="5846" spans="1:3" ht="15">
      <c r="A5846" s="84" t="s">
        <v>414</v>
      </c>
      <c r="B5846" s="83" t="s">
        <v>3330</v>
      </c>
      <c r="C5846" s="91" t="s">
        <v>1381</v>
      </c>
    </row>
    <row r="5847" spans="1:3" ht="15">
      <c r="A5847" s="84" t="s">
        <v>414</v>
      </c>
      <c r="B5847" s="83" t="s">
        <v>3331</v>
      </c>
      <c r="C5847" s="91" t="s">
        <v>1381</v>
      </c>
    </row>
    <row r="5848" spans="1:3" ht="15">
      <c r="A5848" s="84" t="s">
        <v>414</v>
      </c>
      <c r="B5848" s="83">
        <v>1</v>
      </c>
      <c r="C5848" s="91" t="s">
        <v>1381</v>
      </c>
    </row>
    <row r="5849" spans="1:3" ht="15">
      <c r="A5849" s="84" t="s">
        <v>414</v>
      </c>
      <c r="B5849" s="83" t="s">
        <v>3332</v>
      </c>
      <c r="C5849" s="91" t="s">
        <v>1381</v>
      </c>
    </row>
    <row r="5850" spans="1:3" ht="15">
      <c r="A5850" s="84" t="s">
        <v>414</v>
      </c>
      <c r="B5850" s="83">
        <v>2</v>
      </c>
      <c r="C5850" s="91" t="s">
        <v>1381</v>
      </c>
    </row>
    <row r="5851" spans="1:3" ht="15">
      <c r="A5851" s="84" t="s">
        <v>414</v>
      </c>
      <c r="B5851" s="83" t="s">
        <v>3333</v>
      </c>
      <c r="C5851" s="91" t="s">
        <v>1381</v>
      </c>
    </row>
    <row r="5852" spans="1:3" ht="15">
      <c r="A5852" s="84" t="s">
        <v>414</v>
      </c>
      <c r="B5852" s="83" t="s">
        <v>2664</v>
      </c>
      <c r="C5852" s="91" t="s">
        <v>1381</v>
      </c>
    </row>
    <row r="5853" spans="1:3" ht="15">
      <c r="A5853" s="84" t="s">
        <v>414</v>
      </c>
      <c r="B5853" s="83" t="s">
        <v>2794</v>
      </c>
      <c r="C5853" s="91" t="s">
        <v>1381</v>
      </c>
    </row>
    <row r="5854" spans="1:3" ht="15">
      <c r="A5854" s="84" t="s">
        <v>414</v>
      </c>
      <c r="B5854" s="83" t="s">
        <v>3334</v>
      </c>
      <c r="C5854" s="91" t="s">
        <v>1381</v>
      </c>
    </row>
    <row r="5855" spans="1:3" ht="15">
      <c r="A5855" s="84" t="s">
        <v>414</v>
      </c>
      <c r="B5855" s="83" t="s">
        <v>3335</v>
      </c>
      <c r="C5855" s="91" t="s">
        <v>1381</v>
      </c>
    </row>
    <row r="5856" spans="1:3" ht="15">
      <c r="A5856" s="84" t="s">
        <v>414</v>
      </c>
      <c r="B5856" s="83" t="s">
        <v>3238</v>
      </c>
      <c r="C5856" s="91" t="s">
        <v>1381</v>
      </c>
    </row>
    <row r="5857" spans="1:3" ht="15">
      <c r="A5857" s="84" t="s">
        <v>414</v>
      </c>
      <c r="B5857" s="83" t="s">
        <v>3199</v>
      </c>
      <c r="C5857" s="91" t="s">
        <v>1381</v>
      </c>
    </row>
    <row r="5858" spans="1:3" ht="15">
      <c r="A5858" s="84" t="s">
        <v>355</v>
      </c>
      <c r="B5858" s="83" t="s">
        <v>3323</v>
      </c>
      <c r="C5858" s="91" t="s">
        <v>1194</v>
      </c>
    </row>
    <row r="5859" spans="1:3" ht="15">
      <c r="A5859" s="84" t="s">
        <v>355</v>
      </c>
      <c r="B5859" s="83" t="s">
        <v>2694</v>
      </c>
      <c r="C5859" s="91" t="s">
        <v>1194</v>
      </c>
    </row>
    <row r="5860" spans="1:3" ht="15">
      <c r="A5860" s="84" t="s">
        <v>355</v>
      </c>
      <c r="B5860" s="83" t="s">
        <v>2568</v>
      </c>
      <c r="C5860" s="91" t="s">
        <v>1194</v>
      </c>
    </row>
    <row r="5861" spans="1:3" ht="15">
      <c r="A5861" s="84" t="s">
        <v>355</v>
      </c>
      <c r="B5861" s="83" t="s">
        <v>2592</v>
      </c>
      <c r="C5861" s="91" t="s">
        <v>1194</v>
      </c>
    </row>
    <row r="5862" spans="1:3" ht="15">
      <c r="A5862" s="84" t="s">
        <v>355</v>
      </c>
      <c r="B5862" s="83" t="s">
        <v>3211</v>
      </c>
      <c r="C5862" s="91" t="s">
        <v>1194</v>
      </c>
    </row>
    <row r="5863" spans="1:3" ht="15">
      <c r="A5863" s="84" t="s">
        <v>355</v>
      </c>
      <c r="B5863" s="83" t="s">
        <v>2629</v>
      </c>
      <c r="C5863" s="91" t="s">
        <v>1194</v>
      </c>
    </row>
    <row r="5864" spans="1:3" ht="15">
      <c r="A5864" s="84" t="s">
        <v>355</v>
      </c>
      <c r="B5864" s="83" t="s">
        <v>2781</v>
      </c>
      <c r="C5864" s="91" t="s">
        <v>1194</v>
      </c>
    </row>
    <row r="5865" spans="1:3" ht="15">
      <c r="A5865" s="84" t="s">
        <v>355</v>
      </c>
      <c r="B5865" s="83" t="s">
        <v>2782</v>
      </c>
      <c r="C5865" s="91" t="s">
        <v>1194</v>
      </c>
    </row>
    <row r="5866" spans="1:3" ht="15">
      <c r="A5866" s="84" t="s">
        <v>355</v>
      </c>
      <c r="B5866" s="83" t="s">
        <v>2771</v>
      </c>
      <c r="C5866" s="91" t="s">
        <v>1194</v>
      </c>
    </row>
    <row r="5867" spans="1:3" ht="15">
      <c r="A5867" s="84" t="s">
        <v>355</v>
      </c>
      <c r="B5867" s="83" t="s">
        <v>2734</v>
      </c>
      <c r="C5867" s="91" t="s">
        <v>1194</v>
      </c>
    </row>
    <row r="5868" spans="1:3" ht="15">
      <c r="A5868" s="84" t="s">
        <v>355</v>
      </c>
      <c r="B5868" s="83" t="s">
        <v>3324</v>
      </c>
      <c r="C5868" s="91" t="s">
        <v>1194</v>
      </c>
    </row>
    <row r="5869" spans="1:3" ht="15">
      <c r="A5869" s="84" t="s">
        <v>355</v>
      </c>
      <c r="B5869" s="83" t="s">
        <v>2576</v>
      </c>
      <c r="C5869" s="91" t="s">
        <v>1194</v>
      </c>
    </row>
    <row r="5870" spans="1:3" ht="15">
      <c r="A5870" s="84" t="s">
        <v>355</v>
      </c>
      <c r="B5870" s="83" t="s">
        <v>2578</v>
      </c>
      <c r="C5870" s="91" t="s">
        <v>1194</v>
      </c>
    </row>
    <row r="5871" spans="1:3" ht="15">
      <c r="A5871" s="84" t="s">
        <v>355</v>
      </c>
      <c r="B5871" s="83" t="s">
        <v>3325</v>
      </c>
      <c r="C5871" s="91" t="s">
        <v>1194</v>
      </c>
    </row>
    <row r="5872" spans="1:3" ht="15">
      <c r="A5872" s="84" t="s">
        <v>355</v>
      </c>
      <c r="B5872" s="83" t="s">
        <v>3227</v>
      </c>
      <c r="C5872" s="91" t="s">
        <v>1194</v>
      </c>
    </row>
    <row r="5873" spans="1:3" ht="15">
      <c r="A5873" s="84" t="s">
        <v>355</v>
      </c>
      <c r="B5873" s="83" t="s">
        <v>3203</v>
      </c>
      <c r="C5873" s="91" t="s">
        <v>1194</v>
      </c>
    </row>
    <row r="5874" spans="1:3" ht="15">
      <c r="A5874" s="84" t="s">
        <v>355</v>
      </c>
      <c r="B5874" s="83">
        <v>19</v>
      </c>
      <c r="C5874" s="91" t="s">
        <v>1194</v>
      </c>
    </row>
    <row r="5875" spans="1:3" ht="15">
      <c r="A5875" s="84" t="s">
        <v>355</v>
      </c>
      <c r="B5875" s="83" t="s">
        <v>3326</v>
      </c>
      <c r="C5875" s="91" t="s">
        <v>1194</v>
      </c>
    </row>
    <row r="5876" spans="1:3" ht="15">
      <c r="A5876" s="84" t="s">
        <v>355</v>
      </c>
      <c r="B5876" s="83" t="s">
        <v>3327</v>
      </c>
      <c r="C5876" s="91" t="s">
        <v>1194</v>
      </c>
    </row>
    <row r="5877" spans="1:3" ht="15">
      <c r="A5877" s="84" t="s">
        <v>355</v>
      </c>
      <c r="B5877" s="83" t="s">
        <v>2590</v>
      </c>
      <c r="C5877" s="91" t="s">
        <v>1194</v>
      </c>
    </row>
    <row r="5878" spans="1:3" ht="15">
      <c r="A5878" s="84" t="s">
        <v>355</v>
      </c>
      <c r="B5878" s="83" t="s">
        <v>3328</v>
      </c>
      <c r="C5878" s="91" t="s">
        <v>1194</v>
      </c>
    </row>
    <row r="5879" spans="1:3" ht="15">
      <c r="A5879" s="84" t="s">
        <v>355</v>
      </c>
      <c r="B5879" s="83" t="s">
        <v>3225</v>
      </c>
      <c r="C5879" s="91" t="s">
        <v>1194</v>
      </c>
    </row>
    <row r="5880" spans="1:3" ht="15">
      <c r="A5880" s="84" t="s">
        <v>355</v>
      </c>
      <c r="B5880" s="83">
        <v>13</v>
      </c>
      <c r="C5880" s="91" t="s">
        <v>1194</v>
      </c>
    </row>
    <row r="5881" spans="1:3" ht="15">
      <c r="A5881" s="84" t="s">
        <v>355</v>
      </c>
      <c r="B5881" s="83" t="s">
        <v>3329</v>
      </c>
      <c r="C5881" s="91" t="s">
        <v>1194</v>
      </c>
    </row>
    <row r="5882" spans="1:3" ht="15">
      <c r="A5882" s="84" t="s">
        <v>355</v>
      </c>
      <c r="B5882" s="83">
        <v>11</v>
      </c>
      <c r="C5882" s="91" t="s">
        <v>1194</v>
      </c>
    </row>
    <row r="5883" spans="1:3" ht="15">
      <c r="A5883" s="84" t="s">
        <v>355</v>
      </c>
      <c r="B5883" s="83">
        <v>30</v>
      </c>
      <c r="C5883" s="91" t="s">
        <v>1194</v>
      </c>
    </row>
    <row r="5884" spans="1:3" ht="15">
      <c r="A5884" s="84" t="s">
        <v>355</v>
      </c>
      <c r="B5884" s="83" t="s">
        <v>3330</v>
      </c>
      <c r="C5884" s="91" t="s">
        <v>1194</v>
      </c>
    </row>
    <row r="5885" spans="1:3" ht="15">
      <c r="A5885" s="84" t="s">
        <v>355</v>
      </c>
      <c r="B5885" s="83" t="s">
        <v>3331</v>
      </c>
      <c r="C5885" s="91" t="s">
        <v>1194</v>
      </c>
    </row>
    <row r="5886" spans="1:3" ht="15">
      <c r="A5886" s="84" t="s">
        <v>355</v>
      </c>
      <c r="B5886" s="83">
        <v>1</v>
      </c>
      <c r="C5886" s="91" t="s">
        <v>1194</v>
      </c>
    </row>
    <row r="5887" spans="1:3" ht="15">
      <c r="A5887" s="84" t="s">
        <v>355</v>
      </c>
      <c r="B5887" s="83" t="s">
        <v>3332</v>
      </c>
      <c r="C5887" s="91" t="s">
        <v>1194</v>
      </c>
    </row>
    <row r="5888" spans="1:3" ht="15">
      <c r="A5888" s="84" t="s">
        <v>355</v>
      </c>
      <c r="B5888" s="83">
        <v>2</v>
      </c>
      <c r="C5888" s="91" t="s">
        <v>1194</v>
      </c>
    </row>
    <row r="5889" spans="1:3" ht="15">
      <c r="A5889" s="84" t="s">
        <v>355</v>
      </c>
      <c r="B5889" s="83" t="s">
        <v>3333</v>
      </c>
      <c r="C5889" s="91" t="s">
        <v>1194</v>
      </c>
    </row>
    <row r="5890" spans="1:3" ht="15">
      <c r="A5890" s="84" t="s">
        <v>355</v>
      </c>
      <c r="B5890" s="83" t="s">
        <v>2664</v>
      </c>
      <c r="C5890" s="91" t="s">
        <v>1194</v>
      </c>
    </row>
    <row r="5891" spans="1:3" ht="15">
      <c r="A5891" s="84" t="s">
        <v>355</v>
      </c>
      <c r="B5891" s="83" t="s">
        <v>2794</v>
      </c>
      <c r="C5891" s="91" t="s">
        <v>1194</v>
      </c>
    </row>
    <row r="5892" spans="1:3" ht="15">
      <c r="A5892" s="84" t="s">
        <v>355</v>
      </c>
      <c r="B5892" s="83" t="s">
        <v>3334</v>
      </c>
      <c r="C5892" s="91" t="s">
        <v>1194</v>
      </c>
    </row>
    <row r="5893" spans="1:3" ht="15">
      <c r="A5893" s="84" t="s">
        <v>355</v>
      </c>
      <c r="B5893" s="83" t="s">
        <v>3335</v>
      </c>
      <c r="C5893" s="91" t="s">
        <v>1194</v>
      </c>
    </row>
    <row r="5894" spans="1:3" ht="15">
      <c r="A5894" s="84" t="s">
        <v>355</v>
      </c>
      <c r="B5894" s="83" t="s">
        <v>3238</v>
      </c>
      <c r="C5894" s="91" t="s">
        <v>1194</v>
      </c>
    </row>
    <row r="5895" spans="1:3" ht="15">
      <c r="A5895" s="84" t="s">
        <v>355</v>
      </c>
      <c r="B5895" s="83" t="s">
        <v>3199</v>
      </c>
      <c r="C5895" s="91" t="s">
        <v>1194</v>
      </c>
    </row>
    <row r="5896" spans="1:3" ht="15">
      <c r="A5896" s="84" t="s">
        <v>354</v>
      </c>
      <c r="B5896" s="83" t="s">
        <v>3279</v>
      </c>
      <c r="C5896" s="91" t="s">
        <v>1193</v>
      </c>
    </row>
    <row r="5897" spans="1:3" ht="15">
      <c r="A5897" s="84" t="s">
        <v>354</v>
      </c>
      <c r="B5897" s="83" t="s">
        <v>3280</v>
      </c>
      <c r="C5897" s="91" t="s">
        <v>1193</v>
      </c>
    </row>
    <row r="5898" spans="1:3" ht="15">
      <c r="A5898" s="84" t="s">
        <v>354</v>
      </c>
      <c r="B5898" s="83" t="s">
        <v>2581</v>
      </c>
      <c r="C5898" s="91" t="s">
        <v>1193</v>
      </c>
    </row>
    <row r="5899" spans="1:3" ht="15">
      <c r="A5899" s="84" t="s">
        <v>354</v>
      </c>
      <c r="B5899" s="83" t="s">
        <v>2675</v>
      </c>
      <c r="C5899" s="91" t="s">
        <v>1193</v>
      </c>
    </row>
    <row r="5900" spans="1:3" ht="15">
      <c r="A5900" s="84" t="s">
        <v>354</v>
      </c>
      <c r="B5900" s="83" t="s">
        <v>3281</v>
      </c>
      <c r="C5900" s="91" t="s">
        <v>1193</v>
      </c>
    </row>
    <row r="5901" spans="1:3" ht="15">
      <c r="A5901" s="84" t="s">
        <v>354</v>
      </c>
      <c r="B5901" s="83" t="s">
        <v>3213</v>
      </c>
      <c r="C5901" s="91" t="s">
        <v>1193</v>
      </c>
    </row>
    <row r="5902" spans="1:3" ht="15">
      <c r="A5902" s="84" t="s">
        <v>354</v>
      </c>
      <c r="B5902" s="83" t="s">
        <v>3266</v>
      </c>
      <c r="C5902" s="91" t="s">
        <v>1193</v>
      </c>
    </row>
    <row r="5903" spans="1:3" ht="15">
      <c r="A5903" s="84" t="s">
        <v>354</v>
      </c>
      <c r="B5903" s="83" t="s">
        <v>2577</v>
      </c>
      <c r="C5903" s="91" t="s">
        <v>1193</v>
      </c>
    </row>
    <row r="5904" spans="1:3" ht="15">
      <c r="A5904" s="84" t="s">
        <v>354</v>
      </c>
      <c r="B5904" s="83" t="s">
        <v>3198</v>
      </c>
      <c r="C5904" s="91" t="s">
        <v>1193</v>
      </c>
    </row>
    <row r="5905" spans="1:3" ht="15">
      <c r="A5905" s="84" t="s">
        <v>354</v>
      </c>
      <c r="B5905" s="83" t="s">
        <v>3282</v>
      </c>
      <c r="C5905" s="91" t="s">
        <v>1193</v>
      </c>
    </row>
    <row r="5906" spans="1:3" ht="15">
      <c r="A5906" s="84" t="s">
        <v>354</v>
      </c>
      <c r="B5906" s="83" t="s">
        <v>3283</v>
      </c>
      <c r="C5906" s="91" t="s">
        <v>1193</v>
      </c>
    </row>
    <row r="5907" spans="1:3" ht="15">
      <c r="A5907" s="84" t="s">
        <v>354</v>
      </c>
      <c r="B5907" s="83" t="s">
        <v>3214</v>
      </c>
      <c r="C5907" s="91" t="s">
        <v>1193</v>
      </c>
    </row>
    <row r="5908" spans="1:3" ht="15">
      <c r="A5908" s="84" t="s">
        <v>354</v>
      </c>
      <c r="B5908" s="83" t="s">
        <v>3211</v>
      </c>
      <c r="C5908" s="91" t="s">
        <v>1193</v>
      </c>
    </row>
    <row r="5909" spans="1:3" ht="15">
      <c r="A5909" s="84" t="s">
        <v>354</v>
      </c>
      <c r="B5909" s="83" t="s">
        <v>3215</v>
      </c>
      <c r="C5909" s="91" t="s">
        <v>1193</v>
      </c>
    </row>
    <row r="5910" spans="1:3" ht="15">
      <c r="A5910" s="84" t="s">
        <v>354</v>
      </c>
      <c r="B5910" s="83" t="s">
        <v>3199</v>
      </c>
      <c r="C5910" s="91" t="s">
        <v>1193</v>
      </c>
    </row>
    <row r="5911" spans="1:3" ht="15">
      <c r="A5911" s="84" t="s">
        <v>354</v>
      </c>
      <c r="B5911" s="83" t="s">
        <v>3218</v>
      </c>
      <c r="C5911" s="91" t="s">
        <v>1193</v>
      </c>
    </row>
    <row r="5912" spans="1:3" ht="15">
      <c r="A5912" s="84" t="s">
        <v>354</v>
      </c>
      <c r="B5912" s="83" t="s">
        <v>3235</v>
      </c>
      <c r="C5912" s="91" t="s">
        <v>1193</v>
      </c>
    </row>
    <row r="5913" spans="1:3" ht="15">
      <c r="A5913" s="84" t="s">
        <v>354</v>
      </c>
      <c r="B5913" s="83" t="s">
        <v>3236</v>
      </c>
      <c r="C5913" s="91" t="s">
        <v>1193</v>
      </c>
    </row>
    <row r="5914" spans="1:3" ht="15">
      <c r="A5914" s="84" t="s">
        <v>354</v>
      </c>
      <c r="B5914" s="83" t="s">
        <v>3220</v>
      </c>
      <c r="C5914" s="91" t="s">
        <v>1193</v>
      </c>
    </row>
    <row r="5915" spans="1:3" ht="15">
      <c r="A5915" s="84" t="s">
        <v>354</v>
      </c>
      <c r="B5915" s="83" t="s">
        <v>3221</v>
      </c>
      <c r="C5915" s="91" t="s">
        <v>1193</v>
      </c>
    </row>
    <row r="5916" spans="1:3" ht="15">
      <c r="A5916" s="84" t="s">
        <v>354</v>
      </c>
      <c r="B5916" s="83" t="s">
        <v>3237</v>
      </c>
      <c r="C5916" s="91" t="s">
        <v>1193</v>
      </c>
    </row>
    <row r="5917" spans="1:3" ht="15">
      <c r="A5917" s="84" t="s">
        <v>354</v>
      </c>
      <c r="B5917" s="83" t="s">
        <v>3284</v>
      </c>
      <c r="C5917" s="91" t="s">
        <v>1193</v>
      </c>
    </row>
    <row r="5918" spans="1:3" ht="15">
      <c r="A5918" s="84" t="s">
        <v>354</v>
      </c>
      <c r="B5918" s="83" t="s">
        <v>3285</v>
      </c>
      <c r="C5918" s="91" t="s">
        <v>1193</v>
      </c>
    </row>
    <row r="5919" spans="1:3" ht="15">
      <c r="A5919" s="84" t="s">
        <v>354</v>
      </c>
      <c r="B5919" s="83" t="s">
        <v>2632</v>
      </c>
      <c r="C5919" s="91" t="s">
        <v>1193</v>
      </c>
    </row>
    <row r="5920" spans="1:3" ht="15">
      <c r="A5920" s="84" t="s">
        <v>354</v>
      </c>
      <c r="B5920" s="83" t="s">
        <v>3286</v>
      </c>
      <c r="C5920" s="91" t="s">
        <v>1193</v>
      </c>
    </row>
    <row r="5921" spans="1:3" ht="15">
      <c r="A5921" s="84" t="s">
        <v>353</v>
      </c>
      <c r="B5921" s="83" t="s">
        <v>3279</v>
      </c>
      <c r="C5921" s="91" t="s">
        <v>1192</v>
      </c>
    </row>
    <row r="5922" spans="1:3" ht="15">
      <c r="A5922" s="84" t="s">
        <v>353</v>
      </c>
      <c r="B5922" s="83" t="s">
        <v>3280</v>
      </c>
      <c r="C5922" s="91" t="s">
        <v>1192</v>
      </c>
    </row>
    <row r="5923" spans="1:3" ht="15">
      <c r="A5923" s="84" t="s">
        <v>353</v>
      </c>
      <c r="B5923" s="83" t="s">
        <v>2581</v>
      </c>
      <c r="C5923" s="91" t="s">
        <v>1192</v>
      </c>
    </row>
    <row r="5924" spans="1:3" ht="15">
      <c r="A5924" s="84" t="s">
        <v>353</v>
      </c>
      <c r="B5924" s="83" t="s">
        <v>2675</v>
      </c>
      <c r="C5924" s="91" t="s">
        <v>1192</v>
      </c>
    </row>
    <row r="5925" spans="1:3" ht="15">
      <c r="A5925" s="84" t="s">
        <v>353</v>
      </c>
      <c r="B5925" s="83" t="s">
        <v>3281</v>
      </c>
      <c r="C5925" s="91" t="s">
        <v>1192</v>
      </c>
    </row>
    <row r="5926" spans="1:3" ht="15">
      <c r="A5926" s="84" t="s">
        <v>353</v>
      </c>
      <c r="B5926" s="83" t="s">
        <v>3213</v>
      </c>
      <c r="C5926" s="91" t="s">
        <v>1192</v>
      </c>
    </row>
    <row r="5927" spans="1:3" ht="15">
      <c r="A5927" s="84" t="s">
        <v>353</v>
      </c>
      <c r="B5927" s="83" t="s">
        <v>3266</v>
      </c>
      <c r="C5927" s="91" t="s">
        <v>1192</v>
      </c>
    </row>
    <row r="5928" spans="1:3" ht="15">
      <c r="A5928" s="84" t="s">
        <v>353</v>
      </c>
      <c r="B5928" s="83" t="s">
        <v>2577</v>
      </c>
      <c r="C5928" s="91" t="s">
        <v>1192</v>
      </c>
    </row>
    <row r="5929" spans="1:3" ht="15">
      <c r="A5929" s="84" t="s">
        <v>353</v>
      </c>
      <c r="B5929" s="83" t="s">
        <v>3198</v>
      </c>
      <c r="C5929" s="91" t="s">
        <v>1192</v>
      </c>
    </row>
    <row r="5930" spans="1:3" ht="15">
      <c r="A5930" s="84" t="s">
        <v>353</v>
      </c>
      <c r="B5930" s="83" t="s">
        <v>3282</v>
      </c>
      <c r="C5930" s="91" t="s">
        <v>1192</v>
      </c>
    </row>
    <row r="5931" spans="1:3" ht="15">
      <c r="A5931" s="84" t="s">
        <v>353</v>
      </c>
      <c r="B5931" s="83" t="s">
        <v>3283</v>
      </c>
      <c r="C5931" s="91" t="s">
        <v>1192</v>
      </c>
    </row>
    <row r="5932" spans="1:3" ht="15">
      <c r="A5932" s="84" t="s">
        <v>353</v>
      </c>
      <c r="B5932" s="83" t="s">
        <v>3214</v>
      </c>
      <c r="C5932" s="91" t="s">
        <v>1192</v>
      </c>
    </row>
    <row r="5933" spans="1:3" ht="15">
      <c r="A5933" s="84" t="s">
        <v>353</v>
      </c>
      <c r="B5933" s="83" t="s">
        <v>3211</v>
      </c>
      <c r="C5933" s="91" t="s">
        <v>1192</v>
      </c>
    </row>
    <row r="5934" spans="1:3" ht="15">
      <c r="A5934" s="84" t="s">
        <v>353</v>
      </c>
      <c r="B5934" s="83" t="s">
        <v>3215</v>
      </c>
      <c r="C5934" s="91" t="s">
        <v>1192</v>
      </c>
    </row>
    <row r="5935" spans="1:3" ht="15">
      <c r="A5935" s="84" t="s">
        <v>353</v>
      </c>
      <c r="B5935" s="83" t="s">
        <v>3199</v>
      </c>
      <c r="C5935" s="91" t="s">
        <v>1192</v>
      </c>
    </row>
    <row r="5936" spans="1:3" ht="15">
      <c r="A5936" s="84" t="s">
        <v>353</v>
      </c>
      <c r="B5936" s="83" t="s">
        <v>3218</v>
      </c>
      <c r="C5936" s="91" t="s">
        <v>1192</v>
      </c>
    </row>
    <row r="5937" spans="1:3" ht="15">
      <c r="A5937" s="84" t="s">
        <v>353</v>
      </c>
      <c r="B5937" s="83" t="s">
        <v>3235</v>
      </c>
      <c r="C5937" s="91" t="s">
        <v>1192</v>
      </c>
    </row>
    <row r="5938" spans="1:3" ht="15">
      <c r="A5938" s="84" t="s">
        <v>353</v>
      </c>
      <c r="B5938" s="83" t="s">
        <v>3236</v>
      </c>
      <c r="C5938" s="91" t="s">
        <v>1192</v>
      </c>
    </row>
    <row r="5939" spans="1:3" ht="15">
      <c r="A5939" s="84" t="s">
        <v>353</v>
      </c>
      <c r="B5939" s="83" t="s">
        <v>3220</v>
      </c>
      <c r="C5939" s="91" t="s">
        <v>1192</v>
      </c>
    </row>
    <row r="5940" spans="1:3" ht="15">
      <c r="A5940" s="84" t="s">
        <v>353</v>
      </c>
      <c r="B5940" s="83" t="s">
        <v>3221</v>
      </c>
      <c r="C5940" s="91" t="s">
        <v>1192</v>
      </c>
    </row>
    <row r="5941" spans="1:3" ht="15">
      <c r="A5941" s="84" t="s">
        <v>353</v>
      </c>
      <c r="B5941" s="83" t="s">
        <v>3237</v>
      </c>
      <c r="C5941" s="91" t="s">
        <v>1192</v>
      </c>
    </row>
    <row r="5942" spans="1:3" ht="15">
      <c r="A5942" s="84" t="s">
        <v>353</v>
      </c>
      <c r="B5942" s="83" t="s">
        <v>3284</v>
      </c>
      <c r="C5942" s="91" t="s">
        <v>1192</v>
      </c>
    </row>
    <row r="5943" spans="1:3" ht="15">
      <c r="A5943" s="84" t="s">
        <v>353</v>
      </c>
      <c r="B5943" s="83" t="s">
        <v>3285</v>
      </c>
      <c r="C5943" s="91" t="s">
        <v>1192</v>
      </c>
    </row>
    <row r="5944" spans="1:3" ht="15">
      <c r="A5944" s="84" t="s">
        <v>353</v>
      </c>
      <c r="B5944" s="83" t="s">
        <v>2632</v>
      </c>
      <c r="C5944" s="91" t="s">
        <v>1192</v>
      </c>
    </row>
    <row r="5945" spans="1:3" ht="15">
      <c r="A5945" s="84" t="s">
        <v>353</v>
      </c>
      <c r="B5945" s="83" t="s">
        <v>3286</v>
      </c>
      <c r="C5945" s="91" t="s">
        <v>1192</v>
      </c>
    </row>
    <row r="5946" spans="1:3" ht="15">
      <c r="A5946" s="84" t="s">
        <v>352</v>
      </c>
      <c r="B5946" s="83" t="s">
        <v>3279</v>
      </c>
      <c r="C5946" s="91" t="s">
        <v>1191</v>
      </c>
    </row>
    <row r="5947" spans="1:3" ht="15">
      <c r="A5947" s="84" t="s">
        <v>352</v>
      </c>
      <c r="B5947" s="83" t="s">
        <v>3280</v>
      </c>
      <c r="C5947" s="91" t="s">
        <v>1191</v>
      </c>
    </row>
    <row r="5948" spans="1:3" ht="15">
      <c r="A5948" s="84" t="s">
        <v>352</v>
      </c>
      <c r="B5948" s="83" t="s">
        <v>2581</v>
      </c>
      <c r="C5948" s="91" t="s">
        <v>1191</v>
      </c>
    </row>
    <row r="5949" spans="1:3" ht="15">
      <c r="A5949" s="84" t="s">
        <v>352</v>
      </c>
      <c r="B5949" s="83" t="s">
        <v>2675</v>
      </c>
      <c r="C5949" s="91" t="s">
        <v>1191</v>
      </c>
    </row>
    <row r="5950" spans="1:3" ht="15">
      <c r="A5950" s="84" t="s">
        <v>352</v>
      </c>
      <c r="B5950" s="83" t="s">
        <v>3281</v>
      </c>
      <c r="C5950" s="91" t="s">
        <v>1191</v>
      </c>
    </row>
    <row r="5951" spans="1:3" ht="15">
      <c r="A5951" s="84" t="s">
        <v>352</v>
      </c>
      <c r="B5951" s="83" t="s">
        <v>3213</v>
      </c>
      <c r="C5951" s="91" t="s">
        <v>1191</v>
      </c>
    </row>
    <row r="5952" spans="1:3" ht="15">
      <c r="A5952" s="84" t="s">
        <v>352</v>
      </c>
      <c r="B5952" s="83" t="s">
        <v>3266</v>
      </c>
      <c r="C5952" s="91" t="s">
        <v>1191</v>
      </c>
    </row>
    <row r="5953" spans="1:3" ht="15">
      <c r="A5953" s="84" t="s">
        <v>352</v>
      </c>
      <c r="B5953" s="83" t="s">
        <v>2577</v>
      </c>
      <c r="C5953" s="91" t="s">
        <v>1191</v>
      </c>
    </row>
    <row r="5954" spans="1:3" ht="15">
      <c r="A5954" s="84" t="s">
        <v>352</v>
      </c>
      <c r="B5954" s="83" t="s">
        <v>3198</v>
      </c>
      <c r="C5954" s="91" t="s">
        <v>1191</v>
      </c>
    </row>
    <row r="5955" spans="1:3" ht="15">
      <c r="A5955" s="84" t="s">
        <v>352</v>
      </c>
      <c r="B5955" s="83" t="s">
        <v>3282</v>
      </c>
      <c r="C5955" s="91" t="s">
        <v>1191</v>
      </c>
    </row>
    <row r="5956" spans="1:3" ht="15">
      <c r="A5956" s="84" t="s">
        <v>352</v>
      </c>
      <c r="B5956" s="83" t="s">
        <v>3283</v>
      </c>
      <c r="C5956" s="91" t="s">
        <v>1191</v>
      </c>
    </row>
    <row r="5957" spans="1:3" ht="15">
      <c r="A5957" s="84" t="s">
        <v>352</v>
      </c>
      <c r="B5957" s="83" t="s">
        <v>3214</v>
      </c>
      <c r="C5957" s="91" t="s">
        <v>1191</v>
      </c>
    </row>
    <row r="5958" spans="1:3" ht="15">
      <c r="A5958" s="84" t="s">
        <v>352</v>
      </c>
      <c r="B5958" s="83" t="s">
        <v>3211</v>
      </c>
      <c r="C5958" s="91" t="s">
        <v>1191</v>
      </c>
    </row>
    <row r="5959" spans="1:3" ht="15">
      <c r="A5959" s="84" t="s">
        <v>352</v>
      </c>
      <c r="B5959" s="83" t="s">
        <v>3215</v>
      </c>
      <c r="C5959" s="91" t="s">
        <v>1191</v>
      </c>
    </row>
    <row r="5960" spans="1:3" ht="15">
      <c r="A5960" s="84" t="s">
        <v>352</v>
      </c>
      <c r="B5960" s="83" t="s">
        <v>3199</v>
      </c>
      <c r="C5960" s="91" t="s">
        <v>1191</v>
      </c>
    </row>
    <row r="5961" spans="1:3" ht="15">
      <c r="A5961" s="84" t="s">
        <v>352</v>
      </c>
      <c r="B5961" s="83" t="s">
        <v>3218</v>
      </c>
      <c r="C5961" s="91" t="s">
        <v>1191</v>
      </c>
    </row>
    <row r="5962" spans="1:3" ht="15">
      <c r="A5962" s="84" t="s">
        <v>352</v>
      </c>
      <c r="B5962" s="83" t="s">
        <v>3235</v>
      </c>
      <c r="C5962" s="91" t="s">
        <v>1191</v>
      </c>
    </row>
    <row r="5963" spans="1:3" ht="15">
      <c r="A5963" s="84" t="s">
        <v>352</v>
      </c>
      <c r="B5963" s="83" t="s">
        <v>3236</v>
      </c>
      <c r="C5963" s="91" t="s">
        <v>1191</v>
      </c>
    </row>
    <row r="5964" spans="1:3" ht="15">
      <c r="A5964" s="84" t="s">
        <v>352</v>
      </c>
      <c r="B5964" s="83" t="s">
        <v>3220</v>
      </c>
      <c r="C5964" s="91" t="s">
        <v>1191</v>
      </c>
    </row>
    <row r="5965" spans="1:3" ht="15">
      <c r="A5965" s="84" t="s">
        <v>352</v>
      </c>
      <c r="B5965" s="83" t="s">
        <v>3221</v>
      </c>
      <c r="C5965" s="91" t="s">
        <v>1191</v>
      </c>
    </row>
    <row r="5966" spans="1:3" ht="15">
      <c r="A5966" s="84" t="s">
        <v>352</v>
      </c>
      <c r="B5966" s="83" t="s">
        <v>3237</v>
      </c>
      <c r="C5966" s="91" t="s">
        <v>1191</v>
      </c>
    </row>
    <row r="5967" spans="1:3" ht="15">
      <c r="A5967" s="84" t="s">
        <v>352</v>
      </c>
      <c r="B5967" s="83" t="s">
        <v>3284</v>
      </c>
      <c r="C5967" s="91" t="s">
        <v>1191</v>
      </c>
    </row>
    <row r="5968" spans="1:3" ht="15">
      <c r="A5968" s="84" t="s">
        <v>352</v>
      </c>
      <c r="B5968" s="83" t="s">
        <v>3285</v>
      </c>
      <c r="C5968" s="91" t="s">
        <v>1191</v>
      </c>
    </row>
    <row r="5969" spans="1:3" ht="15">
      <c r="A5969" s="84" t="s">
        <v>352</v>
      </c>
      <c r="B5969" s="83" t="s">
        <v>2632</v>
      </c>
      <c r="C5969" s="91" t="s">
        <v>1191</v>
      </c>
    </row>
    <row r="5970" spans="1:3" ht="15">
      <c r="A5970" s="84" t="s">
        <v>352</v>
      </c>
      <c r="B5970" s="83" t="s">
        <v>3286</v>
      </c>
      <c r="C5970" s="91" t="s">
        <v>1191</v>
      </c>
    </row>
    <row r="5971" spans="1:3" ht="15">
      <c r="A5971" s="84" t="s">
        <v>352</v>
      </c>
      <c r="B5971" s="83" t="s">
        <v>3423</v>
      </c>
      <c r="C5971" s="91" t="s">
        <v>1190</v>
      </c>
    </row>
    <row r="5972" spans="1:3" ht="15">
      <c r="A5972" s="84" t="s">
        <v>352</v>
      </c>
      <c r="B5972" s="83" t="s">
        <v>3203</v>
      </c>
      <c r="C5972" s="91" t="s">
        <v>1190</v>
      </c>
    </row>
    <row r="5973" spans="1:3" ht="15">
      <c r="A5973" s="84" t="s">
        <v>352</v>
      </c>
      <c r="B5973" s="83">
        <v>19</v>
      </c>
      <c r="C5973" s="91" t="s">
        <v>1190</v>
      </c>
    </row>
    <row r="5974" spans="1:3" ht="15">
      <c r="A5974" s="84" t="s">
        <v>352</v>
      </c>
      <c r="B5974" s="83" t="s">
        <v>2697</v>
      </c>
      <c r="C5974" s="91" t="s">
        <v>1190</v>
      </c>
    </row>
    <row r="5975" spans="1:3" ht="15">
      <c r="A5975" s="84" t="s">
        <v>352</v>
      </c>
      <c r="B5975" s="83" t="s">
        <v>2590</v>
      </c>
      <c r="C5975" s="91" t="s">
        <v>1190</v>
      </c>
    </row>
    <row r="5976" spans="1:3" ht="15">
      <c r="A5976" s="84" t="s">
        <v>352</v>
      </c>
      <c r="B5976" s="83" t="s">
        <v>3424</v>
      </c>
      <c r="C5976" s="91" t="s">
        <v>1190</v>
      </c>
    </row>
    <row r="5977" spans="1:3" ht="15">
      <c r="A5977" s="84" t="s">
        <v>352</v>
      </c>
      <c r="B5977" s="83" t="s">
        <v>3198</v>
      </c>
      <c r="C5977" s="91" t="s">
        <v>1190</v>
      </c>
    </row>
    <row r="5978" spans="1:3" ht="15">
      <c r="A5978" s="84" t="s">
        <v>352</v>
      </c>
      <c r="B5978" s="83" t="s">
        <v>3411</v>
      </c>
      <c r="C5978" s="91" t="s">
        <v>1190</v>
      </c>
    </row>
    <row r="5979" spans="1:3" ht="15">
      <c r="A5979" s="84" t="s">
        <v>352</v>
      </c>
      <c r="B5979" s="83" t="s">
        <v>3223</v>
      </c>
      <c r="C5979" s="91" t="s">
        <v>1190</v>
      </c>
    </row>
    <row r="5980" spans="1:3" ht="15">
      <c r="A5980" s="84" t="s">
        <v>352</v>
      </c>
      <c r="B5980" s="83" t="s">
        <v>3412</v>
      </c>
      <c r="C5980" s="91" t="s">
        <v>1190</v>
      </c>
    </row>
    <row r="5981" spans="1:3" ht="15">
      <c r="A5981" s="84" t="s">
        <v>352</v>
      </c>
      <c r="B5981" s="83" t="s">
        <v>3413</v>
      </c>
      <c r="C5981" s="91" t="s">
        <v>1190</v>
      </c>
    </row>
    <row r="5982" spans="1:3" ht="15">
      <c r="A5982" s="84" t="s">
        <v>352</v>
      </c>
      <c r="B5982" s="83" t="s">
        <v>3215</v>
      </c>
      <c r="C5982" s="91" t="s">
        <v>1190</v>
      </c>
    </row>
    <row r="5983" spans="1:3" ht="15">
      <c r="A5983" s="84" t="s">
        <v>352</v>
      </c>
      <c r="B5983" s="83" t="s">
        <v>3414</v>
      </c>
      <c r="C5983" s="91" t="s">
        <v>1190</v>
      </c>
    </row>
    <row r="5984" spans="1:3" ht="15">
      <c r="A5984" s="84" t="s">
        <v>352</v>
      </c>
      <c r="B5984" s="83" t="s">
        <v>3415</v>
      </c>
      <c r="C5984" s="91" t="s">
        <v>1190</v>
      </c>
    </row>
    <row r="5985" spans="1:3" ht="15">
      <c r="A5985" s="84" t="s">
        <v>352</v>
      </c>
      <c r="B5985" s="83" t="s">
        <v>3416</v>
      </c>
      <c r="C5985" s="91" t="s">
        <v>1190</v>
      </c>
    </row>
    <row r="5986" spans="1:3" ht="15">
      <c r="A5986" s="84" t="s">
        <v>352</v>
      </c>
      <c r="B5986" s="83" t="s">
        <v>3425</v>
      </c>
      <c r="C5986" s="91" t="s">
        <v>1190</v>
      </c>
    </row>
    <row r="5987" spans="1:3" ht="15">
      <c r="A5987" s="84" t="s">
        <v>352</v>
      </c>
      <c r="B5987" s="83" t="s">
        <v>3418</v>
      </c>
      <c r="C5987" s="91" t="s">
        <v>1190</v>
      </c>
    </row>
    <row r="5988" spans="1:3" ht="15">
      <c r="A5988" s="84" t="s">
        <v>352</v>
      </c>
      <c r="B5988" s="83" t="s">
        <v>3219</v>
      </c>
      <c r="C5988" s="91" t="s">
        <v>1190</v>
      </c>
    </row>
    <row r="5989" spans="1:3" ht="15">
      <c r="A5989" s="84" t="s">
        <v>352</v>
      </c>
      <c r="B5989" s="83" t="s">
        <v>3221</v>
      </c>
      <c r="C5989" s="91" t="s">
        <v>1190</v>
      </c>
    </row>
    <row r="5990" spans="1:3" ht="15">
      <c r="A5990" s="84" t="s">
        <v>352</v>
      </c>
      <c r="B5990" s="83" t="s">
        <v>3254</v>
      </c>
      <c r="C5990" s="91" t="s">
        <v>1190</v>
      </c>
    </row>
    <row r="5991" spans="1:3" ht="15">
      <c r="A5991" s="84" t="s">
        <v>352</v>
      </c>
      <c r="B5991" s="83" t="s">
        <v>3421</v>
      </c>
      <c r="C5991" s="91" t="s">
        <v>1190</v>
      </c>
    </row>
    <row r="5992" spans="1:3" ht="15">
      <c r="A5992" s="84" t="s">
        <v>352</v>
      </c>
      <c r="B5992" s="83" t="s">
        <v>3199</v>
      </c>
      <c r="C5992" s="91" t="s">
        <v>1190</v>
      </c>
    </row>
    <row r="5993" spans="1:3" ht="15">
      <c r="A5993" s="84" t="s">
        <v>352</v>
      </c>
      <c r="B5993" s="83" t="s">
        <v>3393</v>
      </c>
      <c r="C5993" s="91" t="s">
        <v>1190</v>
      </c>
    </row>
    <row r="5994" spans="1:3" ht="15">
      <c r="A5994" s="84" t="s">
        <v>352</v>
      </c>
      <c r="B5994" s="83" t="s">
        <v>3426</v>
      </c>
      <c r="C5994" s="91" t="s">
        <v>1190</v>
      </c>
    </row>
    <row r="5995" spans="1:3" ht="15">
      <c r="A5995" s="84" t="s">
        <v>352</v>
      </c>
      <c r="B5995" s="83" t="s">
        <v>3420</v>
      </c>
      <c r="C5995" s="91" t="s">
        <v>1190</v>
      </c>
    </row>
    <row r="5996" spans="1:3" ht="15">
      <c r="A5996" s="84" t="s">
        <v>352</v>
      </c>
      <c r="B5996" s="83" t="s">
        <v>2971</v>
      </c>
      <c r="C5996" s="91" t="s">
        <v>1189</v>
      </c>
    </row>
    <row r="5997" spans="1:3" ht="15">
      <c r="A5997" s="84" t="s">
        <v>352</v>
      </c>
      <c r="B5997" s="83" t="s">
        <v>3498</v>
      </c>
      <c r="C5997" s="91" t="s">
        <v>1189</v>
      </c>
    </row>
    <row r="5998" spans="1:3" ht="15">
      <c r="A5998" s="84" t="s">
        <v>352</v>
      </c>
      <c r="B5998" s="83" t="s">
        <v>2973</v>
      </c>
      <c r="C5998" s="91" t="s">
        <v>1189</v>
      </c>
    </row>
    <row r="5999" spans="1:3" ht="15">
      <c r="A5999" s="84" t="s">
        <v>352</v>
      </c>
      <c r="B5999" s="83" t="s">
        <v>3336</v>
      </c>
      <c r="C5999" s="91" t="s">
        <v>1189</v>
      </c>
    </row>
    <row r="6000" spans="1:3" ht="15">
      <c r="A6000" s="84" t="s">
        <v>352</v>
      </c>
      <c r="B6000" s="83" t="s">
        <v>586</v>
      </c>
      <c r="C6000" s="91" t="s">
        <v>1189</v>
      </c>
    </row>
    <row r="6001" spans="1:3" ht="15">
      <c r="A6001" s="84" t="s">
        <v>352</v>
      </c>
      <c r="B6001" s="83" t="s">
        <v>3258</v>
      </c>
      <c r="C6001" s="91" t="s">
        <v>1189</v>
      </c>
    </row>
    <row r="6002" spans="1:3" ht="15">
      <c r="A6002" s="84" t="s">
        <v>352</v>
      </c>
      <c r="B6002" s="83" t="s">
        <v>2678</v>
      </c>
      <c r="C6002" s="91" t="s">
        <v>1189</v>
      </c>
    </row>
    <row r="6003" spans="1:3" ht="15">
      <c r="A6003" s="84" t="s">
        <v>352</v>
      </c>
      <c r="B6003" s="83" t="s">
        <v>3119</v>
      </c>
      <c r="C6003" s="91" t="s">
        <v>1189</v>
      </c>
    </row>
    <row r="6004" spans="1:3" ht="15">
      <c r="A6004" s="84" t="s">
        <v>352</v>
      </c>
      <c r="B6004" s="83" t="s">
        <v>2917</v>
      </c>
      <c r="C6004" s="91" t="s">
        <v>1189</v>
      </c>
    </row>
    <row r="6005" spans="1:3" ht="15">
      <c r="A6005" s="84" t="s">
        <v>352</v>
      </c>
      <c r="B6005" s="83" t="s">
        <v>3499</v>
      </c>
      <c r="C6005" s="91" t="s">
        <v>1189</v>
      </c>
    </row>
    <row r="6006" spans="1:3" ht="15">
      <c r="A6006" s="84" t="s">
        <v>352</v>
      </c>
      <c r="B6006" s="83" t="s">
        <v>3500</v>
      </c>
      <c r="C6006" s="91" t="s">
        <v>1189</v>
      </c>
    </row>
    <row r="6007" spans="1:3" ht="15">
      <c r="A6007" s="84" t="s">
        <v>352</v>
      </c>
      <c r="B6007" s="83" t="s">
        <v>2972</v>
      </c>
      <c r="C6007" s="91" t="s">
        <v>1189</v>
      </c>
    </row>
    <row r="6008" spans="1:3" ht="15">
      <c r="A6008" s="84" t="s">
        <v>352</v>
      </c>
      <c r="B6008" s="83" t="s">
        <v>2766</v>
      </c>
      <c r="C6008" s="91" t="s">
        <v>1189</v>
      </c>
    </row>
    <row r="6009" spans="1:3" ht="15">
      <c r="A6009" s="84" t="s">
        <v>352</v>
      </c>
      <c r="B6009" s="83" t="s">
        <v>3501</v>
      </c>
      <c r="C6009" s="91" t="s">
        <v>1189</v>
      </c>
    </row>
    <row r="6010" spans="1:3" ht="15">
      <c r="A6010" s="84" t="s">
        <v>352</v>
      </c>
      <c r="B6010" s="83" t="s">
        <v>3502</v>
      </c>
      <c r="C6010" s="91" t="s">
        <v>1189</v>
      </c>
    </row>
    <row r="6011" spans="1:3" ht="15">
      <c r="A6011" s="84" t="s">
        <v>352</v>
      </c>
      <c r="B6011" s="83" t="s">
        <v>3337</v>
      </c>
      <c r="C6011" s="91" t="s">
        <v>1189</v>
      </c>
    </row>
    <row r="6012" spans="1:3" ht="15">
      <c r="A6012" s="84" t="s">
        <v>352</v>
      </c>
      <c r="B6012" s="83" t="s">
        <v>3116</v>
      </c>
      <c r="C6012" s="91" t="s">
        <v>1189</v>
      </c>
    </row>
    <row r="6013" spans="1:3" ht="15">
      <c r="A6013" s="84" t="s">
        <v>352</v>
      </c>
      <c r="B6013" s="83" t="s">
        <v>3503</v>
      </c>
      <c r="C6013" s="91" t="s">
        <v>1189</v>
      </c>
    </row>
    <row r="6014" spans="1:3" ht="15">
      <c r="A6014" s="84" t="s">
        <v>352</v>
      </c>
      <c r="B6014" s="83" t="s">
        <v>3334</v>
      </c>
      <c r="C6014" s="91" t="s">
        <v>1189</v>
      </c>
    </row>
    <row r="6015" spans="1:3" ht="15">
      <c r="A6015" s="84" t="s">
        <v>352</v>
      </c>
      <c r="B6015" s="83" t="s">
        <v>3504</v>
      </c>
      <c r="C6015" s="91" t="s">
        <v>1189</v>
      </c>
    </row>
    <row r="6016" spans="1:3" ht="15">
      <c r="A6016" s="84" t="s">
        <v>352</v>
      </c>
      <c r="B6016" s="83" t="s">
        <v>2872</v>
      </c>
      <c r="C6016" s="91" t="s">
        <v>1189</v>
      </c>
    </row>
    <row r="6017" spans="1:3" ht="15">
      <c r="A6017" s="84" t="s">
        <v>352</v>
      </c>
      <c r="B6017" s="83" t="s">
        <v>2569</v>
      </c>
      <c r="C6017" s="91" t="s">
        <v>1189</v>
      </c>
    </row>
    <row r="6018" spans="1:3" ht="15">
      <c r="A6018" s="84" t="s">
        <v>352</v>
      </c>
      <c r="B6018" s="83" t="s">
        <v>3255</v>
      </c>
      <c r="C6018" s="91" t="s">
        <v>1189</v>
      </c>
    </row>
    <row r="6019" spans="1:3" ht="15">
      <c r="A6019" s="84" t="s">
        <v>352</v>
      </c>
      <c r="B6019" s="83" t="s">
        <v>2776</v>
      </c>
      <c r="C6019" s="91" t="s">
        <v>1189</v>
      </c>
    </row>
    <row r="6020" spans="1:3" ht="15">
      <c r="A6020" s="84" t="s">
        <v>352</v>
      </c>
      <c r="B6020" s="83" t="s">
        <v>3505</v>
      </c>
      <c r="C6020" s="91" t="s">
        <v>1189</v>
      </c>
    </row>
    <row r="6021" spans="1:3" ht="15">
      <c r="A6021" s="84" t="s">
        <v>352</v>
      </c>
      <c r="B6021" s="83" t="s">
        <v>3506</v>
      </c>
      <c r="C6021" s="91" t="s">
        <v>1189</v>
      </c>
    </row>
    <row r="6022" spans="1:3" ht="15">
      <c r="A6022" s="84" t="s">
        <v>352</v>
      </c>
      <c r="B6022" s="83" t="s">
        <v>3507</v>
      </c>
      <c r="C6022" s="91" t="s">
        <v>1189</v>
      </c>
    </row>
    <row r="6023" spans="1:3" ht="15">
      <c r="A6023" s="84" t="s">
        <v>352</v>
      </c>
      <c r="B6023" s="83" t="s">
        <v>3508</v>
      </c>
      <c r="C6023" s="91" t="s">
        <v>1189</v>
      </c>
    </row>
    <row r="6024" spans="1:3" ht="15">
      <c r="A6024" s="84" t="s">
        <v>352</v>
      </c>
      <c r="B6024" s="83" t="s">
        <v>3509</v>
      </c>
      <c r="C6024" s="91" t="s">
        <v>1189</v>
      </c>
    </row>
    <row r="6025" spans="1:3" ht="15">
      <c r="A6025" s="84" t="s">
        <v>352</v>
      </c>
      <c r="B6025" s="83" t="s">
        <v>3366</v>
      </c>
      <c r="C6025" s="91" t="s">
        <v>1189</v>
      </c>
    </row>
    <row r="6026" spans="1:3" ht="15">
      <c r="A6026" s="84" t="s">
        <v>351</v>
      </c>
      <c r="B6026" s="83" t="s">
        <v>3279</v>
      </c>
      <c r="C6026" s="91" t="s">
        <v>1188</v>
      </c>
    </row>
    <row r="6027" spans="1:3" ht="15">
      <c r="A6027" s="84" t="s">
        <v>351</v>
      </c>
      <c r="B6027" s="83" t="s">
        <v>3280</v>
      </c>
      <c r="C6027" s="91" t="s">
        <v>1188</v>
      </c>
    </row>
    <row r="6028" spans="1:3" ht="15">
      <c r="A6028" s="84" t="s">
        <v>351</v>
      </c>
      <c r="B6028" s="83" t="s">
        <v>2581</v>
      </c>
      <c r="C6028" s="91" t="s">
        <v>1188</v>
      </c>
    </row>
    <row r="6029" spans="1:3" ht="15">
      <c r="A6029" s="84" t="s">
        <v>351</v>
      </c>
      <c r="B6029" s="83" t="s">
        <v>2675</v>
      </c>
      <c r="C6029" s="91" t="s">
        <v>1188</v>
      </c>
    </row>
    <row r="6030" spans="1:3" ht="15">
      <c r="A6030" s="84" t="s">
        <v>351</v>
      </c>
      <c r="B6030" s="83" t="s">
        <v>3281</v>
      </c>
      <c r="C6030" s="91" t="s">
        <v>1188</v>
      </c>
    </row>
    <row r="6031" spans="1:3" ht="15">
      <c r="A6031" s="84" t="s">
        <v>351</v>
      </c>
      <c r="B6031" s="83" t="s">
        <v>3213</v>
      </c>
      <c r="C6031" s="91" t="s">
        <v>1188</v>
      </c>
    </row>
    <row r="6032" spans="1:3" ht="15">
      <c r="A6032" s="84" t="s">
        <v>351</v>
      </c>
      <c r="B6032" s="83" t="s">
        <v>3266</v>
      </c>
      <c r="C6032" s="91" t="s">
        <v>1188</v>
      </c>
    </row>
    <row r="6033" spans="1:3" ht="15">
      <c r="A6033" s="84" t="s">
        <v>351</v>
      </c>
      <c r="B6033" s="83" t="s">
        <v>2577</v>
      </c>
      <c r="C6033" s="91" t="s">
        <v>1188</v>
      </c>
    </row>
    <row r="6034" spans="1:3" ht="15">
      <c r="A6034" s="84" t="s">
        <v>351</v>
      </c>
      <c r="B6034" s="83" t="s">
        <v>3198</v>
      </c>
      <c r="C6034" s="91" t="s">
        <v>1188</v>
      </c>
    </row>
    <row r="6035" spans="1:3" ht="15">
      <c r="A6035" s="84" t="s">
        <v>351</v>
      </c>
      <c r="B6035" s="83" t="s">
        <v>3282</v>
      </c>
      <c r="C6035" s="91" t="s">
        <v>1188</v>
      </c>
    </row>
    <row r="6036" spans="1:3" ht="15">
      <c r="A6036" s="84" t="s">
        <v>351</v>
      </c>
      <c r="B6036" s="83" t="s">
        <v>3283</v>
      </c>
      <c r="C6036" s="91" t="s">
        <v>1188</v>
      </c>
    </row>
    <row r="6037" spans="1:3" ht="15">
      <c r="A6037" s="84" t="s">
        <v>351</v>
      </c>
      <c r="B6037" s="83" t="s">
        <v>3214</v>
      </c>
      <c r="C6037" s="91" t="s">
        <v>1188</v>
      </c>
    </row>
    <row r="6038" spans="1:3" ht="15">
      <c r="A6038" s="84" t="s">
        <v>351</v>
      </c>
      <c r="B6038" s="83" t="s">
        <v>3211</v>
      </c>
      <c r="C6038" s="91" t="s">
        <v>1188</v>
      </c>
    </row>
    <row r="6039" spans="1:3" ht="15">
      <c r="A6039" s="84" t="s">
        <v>351</v>
      </c>
      <c r="B6039" s="83" t="s">
        <v>3215</v>
      </c>
      <c r="C6039" s="91" t="s">
        <v>1188</v>
      </c>
    </row>
    <row r="6040" spans="1:3" ht="15">
      <c r="A6040" s="84" t="s">
        <v>351</v>
      </c>
      <c r="B6040" s="83" t="s">
        <v>3199</v>
      </c>
      <c r="C6040" s="91" t="s">
        <v>1188</v>
      </c>
    </row>
    <row r="6041" spans="1:3" ht="15">
      <c r="A6041" s="84" t="s">
        <v>351</v>
      </c>
      <c r="B6041" s="83" t="s">
        <v>3218</v>
      </c>
      <c r="C6041" s="91" t="s">
        <v>1188</v>
      </c>
    </row>
    <row r="6042" spans="1:3" ht="15">
      <c r="A6042" s="84" t="s">
        <v>351</v>
      </c>
      <c r="B6042" s="83" t="s">
        <v>3235</v>
      </c>
      <c r="C6042" s="91" t="s">
        <v>1188</v>
      </c>
    </row>
    <row r="6043" spans="1:3" ht="15">
      <c r="A6043" s="84" t="s">
        <v>351</v>
      </c>
      <c r="B6043" s="83" t="s">
        <v>3236</v>
      </c>
      <c r="C6043" s="91" t="s">
        <v>1188</v>
      </c>
    </row>
    <row r="6044" spans="1:3" ht="15">
      <c r="A6044" s="84" t="s">
        <v>351</v>
      </c>
      <c r="B6044" s="83" t="s">
        <v>3220</v>
      </c>
      <c r="C6044" s="91" t="s">
        <v>1188</v>
      </c>
    </row>
    <row r="6045" spans="1:3" ht="15">
      <c r="A6045" s="84" t="s">
        <v>351</v>
      </c>
      <c r="B6045" s="83" t="s">
        <v>3221</v>
      </c>
      <c r="C6045" s="91" t="s">
        <v>1188</v>
      </c>
    </row>
    <row r="6046" spans="1:3" ht="15">
      <c r="A6046" s="84" t="s">
        <v>351</v>
      </c>
      <c r="B6046" s="83" t="s">
        <v>3237</v>
      </c>
      <c r="C6046" s="91" t="s">
        <v>1188</v>
      </c>
    </row>
    <row r="6047" spans="1:3" ht="15">
      <c r="A6047" s="84" t="s">
        <v>351</v>
      </c>
      <c r="B6047" s="83" t="s">
        <v>3284</v>
      </c>
      <c r="C6047" s="91" t="s">
        <v>1188</v>
      </c>
    </row>
    <row r="6048" spans="1:3" ht="15">
      <c r="A6048" s="84" t="s">
        <v>351</v>
      </c>
      <c r="B6048" s="83" t="s">
        <v>3285</v>
      </c>
      <c r="C6048" s="91" t="s">
        <v>1188</v>
      </c>
    </row>
    <row r="6049" spans="1:3" ht="15">
      <c r="A6049" s="84" t="s">
        <v>351</v>
      </c>
      <c r="B6049" s="83" t="s">
        <v>2632</v>
      </c>
      <c r="C6049" s="91" t="s">
        <v>1188</v>
      </c>
    </row>
    <row r="6050" spans="1:3" ht="15">
      <c r="A6050" s="84" t="s">
        <v>351</v>
      </c>
      <c r="B6050" s="83" t="s">
        <v>3286</v>
      </c>
      <c r="C6050" s="91" t="s">
        <v>1188</v>
      </c>
    </row>
    <row r="6051" spans="1:3" ht="15">
      <c r="A6051" s="84" t="s">
        <v>350</v>
      </c>
      <c r="B6051" s="83" t="s">
        <v>3279</v>
      </c>
      <c r="C6051" s="91" t="s">
        <v>1187</v>
      </c>
    </row>
    <row r="6052" spans="1:3" ht="15">
      <c r="A6052" s="84" t="s">
        <v>350</v>
      </c>
      <c r="B6052" s="83" t="s">
        <v>3280</v>
      </c>
      <c r="C6052" s="91" t="s">
        <v>1187</v>
      </c>
    </row>
    <row r="6053" spans="1:3" ht="15">
      <c r="A6053" s="84" t="s">
        <v>350</v>
      </c>
      <c r="B6053" s="83" t="s">
        <v>2581</v>
      </c>
      <c r="C6053" s="91" t="s">
        <v>1187</v>
      </c>
    </row>
    <row r="6054" spans="1:3" ht="15">
      <c r="A6054" s="84" t="s">
        <v>350</v>
      </c>
      <c r="B6054" s="83" t="s">
        <v>2675</v>
      </c>
      <c r="C6054" s="91" t="s">
        <v>1187</v>
      </c>
    </row>
    <row r="6055" spans="1:3" ht="15">
      <c r="A6055" s="84" t="s">
        <v>350</v>
      </c>
      <c r="B6055" s="83" t="s">
        <v>3281</v>
      </c>
      <c r="C6055" s="91" t="s">
        <v>1187</v>
      </c>
    </row>
    <row r="6056" spans="1:3" ht="15">
      <c r="A6056" s="84" t="s">
        <v>350</v>
      </c>
      <c r="B6056" s="83" t="s">
        <v>3213</v>
      </c>
      <c r="C6056" s="91" t="s">
        <v>1187</v>
      </c>
    </row>
    <row r="6057" spans="1:3" ht="15">
      <c r="A6057" s="84" t="s">
        <v>350</v>
      </c>
      <c r="B6057" s="83" t="s">
        <v>3266</v>
      </c>
      <c r="C6057" s="91" t="s">
        <v>1187</v>
      </c>
    </row>
    <row r="6058" spans="1:3" ht="15">
      <c r="A6058" s="84" t="s">
        <v>350</v>
      </c>
      <c r="B6058" s="83" t="s">
        <v>2577</v>
      </c>
      <c r="C6058" s="91" t="s">
        <v>1187</v>
      </c>
    </row>
    <row r="6059" spans="1:3" ht="15">
      <c r="A6059" s="84" t="s">
        <v>350</v>
      </c>
      <c r="B6059" s="83" t="s">
        <v>3198</v>
      </c>
      <c r="C6059" s="91" t="s">
        <v>1187</v>
      </c>
    </row>
    <row r="6060" spans="1:3" ht="15">
      <c r="A6060" s="84" t="s">
        <v>350</v>
      </c>
      <c r="B6060" s="83" t="s">
        <v>3282</v>
      </c>
      <c r="C6060" s="91" t="s">
        <v>1187</v>
      </c>
    </row>
    <row r="6061" spans="1:3" ht="15">
      <c r="A6061" s="84" t="s">
        <v>350</v>
      </c>
      <c r="B6061" s="83" t="s">
        <v>3283</v>
      </c>
      <c r="C6061" s="91" t="s">
        <v>1187</v>
      </c>
    </row>
    <row r="6062" spans="1:3" ht="15">
      <c r="A6062" s="84" t="s">
        <v>350</v>
      </c>
      <c r="B6062" s="83" t="s">
        <v>3214</v>
      </c>
      <c r="C6062" s="91" t="s">
        <v>1187</v>
      </c>
    </row>
    <row r="6063" spans="1:3" ht="15">
      <c r="A6063" s="84" t="s">
        <v>350</v>
      </c>
      <c r="B6063" s="83" t="s">
        <v>3211</v>
      </c>
      <c r="C6063" s="91" t="s">
        <v>1187</v>
      </c>
    </row>
    <row r="6064" spans="1:3" ht="15">
      <c r="A6064" s="84" t="s">
        <v>350</v>
      </c>
      <c r="B6064" s="83" t="s">
        <v>3215</v>
      </c>
      <c r="C6064" s="91" t="s">
        <v>1187</v>
      </c>
    </row>
    <row r="6065" spans="1:3" ht="15">
      <c r="A6065" s="84" t="s">
        <v>350</v>
      </c>
      <c r="B6065" s="83" t="s">
        <v>3199</v>
      </c>
      <c r="C6065" s="91" t="s">
        <v>1187</v>
      </c>
    </row>
    <row r="6066" spans="1:3" ht="15">
      <c r="A6066" s="84" t="s">
        <v>350</v>
      </c>
      <c r="B6066" s="83" t="s">
        <v>3218</v>
      </c>
      <c r="C6066" s="91" t="s">
        <v>1187</v>
      </c>
    </row>
    <row r="6067" spans="1:3" ht="15">
      <c r="A6067" s="84" t="s">
        <v>350</v>
      </c>
      <c r="B6067" s="83" t="s">
        <v>3235</v>
      </c>
      <c r="C6067" s="91" t="s">
        <v>1187</v>
      </c>
    </row>
    <row r="6068" spans="1:3" ht="15">
      <c r="A6068" s="84" t="s">
        <v>350</v>
      </c>
      <c r="B6068" s="83" t="s">
        <v>3236</v>
      </c>
      <c r="C6068" s="91" t="s">
        <v>1187</v>
      </c>
    </row>
    <row r="6069" spans="1:3" ht="15">
      <c r="A6069" s="84" t="s">
        <v>350</v>
      </c>
      <c r="B6069" s="83" t="s">
        <v>3220</v>
      </c>
      <c r="C6069" s="91" t="s">
        <v>1187</v>
      </c>
    </row>
    <row r="6070" spans="1:3" ht="15">
      <c r="A6070" s="84" t="s">
        <v>350</v>
      </c>
      <c r="B6070" s="83" t="s">
        <v>3221</v>
      </c>
      <c r="C6070" s="91" t="s">
        <v>1187</v>
      </c>
    </row>
    <row r="6071" spans="1:3" ht="15">
      <c r="A6071" s="84" t="s">
        <v>350</v>
      </c>
      <c r="B6071" s="83" t="s">
        <v>3237</v>
      </c>
      <c r="C6071" s="91" t="s">
        <v>1187</v>
      </c>
    </row>
    <row r="6072" spans="1:3" ht="15">
      <c r="A6072" s="84" t="s">
        <v>350</v>
      </c>
      <c r="B6072" s="83" t="s">
        <v>3284</v>
      </c>
      <c r="C6072" s="91" t="s">
        <v>1187</v>
      </c>
    </row>
    <row r="6073" spans="1:3" ht="15">
      <c r="A6073" s="84" t="s">
        <v>350</v>
      </c>
      <c r="B6073" s="83" t="s">
        <v>3285</v>
      </c>
      <c r="C6073" s="91" t="s">
        <v>1187</v>
      </c>
    </row>
    <row r="6074" spans="1:3" ht="15">
      <c r="A6074" s="84" t="s">
        <v>350</v>
      </c>
      <c r="B6074" s="83" t="s">
        <v>2632</v>
      </c>
      <c r="C6074" s="91" t="s">
        <v>1187</v>
      </c>
    </row>
    <row r="6075" spans="1:3" ht="15">
      <c r="A6075" s="84" t="s">
        <v>350</v>
      </c>
      <c r="B6075" s="83" t="s">
        <v>3286</v>
      </c>
      <c r="C6075" s="91" t="s">
        <v>1187</v>
      </c>
    </row>
    <row r="6076" spans="1:3" ht="15">
      <c r="A6076" s="84" t="s">
        <v>418</v>
      </c>
      <c r="B6076" s="83" t="s">
        <v>3279</v>
      </c>
      <c r="C6076" s="91" t="s">
        <v>1407</v>
      </c>
    </row>
    <row r="6077" spans="1:3" ht="15">
      <c r="A6077" s="84" t="s">
        <v>418</v>
      </c>
      <c r="B6077" s="83" t="s">
        <v>3280</v>
      </c>
      <c r="C6077" s="91" t="s">
        <v>1407</v>
      </c>
    </row>
    <row r="6078" spans="1:3" ht="15">
      <c r="A6078" s="84" t="s">
        <v>418</v>
      </c>
      <c r="B6078" s="83" t="s">
        <v>2581</v>
      </c>
      <c r="C6078" s="91" t="s">
        <v>1407</v>
      </c>
    </row>
    <row r="6079" spans="1:3" ht="15">
      <c r="A6079" s="84" t="s">
        <v>418</v>
      </c>
      <c r="B6079" s="83" t="s">
        <v>2675</v>
      </c>
      <c r="C6079" s="91" t="s">
        <v>1407</v>
      </c>
    </row>
    <row r="6080" spans="1:3" ht="15">
      <c r="A6080" s="84" t="s">
        <v>418</v>
      </c>
      <c r="B6080" s="83" t="s">
        <v>3281</v>
      </c>
      <c r="C6080" s="91" t="s">
        <v>1407</v>
      </c>
    </row>
    <row r="6081" spans="1:3" ht="15">
      <c r="A6081" s="84" t="s">
        <v>418</v>
      </c>
      <c r="B6081" s="83" t="s">
        <v>3213</v>
      </c>
      <c r="C6081" s="91" t="s">
        <v>1407</v>
      </c>
    </row>
    <row r="6082" spans="1:3" ht="15">
      <c r="A6082" s="84" t="s">
        <v>418</v>
      </c>
      <c r="B6082" s="83" t="s">
        <v>3266</v>
      </c>
      <c r="C6082" s="91" t="s">
        <v>1407</v>
      </c>
    </row>
    <row r="6083" spans="1:3" ht="15">
      <c r="A6083" s="84" t="s">
        <v>418</v>
      </c>
      <c r="B6083" s="83" t="s">
        <v>2577</v>
      </c>
      <c r="C6083" s="91" t="s">
        <v>1407</v>
      </c>
    </row>
    <row r="6084" spans="1:3" ht="15">
      <c r="A6084" s="84" t="s">
        <v>418</v>
      </c>
      <c r="B6084" s="83" t="s">
        <v>3198</v>
      </c>
      <c r="C6084" s="91" t="s">
        <v>1407</v>
      </c>
    </row>
    <row r="6085" spans="1:3" ht="15">
      <c r="A6085" s="84" t="s">
        <v>418</v>
      </c>
      <c r="B6085" s="83" t="s">
        <v>3282</v>
      </c>
      <c r="C6085" s="91" t="s">
        <v>1407</v>
      </c>
    </row>
    <row r="6086" spans="1:3" ht="15">
      <c r="A6086" s="84" t="s">
        <v>418</v>
      </c>
      <c r="B6086" s="83" t="s">
        <v>3283</v>
      </c>
      <c r="C6086" s="91" t="s">
        <v>1407</v>
      </c>
    </row>
    <row r="6087" spans="1:3" ht="15">
      <c r="A6087" s="84" t="s">
        <v>418</v>
      </c>
      <c r="B6087" s="83" t="s">
        <v>3214</v>
      </c>
      <c r="C6087" s="91" t="s">
        <v>1407</v>
      </c>
    </row>
    <row r="6088" spans="1:3" ht="15">
      <c r="A6088" s="84" t="s">
        <v>418</v>
      </c>
      <c r="B6088" s="83" t="s">
        <v>3211</v>
      </c>
      <c r="C6088" s="91" t="s">
        <v>1407</v>
      </c>
    </row>
    <row r="6089" spans="1:3" ht="15">
      <c r="A6089" s="84" t="s">
        <v>418</v>
      </c>
      <c r="B6089" s="83" t="s">
        <v>3215</v>
      </c>
      <c r="C6089" s="91" t="s">
        <v>1407</v>
      </c>
    </row>
    <row r="6090" spans="1:3" ht="15">
      <c r="A6090" s="84" t="s">
        <v>418</v>
      </c>
      <c r="B6090" s="83" t="s">
        <v>3199</v>
      </c>
      <c r="C6090" s="91" t="s">
        <v>1407</v>
      </c>
    </row>
    <row r="6091" spans="1:3" ht="15">
      <c r="A6091" s="84" t="s">
        <v>418</v>
      </c>
      <c r="B6091" s="83" t="s">
        <v>3218</v>
      </c>
      <c r="C6091" s="91" t="s">
        <v>1407</v>
      </c>
    </row>
    <row r="6092" spans="1:3" ht="15">
      <c r="A6092" s="84" t="s">
        <v>418</v>
      </c>
      <c r="B6092" s="83" t="s">
        <v>3235</v>
      </c>
      <c r="C6092" s="91" t="s">
        <v>1407</v>
      </c>
    </row>
    <row r="6093" spans="1:3" ht="15">
      <c r="A6093" s="84" t="s">
        <v>418</v>
      </c>
      <c r="B6093" s="83" t="s">
        <v>3236</v>
      </c>
      <c r="C6093" s="91" t="s">
        <v>1407</v>
      </c>
    </row>
    <row r="6094" spans="1:3" ht="15">
      <c r="A6094" s="84" t="s">
        <v>418</v>
      </c>
      <c r="B6094" s="83" t="s">
        <v>3220</v>
      </c>
      <c r="C6094" s="91" t="s">
        <v>1407</v>
      </c>
    </row>
    <row r="6095" spans="1:3" ht="15">
      <c r="A6095" s="84" t="s">
        <v>418</v>
      </c>
      <c r="B6095" s="83" t="s">
        <v>3221</v>
      </c>
      <c r="C6095" s="91" t="s">
        <v>1407</v>
      </c>
    </row>
    <row r="6096" spans="1:3" ht="15">
      <c r="A6096" s="84" t="s">
        <v>418</v>
      </c>
      <c r="B6096" s="83" t="s">
        <v>3237</v>
      </c>
      <c r="C6096" s="91" t="s">
        <v>1407</v>
      </c>
    </row>
    <row r="6097" spans="1:3" ht="15">
      <c r="A6097" s="84" t="s">
        <v>418</v>
      </c>
      <c r="B6097" s="83" t="s">
        <v>3284</v>
      </c>
      <c r="C6097" s="91" t="s">
        <v>1407</v>
      </c>
    </row>
    <row r="6098" spans="1:3" ht="15">
      <c r="A6098" s="84" t="s">
        <v>418</v>
      </c>
      <c r="B6098" s="83" t="s">
        <v>3285</v>
      </c>
      <c r="C6098" s="91" t="s">
        <v>1407</v>
      </c>
    </row>
    <row r="6099" spans="1:3" ht="15">
      <c r="A6099" s="84" t="s">
        <v>418</v>
      </c>
      <c r="B6099" s="83" t="s">
        <v>2632</v>
      </c>
      <c r="C6099" s="91" t="s">
        <v>1407</v>
      </c>
    </row>
    <row r="6100" spans="1:3" ht="15">
      <c r="A6100" s="84" t="s">
        <v>418</v>
      </c>
      <c r="B6100" s="83" t="s">
        <v>3286</v>
      </c>
      <c r="C6100" s="91" t="s">
        <v>1407</v>
      </c>
    </row>
    <row r="6101" spans="1:3" ht="15">
      <c r="A6101" s="84" t="s">
        <v>418</v>
      </c>
      <c r="B6101" s="83" t="s">
        <v>3279</v>
      </c>
      <c r="C6101" s="91" t="s">
        <v>1406</v>
      </c>
    </row>
    <row r="6102" spans="1:3" ht="15">
      <c r="A6102" s="84" t="s">
        <v>418</v>
      </c>
      <c r="B6102" s="83" t="s">
        <v>3280</v>
      </c>
      <c r="C6102" s="91" t="s">
        <v>1406</v>
      </c>
    </row>
    <row r="6103" spans="1:3" ht="15">
      <c r="A6103" s="84" t="s">
        <v>418</v>
      </c>
      <c r="B6103" s="83" t="s">
        <v>2581</v>
      </c>
      <c r="C6103" s="91" t="s">
        <v>1406</v>
      </c>
    </row>
    <row r="6104" spans="1:3" ht="15">
      <c r="A6104" s="84" t="s">
        <v>418</v>
      </c>
      <c r="B6104" s="83" t="s">
        <v>2675</v>
      </c>
      <c r="C6104" s="91" t="s">
        <v>1406</v>
      </c>
    </row>
    <row r="6105" spans="1:3" ht="15">
      <c r="A6105" s="84" t="s">
        <v>418</v>
      </c>
      <c r="B6105" s="83" t="s">
        <v>3281</v>
      </c>
      <c r="C6105" s="91" t="s">
        <v>1406</v>
      </c>
    </row>
    <row r="6106" spans="1:3" ht="15">
      <c r="A6106" s="84" t="s">
        <v>418</v>
      </c>
      <c r="B6106" s="83" t="s">
        <v>3213</v>
      </c>
      <c r="C6106" s="91" t="s">
        <v>1406</v>
      </c>
    </row>
    <row r="6107" spans="1:3" ht="15">
      <c r="A6107" s="84" t="s">
        <v>418</v>
      </c>
      <c r="B6107" s="83" t="s">
        <v>3266</v>
      </c>
      <c r="C6107" s="91" t="s">
        <v>1406</v>
      </c>
    </row>
    <row r="6108" spans="1:3" ht="15">
      <c r="A6108" s="84" t="s">
        <v>418</v>
      </c>
      <c r="B6108" s="83" t="s">
        <v>2577</v>
      </c>
      <c r="C6108" s="91" t="s">
        <v>1406</v>
      </c>
    </row>
    <row r="6109" spans="1:3" ht="15">
      <c r="A6109" s="84" t="s">
        <v>418</v>
      </c>
      <c r="B6109" s="83" t="s">
        <v>3198</v>
      </c>
      <c r="C6109" s="91" t="s">
        <v>1406</v>
      </c>
    </row>
    <row r="6110" spans="1:3" ht="15">
      <c r="A6110" s="84" t="s">
        <v>418</v>
      </c>
      <c r="B6110" s="83" t="s">
        <v>3282</v>
      </c>
      <c r="C6110" s="91" t="s">
        <v>1406</v>
      </c>
    </row>
    <row r="6111" spans="1:3" ht="15">
      <c r="A6111" s="84" t="s">
        <v>418</v>
      </c>
      <c r="B6111" s="83" t="s">
        <v>3283</v>
      </c>
      <c r="C6111" s="91" t="s">
        <v>1406</v>
      </c>
    </row>
    <row r="6112" spans="1:3" ht="15">
      <c r="A6112" s="84" t="s">
        <v>418</v>
      </c>
      <c r="B6112" s="83" t="s">
        <v>3214</v>
      </c>
      <c r="C6112" s="91" t="s">
        <v>1406</v>
      </c>
    </row>
    <row r="6113" spans="1:3" ht="15">
      <c r="A6113" s="84" t="s">
        <v>418</v>
      </c>
      <c r="B6113" s="83" t="s">
        <v>3211</v>
      </c>
      <c r="C6113" s="91" t="s">
        <v>1406</v>
      </c>
    </row>
    <row r="6114" spans="1:3" ht="15">
      <c r="A6114" s="84" t="s">
        <v>418</v>
      </c>
      <c r="B6114" s="83" t="s">
        <v>3215</v>
      </c>
      <c r="C6114" s="91" t="s">
        <v>1406</v>
      </c>
    </row>
    <row r="6115" spans="1:3" ht="15">
      <c r="A6115" s="84" t="s">
        <v>418</v>
      </c>
      <c r="B6115" s="83" t="s">
        <v>3199</v>
      </c>
      <c r="C6115" s="91" t="s">
        <v>1406</v>
      </c>
    </row>
    <row r="6116" spans="1:3" ht="15">
      <c r="A6116" s="84" t="s">
        <v>418</v>
      </c>
      <c r="B6116" s="83" t="s">
        <v>3218</v>
      </c>
      <c r="C6116" s="91" t="s">
        <v>1406</v>
      </c>
    </row>
    <row r="6117" spans="1:3" ht="15">
      <c r="A6117" s="84" t="s">
        <v>418</v>
      </c>
      <c r="B6117" s="83" t="s">
        <v>3235</v>
      </c>
      <c r="C6117" s="91" t="s">
        <v>1406</v>
      </c>
    </row>
    <row r="6118" spans="1:3" ht="15">
      <c r="A6118" s="84" t="s">
        <v>418</v>
      </c>
      <c r="B6118" s="83" t="s">
        <v>3236</v>
      </c>
      <c r="C6118" s="91" t="s">
        <v>1406</v>
      </c>
    </row>
    <row r="6119" spans="1:3" ht="15">
      <c r="A6119" s="84" t="s">
        <v>418</v>
      </c>
      <c r="B6119" s="83" t="s">
        <v>3220</v>
      </c>
      <c r="C6119" s="91" t="s">
        <v>1406</v>
      </c>
    </row>
    <row r="6120" spans="1:3" ht="15">
      <c r="A6120" s="84" t="s">
        <v>418</v>
      </c>
      <c r="B6120" s="83" t="s">
        <v>3221</v>
      </c>
      <c r="C6120" s="91" t="s">
        <v>1406</v>
      </c>
    </row>
    <row r="6121" spans="1:3" ht="15">
      <c r="A6121" s="84" t="s">
        <v>418</v>
      </c>
      <c r="B6121" s="83" t="s">
        <v>3237</v>
      </c>
      <c r="C6121" s="91" t="s">
        <v>1406</v>
      </c>
    </row>
    <row r="6122" spans="1:3" ht="15">
      <c r="A6122" s="84" t="s">
        <v>418</v>
      </c>
      <c r="B6122" s="83" t="s">
        <v>3284</v>
      </c>
      <c r="C6122" s="91" t="s">
        <v>1406</v>
      </c>
    </row>
    <row r="6123" spans="1:3" ht="15">
      <c r="A6123" s="84" t="s">
        <v>418</v>
      </c>
      <c r="B6123" s="83" t="s">
        <v>3285</v>
      </c>
      <c r="C6123" s="91" t="s">
        <v>1406</v>
      </c>
    </row>
    <row r="6124" spans="1:3" ht="15">
      <c r="A6124" s="84" t="s">
        <v>418</v>
      </c>
      <c r="B6124" s="83" t="s">
        <v>2632</v>
      </c>
      <c r="C6124" s="91" t="s">
        <v>1406</v>
      </c>
    </row>
    <row r="6125" spans="1:3" ht="15">
      <c r="A6125" s="84" t="s">
        <v>418</v>
      </c>
      <c r="B6125" s="83" t="s">
        <v>3286</v>
      </c>
      <c r="C6125" s="91" t="s">
        <v>1406</v>
      </c>
    </row>
    <row r="6126" spans="1:3" ht="15">
      <c r="A6126" s="84" t="s">
        <v>349</v>
      </c>
      <c r="B6126" s="83" t="s">
        <v>3279</v>
      </c>
      <c r="C6126" s="91" t="s">
        <v>1186</v>
      </c>
    </row>
    <row r="6127" spans="1:3" ht="15">
      <c r="A6127" s="84" t="s">
        <v>349</v>
      </c>
      <c r="B6127" s="83" t="s">
        <v>3280</v>
      </c>
      <c r="C6127" s="91" t="s">
        <v>1186</v>
      </c>
    </row>
    <row r="6128" spans="1:3" ht="15">
      <c r="A6128" s="84" t="s">
        <v>349</v>
      </c>
      <c r="B6128" s="83" t="s">
        <v>2581</v>
      </c>
      <c r="C6128" s="91" t="s">
        <v>1186</v>
      </c>
    </row>
    <row r="6129" spans="1:3" ht="15">
      <c r="A6129" s="84" t="s">
        <v>349</v>
      </c>
      <c r="B6129" s="83" t="s">
        <v>2675</v>
      </c>
      <c r="C6129" s="91" t="s">
        <v>1186</v>
      </c>
    </row>
    <row r="6130" spans="1:3" ht="15">
      <c r="A6130" s="84" t="s">
        <v>349</v>
      </c>
      <c r="B6130" s="83" t="s">
        <v>3281</v>
      </c>
      <c r="C6130" s="91" t="s">
        <v>1186</v>
      </c>
    </row>
    <row r="6131" spans="1:3" ht="15">
      <c r="A6131" s="84" t="s">
        <v>349</v>
      </c>
      <c r="B6131" s="83" t="s">
        <v>3213</v>
      </c>
      <c r="C6131" s="91" t="s">
        <v>1186</v>
      </c>
    </row>
    <row r="6132" spans="1:3" ht="15">
      <c r="A6132" s="84" t="s">
        <v>349</v>
      </c>
      <c r="B6132" s="83" t="s">
        <v>3266</v>
      </c>
      <c r="C6132" s="91" t="s">
        <v>1186</v>
      </c>
    </row>
    <row r="6133" spans="1:3" ht="15">
      <c r="A6133" s="84" t="s">
        <v>349</v>
      </c>
      <c r="B6133" s="83" t="s">
        <v>2577</v>
      </c>
      <c r="C6133" s="91" t="s">
        <v>1186</v>
      </c>
    </row>
    <row r="6134" spans="1:3" ht="15">
      <c r="A6134" s="84" t="s">
        <v>349</v>
      </c>
      <c r="B6134" s="83" t="s">
        <v>3198</v>
      </c>
      <c r="C6134" s="91" t="s">
        <v>1186</v>
      </c>
    </row>
    <row r="6135" spans="1:3" ht="15">
      <c r="A6135" s="84" t="s">
        <v>349</v>
      </c>
      <c r="B6135" s="83" t="s">
        <v>3282</v>
      </c>
      <c r="C6135" s="91" t="s">
        <v>1186</v>
      </c>
    </row>
    <row r="6136" spans="1:3" ht="15">
      <c r="A6136" s="84" t="s">
        <v>349</v>
      </c>
      <c r="B6136" s="83" t="s">
        <v>3283</v>
      </c>
      <c r="C6136" s="91" t="s">
        <v>1186</v>
      </c>
    </row>
    <row r="6137" spans="1:3" ht="15">
      <c r="A6137" s="84" t="s">
        <v>349</v>
      </c>
      <c r="B6137" s="83" t="s">
        <v>3214</v>
      </c>
      <c r="C6137" s="91" t="s">
        <v>1186</v>
      </c>
    </row>
    <row r="6138" spans="1:3" ht="15">
      <c r="A6138" s="84" t="s">
        <v>349</v>
      </c>
      <c r="B6138" s="83" t="s">
        <v>3211</v>
      </c>
      <c r="C6138" s="91" t="s">
        <v>1186</v>
      </c>
    </row>
    <row r="6139" spans="1:3" ht="15">
      <c r="A6139" s="84" t="s">
        <v>349</v>
      </c>
      <c r="B6139" s="83" t="s">
        <v>3215</v>
      </c>
      <c r="C6139" s="91" t="s">
        <v>1186</v>
      </c>
    </row>
    <row r="6140" spans="1:3" ht="15">
      <c r="A6140" s="84" t="s">
        <v>349</v>
      </c>
      <c r="B6140" s="83" t="s">
        <v>3199</v>
      </c>
      <c r="C6140" s="91" t="s">
        <v>1186</v>
      </c>
    </row>
    <row r="6141" spans="1:3" ht="15">
      <c r="A6141" s="84" t="s">
        <v>349</v>
      </c>
      <c r="B6141" s="83" t="s">
        <v>3218</v>
      </c>
      <c r="C6141" s="91" t="s">
        <v>1186</v>
      </c>
    </row>
    <row r="6142" spans="1:3" ht="15">
      <c r="A6142" s="84" t="s">
        <v>349</v>
      </c>
      <c r="B6142" s="83" t="s">
        <v>3235</v>
      </c>
      <c r="C6142" s="91" t="s">
        <v>1186</v>
      </c>
    </row>
    <row r="6143" spans="1:3" ht="15">
      <c r="A6143" s="84" t="s">
        <v>349</v>
      </c>
      <c r="B6143" s="83" t="s">
        <v>3236</v>
      </c>
      <c r="C6143" s="91" t="s">
        <v>1186</v>
      </c>
    </row>
    <row r="6144" spans="1:3" ht="15">
      <c r="A6144" s="84" t="s">
        <v>349</v>
      </c>
      <c r="B6144" s="83" t="s">
        <v>3220</v>
      </c>
      <c r="C6144" s="91" t="s">
        <v>1186</v>
      </c>
    </row>
    <row r="6145" spans="1:3" ht="15">
      <c r="A6145" s="84" t="s">
        <v>349</v>
      </c>
      <c r="B6145" s="83" t="s">
        <v>3221</v>
      </c>
      <c r="C6145" s="91" t="s">
        <v>1186</v>
      </c>
    </row>
    <row r="6146" spans="1:3" ht="15">
      <c r="A6146" s="84" t="s">
        <v>349</v>
      </c>
      <c r="B6146" s="83" t="s">
        <v>3237</v>
      </c>
      <c r="C6146" s="91" t="s">
        <v>1186</v>
      </c>
    </row>
    <row r="6147" spans="1:3" ht="15">
      <c r="A6147" s="84" t="s">
        <v>349</v>
      </c>
      <c r="B6147" s="83" t="s">
        <v>3284</v>
      </c>
      <c r="C6147" s="91" t="s">
        <v>1186</v>
      </c>
    </row>
    <row r="6148" spans="1:3" ht="15">
      <c r="A6148" s="84" t="s">
        <v>349</v>
      </c>
      <c r="B6148" s="83" t="s">
        <v>3285</v>
      </c>
      <c r="C6148" s="91" t="s">
        <v>1186</v>
      </c>
    </row>
    <row r="6149" spans="1:3" ht="15">
      <c r="A6149" s="84" t="s">
        <v>349</v>
      </c>
      <c r="B6149" s="83" t="s">
        <v>2632</v>
      </c>
      <c r="C6149" s="91" t="s">
        <v>1186</v>
      </c>
    </row>
    <row r="6150" spans="1:3" ht="15">
      <c r="A6150" s="84" t="s">
        <v>349</v>
      </c>
      <c r="B6150" s="83" t="s">
        <v>3286</v>
      </c>
      <c r="C6150" s="91" t="s">
        <v>1186</v>
      </c>
    </row>
    <row r="6151" spans="1:3" ht="15">
      <c r="A6151" s="84" t="s">
        <v>348</v>
      </c>
      <c r="B6151" s="83" t="s">
        <v>3529</v>
      </c>
      <c r="C6151" s="91" t="s">
        <v>1185</v>
      </c>
    </row>
    <row r="6152" spans="1:3" ht="15">
      <c r="A6152" s="84" t="s">
        <v>348</v>
      </c>
      <c r="B6152" s="83" t="s">
        <v>3522</v>
      </c>
      <c r="C6152" s="91" t="s">
        <v>1185</v>
      </c>
    </row>
    <row r="6153" spans="1:3" ht="15">
      <c r="A6153" s="84" t="s">
        <v>348</v>
      </c>
      <c r="B6153" s="83" t="s">
        <v>2985</v>
      </c>
      <c r="C6153" s="91" t="s">
        <v>1185</v>
      </c>
    </row>
    <row r="6154" spans="1:3" ht="15">
      <c r="A6154" s="84" t="s">
        <v>348</v>
      </c>
      <c r="B6154" s="83" t="s">
        <v>2743</v>
      </c>
      <c r="C6154" s="91" t="s">
        <v>1185</v>
      </c>
    </row>
    <row r="6155" spans="1:3" ht="15">
      <c r="A6155" s="84" t="s">
        <v>348</v>
      </c>
      <c r="B6155" s="83" t="s">
        <v>2578</v>
      </c>
      <c r="C6155" s="91" t="s">
        <v>1185</v>
      </c>
    </row>
    <row r="6156" spans="1:3" ht="15">
      <c r="A6156" s="84" t="s">
        <v>348</v>
      </c>
      <c r="B6156" s="83" t="s">
        <v>2986</v>
      </c>
      <c r="C6156" s="91" t="s">
        <v>1185</v>
      </c>
    </row>
    <row r="6157" spans="1:3" ht="15">
      <c r="A6157" s="84" t="s">
        <v>348</v>
      </c>
      <c r="B6157" s="83" t="s">
        <v>2568</v>
      </c>
      <c r="C6157" s="91" t="s">
        <v>1185</v>
      </c>
    </row>
    <row r="6158" spans="1:3" ht="15">
      <c r="A6158" s="84" t="s">
        <v>348</v>
      </c>
      <c r="B6158" s="83" t="s">
        <v>3210</v>
      </c>
      <c r="C6158" s="91" t="s">
        <v>1185</v>
      </c>
    </row>
    <row r="6159" spans="1:3" ht="15">
      <c r="A6159" s="84" t="s">
        <v>348</v>
      </c>
      <c r="B6159" s="83">
        <v>19</v>
      </c>
      <c r="C6159" s="91" t="s">
        <v>1185</v>
      </c>
    </row>
    <row r="6160" spans="1:3" ht="15">
      <c r="A6160" s="84" t="s">
        <v>348</v>
      </c>
      <c r="B6160" s="83" t="s">
        <v>3190</v>
      </c>
      <c r="C6160" s="91" t="s">
        <v>1185</v>
      </c>
    </row>
    <row r="6161" spans="1:3" ht="15">
      <c r="A6161" s="84" t="s">
        <v>348</v>
      </c>
      <c r="B6161" s="83" t="s">
        <v>2263</v>
      </c>
      <c r="C6161" s="91" t="s">
        <v>1185</v>
      </c>
    </row>
    <row r="6162" spans="1:3" ht="15">
      <c r="A6162" s="84" t="s">
        <v>348</v>
      </c>
      <c r="B6162" s="83" t="s">
        <v>3523</v>
      </c>
      <c r="C6162" s="91" t="s">
        <v>1185</v>
      </c>
    </row>
    <row r="6163" spans="1:3" ht="15">
      <c r="A6163" s="84" t="s">
        <v>348</v>
      </c>
      <c r="B6163" s="83" t="s">
        <v>586</v>
      </c>
      <c r="C6163" s="91" t="s">
        <v>1185</v>
      </c>
    </row>
    <row r="6164" spans="1:3" ht="15">
      <c r="A6164" s="84" t="s">
        <v>348</v>
      </c>
      <c r="B6164" s="83" t="s">
        <v>3524</v>
      </c>
      <c r="C6164" s="91" t="s">
        <v>1185</v>
      </c>
    </row>
    <row r="6165" spans="1:3" ht="15">
      <c r="A6165" s="84" t="s">
        <v>348</v>
      </c>
      <c r="B6165" s="83" t="s">
        <v>3525</v>
      </c>
      <c r="C6165" s="91" t="s">
        <v>1185</v>
      </c>
    </row>
    <row r="6166" spans="1:3" ht="15">
      <c r="A6166" s="84" t="s">
        <v>348</v>
      </c>
      <c r="B6166" s="83" t="s">
        <v>3424</v>
      </c>
      <c r="C6166" s="91" t="s">
        <v>1185</v>
      </c>
    </row>
    <row r="6167" spans="1:3" ht="15">
      <c r="A6167" s="84" t="s">
        <v>348</v>
      </c>
      <c r="B6167" s="83" t="s">
        <v>3526</v>
      </c>
      <c r="C6167" s="91" t="s">
        <v>1185</v>
      </c>
    </row>
    <row r="6168" spans="1:3" ht="15">
      <c r="A6168" s="84" t="s">
        <v>348</v>
      </c>
      <c r="B6168" s="83" t="s">
        <v>3527</v>
      </c>
      <c r="C6168" s="91" t="s">
        <v>1185</v>
      </c>
    </row>
    <row r="6169" spans="1:3" ht="15">
      <c r="A6169" s="84" t="s">
        <v>348</v>
      </c>
      <c r="B6169" s="83" t="s">
        <v>3528</v>
      </c>
      <c r="C6169" s="91" t="s">
        <v>1185</v>
      </c>
    </row>
    <row r="6170" spans="1:3" ht="15">
      <c r="A6170" s="84" t="s">
        <v>347</v>
      </c>
      <c r="B6170" s="83" t="s">
        <v>3530</v>
      </c>
      <c r="C6170" s="91" t="s">
        <v>1184</v>
      </c>
    </row>
    <row r="6171" spans="1:3" ht="15">
      <c r="A6171" s="84" t="s">
        <v>347</v>
      </c>
      <c r="B6171" s="83" t="s">
        <v>3210</v>
      </c>
      <c r="C6171" s="91" t="s">
        <v>1184</v>
      </c>
    </row>
    <row r="6172" spans="1:3" ht="15">
      <c r="A6172" s="84" t="s">
        <v>347</v>
      </c>
      <c r="B6172" s="83">
        <v>19</v>
      </c>
      <c r="C6172" s="91" t="s">
        <v>1184</v>
      </c>
    </row>
    <row r="6173" spans="1:3" ht="15">
      <c r="A6173" s="84" t="s">
        <v>347</v>
      </c>
      <c r="B6173" s="83" t="s">
        <v>3225</v>
      </c>
      <c r="C6173" s="91" t="s">
        <v>1184</v>
      </c>
    </row>
    <row r="6174" spans="1:3" ht="15">
      <c r="A6174" s="84" t="s">
        <v>347</v>
      </c>
      <c r="B6174" s="83" t="s">
        <v>2582</v>
      </c>
      <c r="C6174" s="91" t="s">
        <v>1184</v>
      </c>
    </row>
    <row r="6175" spans="1:3" ht="15">
      <c r="A6175" s="84" t="s">
        <v>347</v>
      </c>
      <c r="B6175" s="83" t="s">
        <v>3199</v>
      </c>
      <c r="C6175" s="91" t="s">
        <v>1184</v>
      </c>
    </row>
    <row r="6176" spans="1:3" ht="15">
      <c r="A6176" s="84" t="s">
        <v>347</v>
      </c>
      <c r="B6176" s="83" t="s">
        <v>3205</v>
      </c>
      <c r="C6176" s="91" t="s">
        <v>1184</v>
      </c>
    </row>
    <row r="6177" spans="1:3" ht="15">
      <c r="A6177" s="84" t="s">
        <v>347</v>
      </c>
      <c r="B6177" s="83" t="s">
        <v>3531</v>
      </c>
      <c r="C6177" s="91" t="s">
        <v>1184</v>
      </c>
    </row>
    <row r="6178" spans="1:3" ht="15">
      <c r="A6178" s="84" t="s">
        <v>346</v>
      </c>
      <c r="B6178" s="83" t="s">
        <v>3203</v>
      </c>
      <c r="C6178" s="91" t="s">
        <v>1183</v>
      </c>
    </row>
    <row r="6179" spans="1:3" ht="15">
      <c r="A6179" s="84" t="s">
        <v>346</v>
      </c>
      <c r="B6179" s="83">
        <v>19</v>
      </c>
      <c r="C6179" s="91" t="s">
        <v>1183</v>
      </c>
    </row>
    <row r="6180" spans="1:3" ht="15">
      <c r="A6180" s="84" t="s">
        <v>346</v>
      </c>
      <c r="B6180" s="83" t="s">
        <v>2630</v>
      </c>
      <c r="C6180" s="91" t="s">
        <v>1183</v>
      </c>
    </row>
    <row r="6181" spans="1:3" ht="15">
      <c r="A6181" s="84" t="s">
        <v>346</v>
      </c>
      <c r="B6181" s="83" t="s">
        <v>2664</v>
      </c>
      <c r="C6181" s="91" t="s">
        <v>1183</v>
      </c>
    </row>
    <row r="6182" spans="1:3" ht="15">
      <c r="A6182" s="84" t="s">
        <v>346</v>
      </c>
      <c r="B6182" s="83" t="s">
        <v>2591</v>
      </c>
      <c r="C6182" s="91" t="s">
        <v>1183</v>
      </c>
    </row>
    <row r="6183" spans="1:3" ht="15">
      <c r="A6183" s="84" t="s">
        <v>346</v>
      </c>
      <c r="B6183" s="83" t="s">
        <v>3028</v>
      </c>
      <c r="C6183" s="91" t="s">
        <v>1183</v>
      </c>
    </row>
    <row r="6184" spans="1:3" ht="15">
      <c r="A6184" s="84" t="s">
        <v>346</v>
      </c>
      <c r="B6184" s="83" t="s">
        <v>3029</v>
      </c>
      <c r="C6184" s="91" t="s">
        <v>1183</v>
      </c>
    </row>
    <row r="6185" spans="1:3" ht="15">
      <c r="A6185" s="84" t="s">
        <v>346</v>
      </c>
      <c r="B6185" s="83" t="s">
        <v>3379</v>
      </c>
      <c r="C6185" s="91" t="s">
        <v>1183</v>
      </c>
    </row>
    <row r="6186" spans="1:3" ht="15">
      <c r="A6186" s="84" t="s">
        <v>346</v>
      </c>
      <c r="B6186" s="83" t="s">
        <v>2752</v>
      </c>
      <c r="C6186" s="91" t="s">
        <v>1183</v>
      </c>
    </row>
    <row r="6187" spans="1:3" ht="15">
      <c r="A6187" s="84" t="s">
        <v>346</v>
      </c>
      <c r="B6187" s="83" t="s">
        <v>3340</v>
      </c>
      <c r="C6187" s="91" t="s">
        <v>1183</v>
      </c>
    </row>
    <row r="6188" spans="1:3" ht="15">
      <c r="A6188" s="84" t="s">
        <v>346</v>
      </c>
      <c r="B6188" s="83" t="s">
        <v>3198</v>
      </c>
      <c r="C6188" s="91" t="s">
        <v>1183</v>
      </c>
    </row>
    <row r="6189" spans="1:3" ht="15">
      <c r="A6189" s="84" t="s">
        <v>346</v>
      </c>
      <c r="B6189" s="83" t="s">
        <v>3214</v>
      </c>
      <c r="C6189" s="91" t="s">
        <v>1183</v>
      </c>
    </row>
    <row r="6190" spans="1:3" ht="15">
      <c r="A6190" s="84" t="s">
        <v>346</v>
      </c>
      <c r="B6190" s="83" t="s">
        <v>3411</v>
      </c>
      <c r="C6190" s="91" t="s">
        <v>1183</v>
      </c>
    </row>
    <row r="6191" spans="1:3" ht="15">
      <c r="A6191" s="84" t="s">
        <v>346</v>
      </c>
      <c r="B6191" s="83" t="s">
        <v>3223</v>
      </c>
      <c r="C6191" s="91" t="s">
        <v>1183</v>
      </c>
    </row>
    <row r="6192" spans="1:3" ht="15">
      <c r="A6192" s="84" t="s">
        <v>346</v>
      </c>
      <c r="B6192" s="83" t="s">
        <v>3211</v>
      </c>
      <c r="C6192" s="91" t="s">
        <v>1183</v>
      </c>
    </row>
    <row r="6193" spans="1:3" ht="15">
      <c r="A6193" s="84" t="s">
        <v>346</v>
      </c>
      <c r="B6193" s="83" t="s">
        <v>3415</v>
      </c>
      <c r="C6193" s="91" t="s">
        <v>1183</v>
      </c>
    </row>
    <row r="6194" spans="1:3" ht="15">
      <c r="A6194" s="84" t="s">
        <v>346</v>
      </c>
      <c r="B6194" s="83" t="s">
        <v>3532</v>
      </c>
      <c r="C6194" s="91" t="s">
        <v>1183</v>
      </c>
    </row>
    <row r="6195" spans="1:3" ht="15">
      <c r="A6195" s="84" t="s">
        <v>346</v>
      </c>
      <c r="B6195" s="83" t="s">
        <v>3417</v>
      </c>
      <c r="C6195" s="91" t="s">
        <v>1183</v>
      </c>
    </row>
    <row r="6196" spans="1:3" ht="15">
      <c r="A6196" s="84" t="s">
        <v>346</v>
      </c>
      <c r="B6196" s="83" t="s">
        <v>3418</v>
      </c>
      <c r="C6196" s="91" t="s">
        <v>1183</v>
      </c>
    </row>
    <row r="6197" spans="1:3" ht="15">
      <c r="A6197" s="84" t="s">
        <v>346</v>
      </c>
      <c r="B6197" s="83" t="s">
        <v>3412</v>
      </c>
      <c r="C6197" s="91" t="s">
        <v>1183</v>
      </c>
    </row>
    <row r="6198" spans="1:3" ht="15">
      <c r="A6198" s="84" t="s">
        <v>346</v>
      </c>
      <c r="B6198" s="83" t="s">
        <v>3413</v>
      </c>
      <c r="C6198" s="91" t="s">
        <v>1183</v>
      </c>
    </row>
    <row r="6199" spans="1:3" ht="15">
      <c r="A6199" s="84" t="s">
        <v>346</v>
      </c>
      <c r="B6199" s="83" t="s">
        <v>3215</v>
      </c>
      <c r="C6199" s="91" t="s">
        <v>1183</v>
      </c>
    </row>
    <row r="6200" spans="1:3" ht="15">
      <c r="A6200" s="84" t="s">
        <v>346</v>
      </c>
      <c r="B6200" s="83" t="s">
        <v>3219</v>
      </c>
      <c r="C6200" s="91" t="s">
        <v>1183</v>
      </c>
    </row>
    <row r="6201" spans="1:3" ht="15">
      <c r="A6201" s="84" t="s">
        <v>346</v>
      </c>
      <c r="B6201" s="83" t="s">
        <v>3221</v>
      </c>
      <c r="C6201" s="91" t="s">
        <v>1183</v>
      </c>
    </row>
    <row r="6202" spans="1:3" ht="15">
      <c r="A6202" s="84" t="s">
        <v>346</v>
      </c>
      <c r="B6202" s="83" t="s">
        <v>3254</v>
      </c>
      <c r="C6202" s="91" t="s">
        <v>1183</v>
      </c>
    </row>
    <row r="6203" spans="1:3" ht="15">
      <c r="A6203" s="84" t="s">
        <v>346</v>
      </c>
      <c r="B6203" s="83" t="s">
        <v>3420</v>
      </c>
      <c r="C6203" s="91" t="s">
        <v>1183</v>
      </c>
    </row>
    <row r="6204" spans="1:3" ht="15">
      <c r="A6204" s="84" t="s">
        <v>346</v>
      </c>
      <c r="B6204" s="83" t="s">
        <v>3421</v>
      </c>
      <c r="C6204" s="91" t="s">
        <v>1183</v>
      </c>
    </row>
    <row r="6205" spans="1:3" ht="15">
      <c r="A6205" s="84" t="s">
        <v>346</v>
      </c>
      <c r="B6205" s="83" t="s">
        <v>3199</v>
      </c>
      <c r="C6205" s="91" t="s">
        <v>1183</v>
      </c>
    </row>
    <row r="6206" spans="1:3" ht="15">
      <c r="A6206" s="84" t="s">
        <v>346</v>
      </c>
      <c r="B6206" s="83" t="s">
        <v>3393</v>
      </c>
      <c r="C6206" s="91" t="s">
        <v>1183</v>
      </c>
    </row>
    <row r="6207" spans="1:3" ht="15">
      <c r="A6207" s="84" t="s">
        <v>358</v>
      </c>
      <c r="B6207" s="83" t="s">
        <v>3320</v>
      </c>
      <c r="C6207" s="91" t="s">
        <v>1311</v>
      </c>
    </row>
    <row r="6208" spans="1:3" ht="15">
      <c r="A6208" s="84" t="s">
        <v>358</v>
      </c>
      <c r="B6208" s="83" t="s">
        <v>394</v>
      </c>
      <c r="C6208" s="91" t="s">
        <v>1311</v>
      </c>
    </row>
    <row r="6209" spans="1:3" ht="15">
      <c r="A6209" s="84" t="s">
        <v>358</v>
      </c>
      <c r="B6209" s="83" t="s">
        <v>415</v>
      </c>
      <c r="C6209" s="91" t="s">
        <v>1311</v>
      </c>
    </row>
    <row r="6210" spans="1:3" ht="15">
      <c r="A6210" s="84" t="s">
        <v>358</v>
      </c>
      <c r="B6210" s="83" t="s">
        <v>3316</v>
      </c>
      <c r="C6210" s="91" t="s">
        <v>1311</v>
      </c>
    </row>
    <row r="6211" spans="1:3" ht="15">
      <c r="A6211" s="84" t="s">
        <v>358</v>
      </c>
      <c r="B6211" s="83" t="s">
        <v>3388</v>
      </c>
      <c r="C6211" s="91" t="s">
        <v>1311</v>
      </c>
    </row>
    <row r="6212" spans="1:3" ht="15">
      <c r="A6212" s="84" t="s">
        <v>358</v>
      </c>
      <c r="B6212" s="83" t="s">
        <v>2580</v>
      </c>
      <c r="C6212" s="91" t="s">
        <v>1311</v>
      </c>
    </row>
    <row r="6213" spans="1:3" ht="15">
      <c r="A6213" s="84" t="s">
        <v>358</v>
      </c>
      <c r="B6213" s="83" t="s">
        <v>3389</v>
      </c>
      <c r="C6213" s="91" t="s">
        <v>1311</v>
      </c>
    </row>
    <row r="6214" spans="1:3" ht="15">
      <c r="A6214" s="84" t="s">
        <v>358</v>
      </c>
      <c r="B6214" s="83" t="s">
        <v>2568</v>
      </c>
      <c r="C6214" s="91" t="s">
        <v>1311</v>
      </c>
    </row>
    <row r="6215" spans="1:3" ht="15">
      <c r="A6215" s="84" t="s">
        <v>358</v>
      </c>
      <c r="B6215" s="83" t="s">
        <v>3390</v>
      </c>
      <c r="C6215" s="91" t="s">
        <v>1311</v>
      </c>
    </row>
    <row r="6216" spans="1:3" ht="15">
      <c r="A6216" s="84" t="s">
        <v>358</v>
      </c>
      <c r="B6216" s="83" t="s">
        <v>3391</v>
      </c>
      <c r="C6216" s="91" t="s">
        <v>1311</v>
      </c>
    </row>
    <row r="6217" spans="1:3" ht="15">
      <c r="A6217" s="84" t="s">
        <v>358</v>
      </c>
      <c r="B6217" s="83" t="s">
        <v>3392</v>
      </c>
      <c r="C6217" s="91" t="s">
        <v>1311</v>
      </c>
    </row>
    <row r="6218" spans="1:3" ht="15">
      <c r="A6218" s="84" t="s">
        <v>358</v>
      </c>
      <c r="B6218" s="83" t="s">
        <v>3198</v>
      </c>
      <c r="C6218" s="91" t="s">
        <v>1311</v>
      </c>
    </row>
    <row r="6219" spans="1:3" ht="15">
      <c r="A6219" s="84" t="s">
        <v>358</v>
      </c>
      <c r="B6219" s="83" t="s">
        <v>3211</v>
      </c>
      <c r="C6219" s="91" t="s">
        <v>1311</v>
      </c>
    </row>
    <row r="6220" spans="1:3" ht="15">
      <c r="A6220" s="84" t="s">
        <v>358</v>
      </c>
      <c r="B6220" s="83" t="s">
        <v>3212</v>
      </c>
      <c r="C6220" s="91" t="s">
        <v>1311</v>
      </c>
    </row>
    <row r="6221" spans="1:3" ht="15">
      <c r="A6221" s="84" t="s">
        <v>358</v>
      </c>
      <c r="B6221" s="83" t="s">
        <v>3213</v>
      </c>
      <c r="C6221" s="91" t="s">
        <v>1311</v>
      </c>
    </row>
    <row r="6222" spans="1:3" ht="15">
      <c r="A6222" s="84" t="s">
        <v>358</v>
      </c>
      <c r="B6222" s="83" t="s">
        <v>3199</v>
      </c>
      <c r="C6222" s="91" t="s">
        <v>1311</v>
      </c>
    </row>
    <row r="6223" spans="1:3" ht="15">
      <c r="A6223" s="84" t="s">
        <v>358</v>
      </c>
      <c r="B6223" s="83" t="s">
        <v>3218</v>
      </c>
      <c r="C6223" s="91" t="s">
        <v>1311</v>
      </c>
    </row>
    <row r="6224" spans="1:3" ht="15">
      <c r="A6224" s="84" t="s">
        <v>358</v>
      </c>
      <c r="B6224" s="83" t="s">
        <v>3235</v>
      </c>
      <c r="C6224" s="91" t="s">
        <v>1311</v>
      </c>
    </row>
    <row r="6225" spans="1:3" ht="15">
      <c r="A6225" s="84" t="s">
        <v>358</v>
      </c>
      <c r="B6225" s="83" t="s">
        <v>3236</v>
      </c>
      <c r="C6225" s="91" t="s">
        <v>1311</v>
      </c>
    </row>
    <row r="6226" spans="1:3" ht="15">
      <c r="A6226" s="84" t="s">
        <v>358</v>
      </c>
      <c r="B6226" s="83" t="s">
        <v>3221</v>
      </c>
      <c r="C6226" s="91" t="s">
        <v>1311</v>
      </c>
    </row>
    <row r="6227" spans="1:3" ht="15">
      <c r="A6227" s="84" t="s">
        <v>358</v>
      </c>
      <c r="B6227" s="83" t="s">
        <v>3222</v>
      </c>
      <c r="C6227" s="91" t="s">
        <v>1311</v>
      </c>
    </row>
    <row r="6228" spans="1:3" ht="15">
      <c r="A6228" s="84" t="s">
        <v>358</v>
      </c>
      <c r="B6228" s="83" t="s">
        <v>3215</v>
      </c>
      <c r="C6228" s="91" t="s">
        <v>1311</v>
      </c>
    </row>
    <row r="6229" spans="1:3" ht="15">
      <c r="A6229" s="84" t="s">
        <v>358</v>
      </c>
      <c r="B6229" s="83" t="s">
        <v>3237</v>
      </c>
      <c r="C6229" s="91" t="s">
        <v>1311</v>
      </c>
    </row>
    <row r="6230" spans="1:3" ht="15">
      <c r="A6230" s="84" t="s">
        <v>358</v>
      </c>
      <c r="B6230" s="83" t="s">
        <v>3310</v>
      </c>
      <c r="C6230" s="91" t="s">
        <v>1311</v>
      </c>
    </row>
    <row r="6231" spans="1:3" ht="15">
      <c r="A6231" s="84" t="s">
        <v>358</v>
      </c>
      <c r="B6231" s="83" t="s">
        <v>3284</v>
      </c>
      <c r="C6231" s="91" t="s">
        <v>1311</v>
      </c>
    </row>
    <row r="6232" spans="1:3" ht="15">
      <c r="A6232" s="84" t="s">
        <v>358</v>
      </c>
      <c r="B6232" s="83" t="s">
        <v>3393</v>
      </c>
      <c r="C6232" s="91" t="s">
        <v>1311</v>
      </c>
    </row>
    <row r="6233" spans="1:3" ht="15">
      <c r="A6233" s="84" t="s">
        <v>358</v>
      </c>
      <c r="B6233" s="83" t="s">
        <v>3319</v>
      </c>
      <c r="C6233" s="91" t="s">
        <v>1311</v>
      </c>
    </row>
    <row r="6234" spans="1:3" ht="15">
      <c r="A6234" s="84" t="s">
        <v>358</v>
      </c>
      <c r="B6234" s="83" t="s">
        <v>3394</v>
      </c>
      <c r="C6234" s="91" t="s">
        <v>1311</v>
      </c>
    </row>
    <row r="6235" spans="1:3" ht="15">
      <c r="A6235" s="84" t="s">
        <v>358</v>
      </c>
      <c r="B6235" s="83" t="s">
        <v>3245</v>
      </c>
      <c r="C6235" s="91" t="s">
        <v>1313</v>
      </c>
    </row>
    <row r="6236" spans="1:3" ht="15">
      <c r="A6236" s="84" t="s">
        <v>358</v>
      </c>
      <c r="B6236" s="83" t="s">
        <v>2767</v>
      </c>
      <c r="C6236" s="91" t="s">
        <v>1313</v>
      </c>
    </row>
    <row r="6237" spans="1:3" ht="15">
      <c r="A6237" s="84" t="s">
        <v>358</v>
      </c>
      <c r="B6237" s="83" t="s">
        <v>2817</v>
      </c>
      <c r="C6237" s="91" t="s">
        <v>1313</v>
      </c>
    </row>
    <row r="6238" spans="1:3" ht="15">
      <c r="A6238" s="84" t="s">
        <v>358</v>
      </c>
      <c r="B6238" s="83" t="s">
        <v>2773</v>
      </c>
      <c r="C6238" s="91" t="s">
        <v>1313</v>
      </c>
    </row>
    <row r="6239" spans="1:3" ht="15">
      <c r="A6239" s="84" t="s">
        <v>358</v>
      </c>
      <c r="B6239" s="83" t="s">
        <v>2568</v>
      </c>
      <c r="C6239" s="91" t="s">
        <v>1313</v>
      </c>
    </row>
    <row r="6240" spans="1:3" ht="15">
      <c r="A6240" s="84" t="s">
        <v>358</v>
      </c>
      <c r="B6240" s="83" t="s">
        <v>2818</v>
      </c>
      <c r="C6240" s="91" t="s">
        <v>1313</v>
      </c>
    </row>
    <row r="6241" spans="1:3" ht="15">
      <c r="A6241" s="84" t="s">
        <v>358</v>
      </c>
      <c r="B6241" s="83" t="s">
        <v>2819</v>
      </c>
      <c r="C6241" s="91" t="s">
        <v>1313</v>
      </c>
    </row>
    <row r="6242" spans="1:3" ht="15">
      <c r="A6242" s="84" t="s">
        <v>358</v>
      </c>
      <c r="B6242" s="83" t="s">
        <v>2607</v>
      </c>
      <c r="C6242" s="91" t="s">
        <v>1313</v>
      </c>
    </row>
    <row r="6243" spans="1:3" ht="15">
      <c r="A6243" s="84" t="s">
        <v>358</v>
      </c>
      <c r="B6243" s="83" t="s">
        <v>2820</v>
      </c>
      <c r="C6243" s="91" t="s">
        <v>1313</v>
      </c>
    </row>
    <row r="6244" spans="1:3" ht="15">
      <c r="A6244" s="84" t="s">
        <v>358</v>
      </c>
      <c r="B6244" s="83" t="s">
        <v>2743</v>
      </c>
      <c r="C6244" s="91" t="s">
        <v>1313</v>
      </c>
    </row>
    <row r="6245" spans="1:3" ht="15">
      <c r="A6245" s="84" t="s">
        <v>358</v>
      </c>
      <c r="B6245" s="83" t="s">
        <v>2821</v>
      </c>
      <c r="C6245" s="91" t="s">
        <v>1313</v>
      </c>
    </row>
    <row r="6246" spans="1:3" ht="15">
      <c r="A6246" s="84" t="s">
        <v>358</v>
      </c>
      <c r="B6246" s="83" t="s">
        <v>2577</v>
      </c>
      <c r="C6246" s="91" t="s">
        <v>1313</v>
      </c>
    </row>
    <row r="6247" spans="1:3" ht="15">
      <c r="A6247" s="84" t="s">
        <v>358</v>
      </c>
      <c r="B6247" s="83" t="s">
        <v>2822</v>
      </c>
      <c r="C6247" s="91" t="s">
        <v>1313</v>
      </c>
    </row>
    <row r="6248" spans="1:3" ht="15">
      <c r="A6248" s="84" t="s">
        <v>358</v>
      </c>
      <c r="B6248" s="83" t="s">
        <v>2823</v>
      </c>
      <c r="C6248" s="91" t="s">
        <v>1313</v>
      </c>
    </row>
    <row r="6249" spans="1:3" ht="15">
      <c r="A6249" s="84" t="s">
        <v>358</v>
      </c>
      <c r="B6249" s="83" t="s">
        <v>2824</v>
      </c>
      <c r="C6249" s="91" t="s">
        <v>1313</v>
      </c>
    </row>
    <row r="6250" spans="1:3" ht="15">
      <c r="A6250" s="84" t="s">
        <v>358</v>
      </c>
      <c r="B6250" s="83" t="s">
        <v>2694</v>
      </c>
      <c r="C6250" s="91" t="s">
        <v>1313</v>
      </c>
    </row>
    <row r="6251" spans="1:3" ht="15">
      <c r="A6251" s="84" t="s">
        <v>358</v>
      </c>
      <c r="B6251" s="83" t="s">
        <v>2636</v>
      </c>
      <c r="C6251" s="91" t="s">
        <v>1313</v>
      </c>
    </row>
    <row r="6252" spans="1:3" ht="15">
      <c r="A6252" s="84" t="s">
        <v>358</v>
      </c>
      <c r="B6252" s="83" t="s">
        <v>2825</v>
      </c>
      <c r="C6252" s="91" t="s">
        <v>1313</v>
      </c>
    </row>
    <row r="6253" spans="1:3" ht="15">
      <c r="A6253" s="84" t="s">
        <v>358</v>
      </c>
      <c r="B6253" s="83" t="s">
        <v>2665</v>
      </c>
      <c r="C6253" s="91" t="s">
        <v>1313</v>
      </c>
    </row>
    <row r="6254" spans="1:3" ht="15">
      <c r="A6254" s="84" t="s">
        <v>358</v>
      </c>
      <c r="B6254" s="83" t="s">
        <v>2826</v>
      </c>
      <c r="C6254" s="91" t="s">
        <v>1313</v>
      </c>
    </row>
    <row r="6255" spans="1:3" ht="15">
      <c r="A6255" s="84" t="s">
        <v>358</v>
      </c>
      <c r="B6255" s="83" t="s">
        <v>2827</v>
      </c>
      <c r="C6255" s="91" t="s">
        <v>1313</v>
      </c>
    </row>
    <row r="6256" spans="1:3" ht="15">
      <c r="A6256" s="84" t="s">
        <v>358</v>
      </c>
      <c r="B6256" s="83" t="s">
        <v>2895</v>
      </c>
      <c r="C6256" s="91" t="s">
        <v>1313</v>
      </c>
    </row>
    <row r="6257" spans="1:3" ht="15">
      <c r="A6257" s="84" t="s">
        <v>358</v>
      </c>
      <c r="B6257" s="83" t="s">
        <v>2569</v>
      </c>
      <c r="C6257" s="91" t="s">
        <v>1313</v>
      </c>
    </row>
    <row r="6258" spans="1:3" ht="15">
      <c r="A6258" s="84" t="s">
        <v>358</v>
      </c>
      <c r="B6258" s="83" t="s">
        <v>3365</v>
      </c>
      <c r="C6258" s="91" t="s">
        <v>1313</v>
      </c>
    </row>
    <row r="6259" spans="1:3" ht="15">
      <c r="A6259" s="84" t="s">
        <v>358</v>
      </c>
      <c r="B6259" s="83" t="s">
        <v>3366</v>
      </c>
      <c r="C6259" s="91" t="s">
        <v>1313</v>
      </c>
    </row>
    <row r="6260" spans="1:3" ht="15">
      <c r="A6260" s="84" t="s">
        <v>358</v>
      </c>
      <c r="B6260" s="83" t="s">
        <v>3367</v>
      </c>
      <c r="C6260" s="91" t="s">
        <v>1313</v>
      </c>
    </row>
    <row r="6261" spans="1:3" ht="15">
      <c r="A6261" s="84" t="s">
        <v>358</v>
      </c>
      <c r="B6261" s="83" t="s">
        <v>3199</v>
      </c>
      <c r="C6261" s="91" t="s">
        <v>1313</v>
      </c>
    </row>
    <row r="6262" spans="1:3" ht="15">
      <c r="A6262" s="84" t="s">
        <v>358</v>
      </c>
      <c r="B6262" s="83" t="s">
        <v>3238</v>
      </c>
      <c r="C6262" s="91" t="s">
        <v>1313</v>
      </c>
    </row>
    <row r="6263" spans="1:3" ht="15">
      <c r="A6263" s="84" t="s">
        <v>358</v>
      </c>
      <c r="B6263" s="83" t="s">
        <v>3214</v>
      </c>
      <c r="C6263" s="91" t="s">
        <v>1313</v>
      </c>
    </row>
    <row r="6264" spans="1:3" ht="15">
      <c r="A6264" s="84" t="s">
        <v>358</v>
      </c>
      <c r="B6264" s="83" t="s">
        <v>3368</v>
      </c>
      <c r="C6264" s="91" t="s">
        <v>1313</v>
      </c>
    </row>
    <row r="6265" spans="1:3" ht="15">
      <c r="A6265" s="84" t="s">
        <v>358</v>
      </c>
      <c r="B6265" s="83" t="s">
        <v>3213</v>
      </c>
      <c r="C6265" s="91" t="s">
        <v>1313</v>
      </c>
    </row>
    <row r="6266" spans="1:3" ht="15">
      <c r="A6266" s="84" t="s">
        <v>358</v>
      </c>
      <c r="B6266" s="83" t="s">
        <v>3258</v>
      </c>
      <c r="C6266" s="91" t="s">
        <v>1313</v>
      </c>
    </row>
    <row r="6267" spans="1:3" ht="15">
      <c r="A6267" s="84" t="s">
        <v>358</v>
      </c>
      <c r="B6267" s="83" t="s">
        <v>3369</v>
      </c>
      <c r="C6267" s="91" t="s">
        <v>1313</v>
      </c>
    </row>
    <row r="6268" spans="1:3" ht="15">
      <c r="A6268" s="84" t="s">
        <v>345</v>
      </c>
      <c r="B6268" s="83" t="s">
        <v>3320</v>
      </c>
      <c r="C6268" s="91" t="s">
        <v>1181</v>
      </c>
    </row>
    <row r="6269" spans="1:3" ht="15">
      <c r="A6269" s="84" t="s">
        <v>345</v>
      </c>
      <c r="B6269" s="83" t="s">
        <v>394</v>
      </c>
      <c r="C6269" s="91" t="s">
        <v>1181</v>
      </c>
    </row>
    <row r="6270" spans="1:3" ht="15">
      <c r="A6270" s="84" t="s">
        <v>345</v>
      </c>
      <c r="B6270" s="83" t="s">
        <v>415</v>
      </c>
      <c r="C6270" s="91" t="s">
        <v>1181</v>
      </c>
    </row>
    <row r="6271" spans="1:3" ht="15">
      <c r="A6271" s="84" t="s">
        <v>345</v>
      </c>
      <c r="B6271" s="83" t="s">
        <v>3316</v>
      </c>
      <c r="C6271" s="91" t="s">
        <v>1181</v>
      </c>
    </row>
    <row r="6272" spans="1:3" ht="15">
      <c r="A6272" s="84" t="s">
        <v>345</v>
      </c>
      <c r="B6272" s="83" t="s">
        <v>3388</v>
      </c>
      <c r="C6272" s="91" t="s">
        <v>1181</v>
      </c>
    </row>
    <row r="6273" spans="1:3" ht="15">
      <c r="A6273" s="84" t="s">
        <v>345</v>
      </c>
      <c r="B6273" s="83" t="s">
        <v>2580</v>
      </c>
      <c r="C6273" s="91" t="s">
        <v>1181</v>
      </c>
    </row>
    <row r="6274" spans="1:3" ht="15">
      <c r="A6274" s="84" t="s">
        <v>345</v>
      </c>
      <c r="B6274" s="83" t="s">
        <v>3389</v>
      </c>
      <c r="C6274" s="91" t="s">
        <v>1181</v>
      </c>
    </row>
    <row r="6275" spans="1:3" ht="15">
      <c r="A6275" s="84" t="s">
        <v>345</v>
      </c>
      <c r="B6275" s="83" t="s">
        <v>2568</v>
      </c>
      <c r="C6275" s="91" t="s">
        <v>1181</v>
      </c>
    </row>
    <row r="6276" spans="1:3" ht="15">
      <c r="A6276" s="84" t="s">
        <v>345</v>
      </c>
      <c r="B6276" s="83" t="s">
        <v>3390</v>
      </c>
      <c r="C6276" s="91" t="s">
        <v>1181</v>
      </c>
    </row>
    <row r="6277" spans="1:3" ht="15">
      <c r="A6277" s="84" t="s">
        <v>345</v>
      </c>
      <c r="B6277" s="83" t="s">
        <v>3391</v>
      </c>
      <c r="C6277" s="91" t="s">
        <v>1181</v>
      </c>
    </row>
    <row r="6278" spans="1:3" ht="15">
      <c r="A6278" s="84" t="s">
        <v>345</v>
      </c>
      <c r="B6278" s="83" t="s">
        <v>3392</v>
      </c>
      <c r="C6278" s="91" t="s">
        <v>1181</v>
      </c>
    </row>
    <row r="6279" spans="1:3" ht="15">
      <c r="A6279" s="84" t="s">
        <v>345</v>
      </c>
      <c r="B6279" s="83" t="s">
        <v>3198</v>
      </c>
      <c r="C6279" s="91" t="s">
        <v>1181</v>
      </c>
    </row>
    <row r="6280" spans="1:3" ht="15">
      <c r="A6280" s="84" t="s">
        <v>345</v>
      </c>
      <c r="B6280" s="83" t="s">
        <v>3211</v>
      </c>
      <c r="C6280" s="91" t="s">
        <v>1181</v>
      </c>
    </row>
    <row r="6281" spans="1:3" ht="15">
      <c r="A6281" s="84" t="s">
        <v>345</v>
      </c>
      <c r="B6281" s="83" t="s">
        <v>3212</v>
      </c>
      <c r="C6281" s="91" t="s">
        <v>1181</v>
      </c>
    </row>
    <row r="6282" spans="1:3" ht="15">
      <c r="A6282" s="84" t="s">
        <v>345</v>
      </c>
      <c r="B6282" s="83" t="s">
        <v>3213</v>
      </c>
      <c r="C6282" s="91" t="s">
        <v>1181</v>
      </c>
    </row>
    <row r="6283" spans="1:3" ht="15">
      <c r="A6283" s="84" t="s">
        <v>345</v>
      </c>
      <c r="B6283" s="83" t="s">
        <v>3199</v>
      </c>
      <c r="C6283" s="91" t="s">
        <v>1181</v>
      </c>
    </row>
    <row r="6284" spans="1:3" ht="15">
      <c r="A6284" s="84" t="s">
        <v>345</v>
      </c>
      <c r="B6284" s="83" t="s">
        <v>3218</v>
      </c>
      <c r="C6284" s="91" t="s">
        <v>1181</v>
      </c>
    </row>
    <row r="6285" spans="1:3" ht="15">
      <c r="A6285" s="84" t="s">
        <v>345</v>
      </c>
      <c r="B6285" s="83" t="s">
        <v>3235</v>
      </c>
      <c r="C6285" s="91" t="s">
        <v>1181</v>
      </c>
    </row>
    <row r="6286" spans="1:3" ht="15">
      <c r="A6286" s="84" t="s">
        <v>345</v>
      </c>
      <c r="B6286" s="83" t="s">
        <v>3236</v>
      </c>
      <c r="C6286" s="91" t="s">
        <v>1181</v>
      </c>
    </row>
    <row r="6287" spans="1:3" ht="15">
      <c r="A6287" s="84" t="s">
        <v>345</v>
      </c>
      <c r="B6287" s="83" t="s">
        <v>3221</v>
      </c>
      <c r="C6287" s="91" t="s">
        <v>1181</v>
      </c>
    </row>
    <row r="6288" spans="1:3" ht="15">
      <c r="A6288" s="84" t="s">
        <v>345</v>
      </c>
      <c r="B6288" s="83" t="s">
        <v>3222</v>
      </c>
      <c r="C6288" s="91" t="s">
        <v>1181</v>
      </c>
    </row>
    <row r="6289" spans="1:3" ht="15">
      <c r="A6289" s="84" t="s">
        <v>345</v>
      </c>
      <c r="B6289" s="83" t="s">
        <v>3215</v>
      </c>
      <c r="C6289" s="91" t="s">
        <v>1181</v>
      </c>
    </row>
    <row r="6290" spans="1:3" ht="15">
      <c r="A6290" s="84" t="s">
        <v>345</v>
      </c>
      <c r="B6290" s="83" t="s">
        <v>3237</v>
      </c>
      <c r="C6290" s="91" t="s">
        <v>1181</v>
      </c>
    </row>
    <row r="6291" spans="1:3" ht="15">
      <c r="A6291" s="84" t="s">
        <v>345</v>
      </c>
      <c r="B6291" s="83" t="s">
        <v>3310</v>
      </c>
      <c r="C6291" s="91" t="s">
        <v>1181</v>
      </c>
    </row>
    <row r="6292" spans="1:3" ht="15">
      <c r="A6292" s="84" t="s">
        <v>345</v>
      </c>
      <c r="B6292" s="83" t="s">
        <v>3284</v>
      </c>
      <c r="C6292" s="91" t="s">
        <v>1181</v>
      </c>
    </row>
    <row r="6293" spans="1:3" ht="15">
      <c r="A6293" s="84" t="s">
        <v>345</v>
      </c>
      <c r="B6293" s="83" t="s">
        <v>3393</v>
      </c>
      <c r="C6293" s="91" t="s">
        <v>1181</v>
      </c>
    </row>
    <row r="6294" spans="1:3" ht="15">
      <c r="A6294" s="84" t="s">
        <v>345</v>
      </c>
      <c r="B6294" s="83" t="s">
        <v>3319</v>
      </c>
      <c r="C6294" s="91" t="s">
        <v>1181</v>
      </c>
    </row>
    <row r="6295" spans="1:3" ht="15">
      <c r="A6295" s="84" t="s">
        <v>345</v>
      </c>
      <c r="B6295" s="83" t="s">
        <v>3394</v>
      </c>
      <c r="C6295" s="91" t="s">
        <v>1181</v>
      </c>
    </row>
    <row r="6296" spans="1:3" ht="15">
      <c r="A6296" s="84" t="s">
        <v>394</v>
      </c>
      <c r="B6296" s="83" t="s">
        <v>3316</v>
      </c>
      <c r="C6296" s="91" t="s">
        <v>1310</v>
      </c>
    </row>
    <row r="6297" spans="1:3" ht="15">
      <c r="A6297" s="84" t="s">
        <v>394</v>
      </c>
      <c r="B6297" s="83" t="s">
        <v>3388</v>
      </c>
      <c r="C6297" s="91" t="s">
        <v>1310</v>
      </c>
    </row>
    <row r="6298" spans="1:3" ht="15">
      <c r="A6298" s="84" t="s">
        <v>394</v>
      </c>
      <c r="B6298" s="83" t="s">
        <v>2580</v>
      </c>
      <c r="C6298" s="91" t="s">
        <v>1310</v>
      </c>
    </row>
    <row r="6299" spans="1:3" ht="15">
      <c r="A6299" s="84" t="s">
        <v>394</v>
      </c>
      <c r="B6299" s="83" t="s">
        <v>3389</v>
      </c>
      <c r="C6299" s="91" t="s">
        <v>1310</v>
      </c>
    </row>
    <row r="6300" spans="1:3" ht="15">
      <c r="A6300" s="84" t="s">
        <v>394</v>
      </c>
      <c r="B6300" s="83" t="s">
        <v>2568</v>
      </c>
      <c r="C6300" s="91" t="s">
        <v>1310</v>
      </c>
    </row>
    <row r="6301" spans="1:3" ht="15">
      <c r="A6301" s="84" t="s">
        <v>394</v>
      </c>
      <c r="B6301" s="83" t="s">
        <v>3390</v>
      </c>
      <c r="C6301" s="91" t="s">
        <v>1310</v>
      </c>
    </row>
    <row r="6302" spans="1:3" ht="15">
      <c r="A6302" s="84" t="s">
        <v>394</v>
      </c>
      <c r="B6302" s="83" t="s">
        <v>3391</v>
      </c>
      <c r="C6302" s="91" t="s">
        <v>1310</v>
      </c>
    </row>
    <row r="6303" spans="1:3" ht="15">
      <c r="A6303" s="84" t="s">
        <v>394</v>
      </c>
      <c r="B6303" s="83" t="s">
        <v>3392</v>
      </c>
      <c r="C6303" s="91" t="s">
        <v>1310</v>
      </c>
    </row>
    <row r="6304" spans="1:3" ht="15">
      <c r="A6304" s="84" t="s">
        <v>394</v>
      </c>
      <c r="B6304" s="83" t="s">
        <v>3198</v>
      </c>
      <c r="C6304" s="91" t="s">
        <v>1310</v>
      </c>
    </row>
    <row r="6305" spans="1:3" ht="15">
      <c r="A6305" s="84" t="s">
        <v>394</v>
      </c>
      <c r="B6305" s="83" t="s">
        <v>3211</v>
      </c>
      <c r="C6305" s="91" t="s">
        <v>1310</v>
      </c>
    </row>
    <row r="6306" spans="1:3" ht="15">
      <c r="A6306" s="84" t="s">
        <v>394</v>
      </c>
      <c r="B6306" s="83" t="s">
        <v>3212</v>
      </c>
      <c r="C6306" s="91" t="s">
        <v>1310</v>
      </c>
    </row>
    <row r="6307" spans="1:3" ht="15">
      <c r="A6307" s="84" t="s">
        <v>394</v>
      </c>
      <c r="B6307" s="83" t="s">
        <v>3213</v>
      </c>
      <c r="C6307" s="91" t="s">
        <v>1310</v>
      </c>
    </row>
    <row r="6308" spans="1:3" ht="15">
      <c r="A6308" s="84" t="s">
        <v>394</v>
      </c>
      <c r="B6308" s="83" t="s">
        <v>3199</v>
      </c>
      <c r="C6308" s="91" t="s">
        <v>1310</v>
      </c>
    </row>
    <row r="6309" spans="1:3" ht="15">
      <c r="A6309" s="84" t="s">
        <v>394</v>
      </c>
      <c r="B6309" s="83" t="s">
        <v>3218</v>
      </c>
      <c r="C6309" s="91" t="s">
        <v>1310</v>
      </c>
    </row>
    <row r="6310" spans="1:3" ht="15">
      <c r="A6310" s="84" t="s">
        <v>394</v>
      </c>
      <c r="B6310" s="83" t="s">
        <v>3235</v>
      </c>
      <c r="C6310" s="91" t="s">
        <v>1310</v>
      </c>
    </row>
    <row r="6311" spans="1:3" ht="15">
      <c r="A6311" s="84" t="s">
        <v>394</v>
      </c>
      <c r="B6311" s="83" t="s">
        <v>3236</v>
      </c>
      <c r="C6311" s="91" t="s">
        <v>1310</v>
      </c>
    </row>
    <row r="6312" spans="1:3" ht="15">
      <c r="A6312" s="84" t="s">
        <v>394</v>
      </c>
      <c r="B6312" s="83" t="s">
        <v>3221</v>
      </c>
      <c r="C6312" s="91" t="s">
        <v>1310</v>
      </c>
    </row>
    <row r="6313" spans="1:3" ht="15">
      <c r="A6313" s="84" t="s">
        <v>394</v>
      </c>
      <c r="B6313" s="83" t="s">
        <v>3222</v>
      </c>
      <c r="C6313" s="91" t="s">
        <v>1310</v>
      </c>
    </row>
    <row r="6314" spans="1:3" ht="15">
      <c r="A6314" s="84" t="s">
        <v>394</v>
      </c>
      <c r="B6314" s="83" t="s">
        <v>3215</v>
      </c>
      <c r="C6314" s="91" t="s">
        <v>1310</v>
      </c>
    </row>
    <row r="6315" spans="1:3" ht="15">
      <c r="A6315" s="84" t="s">
        <v>394</v>
      </c>
      <c r="B6315" s="83" t="s">
        <v>3237</v>
      </c>
      <c r="C6315" s="91" t="s">
        <v>1310</v>
      </c>
    </row>
    <row r="6316" spans="1:3" ht="15">
      <c r="A6316" s="84" t="s">
        <v>394</v>
      </c>
      <c r="B6316" s="83" t="s">
        <v>3310</v>
      </c>
      <c r="C6316" s="91" t="s">
        <v>1310</v>
      </c>
    </row>
    <row r="6317" spans="1:3" ht="15">
      <c r="A6317" s="84" t="s">
        <v>394</v>
      </c>
      <c r="B6317" s="83" t="s">
        <v>3284</v>
      </c>
      <c r="C6317" s="91" t="s">
        <v>1310</v>
      </c>
    </row>
    <row r="6318" spans="1:3" ht="15">
      <c r="A6318" s="84" t="s">
        <v>394</v>
      </c>
      <c r="B6318" s="83" t="s">
        <v>3393</v>
      </c>
      <c r="C6318" s="91" t="s">
        <v>1310</v>
      </c>
    </row>
    <row r="6319" spans="1:3" ht="15">
      <c r="A6319" s="84" t="s">
        <v>394</v>
      </c>
      <c r="B6319" s="83" t="s">
        <v>3319</v>
      </c>
      <c r="C6319" s="91" t="s">
        <v>1310</v>
      </c>
    </row>
    <row r="6320" spans="1:3" ht="15">
      <c r="A6320" s="84" t="s">
        <v>394</v>
      </c>
      <c r="B6320" s="83" t="s">
        <v>3214</v>
      </c>
      <c r="C6320" s="91" t="s">
        <v>1310</v>
      </c>
    </row>
    <row r="6321" spans="1:3" ht="15">
      <c r="A6321" s="84" t="s">
        <v>394</v>
      </c>
      <c r="B6321" s="83" t="s">
        <v>3223</v>
      </c>
      <c r="C6321" s="91" t="s">
        <v>1310</v>
      </c>
    </row>
    <row r="6322" spans="1:3" ht="15">
      <c r="A6322" s="84" t="s">
        <v>345</v>
      </c>
      <c r="B6322" s="83" t="s">
        <v>3203</v>
      </c>
      <c r="C6322" s="91" t="s">
        <v>1182</v>
      </c>
    </row>
    <row r="6323" spans="1:3" ht="15">
      <c r="A6323" s="84" t="s">
        <v>345</v>
      </c>
      <c r="B6323" s="83">
        <v>19</v>
      </c>
      <c r="C6323" s="91" t="s">
        <v>1182</v>
      </c>
    </row>
    <row r="6324" spans="1:3" ht="15">
      <c r="A6324" s="84" t="s">
        <v>345</v>
      </c>
      <c r="B6324" s="83" t="s">
        <v>2630</v>
      </c>
      <c r="C6324" s="91" t="s">
        <v>1182</v>
      </c>
    </row>
    <row r="6325" spans="1:3" ht="15">
      <c r="A6325" s="84" t="s">
        <v>345</v>
      </c>
      <c r="B6325" s="83" t="s">
        <v>2664</v>
      </c>
      <c r="C6325" s="91" t="s">
        <v>1182</v>
      </c>
    </row>
    <row r="6326" spans="1:3" ht="15">
      <c r="A6326" s="84" t="s">
        <v>345</v>
      </c>
      <c r="B6326" s="83" t="s">
        <v>2591</v>
      </c>
      <c r="C6326" s="91" t="s">
        <v>1182</v>
      </c>
    </row>
    <row r="6327" spans="1:3" ht="15">
      <c r="A6327" s="84" t="s">
        <v>345</v>
      </c>
      <c r="B6327" s="83" t="s">
        <v>3028</v>
      </c>
      <c r="C6327" s="91" t="s">
        <v>1182</v>
      </c>
    </row>
    <row r="6328" spans="1:3" ht="15">
      <c r="A6328" s="84" t="s">
        <v>345</v>
      </c>
      <c r="B6328" s="83" t="s">
        <v>3029</v>
      </c>
      <c r="C6328" s="91" t="s">
        <v>1182</v>
      </c>
    </row>
    <row r="6329" spans="1:3" ht="15">
      <c r="A6329" s="84" t="s">
        <v>345</v>
      </c>
      <c r="B6329" s="83" t="s">
        <v>3379</v>
      </c>
      <c r="C6329" s="91" t="s">
        <v>1182</v>
      </c>
    </row>
    <row r="6330" spans="1:3" ht="15">
      <c r="A6330" s="84" t="s">
        <v>345</v>
      </c>
      <c r="B6330" s="83" t="s">
        <v>2752</v>
      </c>
      <c r="C6330" s="91" t="s">
        <v>1182</v>
      </c>
    </row>
    <row r="6331" spans="1:3" ht="15">
      <c r="A6331" s="84" t="s">
        <v>345</v>
      </c>
      <c r="B6331" s="83" t="s">
        <v>3340</v>
      </c>
      <c r="C6331" s="91" t="s">
        <v>1182</v>
      </c>
    </row>
    <row r="6332" spans="1:3" ht="15">
      <c r="A6332" s="84" t="s">
        <v>345</v>
      </c>
      <c r="B6332" s="83" t="s">
        <v>3198</v>
      </c>
      <c r="C6332" s="91" t="s">
        <v>1182</v>
      </c>
    </row>
    <row r="6333" spans="1:3" ht="15">
      <c r="A6333" s="84" t="s">
        <v>345</v>
      </c>
      <c r="B6333" s="83" t="s">
        <v>3214</v>
      </c>
      <c r="C6333" s="91" t="s">
        <v>1182</v>
      </c>
    </row>
    <row r="6334" spans="1:3" ht="15">
      <c r="A6334" s="84" t="s">
        <v>345</v>
      </c>
      <c r="B6334" s="83" t="s">
        <v>3411</v>
      </c>
      <c r="C6334" s="91" t="s">
        <v>1182</v>
      </c>
    </row>
    <row r="6335" spans="1:3" ht="15">
      <c r="A6335" s="84" t="s">
        <v>345</v>
      </c>
      <c r="B6335" s="83" t="s">
        <v>3223</v>
      </c>
      <c r="C6335" s="91" t="s">
        <v>1182</v>
      </c>
    </row>
    <row r="6336" spans="1:3" ht="15">
      <c r="A6336" s="84" t="s">
        <v>345</v>
      </c>
      <c r="B6336" s="83" t="s">
        <v>3211</v>
      </c>
      <c r="C6336" s="91" t="s">
        <v>1182</v>
      </c>
    </row>
    <row r="6337" spans="1:3" ht="15">
      <c r="A6337" s="84" t="s">
        <v>345</v>
      </c>
      <c r="B6337" s="83" t="s">
        <v>3415</v>
      </c>
      <c r="C6337" s="91" t="s">
        <v>1182</v>
      </c>
    </row>
    <row r="6338" spans="1:3" ht="15">
      <c r="A6338" s="84" t="s">
        <v>345</v>
      </c>
      <c r="B6338" s="83" t="s">
        <v>3532</v>
      </c>
      <c r="C6338" s="91" t="s">
        <v>1182</v>
      </c>
    </row>
    <row r="6339" spans="1:3" ht="15">
      <c r="A6339" s="84" t="s">
        <v>345</v>
      </c>
      <c r="B6339" s="83" t="s">
        <v>3417</v>
      </c>
      <c r="C6339" s="91" t="s">
        <v>1182</v>
      </c>
    </row>
    <row r="6340" spans="1:3" ht="15">
      <c r="A6340" s="84" t="s">
        <v>345</v>
      </c>
      <c r="B6340" s="83" t="s">
        <v>3418</v>
      </c>
      <c r="C6340" s="91" t="s">
        <v>1182</v>
      </c>
    </row>
    <row r="6341" spans="1:3" ht="15">
      <c r="A6341" s="84" t="s">
        <v>345</v>
      </c>
      <c r="B6341" s="83" t="s">
        <v>3412</v>
      </c>
      <c r="C6341" s="91" t="s">
        <v>1182</v>
      </c>
    </row>
    <row r="6342" spans="1:3" ht="15">
      <c r="A6342" s="84" t="s">
        <v>345</v>
      </c>
      <c r="B6342" s="83" t="s">
        <v>3413</v>
      </c>
      <c r="C6342" s="91" t="s">
        <v>1182</v>
      </c>
    </row>
    <row r="6343" spans="1:3" ht="15">
      <c r="A6343" s="84" t="s">
        <v>345</v>
      </c>
      <c r="B6343" s="83" t="s">
        <v>3215</v>
      </c>
      <c r="C6343" s="91" t="s">
        <v>1182</v>
      </c>
    </row>
    <row r="6344" spans="1:3" ht="15">
      <c r="A6344" s="84" t="s">
        <v>345</v>
      </c>
      <c r="B6344" s="83" t="s">
        <v>3219</v>
      </c>
      <c r="C6344" s="91" t="s">
        <v>1182</v>
      </c>
    </row>
    <row r="6345" spans="1:3" ht="15">
      <c r="A6345" s="84" t="s">
        <v>345</v>
      </c>
      <c r="B6345" s="83" t="s">
        <v>3221</v>
      </c>
      <c r="C6345" s="91" t="s">
        <v>1182</v>
      </c>
    </row>
    <row r="6346" spans="1:3" ht="15">
      <c r="A6346" s="84" t="s">
        <v>345</v>
      </c>
      <c r="B6346" s="83" t="s">
        <v>3254</v>
      </c>
      <c r="C6346" s="91" t="s">
        <v>1182</v>
      </c>
    </row>
    <row r="6347" spans="1:3" ht="15">
      <c r="A6347" s="84" t="s">
        <v>345</v>
      </c>
      <c r="B6347" s="83" t="s">
        <v>3420</v>
      </c>
      <c r="C6347" s="91" t="s">
        <v>1182</v>
      </c>
    </row>
    <row r="6348" spans="1:3" ht="15">
      <c r="A6348" s="84" t="s">
        <v>345</v>
      </c>
      <c r="B6348" s="83" t="s">
        <v>3421</v>
      </c>
      <c r="C6348" s="91" t="s">
        <v>1182</v>
      </c>
    </row>
    <row r="6349" spans="1:3" ht="15">
      <c r="A6349" s="84" t="s">
        <v>345</v>
      </c>
      <c r="B6349" s="83" t="s">
        <v>3199</v>
      </c>
      <c r="C6349" s="91" t="s">
        <v>1182</v>
      </c>
    </row>
    <row r="6350" spans="1:3" ht="15">
      <c r="A6350" s="84" t="s">
        <v>345</v>
      </c>
      <c r="B6350" s="83" t="s">
        <v>3393</v>
      </c>
      <c r="C6350" s="91" t="s">
        <v>1182</v>
      </c>
    </row>
    <row r="6351" spans="1:3" ht="15">
      <c r="A6351" s="84" t="s">
        <v>345</v>
      </c>
      <c r="B6351" s="83" t="s">
        <v>3328</v>
      </c>
      <c r="C6351" s="91" t="s">
        <v>1180</v>
      </c>
    </row>
    <row r="6352" spans="1:3" ht="15">
      <c r="A6352" s="84" t="s">
        <v>345</v>
      </c>
      <c r="B6352" s="83" t="s">
        <v>3225</v>
      </c>
      <c r="C6352" s="91" t="s">
        <v>1180</v>
      </c>
    </row>
    <row r="6353" spans="1:3" ht="15">
      <c r="A6353" s="84" t="s">
        <v>345</v>
      </c>
      <c r="B6353" s="83" t="s">
        <v>2648</v>
      </c>
      <c r="C6353" s="91" t="s">
        <v>1180</v>
      </c>
    </row>
    <row r="6354" spans="1:3" ht="15">
      <c r="A6354" s="84" t="s">
        <v>345</v>
      </c>
      <c r="B6354" s="83" t="s">
        <v>3408</v>
      </c>
      <c r="C6354" s="91" t="s">
        <v>1180</v>
      </c>
    </row>
    <row r="6355" spans="1:3" ht="15">
      <c r="A6355" s="84" t="s">
        <v>345</v>
      </c>
      <c r="B6355" s="83" t="s">
        <v>2582</v>
      </c>
      <c r="C6355" s="91" t="s">
        <v>1180</v>
      </c>
    </row>
    <row r="6356" spans="1:3" ht="15">
      <c r="A6356" s="84" t="s">
        <v>345</v>
      </c>
      <c r="B6356" s="83" t="s">
        <v>2589</v>
      </c>
      <c r="C6356" s="91" t="s">
        <v>1180</v>
      </c>
    </row>
    <row r="6357" spans="1:3" ht="15">
      <c r="A6357" s="84" t="s">
        <v>345</v>
      </c>
      <c r="B6357" s="83" t="s">
        <v>3409</v>
      </c>
      <c r="C6357" s="91" t="s">
        <v>1180</v>
      </c>
    </row>
    <row r="6358" spans="1:3" ht="15">
      <c r="A6358" s="84" t="s">
        <v>345</v>
      </c>
      <c r="B6358" s="83" t="s">
        <v>3203</v>
      </c>
      <c r="C6358" s="91" t="s">
        <v>1180</v>
      </c>
    </row>
    <row r="6359" spans="1:3" ht="15">
      <c r="A6359" s="84" t="s">
        <v>345</v>
      </c>
      <c r="B6359" s="83" t="s">
        <v>3410</v>
      </c>
      <c r="C6359" s="91" t="s">
        <v>1180</v>
      </c>
    </row>
    <row r="6360" spans="1:3" ht="15">
      <c r="A6360" s="84" t="s">
        <v>345</v>
      </c>
      <c r="B6360" s="83" t="s">
        <v>3198</v>
      </c>
      <c r="C6360" s="91" t="s">
        <v>1180</v>
      </c>
    </row>
    <row r="6361" spans="1:3" ht="15">
      <c r="A6361" s="84" t="s">
        <v>345</v>
      </c>
      <c r="B6361" s="83" t="s">
        <v>3214</v>
      </c>
      <c r="C6361" s="91" t="s">
        <v>1180</v>
      </c>
    </row>
    <row r="6362" spans="1:3" ht="15">
      <c r="A6362" s="84" t="s">
        <v>345</v>
      </c>
      <c r="B6362" s="83" t="s">
        <v>3411</v>
      </c>
      <c r="C6362" s="91" t="s">
        <v>1180</v>
      </c>
    </row>
    <row r="6363" spans="1:3" ht="15">
      <c r="A6363" s="84" t="s">
        <v>345</v>
      </c>
      <c r="B6363" s="83" t="s">
        <v>3412</v>
      </c>
      <c r="C6363" s="91" t="s">
        <v>1180</v>
      </c>
    </row>
    <row r="6364" spans="1:3" ht="15">
      <c r="A6364" s="84" t="s">
        <v>345</v>
      </c>
      <c r="B6364" s="83" t="s">
        <v>3413</v>
      </c>
      <c r="C6364" s="91" t="s">
        <v>1180</v>
      </c>
    </row>
    <row r="6365" spans="1:3" ht="15">
      <c r="A6365" s="84" t="s">
        <v>345</v>
      </c>
      <c r="B6365" s="83" t="s">
        <v>3215</v>
      </c>
      <c r="C6365" s="91" t="s">
        <v>1180</v>
      </c>
    </row>
    <row r="6366" spans="1:3" ht="15">
      <c r="A6366" s="84" t="s">
        <v>345</v>
      </c>
      <c r="B6366" s="83" t="s">
        <v>3414</v>
      </c>
      <c r="C6366" s="91" t="s">
        <v>1180</v>
      </c>
    </row>
    <row r="6367" spans="1:3" ht="15">
      <c r="A6367" s="84" t="s">
        <v>345</v>
      </c>
      <c r="B6367" s="83" t="s">
        <v>3415</v>
      </c>
      <c r="C6367" s="91" t="s">
        <v>1180</v>
      </c>
    </row>
    <row r="6368" spans="1:3" ht="15">
      <c r="A6368" s="84" t="s">
        <v>345</v>
      </c>
      <c r="B6368" s="83" t="s">
        <v>3416</v>
      </c>
      <c r="C6368" s="91" t="s">
        <v>1180</v>
      </c>
    </row>
    <row r="6369" spans="1:3" ht="15">
      <c r="A6369" s="84" t="s">
        <v>345</v>
      </c>
      <c r="B6369" s="83" t="s">
        <v>3417</v>
      </c>
      <c r="C6369" s="91" t="s">
        <v>1180</v>
      </c>
    </row>
    <row r="6370" spans="1:3" ht="15">
      <c r="A6370" s="84" t="s">
        <v>345</v>
      </c>
      <c r="B6370" s="83" t="s">
        <v>3418</v>
      </c>
      <c r="C6370" s="91" t="s">
        <v>1180</v>
      </c>
    </row>
    <row r="6371" spans="1:3" ht="15">
      <c r="A6371" s="84" t="s">
        <v>345</v>
      </c>
      <c r="B6371" s="83" t="s">
        <v>3419</v>
      </c>
      <c r="C6371" s="91" t="s">
        <v>1180</v>
      </c>
    </row>
    <row r="6372" spans="1:3" ht="15">
      <c r="A6372" s="84" t="s">
        <v>345</v>
      </c>
      <c r="B6372" s="83" t="s">
        <v>3221</v>
      </c>
      <c r="C6372" s="91" t="s">
        <v>1180</v>
      </c>
    </row>
    <row r="6373" spans="1:3" ht="15">
      <c r="A6373" s="84" t="s">
        <v>345</v>
      </c>
      <c r="B6373" s="83" t="s">
        <v>3254</v>
      </c>
      <c r="C6373" s="91" t="s">
        <v>1180</v>
      </c>
    </row>
    <row r="6374" spans="1:3" ht="15">
      <c r="A6374" s="84" t="s">
        <v>345</v>
      </c>
      <c r="B6374" s="83" t="s">
        <v>3420</v>
      </c>
      <c r="C6374" s="91" t="s">
        <v>1180</v>
      </c>
    </row>
    <row r="6375" spans="1:3" ht="15">
      <c r="A6375" s="84" t="s">
        <v>345</v>
      </c>
      <c r="B6375" s="83" t="s">
        <v>3421</v>
      </c>
      <c r="C6375" s="91" t="s">
        <v>1180</v>
      </c>
    </row>
    <row r="6376" spans="1:3" ht="15">
      <c r="A6376" s="84" t="s">
        <v>345</v>
      </c>
      <c r="B6376" s="83" t="s">
        <v>586</v>
      </c>
      <c r="C6376" s="91" t="s">
        <v>1180</v>
      </c>
    </row>
    <row r="6377" spans="1:3" ht="15">
      <c r="A6377" s="84" t="s">
        <v>345</v>
      </c>
      <c r="B6377" s="83" t="s">
        <v>3393</v>
      </c>
      <c r="C6377" s="91" t="s">
        <v>1180</v>
      </c>
    </row>
    <row r="6378" spans="1:3" ht="15">
      <c r="A6378" s="84" t="s">
        <v>345</v>
      </c>
      <c r="B6378" s="83" t="s">
        <v>3422</v>
      </c>
      <c r="C6378" s="91" t="s">
        <v>1180</v>
      </c>
    </row>
    <row r="6379" spans="1:3" ht="15">
      <c r="A6379" s="84" t="s">
        <v>345</v>
      </c>
      <c r="B6379" s="83" t="s">
        <v>3423</v>
      </c>
      <c r="C6379" s="91" t="s">
        <v>1179</v>
      </c>
    </row>
    <row r="6380" spans="1:3" ht="15">
      <c r="A6380" s="84" t="s">
        <v>345</v>
      </c>
      <c r="B6380" s="83" t="s">
        <v>3203</v>
      </c>
      <c r="C6380" s="91" t="s">
        <v>1179</v>
      </c>
    </row>
    <row r="6381" spans="1:3" ht="15">
      <c r="A6381" s="84" t="s">
        <v>345</v>
      </c>
      <c r="B6381" s="83">
        <v>19</v>
      </c>
      <c r="C6381" s="91" t="s">
        <v>1179</v>
      </c>
    </row>
    <row r="6382" spans="1:3" ht="15">
      <c r="A6382" s="84" t="s">
        <v>345</v>
      </c>
      <c r="B6382" s="83" t="s">
        <v>2697</v>
      </c>
      <c r="C6382" s="91" t="s">
        <v>1179</v>
      </c>
    </row>
    <row r="6383" spans="1:3" ht="15">
      <c r="A6383" s="84" t="s">
        <v>345</v>
      </c>
      <c r="B6383" s="83" t="s">
        <v>2590</v>
      </c>
      <c r="C6383" s="91" t="s">
        <v>1179</v>
      </c>
    </row>
    <row r="6384" spans="1:3" ht="15">
      <c r="A6384" s="84" t="s">
        <v>345</v>
      </c>
      <c r="B6384" s="83" t="s">
        <v>3424</v>
      </c>
      <c r="C6384" s="91" t="s">
        <v>1179</v>
      </c>
    </row>
    <row r="6385" spans="1:3" ht="15">
      <c r="A6385" s="84" t="s">
        <v>345</v>
      </c>
      <c r="B6385" s="83" t="s">
        <v>3198</v>
      </c>
      <c r="C6385" s="91" t="s">
        <v>1179</v>
      </c>
    </row>
    <row r="6386" spans="1:3" ht="15">
      <c r="A6386" s="84" t="s">
        <v>345</v>
      </c>
      <c r="B6386" s="83" t="s">
        <v>3411</v>
      </c>
      <c r="C6386" s="91" t="s">
        <v>1179</v>
      </c>
    </row>
    <row r="6387" spans="1:3" ht="15">
      <c r="A6387" s="84" t="s">
        <v>345</v>
      </c>
      <c r="B6387" s="83" t="s">
        <v>3223</v>
      </c>
      <c r="C6387" s="91" t="s">
        <v>1179</v>
      </c>
    </row>
    <row r="6388" spans="1:3" ht="15">
      <c r="A6388" s="84" t="s">
        <v>345</v>
      </c>
      <c r="B6388" s="83" t="s">
        <v>3412</v>
      </c>
      <c r="C6388" s="91" t="s">
        <v>1179</v>
      </c>
    </row>
    <row r="6389" spans="1:3" ht="15">
      <c r="A6389" s="84" t="s">
        <v>345</v>
      </c>
      <c r="B6389" s="83" t="s">
        <v>3413</v>
      </c>
      <c r="C6389" s="91" t="s">
        <v>1179</v>
      </c>
    </row>
    <row r="6390" spans="1:3" ht="15">
      <c r="A6390" s="84" t="s">
        <v>345</v>
      </c>
      <c r="B6390" s="83" t="s">
        <v>3215</v>
      </c>
      <c r="C6390" s="91" t="s">
        <v>1179</v>
      </c>
    </row>
    <row r="6391" spans="1:3" ht="15">
      <c r="A6391" s="84" t="s">
        <v>345</v>
      </c>
      <c r="B6391" s="83" t="s">
        <v>3414</v>
      </c>
      <c r="C6391" s="91" t="s">
        <v>1179</v>
      </c>
    </row>
    <row r="6392" spans="1:3" ht="15">
      <c r="A6392" s="84" t="s">
        <v>345</v>
      </c>
      <c r="B6392" s="83" t="s">
        <v>3415</v>
      </c>
      <c r="C6392" s="91" t="s">
        <v>1179</v>
      </c>
    </row>
    <row r="6393" spans="1:3" ht="15">
      <c r="A6393" s="84" t="s">
        <v>345</v>
      </c>
      <c r="B6393" s="83" t="s">
        <v>3416</v>
      </c>
      <c r="C6393" s="91" t="s">
        <v>1179</v>
      </c>
    </row>
    <row r="6394" spans="1:3" ht="15">
      <c r="A6394" s="84" t="s">
        <v>345</v>
      </c>
      <c r="B6394" s="83" t="s">
        <v>3425</v>
      </c>
      <c r="C6394" s="91" t="s">
        <v>1179</v>
      </c>
    </row>
    <row r="6395" spans="1:3" ht="15">
      <c r="A6395" s="84" t="s">
        <v>345</v>
      </c>
      <c r="B6395" s="83" t="s">
        <v>3418</v>
      </c>
      <c r="C6395" s="91" t="s">
        <v>1179</v>
      </c>
    </row>
    <row r="6396" spans="1:3" ht="15">
      <c r="A6396" s="84" t="s">
        <v>345</v>
      </c>
      <c r="B6396" s="83" t="s">
        <v>3219</v>
      </c>
      <c r="C6396" s="91" t="s">
        <v>1179</v>
      </c>
    </row>
    <row r="6397" spans="1:3" ht="15">
      <c r="A6397" s="84" t="s">
        <v>345</v>
      </c>
      <c r="B6397" s="83" t="s">
        <v>3221</v>
      </c>
      <c r="C6397" s="91" t="s">
        <v>1179</v>
      </c>
    </row>
    <row r="6398" spans="1:3" ht="15">
      <c r="A6398" s="84" t="s">
        <v>345</v>
      </c>
      <c r="B6398" s="83" t="s">
        <v>3254</v>
      </c>
      <c r="C6398" s="91" t="s">
        <v>1179</v>
      </c>
    </row>
    <row r="6399" spans="1:3" ht="15">
      <c r="A6399" s="84" t="s">
        <v>345</v>
      </c>
      <c r="B6399" s="83" t="s">
        <v>3421</v>
      </c>
      <c r="C6399" s="91" t="s">
        <v>1179</v>
      </c>
    </row>
    <row r="6400" spans="1:3" ht="15">
      <c r="A6400" s="84" t="s">
        <v>345</v>
      </c>
      <c r="B6400" s="83" t="s">
        <v>3199</v>
      </c>
      <c r="C6400" s="91" t="s">
        <v>1179</v>
      </c>
    </row>
    <row r="6401" spans="1:3" ht="15">
      <c r="A6401" s="84" t="s">
        <v>345</v>
      </c>
      <c r="B6401" s="83" t="s">
        <v>3393</v>
      </c>
      <c r="C6401" s="91" t="s">
        <v>1179</v>
      </c>
    </row>
    <row r="6402" spans="1:3" ht="15">
      <c r="A6402" s="84" t="s">
        <v>345</v>
      </c>
      <c r="B6402" s="83" t="s">
        <v>3426</v>
      </c>
      <c r="C6402" s="91" t="s">
        <v>1179</v>
      </c>
    </row>
    <row r="6403" spans="1:3" ht="15">
      <c r="A6403" s="84" t="s">
        <v>345</v>
      </c>
      <c r="B6403" s="83" t="s">
        <v>3420</v>
      </c>
      <c r="C6403" s="91" t="s">
        <v>1179</v>
      </c>
    </row>
    <row r="6404" spans="1:3" ht="15">
      <c r="A6404" s="84" t="s">
        <v>345</v>
      </c>
      <c r="B6404" s="83" t="s">
        <v>3206</v>
      </c>
      <c r="C6404" s="91" t="s">
        <v>1178</v>
      </c>
    </row>
    <row r="6405" spans="1:3" ht="15">
      <c r="A6405" s="84" t="s">
        <v>345</v>
      </c>
      <c r="B6405" s="83" t="s">
        <v>3207</v>
      </c>
      <c r="C6405" s="91" t="s">
        <v>1178</v>
      </c>
    </row>
    <row r="6406" spans="1:3" ht="15">
      <c r="A6406" s="84" t="s">
        <v>345</v>
      </c>
      <c r="B6406" s="83" t="s">
        <v>3208</v>
      </c>
      <c r="C6406" s="91" t="s">
        <v>1178</v>
      </c>
    </row>
    <row r="6407" spans="1:3" ht="15">
      <c r="A6407" s="84" t="s">
        <v>345</v>
      </c>
      <c r="B6407" s="83" t="s">
        <v>195</v>
      </c>
      <c r="C6407" s="91" t="s">
        <v>1178</v>
      </c>
    </row>
    <row r="6408" spans="1:3" ht="15">
      <c r="A6408" s="84" t="s">
        <v>345</v>
      </c>
      <c r="B6408" s="83" t="s">
        <v>3209</v>
      </c>
      <c r="C6408" s="91" t="s">
        <v>1178</v>
      </c>
    </row>
    <row r="6409" spans="1:3" ht="15">
      <c r="A6409" s="84" t="s">
        <v>345</v>
      </c>
      <c r="B6409" s="83" t="s">
        <v>2576</v>
      </c>
      <c r="C6409" s="91" t="s">
        <v>1178</v>
      </c>
    </row>
    <row r="6410" spans="1:3" ht="15">
      <c r="A6410" s="84" t="s">
        <v>345</v>
      </c>
      <c r="B6410" s="83" t="s">
        <v>3210</v>
      </c>
      <c r="C6410" s="91" t="s">
        <v>1178</v>
      </c>
    </row>
    <row r="6411" spans="1:3" ht="15">
      <c r="A6411" s="84" t="s">
        <v>345</v>
      </c>
      <c r="B6411" s="83">
        <v>19</v>
      </c>
      <c r="C6411" s="91" t="s">
        <v>1178</v>
      </c>
    </row>
    <row r="6412" spans="1:3" ht="15">
      <c r="A6412" s="84" t="s">
        <v>345</v>
      </c>
      <c r="B6412" s="83" t="s">
        <v>3211</v>
      </c>
      <c r="C6412" s="91" t="s">
        <v>1178</v>
      </c>
    </row>
    <row r="6413" spans="1:3" ht="15">
      <c r="A6413" s="84" t="s">
        <v>345</v>
      </c>
      <c r="B6413" s="83" t="s">
        <v>3212</v>
      </c>
      <c r="C6413" s="91" t="s">
        <v>1178</v>
      </c>
    </row>
    <row r="6414" spans="1:3" ht="15">
      <c r="A6414" s="84" t="s">
        <v>345</v>
      </c>
      <c r="B6414" s="83" t="s">
        <v>3198</v>
      </c>
      <c r="C6414" s="91" t="s">
        <v>1178</v>
      </c>
    </row>
    <row r="6415" spans="1:3" ht="15">
      <c r="A6415" s="84" t="s">
        <v>345</v>
      </c>
      <c r="B6415" s="83" t="s">
        <v>3213</v>
      </c>
      <c r="C6415" s="91" t="s">
        <v>1178</v>
      </c>
    </row>
    <row r="6416" spans="1:3" ht="15">
      <c r="A6416" s="84" t="s">
        <v>345</v>
      </c>
      <c r="B6416" s="83" t="s">
        <v>3214</v>
      </c>
      <c r="C6416" s="91" t="s">
        <v>1178</v>
      </c>
    </row>
    <row r="6417" spans="1:3" ht="15">
      <c r="A6417" s="84" t="s">
        <v>345</v>
      </c>
      <c r="B6417" s="83" t="s">
        <v>3215</v>
      </c>
      <c r="C6417" s="91" t="s">
        <v>1178</v>
      </c>
    </row>
    <row r="6418" spans="1:3" ht="15">
      <c r="A6418" s="84" t="s">
        <v>345</v>
      </c>
      <c r="B6418" s="83" t="s">
        <v>3216</v>
      </c>
      <c r="C6418" s="91" t="s">
        <v>1178</v>
      </c>
    </row>
    <row r="6419" spans="1:3" ht="15">
      <c r="A6419" s="84" t="s">
        <v>345</v>
      </c>
      <c r="B6419" s="83" t="s">
        <v>3217</v>
      </c>
      <c r="C6419" s="91" t="s">
        <v>1178</v>
      </c>
    </row>
    <row r="6420" spans="1:3" ht="15">
      <c r="A6420" s="84" t="s">
        <v>345</v>
      </c>
      <c r="B6420" s="83" t="s">
        <v>3199</v>
      </c>
      <c r="C6420" s="91" t="s">
        <v>1178</v>
      </c>
    </row>
    <row r="6421" spans="1:3" ht="15">
      <c r="A6421" s="84" t="s">
        <v>345</v>
      </c>
      <c r="B6421" s="83" t="s">
        <v>3218</v>
      </c>
      <c r="C6421" s="91" t="s">
        <v>1178</v>
      </c>
    </row>
    <row r="6422" spans="1:3" ht="15">
      <c r="A6422" s="84" t="s">
        <v>345</v>
      </c>
      <c r="B6422" s="83" t="s">
        <v>3219</v>
      </c>
      <c r="C6422" s="91" t="s">
        <v>1178</v>
      </c>
    </row>
    <row r="6423" spans="1:3" ht="15">
      <c r="A6423" s="84" t="s">
        <v>345</v>
      </c>
      <c r="B6423" s="83" t="s">
        <v>3220</v>
      </c>
      <c r="C6423" s="91" t="s">
        <v>1178</v>
      </c>
    </row>
    <row r="6424" spans="1:3" ht="15">
      <c r="A6424" s="84" t="s">
        <v>345</v>
      </c>
      <c r="B6424" s="83" t="s">
        <v>3221</v>
      </c>
      <c r="C6424" s="91" t="s">
        <v>1178</v>
      </c>
    </row>
    <row r="6425" spans="1:3" ht="15">
      <c r="A6425" s="84" t="s">
        <v>345</v>
      </c>
      <c r="B6425" s="83" t="s">
        <v>3222</v>
      </c>
      <c r="C6425" s="91" t="s">
        <v>1178</v>
      </c>
    </row>
    <row r="6426" spans="1:3" ht="15">
      <c r="A6426" s="84" t="s">
        <v>345</v>
      </c>
      <c r="B6426" s="83" t="s">
        <v>3223</v>
      </c>
      <c r="C6426" s="91" t="s">
        <v>1178</v>
      </c>
    </row>
    <row r="6427" spans="1:3" ht="15">
      <c r="A6427" s="84" t="s">
        <v>345</v>
      </c>
      <c r="B6427" s="83" t="s">
        <v>3224</v>
      </c>
      <c r="C6427" s="91" t="s">
        <v>1178</v>
      </c>
    </row>
    <row r="6428" spans="1:3" ht="15">
      <c r="A6428" s="84" t="s">
        <v>345</v>
      </c>
      <c r="B6428" s="83" t="s">
        <v>3225</v>
      </c>
      <c r="C6428" s="91" t="s">
        <v>1178</v>
      </c>
    </row>
    <row r="6429" spans="1:3" ht="15">
      <c r="A6429" s="84" t="s">
        <v>345</v>
      </c>
      <c r="B6429" s="83" t="s">
        <v>3328</v>
      </c>
      <c r="C6429" s="91" t="s">
        <v>1177</v>
      </c>
    </row>
    <row r="6430" spans="1:3" ht="15">
      <c r="A6430" s="84" t="s">
        <v>345</v>
      </c>
      <c r="B6430" s="83" t="s">
        <v>3225</v>
      </c>
      <c r="C6430" s="91" t="s">
        <v>1177</v>
      </c>
    </row>
    <row r="6431" spans="1:3" ht="15">
      <c r="A6431" s="84" t="s">
        <v>345</v>
      </c>
      <c r="B6431" s="83" t="s">
        <v>2648</v>
      </c>
      <c r="C6431" s="91" t="s">
        <v>1177</v>
      </c>
    </row>
    <row r="6432" spans="1:3" ht="15">
      <c r="A6432" s="84" t="s">
        <v>345</v>
      </c>
      <c r="B6432" s="83" t="s">
        <v>3408</v>
      </c>
      <c r="C6432" s="91" t="s">
        <v>1177</v>
      </c>
    </row>
    <row r="6433" spans="1:3" ht="15">
      <c r="A6433" s="84" t="s">
        <v>345</v>
      </c>
      <c r="B6433" s="83" t="s">
        <v>2582</v>
      </c>
      <c r="C6433" s="91" t="s">
        <v>1177</v>
      </c>
    </row>
    <row r="6434" spans="1:3" ht="15">
      <c r="A6434" s="84" t="s">
        <v>345</v>
      </c>
      <c r="B6434" s="83" t="s">
        <v>2589</v>
      </c>
      <c r="C6434" s="91" t="s">
        <v>1177</v>
      </c>
    </row>
    <row r="6435" spans="1:3" ht="15">
      <c r="A6435" s="84" t="s">
        <v>345</v>
      </c>
      <c r="B6435" s="83" t="s">
        <v>3409</v>
      </c>
      <c r="C6435" s="91" t="s">
        <v>1177</v>
      </c>
    </row>
    <row r="6436" spans="1:3" ht="15">
      <c r="A6436" s="84" t="s">
        <v>345</v>
      </c>
      <c r="B6436" s="83" t="s">
        <v>3203</v>
      </c>
      <c r="C6436" s="91" t="s">
        <v>1177</v>
      </c>
    </row>
    <row r="6437" spans="1:3" ht="15">
      <c r="A6437" s="84" t="s">
        <v>345</v>
      </c>
      <c r="B6437" s="83" t="s">
        <v>3410</v>
      </c>
      <c r="C6437" s="91" t="s">
        <v>1177</v>
      </c>
    </row>
    <row r="6438" spans="1:3" ht="15">
      <c r="A6438" s="84" t="s">
        <v>345</v>
      </c>
      <c r="B6438" s="83" t="s">
        <v>3198</v>
      </c>
      <c r="C6438" s="91" t="s">
        <v>1177</v>
      </c>
    </row>
    <row r="6439" spans="1:3" ht="15">
      <c r="A6439" s="84" t="s">
        <v>345</v>
      </c>
      <c r="B6439" s="83" t="s">
        <v>3214</v>
      </c>
      <c r="C6439" s="91" t="s">
        <v>1177</v>
      </c>
    </row>
    <row r="6440" spans="1:3" ht="15">
      <c r="A6440" s="84" t="s">
        <v>345</v>
      </c>
      <c r="B6440" s="83" t="s">
        <v>3411</v>
      </c>
      <c r="C6440" s="91" t="s">
        <v>1177</v>
      </c>
    </row>
    <row r="6441" spans="1:3" ht="15">
      <c r="A6441" s="84" t="s">
        <v>345</v>
      </c>
      <c r="B6441" s="83" t="s">
        <v>3412</v>
      </c>
      <c r="C6441" s="91" t="s">
        <v>1177</v>
      </c>
    </row>
    <row r="6442" spans="1:3" ht="15">
      <c r="A6442" s="84" t="s">
        <v>345</v>
      </c>
      <c r="B6442" s="83" t="s">
        <v>3413</v>
      </c>
      <c r="C6442" s="91" t="s">
        <v>1177</v>
      </c>
    </row>
    <row r="6443" spans="1:3" ht="15">
      <c r="A6443" s="84" t="s">
        <v>345</v>
      </c>
      <c r="B6443" s="83" t="s">
        <v>3215</v>
      </c>
      <c r="C6443" s="91" t="s">
        <v>1177</v>
      </c>
    </row>
    <row r="6444" spans="1:3" ht="15">
      <c r="A6444" s="84" t="s">
        <v>345</v>
      </c>
      <c r="B6444" s="83" t="s">
        <v>3414</v>
      </c>
      <c r="C6444" s="91" t="s">
        <v>1177</v>
      </c>
    </row>
    <row r="6445" spans="1:3" ht="15">
      <c r="A6445" s="84" t="s">
        <v>345</v>
      </c>
      <c r="B6445" s="83" t="s">
        <v>3415</v>
      </c>
      <c r="C6445" s="91" t="s">
        <v>1177</v>
      </c>
    </row>
    <row r="6446" spans="1:3" ht="15">
      <c r="A6446" s="84" t="s">
        <v>345</v>
      </c>
      <c r="B6446" s="83" t="s">
        <v>3416</v>
      </c>
      <c r="C6446" s="91" t="s">
        <v>1177</v>
      </c>
    </row>
    <row r="6447" spans="1:3" ht="15">
      <c r="A6447" s="84" t="s">
        <v>345</v>
      </c>
      <c r="B6447" s="83" t="s">
        <v>3417</v>
      </c>
      <c r="C6447" s="91" t="s">
        <v>1177</v>
      </c>
    </row>
    <row r="6448" spans="1:3" ht="15">
      <c r="A6448" s="84" t="s">
        <v>345</v>
      </c>
      <c r="B6448" s="83" t="s">
        <v>3418</v>
      </c>
      <c r="C6448" s="91" t="s">
        <v>1177</v>
      </c>
    </row>
    <row r="6449" spans="1:3" ht="15">
      <c r="A6449" s="84" t="s">
        <v>345</v>
      </c>
      <c r="B6449" s="83" t="s">
        <v>3419</v>
      </c>
      <c r="C6449" s="91" t="s">
        <v>1177</v>
      </c>
    </row>
    <row r="6450" spans="1:3" ht="15">
      <c r="A6450" s="84" t="s">
        <v>345</v>
      </c>
      <c r="B6450" s="83" t="s">
        <v>3221</v>
      </c>
      <c r="C6450" s="91" t="s">
        <v>1177</v>
      </c>
    </row>
    <row r="6451" spans="1:3" ht="15">
      <c r="A6451" s="84" t="s">
        <v>345</v>
      </c>
      <c r="B6451" s="83" t="s">
        <v>3254</v>
      </c>
      <c r="C6451" s="91" t="s">
        <v>1177</v>
      </c>
    </row>
    <row r="6452" spans="1:3" ht="15">
      <c r="A6452" s="84" t="s">
        <v>345</v>
      </c>
      <c r="B6452" s="83" t="s">
        <v>3420</v>
      </c>
      <c r="C6452" s="91" t="s">
        <v>1177</v>
      </c>
    </row>
    <row r="6453" spans="1:3" ht="15">
      <c r="A6453" s="84" t="s">
        <v>345</v>
      </c>
      <c r="B6453" s="83" t="s">
        <v>3421</v>
      </c>
      <c r="C6453" s="91" t="s">
        <v>1177</v>
      </c>
    </row>
    <row r="6454" spans="1:3" ht="15">
      <c r="A6454" s="84" t="s">
        <v>345</v>
      </c>
      <c r="B6454" s="83" t="s">
        <v>586</v>
      </c>
      <c r="C6454" s="91" t="s">
        <v>1177</v>
      </c>
    </row>
    <row r="6455" spans="1:3" ht="15">
      <c r="A6455" s="84" t="s">
        <v>345</v>
      </c>
      <c r="B6455" s="83" t="s">
        <v>3393</v>
      </c>
      <c r="C6455" s="91" t="s">
        <v>1177</v>
      </c>
    </row>
    <row r="6456" spans="1:3" ht="15">
      <c r="A6456" s="84" t="s">
        <v>345</v>
      </c>
      <c r="B6456" s="83" t="s">
        <v>3426</v>
      </c>
      <c r="C6456" s="91" t="s">
        <v>1177</v>
      </c>
    </row>
    <row r="6457" spans="1:3" ht="15">
      <c r="A6457" s="84" t="s">
        <v>344</v>
      </c>
      <c r="B6457" s="83" t="s">
        <v>3328</v>
      </c>
      <c r="C6457" s="91" t="s">
        <v>1176</v>
      </c>
    </row>
    <row r="6458" spans="1:3" ht="15">
      <c r="A6458" s="84" t="s">
        <v>344</v>
      </c>
      <c r="B6458" s="83" t="s">
        <v>3225</v>
      </c>
      <c r="C6458" s="91" t="s">
        <v>1176</v>
      </c>
    </row>
    <row r="6459" spans="1:3" ht="15">
      <c r="A6459" s="84" t="s">
        <v>344</v>
      </c>
      <c r="B6459" s="83" t="s">
        <v>2648</v>
      </c>
      <c r="C6459" s="91" t="s">
        <v>1176</v>
      </c>
    </row>
    <row r="6460" spans="1:3" ht="15">
      <c r="A6460" s="84" t="s">
        <v>344</v>
      </c>
      <c r="B6460" s="83" t="s">
        <v>3408</v>
      </c>
      <c r="C6460" s="91" t="s">
        <v>1176</v>
      </c>
    </row>
    <row r="6461" spans="1:3" ht="15">
      <c r="A6461" s="84" t="s">
        <v>344</v>
      </c>
      <c r="B6461" s="83" t="s">
        <v>2582</v>
      </c>
      <c r="C6461" s="91" t="s">
        <v>1176</v>
      </c>
    </row>
    <row r="6462" spans="1:3" ht="15">
      <c r="A6462" s="84" t="s">
        <v>344</v>
      </c>
      <c r="B6462" s="83" t="s">
        <v>2589</v>
      </c>
      <c r="C6462" s="91" t="s">
        <v>1176</v>
      </c>
    </row>
    <row r="6463" spans="1:3" ht="15">
      <c r="A6463" s="84" t="s">
        <v>344</v>
      </c>
      <c r="B6463" s="83" t="s">
        <v>3409</v>
      </c>
      <c r="C6463" s="91" t="s">
        <v>1176</v>
      </c>
    </row>
    <row r="6464" spans="1:3" ht="15">
      <c r="A6464" s="84" t="s">
        <v>344</v>
      </c>
      <c r="B6464" s="83" t="s">
        <v>3203</v>
      </c>
      <c r="C6464" s="91" t="s">
        <v>1176</v>
      </c>
    </row>
    <row r="6465" spans="1:3" ht="15">
      <c r="A6465" s="84" t="s">
        <v>344</v>
      </c>
      <c r="B6465" s="83" t="s">
        <v>3410</v>
      </c>
      <c r="C6465" s="91" t="s">
        <v>1176</v>
      </c>
    </row>
    <row r="6466" spans="1:3" ht="15">
      <c r="A6466" s="84" t="s">
        <v>344</v>
      </c>
      <c r="B6466" s="83" t="s">
        <v>3198</v>
      </c>
      <c r="C6466" s="91" t="s">
        <v>1176</v>
      </c>
    </row>
    <row r="6467" spans="1:3" ht="15">
      <c r="A6467" s="84" t="s">
        <v>344</v>
      </c>
      <c r="B6467" s="83" t="s">
        <v>3214</v>
      </c>
      <c r="C6467" s="91" t="s">
        <v>1176</v>
      </c>
    </row>
    <row r="6468" spans="1:3" ht="15">
      <c r="A6468" s="84" t="s">
        <v>344</v>
      </c>
      <c r="B6468" s="83" t="s">
        <v>3411</v>
      </c>
      <c r="C6468" s="91" t="s">
        <v>1176</v>
      </c>
    </row>
    <row r="6469" spans="1:3" ht="15">
      <c r="A6469" s="84" t="s">
        <v>344</v>
      </c>
      <c r="B6469" s="83" t="s">
        <v>3412</v>
      </c>
      <c r="C6469" s="91" t="s">
        <v>1176</v>
      </c>
    </row>
    <row r="6470" spans="1:3" ht="15">
      <c r="A6470" s="84" t="s">
        <v>344</v>
      </c>
      <c r="B6470" s="83" t="s">
        <v>3413</v>
      </c>
      <c r="C6470" s="91" t="s">
        <v>1176</v>
      </c>
    </row>
    <row r="6471" spans="1:3" ht="15">
      <c r="A6471" s="84" t="s">
        <v>344</v>
      </c>
      <c r="B6471" s="83" t="s">
        <v>3215</v>
      </c>
      <c r="C6471" s="91" t="s">
        <v>1176</v>
      </c>
    </row>
    <row r="6472" spans="1:3" ht="15">
      <c r="A6472" s="84" t="s">
        <v>344</v>
      </c>
      <c r="B6472" s="83" t="s">
        <v>3414</v>
      </c>
      <c r="C6472" s="91" t="s">
        <v>1176</v>
      </c>
    </row>
    <row r="6473" spans="1:3" ht="15">
      <c r="A6473" s="84" t="s">
        <v>344</v>
      </c>
      <c r="B6473" s="83" t="s">
        <v>3415</v>
      </c>
      <c r="C6473" s="91" t="s">
        <v>1176</v>
      </c>
    </row>
    <row r="6474" spans="1:3" ht="15">
      <c r="A6474" s="84" t="s">
        <v>344</v>
      </c>
      <c r="B6474" s="83" t="s">
        <v>3416</v>
      </c>
      <c r="C6474" s="91" t="s">
        <v>1176</v>
      </c>
    </row>
    <row r="6475" spans="1:3" ht="15">
      <c r="A6475" s="84" t="s">
        <v>344</v>
      </c>
      <c r="B6475" s="83" t="s">
        <v>3417</v>
      </c>
      <c r="C6475" s="91" t="s">
        <v>1176</v>
      </c>
    </row>
    <row r="6476" spans="1:3" ht="15">
      <c r="A6476" s="84" t="s">
        <v>344</v>
      </c>
      <c r="B6476" s="83" t="s">
        <v>3418</v>
      </c>
      <c r="C6476" s="91" t="s">
        <v>1176</v>
      </c>
    </row>
    <row r="6477" spans="1:3" ht="15">
      <c r="A6477" s="84" t="s">
        <v>344</v>
      </c>
      <c r="B6477" s="83" t="s">
        <v>3419</v>
      </c>
      <c r="C6477" s="91" t="s">
        <v>1176</v>
      </c>
    </row>
    <row r="6478" spans="1:3" ht="15">
      <c r="A6478" s="84" t="s">
        <v>344</v>
      </c>
      <c r="B6478" s="83" t="s">
        <v>3221</v>
      </c>
      <c r="C6478" s="91" t="s">
        <v>1176</v>
      </c>
    </row>
    <row r="6479" spans="1:3" ht="15">
      <c r="A6479" s="84" t="s">
        <v>344</v>
      </c>
      <c r="B6479" s="83" t="s">
        <v>3254</v>
      </c>
      <c r="C6479" s="91" t="s">
        <v>1176</v>
      </c>
    </row>
    <row r="6480" spans="1:3" ht="15">
      <c r="A6480" s="84" t="s">
        <v>344</v>
      </c>
      <c r="B6480" s="83" t="s">
        <v>3420</v>
      </c>
      <c r="C6480" s="91" t="s">
        <v>1176</v>
      </c>
    </row>
    <row r="6481" spans="1:3" ht="15">
      <c r="A6481" s="84" t="s">
        <v>344</v>
      </c>
      <c r="B6481" s="83" t="s">
        <v>3421</v>
      </c>
      <c r="C6481" s="91" t="s">
        <v>1176</v>
      </c>
    </row>
    <row r="6482" spans="1:3" ht="15">
      <c r="A6482" s="84" t="s">
        <v>344</v>
      </c>
      <c r="B6482" s="83" t="s">
        <v>586</v>
      </c>
      <c r="C6482" s="91" t="s">
        <v>1176</v>
      </c>
    </row>
    <row r="6483" spans="1:3" ht="15">
      <c r="A6483" s="84" t="s">
        <v>344</v>
      </c>
      <c r="B6483" s="83" t="s">
        <v>3393</v>
      </c>
      <c r="C6483" s="91" t="s">
        <v>1176</v>
      </c>
    </row>
    <row r="6484" spans="1:3" ht="15">
      <c r="A6484" s="84" t="s">
        <v>344</v>
      </c>
      <c r="B6484" s="83" t="s">
        <v>3426</v>
      </c>
      <c r="C6484" s="91" t="s">
        <v>1176</v>
      </c>
    </row>
    <row r="6485" spans="1:3" ht="15">
      <c r="A6485" s="84" t="s">
        <v>343</v>
      </c>
      <c r="B6485" s="83" t="s">
        <v>3250</v>
      </c>
      <c r="C6485" s="91" t="s">
        <v>1175</v>
      </c>
    </row>
    <row r="6486" spans="1:3" ht="15">
      <c r="A6486" s="84" t="s">
        <v>343</v>
      </c>
      <c r="B6486" s="83" t="s">
        <v>2692</v>
      </c>
      <c r="C6486" s="91" t="s">
        <v>1175</v>
      </c>
    </row>
    <row r="6487" spans="1:3" ht="15">
      <c r="A6487" s="84" t="s">
        <v>343</v>
      </c>
      <c r="B6487" s="83" t="s">
        <v>2712</v>
      </c>
      <c r="C6487" s="91" t="s">
        <v>1175</v>
      </c>
    </row>
    <row r="6488" spans="1:3" ht="15">
      <c r="A6488" s="84" t="s">
        <v>343</v>
      </c>
      <c r="B6488" s="83" t="s">
        <v>2578</v>
      </c>
      <c r="C6488" s="91" t="s">
        <v>1175</v>
      </c>
    </row>
    <row r="6489" spans="1:3" ht="15">
      <c r="A6489" s="84" t="s">
        <v>343</v>
      </c>
      <c r="B6489" s="83" t="s">
        <v>2637</v>
      </c>
      <c r="C6489" s="91" t="s">
        <v>1175</v>
      </c>
    </row>
    <row r="6490" spans="1:3" ht="15">
      <c r="A6490" s="84" t="s">
        <v>343</v>
      </c>
      <c r="B6490" s="83" t="s">
        <v>3203</v>
      </c>
      <c r="C6490" s="91" t="s">
        <v>1175</v>
      </c>
    </row>
    <row r="6491" spans="1:3" ht="15">
      <c r="A6491" s="84" t="s">
        <v>343</v>
      </c>
      <c r="B6491" s="91" t="s">
        <v>3287</v>
      </c>
      <c r="C6491" s="91" t="s">
        <v>1175</v>
      </c>
    </row>
    <row r="6492" spans="1:3" ht="15">
      <c r="A6492" s="84" t="s">
        <v>343</v>
      </c>
      <c r="B6492" s="83" t="s">
        <v>3288</v>
      </c>
      <c r="C6492" s="91" t="s">
        <v>1175</v>
      </c>
    </row>
    <row r="6493" spans="1:3" ht="15">
      <c r="A6493" s="84" t="s">
        <v>343</v>
      </c>
      <c r="B6493" s="83" t="s">
        <v>3289</v>
      </c>
      <c r="C6493" s="91" t="s">
        <v>1175</v>
      </c>
    </row>
    <row r="6494" spans="1:3" ht="15">
      <c r="A6494" s="84" t="s">
        <v>343</v>
      </c>
      <c r="B6494" s="83" t="s">
        <v>2632</v>
      </c>
      <c r="C6494" s="91" t="s">
        <v>1175</v>
      </c>
    </row>
    <row r="6495" spans="1:3" ht="15">
      <c r="A6495" s="84" t="s">
        <v>343</v>
      </c>
      <c r="B6495" s="83" t="s">
        <v>435</v>
      </c>
      <c r="C6495" s="91" t="s">
        <v>1175</v>
      </c>
    </row>
    <row r="6496" spans="1:3" ht="15">
      <c r="A6496" s="84" t="s">
        <v>343</v>
      </c>
      <c r="B6496" s="83" t="s">
        <v>3290</v>
      </c>
      <c r="C6496" s="91" t="s">
        <v>1175</v>
      </c>
    </row>
    <row r="6497" spans="1:3" ht="15">
      <c r="A6497" s="84" t="s">
        <v>343</v>
      </c>
      <c r="B6497" s="83" t="s">
        <v>3213</v>
      </c>
      <c r="C6497" s="91" t="s">
        <v>1175</v>
      </c>
    </row>
    <row r="6498" spans="1:3" ht="15">
      <c r="A6498" s="84" t="s">
        <v>343</v>
      </c>
      <c r="B6498" s="83" t="s">
        <v>3291</v>
      </c>
      <c r="C6498" s="91" t="s">
        <v>1175</v>
      </c>
    </row>
    <row r="6499" spans="1:3" ht="15">
      <c r="A6499" s="84" t="s">
        <v>343</v>
      </c>
      <c r="B6499" s="83" t="s">
        <v>3292</v>
      </c>
      <c r="C6499" s="91" t="s">
        <v>1175</v>
      </c>
    </row>
    <row r="6500" spans="1:3" ht="15">
      <c r="A6500" s="84" t="s">
        <v>343</v>
      </c>
      <c r="B6500" s="83" t="s">
        <v>3293</v>
      </c>
      <c r="C6500" s="91" t="s">
        <v>1175</v>
      </c>
    </row>
    <row r="6501" spans="1:3" ht="15">
      <c r="A6501" s="84" t="s">
        <v>343</v>
      </c>
      <c r="B6501" s="83" t="s">
        <v>3294</v>
      </c>
      <c r="C6501" s="91" t="s">
        <v>1175</v>
      </c>
    </row>
    <row r="6502" spans="1:3" ht="15">
      <c r="A6502" s="84" t="s">
        <v>343</v>
      </c>
      <c r="B6502" s="83" t="s">
        <v>3295</v>
      </c>
      <c r="C6502" s="91" t="s">
        <v>1175</v>
      </c>
    </row>
    <row r="6503" spans="1:3" ht="15">
      <c r="A6503" s="84" t="s">
        <v>343</v>
      </c>
      <c r="B6503" s="83" t="s">
        <v>3237</v>
      </c>
      <c r="C6503" s="91" t="s">
        <v>1175</v>
      </c>
    </row>
    <row r="6504" spans="1:3" ht="15">
      <c r="A6504" s="84" t="s">
        <v>343</v>
      </c>
      <c r="B6504" s="83" t="s">
        <v>3296</v>
      </c>
      <c r="C6504" s="91" t="s">
        <v>1175</v>
      </c>
    </row>
    <row r="6505" spans="1:3" ht="15">
      <c r="A6505" s="84" t="s">
        <v>343</v>
      </c>
      <c r="B6505" s="83" t="s">
        <v>3297</v>
      </c>
      <c r="C6505" s="91" t="s">
        <v>1175</v>
      </c>
    </row>
    <row r="6506" spans="1:3" ht="15">
      <c r="A6506" s="84" t="s">
        <v>343</v>
      </c>
      <c r="B6506" s="83" t="s">
        <v>3218</v>
      </c>
      <c r="C6506" s="91" t="s">
        <v>1175</v>
      </c>
    </row>
    <row r="6507" spans="1:3" ht="15">
      <c r="A6507" s="84" t="s">
        <v>343</v>
      </c>
      <c r="B6507" s="83" t="s">
        <v>3298</v>
      </c>
      <c r="C6507" s="91" t="s">
        <v>1175</v>
      </c>
    </row>
    <row r="6508" spans="1:3" ht="15">
      <c r="A6508" s="84" t="s">
        <v>343</v>
      </c>
      <c r="B6508" s="83" t="s">
        <v>3299</v>
      </c>
      <c r="C6508" s="91" t="s">
        <v>1175</v>
      </c>
    </row>
    <row r="6509" spans="1:3" ht="15">
      <c r="A6509" s="84" t="s">
        <v>343</v>
      </c>
      <c r="B6509" s="83" t="s">
        <v>2179</v>
      </c>
      <c r="C6509" s="91" t="s">
        <v>1175</v>
      </c>
    </row>
    <row r="6510" spans="1:3" ht="15">
      <c r="A6510" s="84" t="s">
        <v>343</v>
      </c>
      <c r="B6510" s="83" t="s">
        <v>3300</v>
      </c>
      <c r="C6510" s="91" t="s">
        <v>1175</v>
      </c>
    </row>
    <row r="6511" spans="1:3" ht="15">
      <c r="A6511" s="84" t="s">
        <v>343</v>
      </c>
      <c r="B6511" s="83" t="s">
        <v>3301</v>
      </c>
      <c r="C6511" s="91" t="s">
        <v>1175</v>
      </c>
    </row>
    <row r="6512" spans="1:3" ht="15">
      <c r="A6512" s="84" t="s">
        <v>343</v>
      </c>
      <c r="B6512" s="83" t="s">
        <v>3199</v>
      </c>
      <c r="C6512" s="91" t="s">
        <v>1175</v>
      </c>
    </row>
    <row r="6513" spans="1:3" ht="15">
      <c r="A6513" s="84" t="s">
        <v>343</v>
      </c>
      <c r="B6513" s="83" t="s">
        <v>3214</v>
      </c>
      <c r="C6513" s="91" t="s">
        <v>1175</v>
      </c>
    </row>
    <row r="6514" spans="1:3" ht="15">
      <c r="A6514" s="84" t="s">
        <v>343</v>
      </c>
      <c r="B6514" s="83" t="s">
        <v>3302</v>
      </c>
      <c r="C6514" s="91" t="s">
        <v>1175</v>
      </c>
    </row>
    <row r="6515" spans="1:3" ht="15">
      <c r="A6515" s="84" t="s">
        <v>343</v>
      </c>
      <c r="B6515" s="83" t="s">
        <v>3303</v>
      </c>
      <c r="C6515" s="91" t="s">
        <v>1175</v>
      </c>
    </row>
    <row r="6516" spans="1:3" ht="15">
      <c r="A6516" s="84" t="s">
        <v>342</v>
      </c>
      <c r="B6516" s="83" t="s">
        <v>3250</v>
      </c>
      <c r="C6516" s="91" t="s">
        <v>1174</v>
      </c>
    </row>
    <row r="6517" spans="1:3" ht="15">
      <c r="A6517" s="84" t="s">
        <v>342</v>
      </c>
      <c r="B6517" s="83" t="s">
        <v>2692</v>
      </c>
      <c r="C6517" s="91" t="s">
        <v>1174</v>
      </c>
    </row>
    <row r="6518" spans="1:3" ht="15">
      <c r="A6518" s="84" t="s">
        <v>342</v>
      </c>
      <c r="B6518" s="83" t="s">
        <v>2712</v>
      </c>
      <c r="C6518" s="91" t="s">
        <v>1174</v>
      </c>
    </row>
    <row r="6519" spans="1:3" ht="15">
      <c r="A6519" s="84" t="s">
        <v>342</v>
      </c>
      <c r="B6519" s="83" t="s">
        <v>2578</v>
      </c>
      <c r="C6519" s="91" t="s">
        <v>1174</v>
      </c>
    </row>
    <row r="6520" spans="1:3" ht="15">
      <c r="A6520" s="84" t="s">
        <v>342</v>
      </c>
      <c r="B6520" s="83" t="s">
        <v>2637</v>
      </c>
      <c r="C6520" s="91" t="s">
        <v>1174</v>
      </c>
    </row>
    <row r="6521" spans="1:3" ht="15">
      <c r="A6521" s="84" t="s">
        <v>342</v>
      </c>
      <c r="B6521" s="83" t="s">
        <v>3203</v>
      </c>
      <c r="C6521" s="91" t="s">
        <v>1174</v>
      </c>
    </row>
    <row r="6522" spans="1:3" ht="15">
      <c r="A6522" s="84" t="s">
        <v>342</v>
      </c>
      <c r="B6522" s="91" t="s">
        <v>3287</v>
      </c>
      <c r="C6522" s="91" t="s">
        <v>1174</v>
      </c>
    </row>
    <row r="6523" spans="1:3" ht="15">
      <c r="A6523" s="84" t="s">
        <v>342</v>
      </c>
      <c r="B6523" s="83" t="s">
        <v>3288</v>
      </c>
      <c r="C6523" s="91" t="s">
        <v>1174</v>
      </c>
    </row>
    <row r="6524" spans="1:3" ht="15">
      <c r="A6524" s="84" t="s">
        <v>342</v>
      </c>
      <c r="B6524" s="83" t="s">
        <v>3289</v>
      </c>
      <c r="C6524" s="91" t="s">
        <v>1174</v>
      </c>
    </row>
    <row r="6525" spans="1:3" ht="15">
      <c r="A6525" s="84" t="s">
        <v>342</v>
      </c>
      <c r="B6525" s="83" t="s">
        <v>2632</v>
      </c>
      <c r="C6525" s="91" t="s">
        <v>1174</v>
      </c>
    </row>
    <row r="6526" spans="1:3" ht="15">
      <c r="A6526" s="84" t="s">
        <v>342</v>
      </c>
      <c r="B6526" s="83" t="s">
        <v>435</v>
      </c>
      <c r="C6526" s="91" t="s">
        <v>1174</v>
      </c>
    </row>
    <row r="6527" spans="1:3" ht="15">
      <c r="A6527" s="84" t="s">
        <v>342</v>
      </c>
      <c r="B6527" s="83" t="s">
        <v>3290</v>
      </c>
      <c r="C6527" s="91" t="s">
        <v>1174</v>
      </c>
    </row>
    <row r="6528" spans="1:3" ht="15">
      <c r="A6528" s="84" t="s">
        <v>342</v>
      </c>
      <c r="B6528" s="83" t="s">
        <v>3213</v>
      </c>
      <c r="C6528" s="91" t="s">
        <v>1174</v>
      </c>
    </row>
    <row r="6529" spans="1:3" ht="15">
      <c r="A6529" s="84" t="s">
        <v>342</v>
      </c>
      <c r="B6529" s="83" t="s">
        <v>3291</v>
      </c>
      <c r="C6529" s="91" t="s">
        <v>1174</v>
      </c>
    </row>
    <row r="6530" spans="1:3" ht="15">
      <c r="A6530" s="84" t="s">
        <v>342</v>
      </c>
      <c r="B6530" s="83" t="s">
        <v>3292</v>
      </c>
      <c r="C6530" s="91" t="s">
        <v>1174</v>
      </c>
    </row>
    <row r="6531" spans="1:3" ht="15">
      <c r="A6531" s="84" t="s">
        <v>342</v>
      </c>
      <c r="B6531" s="83" t="s">
        <v>3293</v>
      </c>
      <c r="C6531" s="91" t="s">
        <v>1174</v>
      </c>
    </row>
    <row r="6532" spans="1:3" ht="15">
      <c r="A6532" s="84" t="s">
        <v>342</v>
      </c>
      <c r="B6532" s="83" t="s">
        <v>3294</v>
      </c>
      <c r="C6532" s="91" t="s">
        <v>1174</v>
      </c>
    </row>
    <row r="6533" spans="1:3" ht="15">
      <c r="A6533" s="84" t="s">
        <v>342</v>
      </c>
      <c r="B6533" s="83" t="s">
        <v>3295</v>
      </c>
      <c r="C6533" s="91" t="s">
        <v>1174</v>
      </c>
    </row>
    <row r="6534" spans="1:3" ht="15">
      <c r="A6534" s="84" t="s">
        <v>342</v>
      </c>
      <c r="B6534" s="83" t="s">
        <v>3237</v>
      </c>
      <c r="C6534" s="91" t="s">
        <v>1174</v>
      </c>
    </row>
    <row r="6535" spans="1:3" ht="15">
      <c r="A6535" s="84" t="s">
        <v>342</v>
      </c>
      <c r="B6535" s="83" t="s">
        <v>3296</v>
      </c>
      <c r="C6535" s="91" t="s">
        <v>1174</v>
      </c>
    </row>
    <row r="6536" spans="1:3" ht="15">
      <c r="A6536" s="84" t="s">
        <v>342</v>
      </c>
      <c r="B6536" s="83" t="s">
        <v>3297</v>
      </c>
      <c r="C6536" s="91" t="s">
        <v>1174</v>
      </c>
    </row>
    <row r="6537" spans="1:3" ht="15">
      <c r="A6537" s="84" t="s">
        <v>342</v>
      </c>
      <c r="B6537" s="83" t="s">
        <v>3218</v>
      </c>
      <c r="C6537" s="91" t="s">
        <v>1174</v>
      </c>
    </row>
    <row r="6538" spans="1:3" ht="15">
      <c r="A6538" s="84" t="s">
        <v>342</v>
      </c>
      <c r="B6538" s="83" t="s">
        <v>3298</v>
      </c>
      <c r="C6538" s="91" t="s">
        <v>1174</v>
      </c>
    </row>
    <row r="6539" spans="1:3" ht="15">
      <c r="A6539" s="84" t="s">
        <v>342</v>
      </c>
      <c r="B6539" s="83" t="s">
        <v>3299</v>
      </c>
      <c r="C6539" s="91" t="s">
        <v>1174</v>
      </c>
    </row>
    <row r="6540" spans="1:3" ht="15">
      <c r="A6540" s="84" t="s">
        <v>342</v>
      </c>
      <c r="B6540" s="83" t="s">
        <v>2179</v>
      </c>
      <c r="C6540" s="91" t="s">
        <v>1174</v>
      </c>
    </row>
    <row r="6541" spans="1:3" ht="15">
      <c r="A6541" s="84" t="s">
        <v>342</v>
      </c>
      <c r="B6541" s="83" t="s">
        <v>3300</v>
      </c>
      <c r="C6541" s="91" t="s">
        <v>1174</v>
      </c>
    </row>
    <row r="6542" spans="1:3" ht="15">
      <c r="A6542" s="84" t="s">
        <v>342</v>
      </c>
      <c r="B6542" s="83" t="s">
        <v>3301</v>
      </c>
      <c r="C6542" s="91" t="s">
        <v>1174</v>
      </c>
    </row>
    <row r="6543" spans="1:3" ht="15">
      <c r="A6543" s="84" t="s">
        <v>342</v>
      </c>
      <c r="B6543" s="83" t="s">
        <v>3199</v>
      </c>
      <c r="C6543" s="91" t="s">
        <v>1174</v>
      </c>
    </row>
    <row r="6544" spans="1:3" ht="15">
      <c r="A6544" s="84" t="s">
        <v>342</v>
      </c>
      <c r="B6544" s="83" t="s">
        <v>3214</v>
      </c>
      <c r="C6544" s="91" t="s">
        <v>1174</v>
      </c>
    </row>
    <row r="6545" spans="1:3" ht="15">
      <c r="A6545" s="84" t="s">
        <v>342</v>
      </c>
      <c r="B6545" s="83" t="s">
        <v>3302</v>
      </c>
      <c r="C6545" s="91" t="s">
        <v>1174</v>
      </c>
    </row>
    <row r="6546" spans="1:3" ht="15">
      <c r="A6546" s="84" t="s">
        <v>342</v>
      </c>
      <c r="B6546" s="83" t="s">
        <v>3303</v>
      </c>
      <c r="C6546" s="91" t="s">
        <v>1174</v>
      </c>
    </row>
    <row r="6547" spans="1:3" ht="15">
      <c r="A6547" s="84" t="s">
        <v>341</v>
      </c>
      <c r="B6547" s="83" t="s">
        <v>3250</v>
      </c>
      <c r="C6547" s="91" t="s">
        <v>1173</v>
      </c>
    </row>
    <row r="6548" spans="1:3" ht="15">
      <c r="A6548" s="84" t="s">
        <v>341</v>
      </c>
      <c r="B6548" s="83" t="s">
        <v>2692</v>
      </c>
      <c r="C6548" s="91" t="s">
        <v>1173</v>
      </c>
    </row>
    <row r="6549" spans="1:3" ht="15">
      <c r="A6549" s="84" t="s">
        <v>341</v>
      </c>
      <c r="B6549" s="83" t="s">
        <v>2712</v>
      </c>
      <c r="C6549" s="91" t="s">
        <v>1173</v>
      </c>
    </row>
    <row r="6550" spans="1:3" ht="15">
      <c r="A6550" s="84" t="s">
        <v>341</v>
      </c>
      <c r="B6550" s="83" t="s">
        <v>2578</v>
      </c>
      <c r="C6550" s="91" t="s">
        <v>1173</v>
      </c>
    </row>
    <row r="6551" spans="1:3" ht="15">
      <c r="A6551" s="84" t="s">
        <v>341</v>
      </c>
      <c r="B6551" s="83" t="s">
        <v>2637</v>
      </c>
      <c r="C6551" s="91" t="s">
        <v>1173</v>
      </c>
    </row>
    <row r="6552" spans="1:3" ht="15">
      <c r="A6552" s="84" t="s">
        <v>341</v>
      </c>
      <c r="B6552" s="83" t="s">
        <v>3203</v>
      </c>
      <c r="C6552" s="91" t="s">
        <v>1173</v>
      </c>
    </row>
    <row r="6553" spans="1:3" ht="15">
      <c r="A6553" s="84" t="s">
        <v>341</v>
      </c>
      <c r="B6553" s="91" t="s">
        <v>3287</v>
      </c>
      <c r="C6553" s="91" t="s">
        <v>1173</v>
      </c>
    </row>
    <row r="6554" spans="1:3" ht="15">
      <c r="A6554" s="84" t="s">
        <v>341</v>
      </c>
      <c r="B6554" s="83" t="s">
        <v>3288</v>
      </c>
      <c r="C6554" s="91" t="s">
        <v>1173</v>
      </c>
    </row>
    <row r="6555" spans="1:3" ht="15">
      <c r="A6555" s="84" t="s">
        <v>341</v>
      </c>
      <c r="B6555" s="83" t="s">
        <v>3289</v>
      </c>
      <c r="C6555" s="91" t="s">
        <v>1173</v>
      </c>
    </row>
    <row r="6556" spans="1:3" ht="15">
      <c r="A6556" s="84" t="s">
        <v>341</v>
      </c>
      <c r="B6556" s="83" t="s">
        <v>2632</v>
      </c>
      <c r="C6556" s="91" t="s">
        <v>1173</v>
      </c>
    </row>
    <row r="6557" spans="1:3" ht="15">
      <c r="A6557" s="84" t="s">
        <v>341</v>
      </c>
      <c r="B6557" s="83" t="s">
        <v>435</v>
      </c>
      <c r="C6557" s="91" t="s">
        <v>1173</v>
      </c>
    </row>
    <row r="6558" spans="1:3" ht="15">
      <c r="A6558" s="84" t="s">
        <v>341</v>
      </c>
      <c r="B6558" s="83" t="s">
        <v>3290</v>
      </c>
      <c r="C6558" s="91" t="s">
        <v>1173</v>
      </c>
    </row>
    <row r="6559" spans="1:3" ht="15">
      <c r="A6559" s="84" t="s">
        <v>341</v>
      </c>
      <c r="B6559" s="83" t="s">
        <v>3213</v>
      </c>
      <c r="C6559" s="91" t="s">
        <v>1173</v>
      </c>
    </row>
    <row r="6560" spans="1:3" ht="15">
      <c r="A6560" s="84" t="s">
        <v>341</v>
      </c>
      <c r="B6560" s="83" t="s">
        <v>3291</v>
      </c>
      <c r="C6560" s="91" t="s">
        <v>1173</v>
      </c>
    </row>
    <row r="6561" spans="1:3" ht="15">
      <c r="A6561" s="84" t="s">
        <v>341</v>
      </c>
      <c r="B6561" s="83" t="s">
        <v>3292</v>
      </c>
      <c r="C6561" s="91" t="s">
        <v>1173</v>
      </c>
    </row>
    <row r="6562" spans="1:3" ht="15">
      <c r="A6562" s="84" t="s">
        <v>341</v>
      </c>
      <c r="B6562" s="83" t="s">
        <v>3293</v>
      </c>
      <c r="C6562" s="91" t="s">
        <v>1173</v>
      </c>
    </row>
    <row r="6563" spans="1:3" ht="15">
      <c r="A6563" s="84" t="s">
        <v>341</v>
      </c>
      <c r="B6563" s="83" t="s">
        <v>3294</v>
      </c>
      <c r="C6563" s="91" t="s">
        <v>1173</v>
      </c>
    </row>
    <row r="6564" spans="1:3" ht="15">
      <c r="A6564" s="84" t="s">
        <v>341</v>
      </c>
      <c r="B6564" s="83" t="s">
        <v>3295</v>
      </c>
      <c r="C6564" s="91" t="s">
        <v>1173</v>
      </c>
    </row>
    <row r="6565" spans="1:3" ht="15">
      <c r="A6565" s="84" t="s">
        <v>341</v>
      </c>
      <c r="B6565" s="83" t="s">
        <v>3237</v>
      </c>
      <c r="C6565" s="91" t="s">
        <v>1173</v>
      </c>
    </row>
    <row r="6566" spans="1:3" ht="15">
      <c r="A6566" s="84" t="s">
        <v>341</v>
      </c>
      <c r="B6566" s="83" t="s">
        <v>3296</v>
      </c>
      <c r="C6566" s="91" t="s">
        <v>1173</v>
      </c>
    </row>
    <row r="6567" spans="1:3" ht="15">
      <c r="A6567" s="84" t="s">
        <v>341</v>
      </c>
      <c r="B6567" s="83" t="s">
        <v>3297</v>
      </c>
      <c r="C6567" s="91" t="s">
        <v>1173</v>
      </c>
    </row>
    <row r="6568" spans="1:3" ht="15">
      <c r="A6568" s="84" t="s">
        <v>341</v>
      </c>
      <c r="B6568" s="83" t="s">
        <v>3218</v>
      </c>
      <c r="C6568" s="91" t="s">
        <v>1173</v>
      </c>
    </row>
    <row r="6569" spans="1:3" ht="15">
      <c r="A6569" s="84" t="s">
        <v>341</v>
      </c>
      <c r="B6569" s="83" t="s">
        <v>3298</v>
      </c>
      <c r="C6569" s="91" t="s">
        <v>1173</v>
      </c>
    </row>
    <row r="6570" spans="1:3" ht="15">
      <c r="A6570" s="84" t="s">
        <v>341</v>
      </c>
      <c r="B6570" s="83" t="s">
        <v>3299</v>
      </c>
      <c r="C6570" s="91" t="s">
        <v>1173</v>
      </c>
    </row>
    <row r="6571" spans="1:3" ht="15">
      <c r="A6571" s="84" t="s">
        <v>341</v>
      </c>
      <c r="B6571" s="83" t="s">
        <v>2179</v>
      </c>
      <c r="C6571" s="91" t="s">
        <v>1173</v>
      </c>
    </row>
    <row r="6572" spans="1:3" ht="15">
      <c r="A6572" s="84" t="s">
        <v>341</v>
      </c>
      <c r="B6572" s="83" t="s">
        <v>3300</v>
      </c>
      <c r="C6572" s="91" t="s">
        <v>1173</v>
      </c>
    </row>
    <row r="6573" spans="1:3" ht="15">
      <c r="A6573" s="84" t="s">
        <v>341</v>
      </c>
      <c r="B6573" s="83" t="s">
        <v>3301</v>
      </c>
      <c r="C6573" s="91" t="s">
        <v>1173</v>
      </c>
    </row>
    <row r="6574" spans="1:3" ht="15">
      <c r="A6574" s="84" t="s">
        <v>341</v>
      </c>
      <c r="B6574" s="83" t="s">
        <v>3199</v>
      </c>
      <c r="C6574" s="91" t="s">
        <v>1173</v>
      </c>
    </row>
    <row r="6575" spans="1:3" ht="15">
      <c r="A6575" s="84" t="s">
        <v>341</v>
      </c>
      <c r="B6575" s="83" t="s">
        <v>3214</v>
      </c>
      <c r="C6575" s="91" t="s">
        <v>1173</v>
      </c>
    </row>
    <row r="6576" spans="1:3" ht="15">
      <c r="A6576" s="84" t="s">
        <v>341</v>
      </c>
      <c r="B6576" s="83" t="s">
        <v>3302</v>
      </c>
      <c r="C6576" s="91" t="s">
        <v>1173</v>
      </c>
    </row>
    <row r="6577" spans="1:3" ht="15">
      <c r="A6577" s="84" t="s">
        <v>341</v>
      </c>
      <c r="B6577" s="83" t="s">
        <v>3303</v>
      </c>
      <c r="C6577" s="91" t="s">
        <v>1173</v>
      </c>
    </row>
    <row r="6578" spans="1:3" ht="15">
      <c r="A6578" s="84" t="s">
        <v>341</v>
      </c>
      <c r="B6578" s="83" t="s">
        <v>3423</v>
      </c>
      <c r="C6578" s="91" t="s">
        <v>1172</v>
      </c>
    </row>
    <row r="6579" spans="1:3" ht="15">
      <c r="A6579" s="84" t="s">
        <v>341</v>
      </c>
      <c r="B6579" s="83" t="s">
        <v>3203</v>
      </c>
      <c r="C6579" s="91" t="s">
        <v>1172</v>
      </c>
    </row>
    <row r="6580" spans="1:3" ht="15">
      <c r="A6580" s="84" t="s">
        <v>341</v>
      </c>
      <c r="B6580" s="83">
        <v>19</v>
      </c>
      <c r="C6580" s="91" t="s">
        <v>1172</v>
      </c>
    </row>
    <row r="6581" spans="1:3" ht="15">
      <c r="A6581" s="84" t="s">
        <v>341</v>
      </c>
      <c r="B6581" s="83" t="s">
        <v>2697</v>
      </c>
      <c r="C6581" s="91" t="s">
        <v>1172</v>
      </c>
    </row>
    <row r="6582" spans="1:3" ht="15">
      <c r="A6582" s="84" t="s">
        <v>341</v>
      </c>
      <c r="B6582" s="83" t="s">
        <v>2590</v>
      </c>
      <c r="C6582" s="91" t="s">
        <v>1172</v>
      </c>
    </row>
    <row r="6583" spans="1:3" ht="15">
      <c r="A6583" s="84" t="s">
        <v>341</v>
      </c>
      <c r="B6583" s="83" t="s">
        <v>3424</v>
      </c>
      <c r="C6583" s="91" t="s">
        <v>1172</v>
      </c>
    </row>
    <row r="6584" spans="1:3" ht="15">
      <c r="A6584" s="84" t="s">
        <v>341</v>
      </c>
      <c r="B6584" s="83" t="s">
        <v>3198</v>
      </c>
      <c r="C6584" s="91" t="s">
        <v>1172</v>
      </c>
    </row>
    <row r="6585" spans="1:3" ht="15">
      <c r="A6585" s="84" t="s">
        <v>341</v>
      </c>
      <c r="B6585" s="83" t="s">
        <v>3411</v>
      </c>
      <c r="C6585" s="91" t="s">
        <v>1172</v>
      </c>
    </row>
    <row r="6586" spans="1:3" ht="15">
      <c r="A6586" s="84" t="s">
        <v>341</v>
      </c>
      <c r="B6586" s="83" t="s">
        <v>3223</v>
      </c>
      <c r="C6586" s="91" t="s">
        <v>1172</v>
      </c>
    </row>
    <row r="6587" spans="1:3" ht="15">
      <c r="A6587" s="84" t="s">
        <v>341</v>
      </c>
      <c r="B6587" s="83" t="s">
        <v>3412</v>
      </c>
      <c r="C6587" s="91" t="s">
        <v>1172</v>
      </c>
    </row>
    <row r="6588" spans="1:3" ht="15">
      <c r="A6588" s="84" t="s">
        <v>341</v>
      </c>
      <c r="B6588" s="83" t="s">
        <v>3413</v>
      </c>
      <c r="C6588" s="91" t="s">
        <v>1172</v>
      </c>
    </row>
    <row r="6589" spans="1:3" ht="15">
      <c r="A6589" s="84" t="s">
        <v>341</v>
      </c>
      <c r="B6589" s="83" t="s">
        <v>3215</v>
      </c>
      <c r="C6589" s="91" t="s">
        <v>1172</v>
      </c>
    </row>
    <row r="6590" spans="1:3" ht="15">
      <c r="A6590" s="84" t="s">
        <v>341</v>
      </c>
      <c r="B6590" s="83" t="s">
        <v>3414</v>
      </c>
      <c r="C6590" s="91" t="s">
        <v>1172</v>
      </c>
    </row>
    <row r="6591" spans="1:3" ht="15">
      <c r="A6591" s="84" t="s">
        <v>341</v>
      </c>
      <c r="B6591" s="83" t="s">
        <v>3415</v>
      </c>
      <c r="C6591" s="91" t="s">
        <v>1172</v>
      </c>
    </row>
    <row r="6592" spans="1:3" ht="15">
      <c r="A6592" s="84" t="s">
        <v>341</v>
      </c>
      <c r="B6592" s="83" t="s">
        <v>3416</v>
      </c>
      <c r="C6592" s="91" t="s">
        <v>1172</v>
      </c>
    </row>
    <row r="6593" spans="1:3" ht="15">
      <c r="A6593" s="84" t="s">
        <v>341</v>
      </c>
      <c r="B6593" s="83" t="s">
        <v>3425</v>
      </c>
      <c r="C6593" s="91" t="s">
        <v>1172</v>
      </c>
    </row>
    <row r="6594" spans="1:3" ht="15">
      <c r="A6594" s="84" t="s">
        <v>341</v>
      </c>
      <c r="B6594" s="83" t="s">
        <v>3418</v>
      </c>
      <c r="C6594" s="91" t="s">
        <v>1172</v>
      </c>
    </row>
    <row r="6595" spans="1:3" ht="15">
      <c r="A6595" s="84" t="s">
        <v>341</v>
      </c>
      <c r="B6595" s="83" t="s">
        <v>3219</v>
      </c>
      <c r="C6595" s="91" t="s">
        <v>1172</v>
      </c>
    </row>
    <row r="6596" spans="1:3" ht="15">
      <c r="A6596" s="84" t="s">
        <v>341</v>
      </c>
      <c r="B6596" s="83" t="s">
        <v>3221</v>
      </c>
      <c r="C6596" s="91" t="s">
        <v>1172</v>
      </c>
    </row>
    <row r="6597" spans="1:3" ht="15">
      <c r="A6597" s="84" t="s">
        <v>341</v>
      </c>
      <c r="B6597" s="83" t="s">
        <v>3254</v>
      </c>
      <c r="C6597" s="91" t="s">
        <v>1172</v>
      </c>
    </row>
    <row r="6598" spans="1:3" ht="15">
      <c r="A6598" s="84" t="s">
        <v>341</v>
      </c>
      <c r="B6598" s="83" t="s">
        <v>3421</v>
      </c>
      <c r="C6598" s="91" t="s">
        <v>1172</v>
      </c>
    </row>
    <row r="6599" spans="1:3" ht="15">
      <c r="A6599" s="84" t="s">
        <v>341</v>
      </c>
      <c r="B6599" s="83" t="s">
        <v>3199</v>
      </c>
      <c r="C6599" s="91" t="s">
        <v>1172</v>
      </c>
    </row>
    <row r="6600" spans="1:3" ht="15">
      <c r="A6600" s="84" t="s">
        <v>341</v>
      </c>
      <c r="B6600" s="83" t="s">
        <v>3393</v>
      </c>
      <c r="C6600" s="91" t="s">
        <v>1172</v>
      </c>
    </row>
    <row r="6601" spans="1:3" ht="15">
      <c r="A6601" s="84" t="s">
        <v>341</v>
      </c>
      <c r="B6601" s="83" t="s">
        <v>3426</v>
      </c>
      <c r="C6601" s="91" t="s">
        <v>1172</v>
      </c>
    </row>
    <row r="6602" spans="1:3" ht="15">
      <c r="A6602" s="84" t="s">
        <v>341</v>
      </c>
      <c r="B6602" s="83" t="s">
        <v>3420</v>
      </c>
      <c r="C6602" s="91" t="s">
        <v>1172</v>
      </c>
    </row>
    <row r="6603" spans="1:3" ht="15">
      <c r="A6603" s="84" t="s">
        <v>340</v>
      </c>
      <c r="B6603" s="83" t="s">
        <v>3250</v>
      </c>
      <c r="C6603" s="91" t="s">
        <v>1171</v>
      </c>
    </row>
    <row r="6604" spans="1:3" ht="15">
      <c r="A6604" s="84" t="s">
        <v>340</v>
      </c>
      <c r="B6604" s="83" t="s">
        <v>2692</v>
      </c>
      <c r="C6604" s="91" t="s">
        <v>1171</v>
      </c>
    </row>
    <row r="6605" spans="1:3" ht="15">
      <c r="A6605" s="84" t="s">
        <v>340</v>
      </c>
      <c r="B6605" s="83" t="s">
        <v>2712</v>
      </c>
      <c r="C6605" s="91" t="s">
        <v>1171</v>
      </c>
    </row>
    <row r="6606" spans="1:3" ht="15">
      <c r="A6606" s="84" t="s">
        <v>340</v>
      </c>
      <c r="B6606" s="83" t="s">
        <v>2578</v>
      </c>
      <c r="C6606" s="91" t="s">
        <v>1171</v>
      </c>
    </row>
    <row r="6607" spans="1:3" ht="15">
      <c r="A6607" s="84" t="s">
        <v>340</v>
      </c>
      <c r="B6607" s="83" t="s">
        <v>2637</v>
      </c>
      <c r="C6607" s="91" t="s">
        <v>1171</v>
      </c>
    </row>
    <row r="6608" spans="1:3" ht="15">
      <c r="A6608" s="84" t="s">
        <v>340</v>
      </c>
      <c r="B6608" s="83" t="s">
        <v>3203</v>
      </c>
      <c r="C6608" s="91" t="s">
        <v>1171</v>
      </c>
    </row>
    <row r="6609" spans="1:3" ht="15">
      <c r="A6609" s="84" t="s">
        <v>340</v>
      </c>
      <c r="B6609" s="91" t="s">
        <v>3287</v>
      </c>
      <c r="C6609" s="91" t="s">
        <v>1171</v>
      </c>
    </row>
    <row r="6610" spans="1:3" ht="15">
      <c r="A6610" s="84" t="s">
        <v>340</v>
      </c>
      <c r="B6610" s="83" t="s">
        <v>3288</v>
      </c>
      <c r="C6610" s="91" t="s">
        <v>1171</v>
      </c>
    </row>
    <row r="6611" spans="1:3" ht="15">
      <c r="A6611" s="84" t="s">
        <v>340</v>
      </c>
      <c r="B6611" s="83" t="s">
        <v>3289</v>
      </c>
      <c r="C6611" s="91" t="s">
        <v>1171</v>
      </c>
    </row>
    <row r="6612" spans="1:3" ht="15">
      <c r="A6612" s="84" t="s">
        <v>340</v>
      </c>
      <c r="B6612" s="83" t="s">
        <v>2632</v>
      </c>
      <c r="C6612" s="91" t="s">
        <v>1171</v>
      </c>
    </row>
    <row r="6613" spans="1:3" ht="15">
      <c r="A6613" s="84" t="s">
        <v>340</v>
      </c>
      <c r="B6613" s="83" t="s">
        <v>435</v>
      </c>
      <c r="C6613" s="91" t="s">
        <v>1171</v>
      </c>
    </row>
    <row r="6614" spans="1:3" ht="15">
      <c r="A6614" s="84" t="s">
        <v>340</v>
      </c>
      <c r="B6614" s="83" t="s">
        <v>3290</v>
      </c>
      <c r="C6614" s="91" t="s">
        <v>1171</v>
      </c>
    </row>
    <row r="6615" spans="1:3" ht="15">
      <c r="A6615" s="84" t="s">
        <v>340</v>
      </c>
      <c r="B6615" s="83" t="s">
        <v>3213</v>
      </c>
      <c r="C6615" s="91" t="s">
        <v>1171</v>
      </c>
    </row>
    <row r="6616" spans="1:3" ht="15">
      <c r="A6616" s="84" t="s">
        <v>340</v>
      </c>
      <c r="B6616" s="83" t="s">
        <v>3291</v>
      </c>
      <c r="C6616" s="91" t="s">
        <v>1171</v>
      </c>
    </row>
    <row r="6617" spans="1:3" ht="15">
      <c r="A6617" s="84" t="s">
        <v>340</v>
      </c>
      <c r="B6617" s="83" t="s">
        <v>3292</v>
      </c>
      <c r="C6617" s="91" t="s">
        <v>1171</v>
      </c>
    </row>
    <row r="6618" spans="1:3" ht="15">
      <c r="A6618" s="84" t="s">
        <v>340</v>
      </c>
      <c r="B6618" s="83" t="s">
        <v>3293</v>
      </c>
      <c r="C6618" s="91" t="s">
        <v>1171</v>
      </c>
    </row>
    <row r="6619" spans="1:3" ht="15">
      <c r="A6619" s="84" t="s">
        <v>340</v>
      </c>
      <c r="B6619" s="83" t="s">
        <v>3294</v>
      </c>
      <c r="C6619" s="91" t="s">
        <v>1171</v>
      </c>
    </row>
    <row r="6620" spans="1:3" ht="15">
      <c r="A6620" s="84" t="s">
        <v>340</v>
      </c>
      <c r="B6620" s="83" t="s">
        <v>3295</v>
      </c>
      <c r="C6620" s="91" t="s">
        <v>1171</v>
      </c>
    </row>
    <row r="6621" spans="1:3" ht="15">
      <c r="A6621" s="84" t="s">
        <v>340</v>
      </c>
      <c r="B6621" s="83" t="s">
        <v>3237</v>
      </c>
      <c r="C6621" s="91" t="s">
        <v>1171</v>
      </c>
    </row>
    <row r="6622" spans="1:3" ht="15">
      <c r="A6622" s="84" t="s">
        <v>340</v>
      </c>
      <c r="B6622" s="83" t="s">
        <v>3296</v>
      </c>
      <c r="C6622" s="91" t="s">
        <v>1171</v>
      </c>
    </row>
    <row r="6623" spans="1:3" ht="15">
      <c r="A6623" s="84" t="s">
        <v>340</v>
      </c>
      <c r="B6623" s="83" t="s">
        <v>3297</v>
      </c>
      <c r="C6623" s="91" t="s">
        <v>1171</v>
      </c>
    </row>
    <row r="6624" spans="1:3" ht="15">
      <c r="A6624" s="84" t="s">
        <v>340</v>
      </c>
      <c r="B6624" s="83" t="s">
        <v>3218</v>
      </c>
      <c r="C6624" s="91" t="s">
        <v>1171</v>
      </c>
    </row>
    <row r="6625" spans="1:3" ht="15">
      <c r="A6625" s="84" t="s">
        <v>340</v>
      </c>
      <c r="B6625" s="83" t="s">
        <v>3298</v>
      </c>
      <c r="C6625" s="91" t="s">
        <v>1171</v>
      </c>
    </row>
    <row r="6626" spans="1:3" ht="15">
      <c r="A6626" s="84" t="s">
        <v>340</v>
      </c>
      <c r="B6626" s="83" t="s">
        <v>3299</v>
      </c>
      <c r="C6626" s="91" t="s">
        <v>1171</v>
      </c>
    </row>
    <row r="6627" spans="1:3" ht="15">
      <c r="A6627" s="84" t="s">
        <v>340</v>
      </c>
      <c r="B6627" s="83" t="s">
        <v>2179</v>
      </c>
      <c r="C6627" s="91" t="s">
        <v>1171</v>
      </c>
    </row>
    <row r="6628" spans="1:3" ht="15">
      <c r="A6628" s="84" t="s">
        <v>340</v>
      </c>
      <c r="B6628" s="83" t="s">
        <v>3300</v>
      </c>
      <c r="C6628" s="91" t="s">
        <v>1171</v>
      </c>
    </row>
    <row r="6629" spans="1:3" ht="15">
      <c r="A6629" s="84" t="s">
        <v>340</v>
      </c>
      <c r="B6629" s="83" t="s">
        <v>3301</v>
      </c>
      <c r="C6629" s="91" t="s">
        <v>1171</v>
      </c>
    </row>
    <row r="6630" spans="1:3" ht="15">
      <c r="A6630" s="84" t="s">
        <v>340</v>
      </c>
      <c r="B6630" s="83" t="s">
        <v>3199</v>
      </c>
      <c r="C6630" s="91" t="s">
        <v>1171</v>
      </c>
    </row>
    <row r="6631" spans="1:3" ht="15">
      <c r="A6631" s="84" t="s">
        <v>340</v>
      </c>
      <c r="B6631" s="83" t="s">
        <v>3214</v>
      </c>
      <c r="C6631" s="91" t="s">
        <v>1171</v>
      </c>
    </row>
    <row r="6632" spans="1:3" ht="15">
      <c r="A6632" s="84" t="s">
        <v>340</v>
      </c>
      <c r="B6632" s="83" t="s">
        <v>3302</v>
      </c>
      <c r="C6632" s="91" t="s">
        <v>1171</v>
      </c>
    </row>
    <row r="6633" spans="1:3" ht="15">
      <c r="A6633" s="84" t="s">
        <v>340</v>
      </c>
      <c r="B6633" s="83" t="s">
        <v>3303</v>
      </c>
      <c r="C6633" s="91" t="s">
        <v>1171</v>
      </c>
    </row>
    <row r="6634" spans="1:3" ht="15">
      <c r="A6634" s="84" t="s">
        <v>339</v>
      </c>
      <c r="B6634" s="83" t="s">
        <v>3250</v>
      </c>
      <c r="C6634" s="91" t="s">
        <v>1170</v>
      </c>
    </row>
    <row r="6635" spans="1:3" ht="15">
      <c r="A6635" s="84" t="s">
        <v>339</v>
      </c>
      <c r="B6635" s="83" t="s">
        <v>2692</v>
      </c>
      <c r="C6635" s="91" t="s">
        <v>1170</v>
      </c>
    </row>
    <row r="6636" spans="1:3" ht="15">
      <c r="A6636" s="84" t="s">
        <v>339</v>
      </c>
      <c r="B6636" s="83" t="s">
        <v>2712</v>
      </c>
      <c r="C6636" s="91" t="s">
        <v>1170</v>
      </c>
    </row>
    <row r="6637" spans="1:3" ht="15">
      <c r="A6637" s="84" t="s">
        <v>339</v>
      </c>
      <c r="B6637" s="83" t="s">
        <v>2578</v>
      </c>
      <c r="C6637" s="91" t="s">
        <v>1170</v>
      </c>
    </row>
    <row r="6638" spans="1:3" ht="15">
      <c r="A6638" s="84" t="s">
        <v>339</v>
      </c>
      <c r="B6638" s="83" t="s">
        <v>2637</v>
      </c>
      <c r="C6638" s="91" t="s">
        <v>1170</v>
      </c>
    </row>
    <row r="6639" spans="1:3" ht="15">
      <c r="A6639" s="84" t="s">
        <v>339</v>
      </c>
      <c r="B6639" s="83" t="s">
        <v>3203</v>
      </c>
      <c r="C6639" s="91" t="s">
        <v>1170</v>
      </c>
    </row>
    <row r="6640" spans="1:3" ht="15">
      <c r="A6640" s="84" t="s">
        <v>339</v>
      </c>
      <c r="B6640" s="91" t="s">
        <v>3287</v>
      </c>
      <c r="C6640" s="91" t="s">
        <v>1170</v>
      </c>
    </row>
    <row r="6641" spans="1:3" ht="15">
      <c r="A6641" s="84" t="s">
        <v>339</v>
      </c>
      <c r="B6641" s="83" t="s">
        <v>3288</v>
      </c>
      <c r="C6641" s="91" t="s">
        <v>1170</v>
      </c>
    </row>
    <row r="6642" spans="1:3" ht="15">
      <c r="A6642" s="84" t="s">
        <v>339</v>
      </c>
      <c r="B6642" s="83" t="s">
        <v>3289</v>
      </c>
      <c r="C6642" s="91" t="s">
        <v>1170</v>
      </c>
    </row>
    <row r="6643" spans="1:3" ht="15">
      <c r="A6643" s="84" t="s">
        <v>339</v>
      </c>
      <c r="B6643" s="83" t="s">
        <v>2632</v>
      </c>
      <c r="C6643" s="91" t="s">
        <v>1170</v>
      </c>
    </row>
    <row r="6644" spans="1:3" ht="15">
      <c r="A6644" s="84" t="s">
        <v>339</v>
      </c>
      <c r="B6644" s="83" t="s">
        <v>435</v>
      </c>
      <c r="C6644" s="91" t="s">
        <v>1170</v>
      </c>
    </row>
    <row r="6645" spans="1:3" ht="15">
      <c r="A6645" s="84" t="s">
        <v>339</v>
      </c>
      <c r="B6645" s="83" t="s">
        <v>3290</v>
      </c>
      <c r="C6645" s="91" t="s">
        <v>1170</v>
      </c>
    </row>
    <row r="6646" spans="1:3" ht="15">
      <c r="A6646" s="84" t="s">
        <v>339</v>
      </c>
      <c r="B6646" s="83" t="s">
        <v>3213</v>
      </c>
      <c r="C6646" s="91" t="s">
        <v>1170</v>
      </c>
    </row>
    <row r="6647" spans="1:3" ht="15">
      <c r="A6647" s="84" t="s">
        <v>339</v>
      </c>
      <c r="B6647" s="83" t="s">
        <v>3291</v>
      </c>
      <c r="C6647" s="91" t="s">
        <v>1170</v>
      </c>
    </row>
    <row r="6648" spans="1:3" ht="15">
      <c r="A6648" s="84" t="s">
        <v>339</v>
      </c>
      <c r="B6648" s="83" t="s">
        <v>3292</v>
      </c>
      <c r="C6648" s="91" t="s">
        <v>1170</v>
      </c>
    </row>
    <row r="6649" spans="1:3" ht="15">
      <c r="A6649" s="84" t="s">
        <v>339</v>
      </c>
      <c r="B6649" s="83" t="s">
        <v>3293</v>
      </c>
      <c r="C6649" s="91" t="s">
        <v>1170</v>
      </c>
    </row>
    <row r="6650" spans="1:3" ht="15">
      <c r="A6650" s="84" t="s">
        <v>339</v>
      </c>
      <c r="B6650" s="83" t="s">
        <v>3294</v>
      </c>
      <c r="C6650" s="91" t="s">
        <v>1170</v>
      </c>
    </row>
    <row r="6651" spans="1:3" ht="15">
      <c r="A6651" s="84" t="s">
        <v>339</v>
      </c>
      <c r="B6651" s="83" t="s">
        <v>3295</v>
      </c>
      <c r="C6651" s="91" t="s">
        <v>1170</v>
      </c>
    </row>
    <row r="6652" spans="1:3" ht="15">
      <c r="A6652" s="84" t="s">
        <v>339</v>
      </c>
      <c r="B6652" s="83" t="s">
        <v>3237</v>
      </c>
      <c r="C6652" s="91" t="s">
        <v>1170</v>
      </c>
    </row>
    <row r="6653" spans="1:3" ht="15">
      <c r="A6653" s="84" t="s">
        <v>339</v>
      </c>
      <c r="B6653" s="83" t="s">
        <v>3296</v>
      </c>
      <c r="C6653" s="91" t="s">
        <v>1170</v>
      </c>
    </row>
    <row r="6654" spans="1:3" ht="15">
      <c r="A6654" s="84" t="s">
        <v>339</v>
      </c>
      <c r="B6654" s="83" t="s">
        <v>3297</v>
      </c>
      <c r="C6654" s="91" t="s">
        <v>1170</v>
      </c>
    </row>
    <row r="6655" spans="1:3" ht="15">
      <c r="A6655" s="84" t="s">
        <v>339</v>
      </c>
      <c r="B6655" s="83" t="s">
        <v>3218</v>
      </c>
      <c r="C6655" s="91" t="s">
        <v>1170</v>
      </c>
    </row>
    <row r="6656" spans="1:3" ht="15">
      <c r="A6656" s="84" t="s">
        <v>339</v>
      </c>
      <c r="B6656" s="83" t="s">
        <v>3298</v>
      </c>
      <c r="C6656" s="91" t="s">
        <v>1170</v>
      </c>
    </row>
    <row r="6657" spans="1:3" ht="15">
      <c r="A6657" s="84" t="s">
        <v>339</v>
      </c>
      <c r="B6657" s="83" t="s">
        <v>3299</v>
      </c>
      <c r="C6657" s="91" t="s">
        <v>1170</v>
      </c>
    </row>
    <row r="6658" spans="1:3" ht="15">
      <c r="A6658" s="84" t="s">
        <v>339</v>
      </c>
      <c r="B6658" s="83" t="s">
        <v>2179</v>
      </c>
      <c r="C6658" s="91" t="s">
        <v>1170</v>
      </c>
    </row>
    <row r="6659" spans="1:3" ht="15">
      <c r="A6659" s="84" t="s">
        <v>339</v>
      </c>
      <c r="B6659" s="83" t="s">
        <v>3300</v>
      </c>
      <c r="C6659" s="91" t="s">
        <v>1170</v>
      </c>
    </row>
    <row r="6660" spans="1:3" ht="15">
      <c r="A6660" s="84" t="s">
        <v>339</v>
      </c>
      <c r="B6660" s="83" t="s">
        <v>3301</v>
      </c>
      <c r="C6660" s="91" t="s">
        <v>1170</v>
      </c>
    </row>
    <row r="6661" spans="1:3" ht="15">
      <c r="A6661" s="84" t="s">
        <v>339</v>
      </c>
      <c r="B6661" s="83" t="s">
        <v>3199</v>
      </c>
      <c r="C6661" s="91" t="s">
        <v>1170</v>
      </c>
    </row>
    <row r="6662" spans="1:3" ht="15">
      <c r="A6662" s="84" t="s">
        <v>339</v>
      </c>
      <c r="B6662" s="83" t="s">
        <v>3214</v>
      </c>
      <c r="C6662" s="91" t="s">
        <v>1170</v>
      </c>
    </row>
    <row r="6663" spans="1:3" ht="15">
      <c r="A6663" s="84" t="s">
        <v>339</v>
      </c>
      <c r="B6663" s="83" t="s">
        <v>3302</v>
      </c>
      <c r="C6663" s="91" t="s">
        <v>1170</v>
      </c>
    </row>
    <row r="6664" spans="1:3" ht="15">
      <c r="A6664" s="84" t="s">
        <v>339</v>
      </c>
      <c r="B6664" s="83" t="s">
        <v>3303</v>
      </c>
      <c r="C6664" s="91" t="s">
        <v>1170</v>
      </c>
    </row>
    <row r="6665" spans="1:3" ht="15">
      <c r="A6665" s="84" t="s">
        <v>339</v>
      </c>
      <c r="B6665" s="83" t="s">
        <v>3396</v>
      </c>
      <c r="C6665" s="91" t="s">
        <v>1169</v>
      </c>
    </row>
    <row r="6666" spans="1:3" ht="15">
      <c r="A6666" s="84" t="s">
        <v>339</v>
      </c>
      <c r="B6666" s="83">
        <v>5</v>
      </c>
      <c r="C6666" s="91" t="s">
        <v>1169</v>
      </c>
    </row>
    <row r="6667" spans="1:3" ht="15">
      <c r="A6667" s="84" t="s">
        <v>339</v>
      </c>
      <c r="B6667" s="83" t="s">
        <v>3397</v>
      </c>
      <c r="C6667" s="91" t="s">
        <v>1169</v>
      </c>
    </row>
    <row r="6668" spans="1:3" ht="15">
      <c r="A6668" s="84" t="s">
        <v>339</v>
      </c>
      <c r="B6668" s="83" t="s">
        <v>3398</v>
      </c>
      <c r="C6668" s="91" t="s">
        <v>1169</v>
      </c>
    </row>
    <row r="6669" spans="1:3" ht="15">
      <c r="A6669" s="84" t="s">
        <v>339</v>
      </c>
      <c r="B6669" s="83" t="s">
        <v>2796</v>
      </c>
      <c r="C6669" s="91" t="s">
        <v>1169</v>
      </c>
    </row>
    <row r="6670" spans="1:3" ht="15">
      <c r="A6670" s="84" t="s">
        <v>339</v>
      </c>
      <c r="B6670" s="83" t="s">
        <v>3203</v>
      </c>
      <c r="C6670" s="91" t="s">
        <v>1169</v>
      </c>
    </row>
    <row r="6671" spans="1:3" ht="15">
      <c r="A6671" s="84" t="s">
        <v>339</v>
      </c>
      <c r="B6671" s="83">
        <v>19</v>
      </c>
      <c r="C6671" s="91" t="s">
        <v>1169</v>
      </c>
    </row>
    <row r="6672" spans="1:3" ht="15">
      <c r="A6672" s="84" t="s">
        <v>339</v>
      </c>
      <c r="B6672" s="83" t="s">
        <v>2873</v>
      </c>
      <c r="C6672" s="91" t="s">
        <v>1169</v>
      </c>
    </row>
    <row r="6673" spans="1:3" ht="15">
      <c r="A6673" s="84" t="s">
        <v>339</v>
      </c>
      <c r="B6673" s="83" t="s">
        <v>3382</v>
      </c>
      <c r="C6673" s="91" t="s">
        <v>1169</v>
      </c>
    </row>
    <row r="6674" spans="1:3" ht="15">
      <c r="A6674" s="84" t="s">
        <v>339</v>
      </c>
      <c r="B6674" s="83" t="s">
        <v>3399</v>
      </c>
      <c r="C6674" s="91" t="s">
        <v>1169</v>
      </c>
    </row>
    <row r="6675" spans="1:3" ht="15">
      <c r="A6675" s="84" t="s">
        <v>339</v>
      </c>
      <c r="B6675" s="83" t="s">
        <v>3386</v>
      </c>
      <c r="C6675" s="91" t="s">
        <v>1169</v>
      </c>
    </row>
    <row r="6676" spans="1:3" ht="15">
      <c r="A6676" s="84" t="s">
        <v>339</v>
      </c>
      <c r="B6676" s="83" t="s">
        <v>3400</v>
      </c>
      <c r="C6676" s="91" t="s">
        <v>1169</v>
      </c>
    </row>
    <row r="6677" spans="1:3" ht="15">
      <c r="A6677" s="84" t="s">
        <v>339</v>
      </c>
      <c r="B6677" s="83" t="s">
        <v>3354</v>
      </c>
      <c r="C6677" s="91" t="s">
        <v>1169</v>
      </c>
    </row>
    <row r="6678" spans="1:3" ht="15">
      <c r="A6678" s="84" t="s">
        <v>339</v>
      </c>
      <c r="B6678" s="83" t="s">
        <v>3313</v>
      </c>
      <c r="C6678" s="91" t="s">
        <v>1169</v>
      </c>
    </row>
    <row r="6679" spans="1:3" ht="15">
      <c r="A6679" s="84" t="s">
        <v>339</v>
      </c>
      <c r="B6679" s="83" t="s">
        <v>2766</v>
      </c>
      <c r="C6679" s="91" t="s">
        <v>1169</v>
      </c>
    </row>
    <row r="6680" spans="1:3" ht="15">
      <c r="A6680" s="84" t="s">
        <v>339</v>
      </c>
      <c r="B6680" s="83" t="s">
        <v>3119</v>
      </c>
      <c r="C6680" s="91" t="s">
        <v>1169</v>
      </c>
    </row>
    <row r="6681" spans="1:3" ht="15">
      <c r="A6681" s="84" t="s">
        <v>339</v>
      </c>
      <c r="B6681" s="83" t="s">
        <v>586</v>
      </c>
      <c r="C6681" s="91" t="s">
        <v>1169</v>
      </c>
    </row>
    <row r="6682" spans="1:3" ht="15">
      <c r="A6682" s="84" t="s">
        <v>339</v>
      </c>
      <c r="B6682" s="83" t="s">
        <v>2972</v>
      </c>
      <c r="C6682" s="91" t="s">
        <v>1169</v>
      </c>
    </row>
    <row r="6683" spans="1:3" ht="15">
      <c r="A6683" s="84" t="s">
        <v>339</v>
      </c>
      <c r="B6683" s="83" t="s">
        <v>3401</v>
      </c>
      <c r="C6683" s="91" t="s">
        <v>1169</v>
      </c>
    </row>
    <row r="6684" spans="1:3" ht="15">
      <c r="A6684" s="84" t="s">
        <v>339</v>
      </c>
      <c r="B6684" s="83" t="s">
        <v>3336</v>
      </c>
      <c r="C6684" s="91" t="s">
        <v>1169</v>
      </c>
    </row>
    <row r="6685" spans="1:3" ht="15">
      <c r="A6685" s="84" t="s">
        <v>339</v>
      </c>
      <c r="B6685" s="83" t="s">
        <v>3402</v>
      </c>
      <c r="C6685" s="91" t="s">
        <v>1169</v>
      </c>
    </row>
    <row r="6686" spans="1:3" ht="15">
      <c r="A6686" s="84" t="s">
        <v>339</v>
      </c>
      <c r="B6686" s="83" t="s">
        <v>2678</v>
      </c>
      <c r="C6686" s="91" t="s">
        <v>1169</v>
      </c>
    </row>
    <row r="6687" spans="1:3" ht="15">
      <c r="A6687" s="84" t="s">
        <v>339</v>
      </c>
      <c r="B6687" s="83" t="s">
        <v>2917</v>
      </c>
      <c r="C6687" s="91" t="s">
        <v>1169</v>
      </c>
    </row>
    <row r="6688" spans="1:3" ht="15">
      <c r="A6688" s="84" t="s">
        <v>339</v>
      </c>
      <c r="B6688" s="83" t="s">
        <v>3403</v>
      </c>
      <c r="C6688" s="91" t="s">
        <v>1169</v>
      </c>
    </row>
    <row r="6689" spans="1:3" ht="15">
      <c r="A6689" s="84" t="s">
        <v>339</v>
      </c>
      <c r="B6689" s="83" t="s">
        <v>3404</v>
      </c>
      <c r="C6689" s="91" t="s">
        <v>1169</v>
      </c>
    </row>
    <row r="6690" spans="1:3" ht="15">
      <c r="A6690" s="84" t="s">
        <v>339</v>
      </c>
      <c r="B6690" s="83" t="s">
        <v>3405</v>
      </c>
      <c r="C6690" s="91" t="s">
        <v>1169</v>
      </c>
    </row>
    <row r="6691" spans="1:3" ht="15">
      <c r="A6691" s="84" t="s">
        <v>339</v>
      </c>
      <c r="B6691" s="83" t="s">
        <v>3406</v>
      </c>
      <c r="C6691" s="91" t="s">
        <v>1169</v>
      </c>
    </row>
    <row r="6692" spans="1:3" ht="15">
      <c r="A6692" s="84" t="s">
        <v>339</v>
      </c>
      <c r="B6692" s="83" t="s">
        <v>3407</v>
      </c>
      <c r="C6692" s="91" t="s">
        <v>1169</v>
      </c>
    </row>
    <row r="6693" spans="1:3" ht="15">
      <c r="A6693" s="84" t="s">
        <v>339</v>
      </c>
      <c r="B6693" s="83" t="s">
        <v>2569</v>
      </c>
      <c r="C6693" s="91" t="s">
        <v>1169</v>
      </c>
    </row>
    <row r="6694" spans="1:3" ht="15">
      <c r="A6694" s="84" t="s">
        <v>339</v>
      </c>
      <c r="B6694" s="83" t="s">
        <v>3365</v>
      </c>
      <c r="C6694" s="91" t="s">
        <v>1169</v>
      </c>
    </row>
    <row r="6695" spans="1:3" ht="15">
      <c r="A6695" s="84" t="s">
        <v>338</v>
      </c>
      <c r="B6695" s="83" t="s">
        <v>3250</v>
      </c>
      <c r="C6695" s="91" t="s">
        <v>1168</v>
      </c>
    </row>
    <row r="6696" spans="1:3" ht="15">
      <c r="A6696" s="84" t="s">
        <v>338</v>
      </c>
      <c r="B6696" s="83" t="s">
        <v>2692</v>
      </c>
      <c r="C6696" s="91" t="s">
        <v>1168</v>
      </c>
    </row>
    <row r="6697" spans="1:3" ht="15">
      <c r="A6697" s="84" t="s">
        <v>338</v>
      </c>
      <c r="B6697" s="83" t="s">
        <v>2712</v>
      </c>
      <c r="C6697" s="91" t="s">
        <v>1168</v>
      </c>
    </row>
    <row r="6698" spans="1:3" ht="15">
      <c r="A6698" s="84" t="s">
        <v>338</v>
      </c>
      <c r="B6698" s="83" t="s">
        <v>2578</v>
      </c>
      <c r="C6698" s="91" t="s">
        <v>1168</v>
      </c>
    </row>
    <row r="6699" spans="1:3" ht="15">
      <c r="A6699" s="84" t="s">
        <v>338</v>
      </c>
      <c r="B6699" s="83" t="s">
        <v>2637</v>
      </c>
      <c r="C6699" s="91" t="s">
        <v>1168</v>
      </c>
    </row>
    <row r="6700" spans="1:3" ht="15">
      <c r="A6700" s="84" t="s">
        <v>338</v>
      </c>
      <c r="B6700" s="83" t="s">
        <v>3203</v>
      </c>
      <c r="C6700" s="91" t="s">
        <v>1168</v>
      </c>
    </row>
    <row r="6701" spans="1:3" ht="15">
      <c r="A6701" s="84" t="s">
        <v>338</v>
      </c>
      <c r="B6701" s="91" t="s">
        <v>3287</v>
      </c>
      <c r="C6701" s="91" t="s">
        <v>1168</v>
      </c>
    </row>
    <row r="6702" spans="1:3" ht="15">
      <c r="A6702" s="84" t="s">
        <v>338</v>
      </c>
      <c r="B6702" s="83" t="s">
        <v>3288</v>
      </c>
      <c r="C6702" s="91" t="s">
        <v>1168</v>
      </c>
    </row>
    <row r="6703" spans="1:3" ht="15">
      <c r="A6703" s="84" t="s">
        <v>338</v>
      </c>
      <c r="B6703" s="83" t="s">
        <v>3289</v>
      </c>
      <c r="C6703" s="91" t="s">
        <v>1168</v>
      </c>
    </row>
    <row r="6704" spans="1:3" ht="15">
      <c r="A6704" s="84" t="s">
        <v>338</v>
      </c>
      <c r="B6704" s="83" t="s">
        <v>2632</v>
      </c>
      <c r="C6704" s="91" t="s">
        <v>1168</v>
      </c>
    </row>
    <row r="6705" spans="1:3" ht="15">
      <c r="A6705" s="84" t="s">
        <v>338</v>
      </c>
      <c r="B6705" s="83" t="s">
        <v>435</v>
      </c>
      <c r="C6705" s="91" t="s">
        <v>1168</v>
      </c>
    </row>
    <row r="6706" spans="1:3" ht="15">
      <c r="A6706" s="84" t="s">
        <v>338</v>
      </c>
      <c r="B6706" s="83" t="s">
        <v>3290</v>
      </c>
      <c r="C6706" s="91" t="s">
        <v>1168</v>
      </c>
    </row>
    <row r="6707" spans="1:3" ht="15">
      <c r="A6707" s="84" t="s">
        <v>338</v>
      </c>
      <c r="B6707" s="83" t="s">
        <v>3213</v>
      </c>
      <c r="C6707" s="91" t="s">
        <v>1168</v>
      </c>
    </row>
    <row r="6708" spans="1:3" ht="15">
      <c r="A6708" s="84" t="s">
        <v>338</v>
      </c>
      <c r="B6708" s="83" t="s">
        <v>3291</v>
      </c>
      <c r="C6708" s="91" t="s">
        <v>1168</v>
      </c>
    </row>
    <row r="6709" spans="1:3" ht="15">
      <c r="A6709" s="84" t="s">
        <v>338</v>
      </c>
      <c r="B6709" s="83" t="s">
        <v>3292</v>
      </c>
      <c r="C6709" s="91" t="s">
        <v>1168</v>
      </c>
    </row>
    <row r="6710" spans="1:3" ht="15">
      <c r="A6710" s="84" t="s">
        <v>338</v>
      </c>
      <c r="B6710" s="83" t="s">
        <v>3293</v>
      </c>
      <c r="C6710" s="91" t="s">
        <v>1168</v>
      </c>
    </row>
    <row r="6711" spans="1:3" ht="15">
      <c r="A6711" s="84" t="s">
        <v>338</v>
      </c>
      <c r="B6711" s="83" t="s">
        <v>3294</v>
      </c>
      <c r="C6711" s="91" t="s">
        <v>1168</v>
      </c>
    </row>
    <row r="6712" spans="1:3" ht="15">
      <c r="A6712" s="84" t="s">
        <v>338</v>
      </c>
      <c r="B6712" s="83" t="s">
        <v>3295</v>
      </c>
      <c r="C6712" s="91" t="s">
        <v>1168</v>
      </c>
    </row>
    <row r="6713" spans="1:3" ht="15">
      <c r="A6713" s="84" t="s">
        <v>338</v>
      </c>
      <c r="B6713" s="83" t="s">
        <v>3237</v>
      </c>
      <c r="C6713" s="91" t="s">
        <v>1168</v>
      </c>
    </row>
    <row r="6714" spans="1:3" ht="15">
      <c r="A6714" s="84" t="s">
        <v>338</v>
      </c>
      <c r="B6714" s="83" t="s">
        <v>3296</v>
      </c>
      <c r="C6714" s="91" t="s">
        <v>1168</v>
      </c>
    </row>
    <row r="6715" spans="1:3" ht="15">
      <c r="A6715" s="84" t="s">
        <v>338</v>
      </c>
      <c r="B6715" s="83" t="s">
        <v>3297</v>
      </c>
      <c r="C6715" s="91" t="s">
        <v>1168</v>
      </c>
    </row>
    <row r="6716" spans="1:3" ht="15">
      <c r="A6716" s="84" t="s">
        <v>338</v>
      </c>
      <c r="B6716" s="83" t="s">
        <v>3218</v>
      </c>
      <c r="C6716" s="91" t="s">
        <v>1168</v>
      </c>
    </row>
    <row r="6717" spans="1:3" ht="15">
      <c r="A6717" s="84" t="s">
        <v>338</v>
      </c>
      <c r="B6717" s="83" t="s">
        <v>3298</v>
      </c>
      <c r="C6717" s="91" t="s">
        <v>1168</v>
      </c>
    </row>
    <row r="6718" spans="1:3" ht="15">
      <c r="A6718" s="84" t="s">
        <v>338</v>
      </c>
      <c r="B6718" s="83" t="s">
        <v>3299</v>
      </c>
      <c r="C6718" s="91" t="s">
        <v>1168</v>
      </c>
    </row>
    <row r="6719" spans="1:3" ht="15">
      <c r="A6719" s="84" t="s">
        <v>338</v>
      </c>
      <c r="B6719" s="83" t="s">
        <v>2179</v>
      </c>
      <c r="C6719" s="91" t="s">
        <v>1168</v>
      </c>
    </row>
    <row r="6720" spans="1:3" ht="15">
      <c r="A6720" s="84" t="s">
        <v>338</v>
      </c>
      <c r="B6720" s="83" t="s">
        <v>3300</v>
      </c>
      <c r="C6720" s="91" t="s">
        <v>1168</v>
      </c>
    </row>
    <row r="6721" spans="1:3" ht="15">
      <c r="A6721" s="84" t="s">
        <v>338</v>
      </c>
      <c r="B6721" s="83" t="s">
        <v>3301</v>
      </c>
      <c r="C6721" s="91" t="s">
        <v>1168</v>
      </c>
    </row>
    <row r="6722" spans="1:3" ht="15">
      <c r="A6722" s="84" t="s">
        <v>338</v>
      </c>
      <c r="B6722" s="83" t="s">
        <v>3199</v>
      </c>
      <c r="C6722" s="91" t="s">
        <v>1168</v>
      </c>
    </row>
    <row r="6723" spans="1:3" ht="15">
      <c r="A6723" s="84" t="s">
        <v>338</v>
      </c>
      <c r="B6723" s="83" t="s">
        <v>3214</v>
      </c>
      <c r="C6723" s="91" t="s">
        <v>1168</v>
      </c>
    </row>
    <row r="6724" spans="1:3" ht="15">
      <c r="A6724" s="84" t="s">
        <v>338</v>
      </c>
      <c r="B6724" s="83" t="s">
        <v>3302</v>
      </c>
      <c r="C6724" s="91" t="s">
        <v>1168</v>
      </c>
    </row>
    <row r="6725" spans="1:3" ht="15">
      <c r="A6725" s="84" t="s">
        <v>338</v>
      </c>
      <c r="B6725" s="83" t="s">
        <v>3303</v>
      </c>
      <c r="C6725" s="91" t="s">
        <v>1168</v>
      </c>
    </row>
    <row r="6726" spans="1:3" ht="15">
      <c r="A6726" s="84" t="s">
        <v>337</v>
      </c>
      <c r="B6726" s="83" t="s">
        <v>3250</v>
      </c>
      <c r="C6726" s="91" t="s">
        <v>1167</v>
      </c>
    </row>
    <row r="6727" spans="1:3" ht="15">
      <c r="A6727" s="84" t="s">
        <v>337</v>
      </c>
      <c r="B6727" s="83" t="s">
        <v>2692</v>
      </c>
      <c r="C6727" s="91" t="s">
        <v>1167</v>
      </c>
    </row>
    <row r="6728" spans="1:3" ht="15">
      <c r="A6728" s="84" t="s">
        <v>337</v>
      </c>
      <c r="B6728" s="83" t="s">
        <v>2712</v>
      </c>
      <c r="C6728" s="91" t="s">
        <v>1167</v>
      </c>
    </row>
    <row r="6729" spans="1:3" ht="15">
      <c r="A6729" s="84" t="s">
        <v>337</v>
      </c>
      <c r="B6729" s="83" t="s">
        <v>2578</v>
      </c>
      <c r="C6729" s="91" t="s">
        <v>1167</v>
      </c>
    </row>
    <row r="6730" spans="1:3" ht="15">
      <c r="A6730" s="84" t="s">
        <v>337</v>
      </c>
      <c r="B6730" s="83" t="s">
        <v>2637</v>
      </c>
      <c r="C6730" s="91" t="s">
        <v>1167</v>
      </c>
    </row>
    <row r="6731" spans="1:3" ht="15">
      <c r="A6731" s="84" t="s">
        <v>337</v>
      </c>
      <c r="B6731" s="83" t="s">
        <v>3203</v>
      </c>
      <c r="C6731" s="91" t="s">
        <v>1167</v>
      </c>
    </row>
    <row r="6732" spans="1:3" ht="15">
      <c r="A6732" s="84" t="s">
        <v>337</v>
      </c>
      <c r="B6732" s="91" t="s">
        <v>3287</v>
      </c>
      <c r="C6732" s="91" t="s">
        <v>1167</v>
      </c>
    </row>
    <row r="6733" spans="1:3" ht="15">
      <c r="A6733" s="84" t="s">
        <v>337</v>
      </c>
      <c r="B6733" s="83" t="s">
        <v>3288</v>
      </c>
      <c r="C6733" s="91" t="s">
        <v>1167</v>
      </c>
    </row>
    <row r="6734" spans="1:3" ht="15">
      <c r="A6734" s="84" t="s">
        <v>337</v>
      </c>
      <c r="B6734" s="83" t="s">
        <v>3289</v>
      </c>
      <c r="C6734" s="91" t="s">
        <v>1167</v>
      </c>
    </row>
    <row r="6735" spans="1:3" ht="15">
      <c r="A6735" s="84" t="s">
        <v>337</v>
      </c>
      <c r="B6735" s="83" t="s">
        <v>2632</v>
      </c>
      <c r="C6735" s="91" t="s">
        <v>1167</v>
      </c>
    </row>
    <row r="6736" spans="1:3" ht="15">
      <c r="A6736" s="84" t="s">
        <v>337</v>
      </c>
      <c r="B6736" s="83" t="s">
        <v>435</v>
      </c>
      <c r="C6736" s="91" t="s">
        <v>1167</v>
      </c>
    </row>
    <row r="6737" spans="1:3" ht="15">
      <c r="A6737" s="84" t="s">
        <v>337</v>
      </c>
      <c r="B6737" s="83" t="s">
        <v>3290</v>
      </c>
      <c r="C6737" s="91" t="s">
        <v>1167</v>
      </c>
    </row>
    <row r="6738" spans="1:3" ht="15">
      <c r="A6738" s="84" t="s">
        <v>337</v>
      </c>
      <c r="B6738" s="83" t="s">
        <v>3213</v>
      </c>
      <c r="C6738" s="91" t="s">
        <v>1167</v>
      </c>
    </row>
    <row r="6739" spans="1:3" ht="15">
      <c r="A6739" s="84" t="s">
        <v>337</v>
      </c>
      <c r="B6739" s="83" t="s">
        <v>3291</v>
      </c>
      <c r="C6739" s="91" t="s">
        <v>1167</v>
      </c>
    </row>
    <row r="6740" spans="1:3" ht="15">
      <c r="A6740" s="84" t="s">
        <v>337</v>
      </c>
      <c r="B6740" s="83" t="s">
        <v>3292</v>
      </c>
      <c r="C6740" s="91" t="s">
        <v>1167</v>
      </c>
    </row>
    <row r="6741" spans="1:3" ht="15">
      <c r="A6741" s="84" t="s">
        <v>337</v>
      </c>
      <c r="B6741" s="83" t="s">
        <v>3293</v>
      </c>
      <c r="C6741" s="91" t="s">
        <v>1167</v>
      </c>
    </row>
    <row r="6742" spans="1:3" ht="15">
      <c r="A6742" s="84" t="s">
        <v>337</v>
      </c>
      <c r="B6742" s="83" t="s">
        <v>3294</v>
      </c>
      <c r="C6742" s="91" t="s">
        <v>1167</v>
      </c>
    </row>
    <row r="6743" spans="1:3" ht="15">
      <c r="A6743" s="84" t="s">
        <v>337</v>
      </c>
      <c r="B6743" s="83" t="s">
        <v>3295</v>
      </c>
      <c r="C6743" s="91" t="s">
        <v>1167</v>
      </c>
    </row>
    <row r="6744" spans="1:3" ht="15">
      <c r="A6744" s="84" t="s">
        <v>337</v>
      </c>
      <c r="B6744" s="83" t="s">
        <v>3237</v>
      </c>
      <c r="C6744" s="91" t="s">
        <v>1167</v>
      </c>
    </row>
    <row r="6745" spans="1:3" ht="15">
      <c r="A6745" s="84" t="s">
        <v>337</v>
      </c>
      <c r="B6745" s="83" t="s">
        <v>3296</v>
      </c>
      <c r="C6745" s="91" t="s">
        <v>1167</v>
      </c>
    </row>
    <row r="6746" spans="1:3" ht="15">
      <c r="A6746" s="84" t="s">
        <v>337</v>
      </c>
      <c r="B6746" s="83" t="s">
        <v>3297</v>
      </c>
      <c r="C6746" s="91" t="s">
        <v>1167</v>
      </c>
    </row>
    <row r="6747" spans="1:3" ht="15">
      <c r="A6747" s="84" t="s">
        <v>337</v>
      </c>
      <c r="B6747" s="83" t="s">
        <v>3218</v>
      </c>
      <c r="C6747" s="91" t="s">
        <v>1167</v>
      </c>
    </row>
    <row r="6748" spans="1:3" ht="15">
      <c r="A6748" s="84" t="s">
        <v>337</v>
      </c>
      <c r="B6748" s="83" t="s">
        <v>3298</v>
      </c>
      <c r="C6748" s="91" t="s">
        <v>1167</v>
      </c>
    </row>
    <row r="6749" spans="1:3" ht="15">
      <c r="A6749" s="84" t="s">
        <v>337</v>
      </c>
      <c r="B6749" s="83" t="s">
        <v>3299</v>
      </c>
      <c r="C6749" s="91" t="s">
        <v>1167</v>
      </c>
    </row>
    <row r="6750" spans="1:3" ht="15">
      <c r="A6750" s="84" t="s">
        <v>337</v>
      </c>
      <c r="B6750" s="83" t="s">
        <v>2179</v>
      </c>
      <c r="C6750" s="91" t="s">
        <v>1167</v>
      </c>
    </row>
    <row r="6751" spans="1:3" ht="15">
      <c r="A6751" s="84" t="s">
        <v>337</v>
      </c>
      <c r="B6751" s="83" t="s">
        <v>3300</v>
      </c>
      <c r="C6751" s="91" t="s">
        <v>1167</v>
      </c>
    </row>
    <row r="6752" spans="1:3" ht="15">
      <c r="A6752" s="84" t="s">
        <v>337</v>
      </c>
      <c r="B6752" s="83" t="s">
        <v>3301</v>
      </c>
      <c r="C6752" s="91" t="s">
        <v>1167</v>
      </c>
    </row>
    <row r="6753" spans="1:3" ht="15">
      <c r="A6753" s="84" t="s">
        <v>337</v>
      </c>
      <c r="B6753" s="83" t="s">
        <v>3199</v>
      </c>
      <c r="C6753" s="91" t="s">
        <v>1167</v>
      </c>
    </row>
    <row r="6754" spans="1:3" ht="15">
      <c r="A6754" s="84" t="s">
        <v>337</v>
      </c>
      <c r="B6754" s="83" t="s">
        <v>3214</v>
      </c>
      <c r="C6754" s="91" t="s">
        <v>1167</v>
      </c>
    </row>
    <row r="6755" spans="1:3" ht="15">
      <c r="A6755" s="84" t="s">
        <v>337</v>
      </c>
      <c r="B6755" s="83" t="s">
        <v>3302</v>
      </c>
      <c r="C6755" s="91" t="s">
        <v>1167</v>
      </c>
    </row>
    <row r="6756" spans="1:3" ht="15">
      <c r="A6756" s="84" t="s">
        <v>337</v>
      </c>
      <c r="B6756" s="83" t="s">
        <v>3303</v>
      </c>
      <c r="C6756" s="91" t="s">
        <v>1167</v>
      </c>
    </row>
    <row r="6757" spans="1:3" ht="15">
      <c r="A6757" s="84" t="s">
        <v>390</v>
      </c>
      <c r="B6757" s="83" t="s">
        <v>3250</v>
      </c>
      <c r="C6757" s="91" t="s">
        <v>1402</v>
      </c>
    </row>
    <row r="6758" spans="1:3" ht="15">
      <c r="A6758" s="84" t="s">
        <v>390</v>
      </c>
      <c r="B6758" s="83" t="s">
        <v>2692</v>
      </c>
      <c r="C6758" s="91" t="s">
        <v>1402</v>
      </c>
    </row>
    <row r="6759" spans="1:3" ht="15">
      <c r="A6759" s="84" t="s">
        <v>390</v>
      </c>
      <c r="B6759" s="83" t="s">
        <v>2712</v>
      </c>
      <c r="C6759" s="91" t="s">
        <v>1402</v>
      </c>
    </row>
    <row r="6760" spans="1:3" ht="15">
      <c r="A6760" s="84" t="s">
        <v>390</v>
      </c>
      <c r="B6760" s="83" t="s">
        <v>2578</v>
      </c>
      <c r="C6760" s="91" t="s">
        <v>1402</v>
      </c>
    </row>
    <row r="6761" spans="1:3" ht="15">
      <c r="A6761" s="84" t="s">
        <v>390</v>
      </c>
      <c r="B6761" s="83" t="s">
        <v>2637</v>
      </c>
      <c r="C6761" s="91" t="s">
        <v>1402</v>
      </c>
    </row>
    <row r="6762" spans="1:3" ht="15">
      <c r="A6762" s="84" t="s">
        <v>390</v>
      </c>
      <c r="B6762" s="83" t="s">
        <v>3203</v>
      </c>
      <c r="C6762" s="91" t="s">
        <v>1402</v>
      </c>
    </row>
    <row r="6763" spans="1:3" ht="15">
      <c r="A6763" s="84" t="s">
        <v>390</v>
      </c>
      <c r="B6763" s="91" t="s">
        <v>3287</v>
      </c>
      <c r="C6763" s="91" t="s">
        <v>1402</v>
      </c>
    </row>
    <row r="6764" spans="1:3" ht="15">
      <c r="A6764" s="84" t="s">
        <v>390</v>
      </c>
      <c r="B6764" s="83" t="s">
        <v>3288</v>
      </c>
      <c r="C6764" s="91" t="s">
        <v>1402</v>
      </c>
    </row>
    <row r="6765" spans="1:3" ht="15">
      <c r="A6765" s="84" t="s">
        <v>390</v>
      </c>
      <c r="B6765" s="83" t="s">
        <v>3289</v>
      </c>
      <c r="C6765" s="91" t="s">
        <v>1402</v>
      </c>
    </row>
    <row r="6766" spans="1:3" ht="15">
      <c r="A6766" s="84" t="s">
        <v>390</v>
      </c>
      <c r="B6766" s="83" t="s">
        <v>2632</v>
      </c>
      <c r="C6766" s="91" t="s">
        <v>1402</v>
      </c>
    </row>
    <row r="6767" spans="1:3" ht="15">
      <c r="A6767" s="84" t="s">
        <v>390</v>
      </c>
      <c r="B6767" s="83" t="s">
        <v>435</v>
      </c>
      <c r="C6767" s="91" t="s">
        <v>1402</v>
      </c>
    </row>
    <row r="6768" spans="1:3" ht="15">
      <c r="A6768" s="84" t="s">
        <v>390</v>
      </c>
      <c r="B6768" s="83" t="s">
        <v>3290</v>
      </c>
      <c r="C6768" s="91" t="s">
        <v>1402</v>
      </c>
    </row>
    <row r="6769" spans="1:3" ht="15">
      <c r="A6769" s="84" t="s">
        <v>390</v>
      </c>
      <c r="B6769" s="83" t="s">
        <v>3213</v>
      </c>
      <c r="C6769" s="91" t="s">
        <v>1402</v>
      </c>
    </row>
    <row r="6770" spans="1:3" ht="15">
      <c r="A6770" s="84" t="s">
        <v>390</v>
      </c>
      <c r="B6770" s="83" t="s">
        <v>3291</v>
      </c>
      <c r="C6770" s="91" t="s">
        <v>1402</v>
      </c>
    </row>
    <row r="6771" spans="1:3" ht="15">
      <c r="A6771" s="84" t="s">
        <v>390</v>
      </c>
      <c r="B6771" s="83" t="s">
        <v>3292</v>
      </c>
      <c r="C6771" s="91" t="s">
        <v>1402</v>
      </c>
    </row>
    <row r="6772" spans="1:3" ht="15">
      <c r="A6772" s="84" t="s">
        <v>390</v>
      </c>
      <c r="B6772" s="83" t="s">
        <v>3293</v>
      </c>
      <c r="C6772" s="91" t="s">
        <v>1402</v>
      </c>
    </row>
    <row r="6773" spans="1:3" ht="15">
      <c r="A6773" s="84" t="s">
        <v>390</v>
      </c>
      <c r="B6773" s="83" t="s">
        <v>3294</v>
      </c>
      <c r="C6773" s="91" t="s">
        <v>1402</v>
      </c>
    </row>
    <row r="6774" spans="1:3" ht="15">
      <c r="A6774" s="84" t="s">
        <v>390</v>
      </c>
      <c r="B6774" s="83" t="s">
        <v>3295</v>
      </c>
      <c r="C6774" s="91" t="s">
        <v>1402</v>
      </c>
    </row>
    <row r="6775" spans="1:3" ht="15">
      <c r="A6775" s="84" t="s">
        <v>390</v>
      </c>
      <c r="B6775" s="83" t="s">
        <v>3237</v>
      </c>
      <c r="C6775" s="91" t="s">
        <v>1402</v>
      </c>
    </row>
    <row r="6776" spans="1:3" ht="15">
      <c r="A6776" s="84" t="s">
        <v>390</v>
      </c>
      <c r="B6776" s="83" t="s">
        <v>3296</v>
      </c>
      <c r="C6776" s="91" t="s">
        <v>1402</v>
      </c>
    </row>
    <row r="6777" spans="1:3" ht="15">
      <c r="A6777" s="84" t="s">
        <v>390</v>
      </c>
      <c r="B6777" s="83" t="s">
        <v>3297</v>
      </c>
      <c r="C6777" s="91" t="s">
        <v>1402</v>
      </c>
    </row>
    <row r="6778" spans="1:3" ht="15">
      <c r="A6778" s="84" t="s">
        <v>390</v>
      </c>
      <c r="B6778" s="83" t="s">
        <v>3218</v>
      </c>
      <c r="C6778" s="91" t="s">
        <v>1402</v>
      </c>
    </row>
    <row r="6779" spans="1:3" ht="15">
      <c r="A6779" s="84" t="s">
        <v>390</v>
      </c>
      <c r="B6779" s="83" t="s">
        <v>3298</v>
      </c>
      <c r="C6779" s="91" t="s">
        <v>1402</v>
      </c>
    </row>
    <row r="6780" spans="1:3" ht="15">
      <c r="A6780" s="84" t="s">
        <v>390</v>
      </c>
      <c r="B6780" s="83" t="s">
        <v>3299</v>
      </c>
      <c r="C6780" s="91" t="s">
        <v>1402</v>
      </c>
    </row>
    <row r="6781" spans="1:3" ht="15">
      <c r="A6781" s="84" t="s">
        <v>390</v>
      </c>
      <c r="B6781" s="83" t="s">
        <v>2179</v>
      </c>
      <c r="C6781" s="91" t="s">
        <v>1402</v>
      </c>
    </row>
    <row r="6782" spans="1:3" ht="15">
      <c r="A6782" s="84" t="s">
        <v>390</v>
      </c>
      <c r="B6782" s="83" t="s">
        <v>3300</v>
      </c>
      <c r="C6782" s="91" t="s">
        <v>1402</v>
      </c>
    </row>
    <row r="6783" spans="1:3" ht="15">
      <c r="A6783" s="84" t="s">
        <v>390</v>
      </c>
      <c r="B6783" s="83" t="s">
        <v>3301</v>
      </c>
      <c r="C6783" s="91" t="s">
        <v>1402</v>
      </c>
    </row>
    <row r="6784" spans="1:3" ht="15">
      <c r="A6784" s="84" t="s">
        <v>390</v>
      </c>
      <c r="B6784" s="83" t="s">
        <v>3199</v>
      </c>
      <c r="C6784" s="91" t="s">
        <v>1402</v>
      </c>
    </row>
    <row r="6785" spans="1:3" ht="15">
      <c r="A6785" s="84" t="s">
        <v>390</v>
      </c>
      <c r="B6785" s="83" t="s">
        <v>3214</v>
      </c>
      <c r="C6785" s="91" t="s">
        <v>1402</v>
      </c>
    </row>
    <row r="6786" spans="1:3" ht="15">
      <c r="A6786" s="84" t="s">
        <v>390</v>
      </c>
      <c r="B6786" s="83" t="s">
        <v>3302</v>
      </c>
      <c r="C6786" s="91" t="s">
        <v>1402</v>
      </c>
    </row>
    <row r="6787" spans="1:3" ht="15">
      <c r="A6787" s="84" t="s">
        <v>390</v>
      </c>
      <c r="B6787" s="83" t="s">
        <v>3303</v>
      </c>
      <c r="C6787" s="91" t="s">
        <v>1402</v>
      </c>
    </row>
    <row r="6788" spans="1:3" ht="15">
      <c r="A6788" s="84" t="s">
        <v>390</v>
      </c>
      <c r="B6788" s="83" t="s">
        <v>3250</v>
      </c>
      <c r="C6788" s="91" t="s">
        <v>1401</v>
      </c>
    </row>
    <row r="6789" spans="1:3" ht="15">
      <c r="A6789" s="84" t="s">
        <v>390</v>
      </c>
      <c r="B6789" s="83" t="s">
        <v>2692</v>
      </c>
      <c r="C6789" s="91" t="s">
        <v>1401</v>
      </c>
    </row>
    <row r="6790" spans="1:3" ht="15">
      <c r="A6790" s="84" t="s">
        <v>390</v>
      </c>
      <c r="B6790" s="83" t="s">
        <v>2712</v>
      </c>
      <c r="C6790" s="91" t="s">
        <v>1401</v>
      </c>
    </row>
    <row r="6791" spans="1:3" ht="15">
      <c r="A6791" s="84" t="s">
        <v>390</v>
      </c>
      <c r="B6791" s="83" t="s">
        <v>2578</v>
      </c>
      <c r="C6791" s="91" t="s">
        <v>1401</v>
      </c>
    </row>
    <row r="6792" spans="1:3" ht="15">
      <c r="A6792" s="84" t="s">
        <v>390</v>
      </c>
      <c r="B6792" s="83" t="s">
        <v>2637</v>
      </c>
      <c r="C6792" s="91" t="s">
        <v>1401</v>
      </c>
    </row>
    <row r="6793" spans="1:3" ht="15">
      <c r="A6793" s="84" t="s">
        <v>390</v>
      </c>
      <c r="B6793" s="83" t="s">
        <v>3203</v>
      </c>
      <c r="C6793" s="91" t="s">
        <v>1401</v>
      </c>
    </row>
    <row r="6794" spans="1:3" ht="15">
      <c r="A6794" s="84" t="s">
        <v>390</v>
      </c>
      <c r="B6794" s="91" t="s">
        <v>3287</v>
      </c>
      <c r="C6794" s="91" t="s">
        <v>1401</v>
      </c>
    </row>
    <row r="6795" spans="1:3" ht="15">
      <c r="A6795" s="84" t="s">
        <v>390</v>
      </c>
      <c r="B6795" s="83" t="s">
        <v>3288</v>
      </c>
      <c r="C6795" s="91" t="s">
        <v>1401</v>
      </c>
    </row>
    <row r="6796" spans="1:3" ht="15">
      <c r="A6796" s="84" t="s">
        <v>390</v>
      </c>
      <c r="B6796" s="83" t="s">
        <v>3289</v>
      </c>
      <c r="C6796" s="91" t="s">
        <v>1401</v>
      </c>
    </row>
    <row r="6797" spans="1:3" ht="15">
      <c r="A6797" s="84" t="s">
        <v>390</v>
      </c>
      <c r="B6797" s="83" t="s">
        <v>2632</v>
      </c>
      <c r="C6797" s="91" t="s">
        <v>1401</v>
      </c>
    </row>
    <row r="6798" spans="1:3" ht="15">
      <c r="A6798" s="84" t="s">
        <v>390</v>
      </c>
      <c r="B6798" s="83" t="s">
        <v>435</v>
      </c>
      <c r="C6798" s="91" t="s">
        <v>1401</v>
      </c>
    </row>
    <row r="6799" spans="1:3" ht="15">
      <c r="A6799" s="84" t="s">
        <v>390</v>
      </c>
      <c r="B6799" s="83" t="s">
        <v>3290</v>
      </c>
      <c r="C6799" s="91" t="s">
        <v>1401</v>
      </c>
    </row>
    <row r="6800" spans="1:3" ht="15">
      <c r="A6800" s="84" t="s">
        <v>390</v>
      </c>
      <c r="B6800" s="83" t="s">
        <v>3213</v>
      </c>
      <c r="C6800" s="91" t="s">
        <v>1401</v>
      </c>
    </row>
    <row r="6801" spans="1:3" ht="15">
      <c r="A6801" s="84" t="s">
        <v>390</v>
      </c>
      <c r="B6801" s="83" t="s">
        <v>3291</v>
      </c>
      <c r="C6801" s="91" t="s">
        <v>1401</v>
      </c>
    </row>
    <row r="6802" spans="1:3" ht="15">
      <c r="A6802" s="84" t="s">
        <v>390</v>
      </c>
      <c r="B6802" s="83" t="s">
        <v>3292</v>
      </c>
      <c r="C6802" s="91" t="s">
        <v>1401</v>
      </c>
    </row>
    <row r="6803" spans="1:3" ht="15">
      <c r="A6803" s="84" t="s">
        <v>390</v>
      </c>
      <c r="B6803" s="83" t="s">
        <v>3293</v>
      </c>
      <c r="C6803" s="91" t="s">
        <v>1401</v>
      </c>
    </row>
    <row r="6804" spans="1:3" ht="15">
      <c r="A6804" s="84" t="s">
        <v>390</v>
      </c>
      <c r="B6804" s="83" t="s">
        <v>3294</v>
      </c>
      <c r="C6804" s="91" t="s">
        <v>1401</v>
      </c>
    </row>
    <row r="6805" spans="1:3" ht="15">
      <c r="A6805" s="84" t="s">
        <v>390</v>
      </c>
      <c r="B6805" s="83" t="s">
        <v>3295</v>
      </c>
      <c r="C6805" s="91" t="s">
        <v>1401</v>
      </c>
    </row>
    <row r="6806" spans="1:3" ht="15">
      <c r="A6806" s="84" t="s">
        <v>390</v>
      </c>
      <c r="B6806" s="83" t="s">
        <v>3237</v>
      </c>
      <c r="C6806" s="91" t="s">
        <v>1401</v>
      </c>
    </row>
    <row r="6807" spans="1:3" ht="15">
      <c r="A6807" s="84" t="s">
        <v>390</v>
      </c>
      <c r="B6807" s="83" t="s">
        <v>3296</v>
      </c>
      <c r="C6807" s="91" t="s">
        <v>1401</v>
      </c>
    </row>
    <row r="6808" spans="1:3" ht="15">
      <c r="A6808" s="84" t="s">
        <v>390</v>
      </c>
      <c r="B6808" s="83" t="s">
        <v>3297</v>
      </c>
      <c r="C6808" s="91" t="s">
        <v>1401</v>
      </c>
    </row>
    <row r="6809" spans="1:3" ht="15">
      <c r="A6809" s="84" t="s">
        <v>390</v>
      </c>
      <c r="B6809" s="83" t="s">
        <v>3218</v>
      </c>
      <c r="C6809" s="91" t="s">
        <v>1401</v>
      </c>
    </row>
    <row r="6810" spans="1:3" ht="15">
      <c r="A6810" s="84" t="s">
        <v>390</v>
      </c>
      <c r="B6810" s="83" t="s">
        <v>3298</v>
      </c>
      <c r="C6810" s="91" t="s">
        <v>1401</v>
      </c>
    </row>
    <row r="6811" spans="1:3" ht="15">
      <c r="A6811" s="84" t="s">
        <v>390</v>
      </c>
      <c r="B6811" s="83" t="s">
        <v>3299</v>
      </c>
      <c r="C6811" s="91" t="s">
        <v>1401</v>
      </c>
    </row>
    <row r="6812" spans="1:3" ht="15">
      <c r="A6812" s="84" t="s">
        <v>390</v>
      </c>
      <c r="B6812" s="83" t="s">
        <v>2179</v>
      </c>
      <c r="C6812" s="91" t="s">
        <v>1401</v>
      </c>
    </row>
    <row r="6813" spans="1:3" ht="15">
      <c r="A6813" s="84" t="s">
        <v>390</v>
      </c>
      <c r="B6813" s="83" t="s">
        <v>3300</v>
      </c>
      <c r="C6813" s="91" t="s">
        <v>1401</v>
      </c>
    </row>
    <row r="6814" spans="1:3" ht="15">
      <c r="A6814" s="84" t="s">
        <v>390</v>
      </c>
      <c r="B6814" s="83" t="s">
        <v>3301</v>
      </c>
      <c r="C6814" s="91" t="s">
        <v>1401</v>
      </c>
    </row>
    <row r="6815" spans="1:3" ht="15">
      <c r="A6815" s="84" t="s">
        <v>390</v>
      </c>
      <c r="B6815" s="83" t="s">
        <v>3199</v>
      </c>
      <c r="C6815" s="91" t="s">
        <v>1401</v>
      </c>
    </row>
    <row r="6816" spans="1:3" ht="15">
      <c r="A6816" s="84" t="s">
        <v>390</v>
      </c>
      <c r="B6816" s="83" t="s">
        <v>3214</v>
      </c>
      <c r="C6816" s="91" t="s">
        <v>1401</v>
      </c>
    </row>
    <row r="6817" spans="1:3" ht="15">
      <c r="A6817" s="84" t="s">
        <v>390</v>
      </c>
      <c r="B6817" s="83" t="s">
        <v>3302</v>
      </c>
      <c r="C6817" s="91" t="s">
        <v>1401</v>
      </c>
    </row>
    <row r="6818" spans="1:3" ht="15">
      <c r="A6818" s="84" t="s">
        <v>390</v>
      </c>
      <c r="B6818" s="83" t="s">
        <v>3303</v>
      </c>
      <c r="C6818" s="91" t="s">
        <v>1401</v>
      </c>
    </row>
    <row r="6819" spans="1:3" ht="15">
      <c r="A6819" s="84" t="s">
        <v>336</v>
      </c>
      <c r="B6819" s="83" t="s">
        <v>3250</v>
      </c>
      <c r="C6819" s="91" t="s">
        <v>1166</v>
      </c>
    </row>
    <row r="6820" spans="1:3" ht="15">
      <c r="A6820" s="84" t="s">
        <v>336</v>
      </c>
      <c r="B6820" s="83" t="s">
        <v>2692</v>
      </c>
      <c r="C6820" s="91" t="s">
        <v>1166</v>
      </c>
    </row>
    <row r="6821" spans="1:3" ht="15">
      <c r="A6821" s="84" t="s">
        <v>336</v>
      </c>
      <c r="B6821" s="83" t="s">
        <v>2712</v>
      </c>
      <c r="C6821" s="91" t="s">
        <v>1166</v>
      </c>
    </row>
    <row r="6822" spans="1:3" ht="15">
      <c r="A6822" s="84" t="s">
        <v>336</v>
      </c>
      <c r="B6822" s="83" t="s">
        <v>2578</v>
      </c>
      <c r="C6822" s="91" t="s">
        <v>1166</v>
      </c>
    </row>
    <row r="6823" spans="1:3" ht="15">
      <c r="A6823" s="84" t="s">
        <v>336</v>
      </c>
      <c r="B6823" s="83" t="s">
        <v>2637</v>
      </c>
      <c r="C6823" s="91" t="s">
        <v>1166</v>
      </c>
    </row>
    <row r="6824" spans="1:3" ht="15">
      <c r="A6824" s="84" t="s">
        <v>336</v>
      </c>
      <c r="B6824" s="83" t="s">
        <v>3203</v>
      </c>
      <c r="C6824" s="91" t="s">
        <v>1166</v>
      </c>
    </row>
    <row r="6825" spans="1:3" ht="15">
      <c r="A6825" s="84" t="s">
        <v>336</v>
      </c>
      <c r="B6825" s="91" t="s">
        <v>3287</v>
      </c>
      <c r="C6825" s="91" t="s">
        <v>1166</v>
      </c>
    </row>
    <row r="6826" spans="1:3" ht="15">
      <c r="A6826" s="84" t="s">
        <v>336</v>
      </c>
      <c r="B6826" s="83" t="s">
        <v>3288</v>
      </c>
      <c r="C6826" s="91" t="s">
        <v>1166</v>
      </c>
    </row>
    <row r="6827" spans="1:3" ht="15">
      <c r="A6827" s="84" t="s">
        <v>336</v>
      </c>
      <c r="B6827" s="83" t="s">
        <v>3289</v>
      </c>
      <c r="C6827" s="91" t="s">
        <v>1166</v>
      </c>
    </row>
    <row r="6828" spans="1:3" ht="15">
      <c r="A6828" s="84" t="s">
        <v>336</v>
      </c>
      <c r="B6828" s="83" t="s">
        <v>2632</v>
      </c>
      <c r="C6828" s="91" t="s">
        <v>1166</v>
      </c>
    </row>
    <row r="6829" spans="1:3" ht="15">
      <c r="A6829" s="84" t="s">
        <v>336</v>
      </c>
      <c r="B6829" s="83" t="s">
        <v>435</v>
      </c>
      <c r="C6829" s="91" t="s">
        <v>1166</v>
      </c>
    </row>
    <row r="6830" spans="1:3" ht="15">
      <c r="A6830" s="84" t="s">
        <v>336</v>
      </c>
      <c r="B6830" s="83" t="s">
        <v>3290</v>
      </c>
      <c r="C6830" s="91" t="s">
        <v>1166</v>
      </c>
    </row>
    <row r="6831" spans="1:3" ht="15">
      <c r="A6831" s="84" t="s">
        <v>336</v>
      </c>
      <c r="B6831" s="83" t="s">
        <v>3213</v>
      </c>
      <c r="C6831" s="91" t="s">
        <v>1166</v>
      </c>
    </row>
    <row r="6832" spans="1:3" ht="15">
      <c r="A6832" s="84" t="s">
        <v>336</v>
      </c>
      <c r="B6832" s="83" t="s">
        <v>3291</v>
      </c>
      <c r="C6832" s="91" t="s">
        <v>1166</v>
      </c>
    </row>
    <row r="6833" spans="1:3" ht="15">
      <c r="A6833" s="84" t="s">
        <v>336</v>
      </c>
      <c r="B6833" s="83" t="s">
        <v>3292</v>
      </c>
      <c r="C6833" s="91" t="s">
        <v>1166</v>
      </c>
    </row>
    <row r="6834" spans="1:3" ht="15">
      <c r="A6834" s="84" t="s">
        <v>336</v>
      </c>
      <c r="B6834" s="83" t="s">
        <v>3293</v>
      </c>
      <c r="C6834" s="91" t="s">
        <v>1166</v>
      </c>
    </row>
    <row r="6835" spans="1:3" ht="15">
      <c r="A6835" s="84" t="s">
        <v>336</v>
      </c>
      <c r="B6835" s="83" t="s">
        <v>3294</v>
      </c>
      <c r="C6835" s="91" t="s">
        <v>1166</v>
      </c>
    </row>
    <row r="6836" spans="1:3" ht="15">
      <c r="A6836" s="84" t="s">
        <v>336</v>
      </c>
      <c r="B6836" s="83" t="s">
        <v>3295</v>
      </c>
      <c r="C6836" s="91" t="s">
        <v>1166</v>
      </c>
    </row>
    <row r="6837" spans="1:3" ht="15">
      <c r="A6837" s="84" t="s">
        <v>336</v>
      </c>
      <c r="B6837" s="83" t="s">
        <v>3237</v>
      </c>
      <c r="C6837" s="91" t="s">
        <v>1166</v>
      </c>
    </row>
    <row r="6838" spans="1:3" ht="15">
      <c r="A6838" s="84" t="s">
        <v>336</v>
      </c>
      <c r="B6838" s="83" t="s">
        <v>3296</v>
      </c>
      <c r="C6838" s="91" t="s">
        <v>1166</v>
      </c>
    </row>
    <row r="6839" spans="1:3" ht="15">
      <c r="A6839" s="84" t="s">
        <v>336</v>
      </c>
      <c r="B6839" s="83" t="s">
        <v>3297</v>
      </c>
      <c r="C6839" s="91" t="s">
        <v>1166</v>
      </c>
    </row>
    <row r="6840" spans="1:3" ht="15">
      <c r="A6840" s="84" t="s">
        <v>336</v>
      </c>
      <c r="B6840" s="83" t="s">
        <v>3218</v>
      </c>
      <c r="C6840" s="91" t="s">
        <v>1166</v>
      </c>
    </row>
    <row r="6841" spans="1:3" ht="15">
      <c r="A6841" s="84" t="s">
        <v>336</v>
      </c>
      <c r="B6841" s="83" t="s">
        <v>3298</v>
      </c>
      <c r="C6841" s="91" t="s">
        <v>1166</v>
      </c>
    </row>
    <row r="6842" spans="1:3" ht="15">
      <c r="A6842" s="84" t="s">
        <v>336</v>
      </c>
      <c r="B6842" s="83" t="s">
        <v>3299</v>
      </c>
      <c r="C6842" s="91" t="s">
        <v>1166</v>
      </c>
    </row>
    <row r="6843" spans="1:3" ht="15">
      <c r="A6843" s="84" t="s">
        <v>336</v>
      </c>
      <c r="B6843" s="83" t="s">
        <v>2179</v>
      </c>
      <c r="C6843" s="91" t="s">
        <v>1166</v>
      </c>
    </row>
    <row r="6844" spans="1:3" ht="15">
      <c r="A6844" s="84" t="s">
        <v>336</v>
      </c>
      <c r="B6844" s="83" t="s">
        <v>3300</v>
      </c>
      <c r="C6844" s="91" t="s">
        <v>1166</v>
      </c>
    </row>
    <row r="6845" spans="1:3" ht="15">
      <c r="A6845" s="84" t="s">
        <v>336</v>
      </c>
      <c r="B6845" s="83" t="s">
        <v>3301</v>
      </c>
      <c r="C6845" s="91" t="s">
        <v>1166</v>
      </c>
    </row>
    <row r="6846" spans="1:3" ht="15">
      <c r="A6846" s="84" t="s">
        <v>336</v>
      </c>
      <c r="B6846" s="83" t="s">
        <v>3199</v>
      </c>
      <c r="C6846" s="91" t="s">
        <v>1166</v>
      </c>
    </row>
    <row r="6847" spans="1:3" ht="15">
      <c r="A6847" s="84" t="s">
        <v>336</v>
      </c>
      <c r="B6847" s="83" t="s">
        <v>3214</v>
      </c>
      <c r="C6847" s="91" t="s">
        <v>1166</v>
      </c>
    </row>
    <row r="6848" spans="1:3" ht="15">
      <c r="A6848" s="84" t="s">
        <v>336</v>
      </c>
      <c r="B6848" s="83" t="s">
        <v>3302</v>
      </c>
      <c r="C6848" s="91" t="s">
        <v>1166</v>
      </c>
    </row>
    <row r="6849" spans="1:3" ht="15">
      <c r="A6849" s="84" t="s">
        <v>336</v>
      </c>
      <c r="B6849" s="83" t="s">
        <v>3303</v>
      </c>
      <c r="C6849" s="91" t="s">
        <v>1166</v>
      </c>
    </row>
    <row r="6850" spans="1:3" ht="15">
      <c r="A6850" s="84" t="s">
        <v>336</v>
      </c>
      <c r="B6850" s="83" t="s">
        <v>3423</v>
      </c>
      <c r="C6850" s="91" t="s">
        <v>1165</v>
      </c>
    </row>
    <row r="6851" spans="1:3" ht="15">
      <c r="A6851" s="84" t="s">
        <v>336</v>
      </c>
      <c r="B6851" s="83" t="s">
        <v>3203</v>
      </c>
      <c r="C6851" s="91" t="s">
        <v>1165</v>
      </c>
    </row>
    <row r="6852" spans="1:3" ht="15">
      <c r="A6852" s="84" t="s">
        <v>336</v>
      </c>
      <c r="B6852" s="83">
        <v>19</v>
      </c>
      <c r="C6852" s="91" t="s">
        <v>1165</v>
      </c>
    </row>
    <row r="6853" spans="1:3" ht="15">
      <c r="A6853" s="84" t="s">
        <v>336</v>
      </c>
      <c r="B6853" s="83" t="s">
        <v>2697</v>
      </c>
      <c r="C6853" s="91" t="s">
        <v>1165</v>
      </c>
    </row>
    <row r="6854" spans="1:3" ht="15">
      <c r="A6854" s="84" t="s">
        <v>336</v>
      </c>
      <c r="B6854" s="83" t="s">
        <v>2590</v>
      </c>
      <c r="C6854" s="91" t="s">
        <v>1165</v>
      </c>
    </row>
    <row r="6855" spans="1:3" ht="15">
      <c r="A6855" s="84" t="s">
        <v>336</v>
      </c>
      <c r="B6855" s="83" t="s">
        <v>3424</v>
      </c>
      <c r="C6855" s="91" t="s">
        <v>1165</v>
      </c>
    </row>
    <row r="6856" spans="1:3" ht="15">
      <c r="A6856" s="84" t="s">
        <v>336</v>
      </c>
      <c r="B6856" s="83" t="s">
        <v>3198</v>
      </c>
      <c r="C6856" s="91" t="s">
        <v>1165</v>
      </c>
    </row>
    <row r="6857" spans="1:3" ht="15">
      <c r="A6857" s="84" t="s">
        <v>336</v>
      </c>
      <c r="B6857" s="83" t="s">
        <v>3411</v>
      </c>
      <c r="C6857" s="91" t="s">
        <v>1165</v>
      </c>
    </row>
    <row r="6858" spans="1:3" ht="15">
      <c r="A6858" s="84" t="s">
        <v>336</v>
      </c>
      <c r="B6858" s="83" t="s">
        <v>3223</v>
      </c>
      <c r="C6858" s="91" t="s">
        <v>1165</v>
      </c>
    </row>
    <row r="6859" spans="1:3" ht="15">
      <c r="A6859" s="84" t="s">
        <v>336</v>
      </c>
      <c r="B6859" s="83" t="s">
        <v>3412</v>
      </c>
      <c r="C6859" s="91" t="s">
        <v>1165</v>
      </c>
    </row>
    <row r="6860" spans="1:3" ht="15">
      <c r="A6860" s="84" t="s">
        <v>336</v>
      </c>
      <c r="B6860" s="83" t="s">
        <v>3413</v>
      </c>
      <c r="C6860" s="91" t="s">
        <v>1165</v>
      </c>
    </row>
    <row r="6861" spans="1:3" ht="15">
      <c r="A6861" s="84" t="s">
        <v>336</v>
      </c>
      <c r="B6861" s="83" t="s">
        <v>3215</v>
      </c>
      <c r="C6861" s="91" t="s">
        <v>1165</v>
      </c>
    </row>
    <row r="6862" spans="1:3" ht="15">
      <c r="A6862" s="84" t="s">
        <v>336</v>
      </c>
      <c r="B6862" s="83" t="s">
        <v>3414</v>
      </c>
      <c r="C6862" s="91" t="s">
        <v>1165</v>
      </c>
    </row>
    <row r="6863" spans="1:3" ht="15">
      <c r="A6863" s="84" t="s">
        <v>336</v>
      </c>
      <c r="B6863" s="83" t="s">
        <v>3415</v>
      </c>
      <c r="C6863" s="91" t="s">
        <v>1165</v>
      </c>
    </row>
    <row r="6864" spans="1:3" ht="15">
      <c r="A6864" s="84" t="s">
        <v>336</v>
      </c>
      <c r="B6864" s="83" t="s">
        <v>3416</v>
      </c>
      <c r="C6864" s="91" t="s">
        <v>1165</v>
      </c>
    </row>
    <row r="6865" spans="1:3" ht="15">
      <c r="A6865" s="84" t="s">
        <v>336</v>
      </c>
      <c r="B6865" s="83" t="s">
        <v>3425</v>
      </c>
      <c r="C6865" s="91" t="s">
        <v>1165</v>
      </c>
    </row>
    <row r="6866" spans="1:3" ht="15">
      <c r="A6866" s="84" t="s">
        <v>336</v>
      </c>
      <c r="B6866" s="83" t="s">
        <v>3418</v>
      </c>
      <c r="C6866" s="91" t="s">
        <v>1165</v>
      </c>
    </row>
    <row r="6867" spans="1:3" ht="15">
      <c r="A6867" s="84" t="s">
        <v>336</v>
      </c>
      <c r="B6867" s="83" t="s">
        <v>3219</v>
      </c>
      <c r="C6867" s="91" t="s">
        <v>1165</v>
      </c>
    </row>
    <row r="6868" spans="1:3" ht="15">
      <c r="A6868" s="84" t="s">
        <v>336</v>
      </c>
      <c r="B6868" s="83" t="s">
        <v>3221</v>
      </c>
      <c r="C6868" s="91" t="s">
        <v>1165</v>
      </c>
    </row>
    <row r="6869" spans="1:3" ht="15">
      <c r="A6869" s="84" t="s">
        <v>336</v>
      </c>
      <c r="B6869" s="83" t="s">
        <v>3254</v>
      </c>
      <c r="C6869" s="91" t="s">
        <v>1165</v>
      </c>
    </row>
    <row r="6870" spans="1:3" ht="15">
      <c r="A6870" s="84" t="s">
        <v>336</v>
      </c>
      <c r="B6870" s="83" t="s">
        <v>3421</v>
      </c>
      <c r="C6870" s="91" t="s">
        <v>1165</v>
      </c>
    </row>
    <row r="6871" spans="1:3" ht="15">
      <c r="A6871" s="84" t="s">
        <v>336</v>
      </c>
      <c r="B6871" s="83" t="s">
        <v>3199</v>
      </c>
      <c r="C6871" s="91" t="s">
        <v>1165</v>
      </c>
    </row>
    <row r="6872" spans="1:3" ht="15">
      <c r="A6872" s="84" t="s">
        <v>336</v>
      </c>
      <c r="B6872" s="83" t="s">
        <v>3393</v>
      </c>
      <c r="C6872" s="91" t="s">
        <v>1165</v>
      </c>
    </row>
    <row r="6873" spans="1:3" ht="15">
      <c r="A6873" s="84" t="s">
        <v>336</v>
      </c>
      <c r="B6873" s="83" t="s">
        <v>3426</v>
      </c>
      <c r="C6873" s="91" t="s">
        <v>1165</v>
      </c>
    </row>
    <row r="6874" spans="1:3" ht="15">
      <c r="A6874" s="84" t="s">
        <v>336</v>
      </c>
      <c r="B6874" s="83" t="s">
        <v>3420</v>
      </c>
      <c r="C6874" s="91" t="s">
        <v>1165</v>
      </c>
    </row>
    <row r="6875" spans="1:3" ht="15">
      <c r="A6875" s="84" t="s">
        <v>336</v>
      </c>
      <c r="B6875" s="83" t="s">
        <v>3206</v>
      </c>
      <c r="C6875" s="91" t="s">
        <v>1164</v>
      </c>
    </row>
    <row r="6876" spans="1:3" ht="15">
      <c r="A6876" s="84" t="s">
        <v>336</v>
      </c>
      <c r="B6876" s="83" t="s">
        <v>3207</v>
      </c>
      <c r="C6876" s="91" t="s">
        <v>1164</v>
      </c>
    </row>
    <row r="6877" spans="1:3" ht="15">
      <c r="A6877" s="84" t="s">
        <v>336</v>
      </c>
      <c r="B6877" s="83" t="s">
        <v>3208</v>
      </c>
      <c r="C6877" s="91" t="s">
        <v>1164</v>
      </c>
    </row>
    <row r="6878" spans="1:3" ht="15">
      <c r="A6878" s="84" t="s">
        <v>336</v>
      </c>
      <c r="B6878" s="83" t="s">
        <v>195</v>
      </c>
      <c r="C6878" s="91" t="s">
        <v>1164</v>
      </c>
    </row>
    <row r="6879" spans="1:3" ht="15">
      <c r="A6879" s="84" t="s">
        <v>336</v>
      </c>
      <c r="B6879" s="83" t="s">
        <v>3209</v>
      </c>
      <c r="C6879" s="91" t="s">
        <v>1164</v>
      </c>
    </row>
    <row r="6880" spans="1:3" ht="15">
      <c r="A6880" s="84" t="s">
        <v>336</v>
      </c>
      <c r="B6880" s="83" t="s">
        <v>2576</v>
      </c>
      <c r="C6880" s="91" t="s">
        <v>1164</v>
      </c>
    </row>
    <row r="6881" spans="1:3" ht="15">
      <c r="A6881" s="84" t="s">
        <v>336</v>
      </c>
      <c r="B6881" s="83" t="s">
        <v>3210</v>
      </c>
      <c r="C6881" s="91" t="s">
        <v>1164</v>
      </c>
    </row>
    <row r="6882" spans="1:3" ht="15">
      <c r="A6882" s="84" t="s">
        <v>336</v>
      </c>
      <c r="B6882" s="83">
        <v>19</v>
      </c>
      <c r="C6882" s="91" t="s">
        <v>1164</v>
      </c>
    </row>
    <row r="6883" spans="1:3" ht="15">
      <c r="A6883" s="84" t="s">
        <v>336</v>
      </c>
      <c r="B6883" s="83" t="s">
        <v>3211</v>
      </c>
      <c r="C6883" s="91" t="s">
        <v>1164</v>
      </c>
    </row>
    <row r="6884" spans="1:3" ht="15">
      <c r="A6884" s="84" t="s">
        <v>336</v>
      </c>
      <c r="B6884" s="83" t="s">
        <v>3212</v>
      </c>
      <c r="C6884" s="91" t="s">
        <v>1164</v>
      </c>
    </row>
    <row r="6885" spans="1:3" ht="15">
      <c r="A6885" s="84" t="s">
        <v>336</v>
      </c>
      <c r="B6885" s="83" t="s">
        <v>3198</v>
      </c>
      <c r="C6885" s="91" t="s">
        <v>1164</v>
      </c>
    </row>
    <row r="6886" spans="1:3" ht="15">
      <c r="A6886" s="84" t="s">
        <v>336</v>
      </c>
      <c r="B6886" s="83" t="s">
        <v>3213</v>
      </c>
      <c r="C6886" s="91" t="s">
        <v>1164</v>
      </c>
    </row>
    <row r="6887" spans="1:3" ht="15">
      <c r="A6887" s="84" t="s">
        <v>336</v>
      </c>
      <c r="B6887" s="83" t="s">
        <v>3214</v>
      </c>
      <c r="C6887" s="91" t="s">
        <v>1164</v>
      </c>
    </row>
    <row r="6888" spans="1:3" ht="15">
      <c r="A6888" s="84" t="s">
        <v>336</v>
      </c>
      <c r="B6888" s="83" t="s">
        <v>3215</v>
      </c>
      <c r="C6888" s="91" t="s">
        <v>1164</v>
      </c>
    </row>
    <row r="6889" spans="1:3" ht="15">
      <c r="A6889" s="84" t="s">
        <v>336</v>
      </c>
      <c r="B6889" s="83" t="s">
        <v>3216</v>
      </c>
      <c r="C6889" s="91" t="s">
        <v>1164</v>
      </c>
    </row>
    <row r="6890" spans="1:3" ht="15">
      <c r="A6890" s="84" t="s">
        <v>336</v>
      </c>
      <c r="B6890" s="83" t="s">
        <v>3217</v>
      </c>
      <c r="C6890" s="91" t="s">
        <v>1164</v>
      </c>
    </row>
    <row r="6891" spans="1:3" ht="15">
      <c r="A6891" s="84" t="s">
        <v>336</v>
      </c>
      <c r="B6891" s="83" t="s">
        <v>3199</v>
      </c>
      <c r="C6891" s="91" t="s">
        <v>1164</v>
      </c>
    </row>
    <row r="6892" spans="1:3" ht="15">
      <c r="A6892" s="84" t="s">
        <v>336</v>
      </c>
      <c r="B6892" s="83" t="s">
        <v>3218</v>
      </c>
      <c r="C6892" s="91" t="s">
        <v>1164</v>
      </c>
    </row>
    <row r="6893" spans="1:3" ht="15">
      <c r="A6893" s="84" t="s">
        <v>336</v>
      </c>
      <c r="B6893" s="83" t="s">
        <v>3219</v>
      </c>
      <c r="C6893" s="91" t="s">
        <v>1164</v>
      </c>
    </row>
    <row r="6894" spans="1:3" ht="15">
      <c r="A6894" s="84" t="s">
        <v>336</v>
      </c>
      <c r="B6894" s="83" t="s">
        <v>3220</v>
      </c>
      <c r="C6894" s="91" t="s">
        <v>1164</v>
      </c>
    </row>
    <row r="6895" spans="1:3" ht="15">
      <c r="A6895" s="84" t="s">
        <v>336</v>
      </c>
      <c r="B6895" s="83" t="s">
        <v>3221</v>
      </c>
      <c r="C6895" s="91" t="s">
        <v>1164</v>
      </c>
    </row>
    <row r="6896" spans="1:3" ht="15">
      <c r="A6896" s="84" t="s">
        <v>336</v>
      </c>
      <c r="B6896" s="83" t="s">
        <v>3222</v>
      </c>
      <c r="C6896" s="91" t="s">
        <v>1164</v>
      </c>
    </row>
    <row r="6897" spans="1:3" ht="15">
      <c r="A6897" s="84" t="s">
        <v>336</v>
      </c>
      <c r="B6897" s="83" t="s">
        <v>3223</v>
      </c>
      <c r="C6897" s="91" t="s">
        <v>1164</v>
      </c>
    </row>
    <row r="6898" spans="1:3" ht="15">
      <c r="A6898" s="84" t="s">
        <v>336</v>
      </c>
      <c r="B6898" s="83" t="s">
        <v>3224</v>
      </c>
      <c r="C6898" s="91" t="s">
        <v>1164</v>
      </c>
    </row>
    <row r="6899" spans="1:3" ht="15">
      <c r="A6899" s="84" t="s">
        <v>336</v>
      </c>
      <c r="B6899" s="83" t="s">
        <v>3225</v>
      </c>
      <c r="C6899" s="91" t="s">
        <v>1164</v>
      </c>
    </row>
    <row r="6900" spans="1:3" ht="15">
      <c r="A6900" s="84" t="s">
        <v>336</v>
      </c>
      <c r="B6900" s="83" t="s">
        <v>3433</v>
      </c>
      <c r="C6900" s="91" t="s">
        <v>1163</v>
      </c>
    </row>
    <row r="6901" spans="1:3" ht="15">
      <c r="A6901" s="84" t="s">
        <v>336</v>
      </c>
      <c r="B6901" s="83" t="s">
        <v>2834</v>
      </c>
      <c r="C6901" s="91" t="s">
        <v>1163</v>
      </c>
    </row>
    <row r="6902" spans="1:3" ht="15">
      <c r="A6902" s="84" t="s">
        <v>336</v>
      </c>
      <c r="B6902" s="83" t="s">
        <v>2835</v>
      </c>
      <c r="C6902" s="91" t="s">
        <v>1163</v>
      </c>
    </row>
    <row r="6903" spans="1:3" ht="15">
      <c r="A6903" s="84" t="s">
        <v>336</v>
      </c>
      <c r="B6903" s="83" t="s">
        <v>2580</v>
      </c>
      <c r="C6903" s="91" t="s">
        <v>1163</v>
      </c>
    </row>
    <row r="6904" spans="1:3" ht="15">
      <c r="A6904" s="84" t="s">
        <v>336</v>
      </c>
      <c r="B6904" s="83" t="s">
        <v>2836</v>
      </c>
      <c r="C6904" s="91" t="s">
        <v>1163</v>
      </c>
    </row>
    <row r="6905" spans="1:3" ht="15">
      <c r="A6905" s="84" t="s">
        <v>336</v>
      </c>
      <c r="B6905" s="83" t="s">
        <v>2837</v>
      </c>
      <c r="C6905" s="91" t="s">
        <v>1163</v>
      </c>
    </row>
    <row r="6906" spans="1:3" ht="15">
      <c r="A6906" s="84" t="s">
        <v>336</v>
      </c>
      <c r="B6906" s="83" t="s">
        <v>2738</v>
      </c>
      <c r="C6906" s="91" t="s">
        <v>1163</v>
      </c>
    </row>
    <row r="6907" spans="1:3" ht="15">
      <c r="A6907" s="84" t="s">
        <v>336</v>
      </c>
      <c r="B6907" s="83" t="s">
        <v>3210</v>
      </c>
      <c r="C6907" s="91" t="s">
        <v>1163</v>
      </c>
    </row>
    <row r="6908" spans="1:3" ht="15">
      <c r="A6908" s="84" t="s">
        <v>336</v>
      </c>
      <c r="B6908" s="83">
        <v>19</v>
      </c>
      <c r="C6908" s="91" t="s">
        <v>1163</v>
      </c>
    </row>
    <row r="6909" spans="1:3" ht="15">
      <c r="A6909" s="84" t="s">
        <v>336</v>
      </c>
      <c r="B6909" s="83" t="s">
        <v>2591</v>
      </c>
      <c r="C6909" s="91" t="s">
        <v>1163</v>
      </c>
    </row>
    <row r="6910" spans="1:3" ht="15">
      <c r="A6910" s="84" t="s">
        <v>336</v>
      </c>
      <c r="B6910" s="83" t="s">
        <v>2718</v>
      </c>
      <c r="C6910" s="91" t="s">
        <v>1163</v>
      </c>
    </row>
    <row r="6911" spans="1:3" ht="15">
      <c r="A6911" s="84" t="s">
        <v>336</v>
      </c>
      <c r="B6911" s="83" t="s">
        <v>3199</v>
      </c>
      <c r="C6911" s="91" t="s">
        <v>1163</v>
      </c>
    </row>
    <row r="6912" spans="1:3" ht="15">
      <c r="A6912" s="84" t="s">
        <v>336</v>
      </c>
      <c r="B6912" s="83" t="s">
        <v>2577</v>
      </c>
      <c r="C6912" s="91" t="s">
        <v>1163</v>
      </c>
    </row>
    <row r="6913" spans="1:3" ht="15">
      <c r="A6913" s="84" t="s">
        <v>336</v>
      </c>
      <c r="B6913" s="83" t="s">
        <v>2838</v>
      </c>
      <c r="C6913" s="91" t="s">
        <v>1163</v>
      </c>
    </row>
    <row r="6914" spans="1:3" ht="15">
      <c r="A6914" s="84" t="s">
        <v>336</v>
      </c>
      <c r="B6914" s="83" t="s">
        <v>2586</v>
      </c>
      <c r="C6914" s="91" t="s">
        <v>1163</v>
      </c>
    </row>
    <row r="6915" spans="1:3" ht="15">
      <c r="A6915" s="84" t="s">
        <v>336</v>
      </c>
      <c r="B6915" s="83" t="s">
        <v>2839</v>
      </c>
      <c r="C6915" s="91" t="s">
        <v>1163</v>
      </c>
    </row>
    <row r="6916" spans="1:3" ht="15">
      <c r="A6916" s="84" t="s">
        <v>336</v>
      </c>
      <c r="B6916" s="83" t="s">
        <v>2840</v>
      </c>
      <c r="C6916" s="91" t="s">
        <v>1163</v>
      </c>
    </row>
    <row r="6917" spans="1:3" ht="15">
      <c r="A6917" s="84" t="s">
        <v>336</v>
      </c>
      <c r="B6917" s="83" t="s">
        <v>2841</v>
      </c>
      <c r="C6917" s="91" t="s">
        <v>1163</v>
      </c>
    </row>
    <row r="6918" spans="1:3" ht="15">
      <c r="A6918" s="84" t="s">
        <v>336</v>
      </c>
      <c r="B6918" s="83" t="s">
        <v>2774</v>
      </c>
      <c r="C6918" s="91" t="s">
        <v>1163</v>
      </c>
    </row>
    <row r="6919" spans="1:3" ht="15">
      <c r="A6919" s="84" t="s">
        <v>336</v>
      </c>
      <c r="B6919" s="83" t="s">
        <v>2775</v>
      </c>
      <c r="C6919" s="91" t="s">
        <v>1163</v>
      </c>
    </row>
    <row r="6920" spans="1:3" ht="15">
      <c r="A6920" s="84" t="s">
        <v>336</v>
      </c>
      <c r="B6920" s="83" t="s">
        <v>2842</v>
      </c>
      <c r="C6920" s="91" t="s">
        <v>1163</v>
      </c>
    </row>
    <row r="6921" spans="1:3" ht="15">
      <c r="A6921" s="84" t="s">
        <v>336</v>
      </c>
      <c r="B6921" s="83" t="s">
        <v>2607</v>
      </c>
      <c r="C6921" s="91" t="s">
        <v>1163</v>
      </c>
    </row>
    <row r="6922" spans="1:3" ht="15">
      <c r="A6922" s="84" t="s">
        <v>336</v>
      </c>
      <c r="B6922" s="83" t="s">
        <v>3225</v>
      </c>
      <c r="C6922" s="91" t="s">
        <v>1163</v>
      </c>
    </row>
    <row r="6923" spans="1:3" ht="15">
      <c r="A6923" s="84" t="s">
        <v>336</v>
      </c>
      <c r="B6923" s="83" t="s">
        <v>3434</v>
      </c>
      <c r="C6923" s="91" t="s">
        <v>1163</v>
      </c>
    </row>
    <row r="6924" spans="1:3" ht="15">
      <c r="A6924" s="84" t="s">
        <v>336</v>
      </c>
      <c r="B6924" s="83" t="s">
        <v>3435</v>
      </c>
      <c r="C6924" s="91" t="s">
        <v>1163</v>
      </c>
    </row>
    <row r="6925" spans="1:3" ht="15">
      <c r="A6925" s="84" t="s">
        <v>336</v>
      </c>
      <c r="B6925" s="83" t="s">
        <v>2843</v>
      </c>
      <c r="C6925" s="91" t="s">
        <v>1163</v>
      </c>
    </row>
    <row r="6926" spans="1:3" ht="15">
      <c r="A6926" s="84" t="s">
        <v>336</v>
      </c>
      <c r="B6926" s="83" t="s">
        <v>3198</v>
      </c>
      <c r="C6926" s="91" t="s">
        <v>1163</v>
      </c>
    </row>
    <row r="6927" spans="1:3" ht="15">
      <c r="A6927" s="84" t="s">
        <v>336</v>
      </c>
      <c r="B6927" s="83" t="s">
        <v>3214</v>
      </c>
      <c r="C6927" s="91" t="s">
        <v>1163</v>
      </c>
    </row>
    <row r="6928" spans="1:3" ht="15">
      <c r="A6928" s="84" t="s">
        <v>336</v>
      </c>
      <c r="B6928" s="83" t="s">
        <v>3319</v>
      </c>
      <c r="C6928" s="91" t="s">
        <v>1163</v>
      </c>
    </row>
    <row r="6929" spans="1:3" ht="15">
      <c r="A6929" s="84" t="s">
        <v>335</v>
      </c>
      <c r="B6929" s="83" t="s">
        <v>3533</v>
      </c>
      <c r="C6929" s="91" t="s">
        <v>1162</v>
      </c>
    </row>
    <row r="6930" spans="1:3" ht="15">
      <c r="A6930" s="84" t="s">
        <v>335</v>
      </c>
      <c r="B6930" s="83">
        <v>8</v>
      </c>
      <c r="C6930" s="91" t="s">
        <v>1162</v>
      </c>
    </row>
    <row r="6931" spans="1:3" ht="15">
      <c r="A6931" s="84" t="s">
        <v>335</v>
      </c>
      <c r="B6931" s="83" t="s">
        <v>3329</v>
      </c>
      <c r="C6931" s="91" t="s">
        <v>1162</v>
      </c>
    </row>
    <row r="6932" spans="1:3" ht="15">
      <c r="A6932" s="84" t="s">
        <v>335</v>
      </c>
      <c r="B6932" s="83">
        <v>2020</v>
      </c>
      <c r="C6932" s="91" t="s">
        <v>1162</v>
      </c>
    </row>
    <row r="6933" spans="1:3" ht="15">
      <c r="A6933" s="84" t="s">
        <v>335</v>
      </c>
      <c r="B6933" s="83" t="s">
        <v>3435</v>
      </c>
      <c r="C6933" s="91" t="s">
        <v>1162</v>
      </c>
    </row>
    <row r="6934" spans="1:3" ht="15">
      <c r="A6934" s="84" t="s">
        <v>335</v>
      </c>
      <c r="B6934" s="83" t="s">
        <v>2733</v>
      </c>
      <c r="C6934" s="91" t="s">
        <v>1162</v>
      </c>
    </row>
    <row r="6935" spans="1:3" ht="15">
      <c r="A6935" s="84" t="s">
        <v>335</v>
      </c>
      <c r="B6935" s="83" t="s">
        <v>3210</v>
      </c>
      <c r="C6935" s="91" t="s">
        <v>1162</v>
      </c>
    </row>
    <row r="6936" spans="1:3" ht="15">
      <c r="A6936" s="84" t="s">
        <v>335</v>
      </c>
      <c r="B6936" s="83">
        <v>19</v>
      </c>
      <c r="C6936" s="91" t="s">
        <v>1162</v>
      </c>
    </row>
    <row r="6937" spans="1:3" ht="15">
      <c r="A6937" s="84" t="s">
        <v>335</v>
      </c>
      <c r="B6937" s="83" t="s">
        <v>2672</v>
      </c>
      <c r="C6937" s="91" t="s">
        <v>1162</v>
      </c>
    </row>
    <row r="6938" spans="1:3" ht="15">
      <c r="A6938" s="84" t="s">
        <v>335</v>
      </c>
      <c r="B6938" s="83" t="s">
        <v>3030</v>
      </c>
      <c r="C6938" s="91" t="s">
        <v>1162</v>
      </c>
    </row>
    <row r="6939" spans="1:3" ht="15">
      <c r="A6939" s="84" t="s">
        <v>335</v>
      </c>
      <c r="B6939" s="83" t="s">
        <v>3534</v>
      </c>
      <c r="C6939" s="91" t="s">
        <v>1162</v>
      </c>
    </row>
    <row r="6940" spans="1:3" ht="15">
      <c r="A6940" s="84" t="s">
        <v>335</v>
      </c>
      <c r="B6940" s="83" t="s">
        <v>2580</v>
      </c>
      <c r="C6940" s="91" t="s">
        <v>1162</v>
      </c>
    </row>
    <row r="6941" spans="1:3" ht="15">
      <c r="A6941" s="84" t="s">
        <v>335</v>
      </c>
      <c r="B6941" s="83" t="s">
        <v>3032</v>
      </c>
      <c r="C6941" s="91" t="s">
        <v>1162</v>
      </c>
    </row>
    <row r="6942" spans="1:3" ht="15">
      <c r="A6942" s="84" t="s">
        <v>335</v>
      </c>
      <c r="B6942" s="83" t="s">
        <v>2647</v>
      </c>
      <c r="C6942" s="91" t="s">
        <v>1162</v>
      </c>
    </row>
    <row r="6943" spans="1:3" ht="15">
      <c r="A6943" s="84" t="s">
        <v>335</v>
      </c>
      <c r="B6943" s="83" t="s">
        <v>3033</v>
      </c>
      <c r="C6943" s="91" t="s">
        <v>1162</v>
      </c>
    </row>
    <row r="6944" spans="1:3" ht="15">
      <c r="A6944" s="84" t="s">
        <v>335</v>
      </c>
      <c r="B6944" s="83" t="s">
        <v>3379</v>
      </c>
      <c r="C6944" s="91" t="s">
        <v>1162</v>
      </c>
    </row>
    <row r="6945" spans="1:3" ht="15">
      <c r="A6945" s="84" t="s">
        <v>335</v>
      </c>
      <c r="B6945" s="83" t="s">
        <v>2590</v>
      </c>
      <c r="C6945" s="91" t="s">
        <v>1162</v>
      </c>
    </row>
    <row r="6946" spans="1:3" ht="15">
      <c r="A6946" s="84" t="s">
        <v>335</v>
      </c>
      <c r="B6946" s="83">
        <v>5</v>
      </c>
      <c r="C6946" s="91" t="s">
        <v>1162</v>
      </c>
    </row>
    <row r="6947" spans="1:3" ht="15">
      <c r="A6947" s="84" t="s">
        <v>335</v>
      </c>
      <c r="B6947" s="83" t="s">
        <v>2650</v>
      </c>
      <c r="C6947" s="91" t="s">
        <v>1162</v>
      </c>
    </row>
    <row r="6948" spans="1:3" ht="15">
      <c r="A6948" s="84" t="s">
        <v>335</v>
      </c>
      <c r="B6948" s="83" t="s">
        <v>3034</v>
      </c>
      <c r="C6948" s="91" t="s">
        <v>1162</v>
      </c>
    </row>
    <row r="6949" spans="1:3" ht="15">
      <c r="A6949" s="84" t="s">
        <v>335</v>
      </c>
      <c r="B6949" s="83" t="s">
        <v>2693</v>
      </c>
      <c r="C6949" s="91" t="s">
        <v>1162</v>
      </c>
    </row>
    <row r="6950" spans="1:3" ht="15">
      <c r="A6950" s="84" t="s">
        <v>335</v>
      </c>
      <c r="B6950" s="83" t="s">
        <v>2568</v>
      </c>
      <c r="C6950" s="91" t="s">
        <v>1162</v>
      </c>
    </row>
    <row r="6951" spans="1:3" ht="15">
      <c r="A6951" s="84" t="s">
        <v>335</v>
      </c>
      <c r="B6951" s="83" t="s">
        <v>3035</v>
      </c>
      <c r="C6951" s="91" t="s">
        <v>1162</v>
      </c>
    </row>
    <row r="6952" spans="1:3" ht="15">
      <c r="A6952" s="84" t="s">
        <v>335</v>
      </c>
      <c r="B6952" s="83" t="s">
        <v>2589</v>
      </c>
      <c r="C6952" s="91" t="s">
        <v>1162</v>
      </c>
    </row>
    <row r="6953" spans="1:3" ht="15">
      <c r="A6953" s="84" t="s">
        <v>335</v>
      </c>
      <c r="B6953" s="83" t="s">
        <v>3036</v>
      </c>
      <c r="C6953" s="91" t="s">
        <v>1162</v>
      </c>
    </row>
    <row r="6954" spans="1:3" ht="15">
      <c r="A6954" s="84" t="s">
        <v>335</v>
      </c>
      <c r="B6954" s="83" t="s">
        <v>3037</v>
      </c>
      <c r="C6954" s="91" t="s">
        <v>1162</v>
      </c>
    </row>
    <row r="6955" spans="1:3" ht="15">
      <c r="A6955" s="84" t="s">
        <v>335</v>
      </c>
      <c r="B6955" s="83" t="s">
        <v>3205</v>
      </c>
      <c r="C6955" s="91" t="s">
        <v>1162</v>
      </c>
    </row>
    <row r="6956" spans="1:3" ht="15">
      <c r="A6956" s="84" t="s">
        <v>335</v>
      </c>
      <c r="B6956" s="83" t="s">
        <v>586</v>
      </c>
      <c r="C6956" s="91" t="s">
        <v>1162</v>
      </c>
    </row>
    <row r="6957" spans="1:3" ht="15">
      <c r="A6957" s="84" t="s">
        <v>335</v>
      </c>
      <c r="B6957" s="83" t="s">
        <v>3535</v>
      </c>
      <c r="C6957" s="91" t="s">
        <v>1162</v>
      </c>
    </row>
    <row r="6958" spans="1:3" ht="15">
      <c r="A6958" s="84" t="s">
        <v>335</v>
      </c>
      <c r="B6958" s="83" t="s">
        <v>3536</v>
      </c>
      <c r="C6958" s="91" t="s">
        <v>1162</v>
      </c>
    </row>
    <row r="6959" spans="1:3" ht="15">
      <c r="A6959" s="84" t="s">
        <v>335</v>
      </c>
      <c r="B6959" s="83" t="s">
        <v>3353</v>
      </c>
      <c r="C6959" s="91" t="s">
        <v>1162</v>
      </c>
    </row>
    <row r="6960" spans="1:3" ht="15">
      <c r="A6960" s="84" t="s">
        <v>335</v>
      </c>
      <c r="B6960" s="83" t="s">
        <v>2893</v>
      </c>
      <c r="C6960" s="91" t="s">
        <v>1162</v>
      </c>
    </row>
    <row r="6961" spans="1:3" ht="15">
      <c r="A6961" s="84" t="s">
        <v>333</v>
      </c>
      <c r="B6961" s="83" t="s">
        <v>3537</v>
      </c>
      <c r="C6961" s="91" t="s">
        <v>1160</v>
      </c>
    </row>
    <row r="6962" spans="1:3" ht="15">
      <c r="A6962" s="84" t="s">
        <v>333</v>
      </c>
      <c r="B6962" s="83" t="s">
        <v>3538</v>
      </c>
      <c r="C6962" s="91" t="s">
        <v>1160</v>
      </c>
    </row>
    <row r="6963" spans="1:3" ht="15">
      <c r="A6963" s="84" t="s">
        <v>333</v>
      </c>
      <c r="B6963" s="83" t="s">
        <v>3539</v>
      </c>
      <c r="C6963" s="91" t="s">
        <v>1160</v>
      </c>
    </row>
    <row r="6964" spans="1:3" ht="15">
      <c r="A6964" s="84" t="s">
        <v>333</v>
      </c>
      <c r="B6964" s="83" t="s">
        <v>3540</v>
      </c>
      <c r="C6964" s="91" t="s">
        <v>1160</v>
      </c>
    </row>
    <row r="6965" spans="1:3" ht="15">
      <c r="A6965" s="84" t="s">
        <v>333</v>
      </c>
      <c r="B6965" s="83" t="s">
        <v>3541</v>
      </c>
      <c r="C6965" s="91" t="s">
        <v>1160</v>
      </c>
    </row>
    <row r="6966" spans="1:3" ht="15">
      <c r="A6966" s="84" t="s">
        <v>333</v>
      </c>
      <c r="B6966" s="83" t="s">
        <v>3199</v>
      </c>
      <c r="C6966" s="91" t="s">
        <v>1160</v>
      </c>
    </row>
    <row r="6967" spans="1:3" ht="15">
      <c r="A6967" s="84" t="s">
        <v>333</v>
      </c>
      <c r="B6967" s="83" t="s">
        <v>3285</v>
      </c>
      <c r="C6967" s="91" t="s">
        <v>1160</v>
      </c>
    </row>
    <row r="6968" spans="1:3" ht="15">
      <c r="A6968" s="84" t="s">
        <v>332</v>
      </c>
      <c r="B6968" s="83" t="s">
        <v>3328</v>
      </c>
      <c r="C6968" s="91" t="s">
        <v>1159</v>
      </c>
    </row>
    <row r="6969" spans="1:3" ht="15">
      <c r="A6969" s="84" t="s">
        <v>332</v>
      </c>
      <c r="B6969" s="83" t="s">
        <v>3225</v>
      </c>
      <c r="C6969" s="91" t="s">
        <v>1159</v>
      </c>
    </row>
    <row r="6970" spans="1:3" ht="15">
      <c r="A6970" s="84" t="s">
        <v>332</v>
      </c>
      <c r="B6970" s="83" t="s">
        <v>2648</v>
      </c>
      <c r="C6970" s="91" t="s">
        <v>1159</v>
      </c>
    </row>
    <row r="6971" spans="1:3" ht="15">
      <c r="A6971" s="84" t="s">
        <v>332</v>
      </c>
      <c r="B6971" s="83" t="s">
        <v>3408</v>
      </c>
      <c r="C6971" s="91" t="s">
        <v>1159</v>
      </c>
    </row>
    <row r="6972" spans="1:3" ht="15">
      <c r="A6972" s="84" t="s">
        <v>332</v>
      </c>
      <c r="B6972" s="83" t="s">
        <v>2582</v>
      </c>
      <c r="C6972" s="91" t="s">
        <v>1159</v>
      </c>
    </row>
    <row r="6973" spans="1:3" ht="15">
      <c r="A6973" s="84" t="s">
        <v>332</v>
      </c>
      <c r="B6973" s="83" t="s">
        <v>2589</v>
      </c>
      <c r="C6973" s="91" t="s">
        <v>1159</v>
      </c>
    </row>
    <row r="6974" spans="1:3" ht="15">
      <c r="A6974" s="84" t="s">
        <v>332</v>
      </c>
      <c r="B6974" s="83" t="s">
        <v>3409</v>
      </c>
      <c r="C6974" s="91" t="s">
        <v>1159</v>
      </c>
    </row>
    <row r="6975" spans="1:3" ht="15">
      <c r="A6975" s="84" t="s">
        <v>332</v>
      </c>
      <c r="B6975" s="83" t="s">
        <v>3203</v>
      </c>
      <c r="C6975" s="91" t="s">
        <v>1159</v>
      </c>
    </row>
    <row r="6976" spans="1:3" ht="15">
      <c r="A6976" s="84" t="s">
        <v>332</v>
      </c>
      <c r="B6976" s="83" t="s">
        <v>3410</v>
      </c>
      <c r="C6976" s="91" t="s">
        <v>1159</v>
      </c>
    </row>
    <row r="6977" spans="1:3" ht="15">
      <c r="A6977" s="84" t="s">
        <v>332</v>
      </c>
      <c r="B6977" s="83" t="s">
        <v>3198</v>
      </c>
      <c r="C6977" s="91" t="s">
        <v>1159</v>
      </c>
    </row>
    <row r="6978" spans="1:3" ht="15">
      <c r="A6978" s="84" t="s">
        <v>332</v>
      </c>
      <c r="B6978" s="83" t="s">
        <v>3214</v>
      </c>
      <c r="C6978" s="91" t="s">
        <v>1159</v>
      </c>
    </row>
    <row r="6979" spans="1:3" ht="15">
      <c r="A6979" s="84" t="s">
        <v>332</v>
      </c>
      <c r="B6979" s="83" t="s">
        <v>3411</v>
      </c>
      <c r="C6979" s="91" t="s">
        <v>1159</v>
      </c>
    </row>
    <row r="6980" spans="1:3" ht="15">
      <c r="A6980" s="84" t="s">
        <v>332</v>
      </c>
      <c r="B6980" s="83" t="s">
        <v>3412</v>
      </c>
      <c r="C6980" s="91" t="s">
        <v>1159</v>
      </c>
    </row>
    <row r="6981" spans="1:3" ht="15">
      <c r="A6981" s="84" t="s">
        <v>332</v>
      </c>
      <c r="B6981" s="83" t="s">
        <v>3413</v>
      </c>
      <c r="C6981" s="91" t="s">
        <v>1159</v>
      </c>
    </row>
    <row r="6982" spans="1:3" ht="15">
      <c r="A6982" s="84" t="s">
        <v>332</v>
      </c>
      <c r="B6982" s="83" t="s">
        <v>3215</v>
      </c>
      <c r="C6982" s="91" t="s">
        <v>1159</v>
      </c>
    </row>
    <row r="6983" spans="1:3" ht="15">
      <c r="A6983" s="84" t="s">
        <v>332</v>
      </c>
      <c r="B6983" s="83" t="s">
        <v>3414</v>
      </c>
      <c r="C6983" s="91" t="s">
        <v>1159</v>
      </c>
    </row>
    <row r="6984" spans="1:3" ht="15">
      <c r="A6984" s="84" t="s">
        <v>332</v>
      </c>
      <c r="B6984" s="83" t="s">
        <v>3415</v>
      </c>
      <c r="C6984" s="91" t="s">
        <v>1159</v>
      </c>
    </row>
    <row r="6985" spans="1:3" ht="15">
      <c r="A6985" s="84" t="s">
        <v>332</v>
      </c>
      <c r="B6985" s="83" t="s">
        <v>3416</v>
      </c>
      <c r="C6985" s="91" t="s">
        <v>1159</v>
      </c>
    </row>
    <row r="6986" spans="1:3" ht="15">
      <c r="A6986" s="84" t="s">
        <v>332</v>
      </c>
      <c r="B6986" s="83" t="s">
        <v>3417</v>
      </c>
      <c r="C6986" s="91" t="s">
        <v>1159</v>
      </c>
    </row>
    <row r="6987" spans="1:3" ht="15">
      <c r="A6987" s="84" t="s">
        <v>332</v>
      </c>
      <c r="B6987" s="83" t="s">
        <v>3418</v>
      </c>
      <c r="C6987" s="91" t="s">
        <v>1159</v>
      </c>
    </row>
    <row r="6988" spans="1:3" ht="15">
      <c r="A6988" s="84" t="s">
        <v>332</v>
      </c>
      <c r="B6988" s="83" t="s">
        <v>3419</v>
      </c>
      <c r="C6988" s="91" t="s">
        <v>1159</v>
      </c>
    </row>
    <row r="6989" spans="1:3" ht="15">
      <c r="A6989" s="84" t="s">
        <v>332</v>
      </c>
      <c r="B6989" s="83" t="s">
        <v>3221</v>
      </c>
      <c r="C6989" s="91" t="s">
        <v>1159</v>
      </c>
    </row>
    <row r="6990" spans="1:3" ht="15">
      <c r="A6990" s="84" t="s">
        <v>332</v>
      </c>
      <c r="B6990" s="83" t="s">
        <v>3254</v>
      </c>
      <c r="C6990" s="91" t="s">
        <v>1159</v>
      </c>
    </row>
    <row r="6991" spans="1:3" ht="15">
      <c r="A6991" s="84" t="s">
        <v>332</v>
      </c>
      <c r="B6991" s="83" t="s">
        <v>3420</v>
      </c>
      <c r="C6991" s="91" t="s">
        <v>1159</v>
      </c>
    </row>
    <row r="6992" spans="1:3" ht="15">
      <c r="A6992" s="84" t="s">
        <v>332</v>
      </c>
      <c r="B6992" s="83" t="s">
        <v>3421</v>
      </c>
      <c r="C6992" s="91" t="s">
        <v>1159</v>
      </c>
    </row>
    <row r="6993" spans="1:3" ht="15">
      <c r="A6993" s="84" t="s">
        <v>332</v>
      </c>
      <c r="B6993" s="83" t="s">
        <v>586</v>
      </c>
      <c r="C6993" s="91" t="s">
        <v>1159</v>
      </c>
    </row>
    <row r="6994" spans="1:3" ht="15">
      <c r="A6994" s="84" t="s">
        <v>332</v>
      </c>
      <c r="B6994" s="83" t="s">
        <v>3393</v>
      </c>
      <c r="C6994" s="91" t="s">
        <v>1159</v>
      </c>
    </row>
    <row r="6995" spans="1:3" ht="15">
      <c r="A6995" s="84" t="s">
        <v>332</v>
      </c>
      <c r="B6995" s="83" t="s">
        <v>3422</v>
      </c>
      <c r="C6995" s="91" t="s">
        <v>1159</v>
      </c>
    </row>
    <row r="6996" spans="1:3" ht="15">
      <c r="A6996" s="84" t="s">
        <v>331</v>
      </c>
      <c r="B6996" s="83" t="s">
        <v>3328</v>
      </c>
      <c r="C6996" s="91" t="s">
        <v>1158</v>
      </c>
    </row>
    <row r="6997" spans="1:3" ht="15">
      <c r="A6997" s="84" t="s">
        <v>331</v>
      </c>
      <c r="B6997" s="83" t="s">
        <v>3225</v>
      </c>
      <c r="C6997" s="91" t="s">
        <v>1158</v>
      </c>
    </row>
    <row r="6998" spans="1:3" ht="15">
      <c r="A6998" s="84" t="s">
        <v>331</v>
      </c>
      <c r="B6998" s="83" t="s">
        <v>2648</v>
      </c>
      <c r="C6998" s="91" t="s">
        <v>1158</v>
      </c>
    </row>
    <row r="6999" spans="1:3" ht="15">
      <c r="A6999" s="84" t="s">
        <v>331</v>
      </c>
      <c r="B6999" s="83" t="s">
        <v>3408</v>
      </c>
      <c r="C6999" s="91" t="s">
        <v>1158</v>
      </c>
    </row>
    <row r="7000" spans="1:3" ht="15">
      <c r="A7000" s="84" t="s">
        <v>331</v>
      </c>
      <c r="B7000" s="83" t="s">
        <v>2582</v>
      </c>
      <c r="C7000" s="91" t="s">
        <v>1158</v>
      </c>
    </row>
    <row r="7001" spans="1:3" ht="15">
      <c r="A7001" s="84" t="s">
        <v>331</v>
      </c>
      <c r="B7001" s="83" t="s">
        <v>2589</v>
      </c>
      <c r="C7001" s="91" t="s">
        <v>1158</v>
      </c>
    </row>
    <row r="7002" spans="1:3" ht="15">
      <c r="A7002" s="84" t="s">
        <v>331</v>
      </c>
      <c r="B7002" s="83" t="s">
        <v>3409</v>
      </c>
      <c r="C7002" s="91" t="s">
        <v>1158</v>
      </c>
    </row>
    <row r="7003" spans="1:3" ht="15">
      <c r="A7003" s="84" t="s">
        <v>331</v>
      </c>
      <c r="B7003" s="83" t="s">
        <v>3203</v>
      </c>
      <c r="C7003" s="91" t="s">
        <v>1158</v>
      </c>
    </row>
    <row r="7004" spans="1:3" ht="15">
      <c r="A7004" s="84" t="s">
        <v>331</v>
      </c>
      <c r="B7004" s="83" t="s">
        <v>3410</v>
      </c>
      <c r="C7004" s="91" t="s">
        <v>1158</v>
      </c>
    </row>
    <row r="7005" spans="1:3" ht="15">
      <c r="A7005" s="84" t="s">
        <v>331</v>
      </c>
      <c r="B7005" s="83" t="s">
        <v>3198</v>
      </c>
      <c r="C7005" s="91" t="s">
        <v>1158</v>
      </c>
    </row>
    <row r="7006" spans="1:3" ht="15">
      <c r="A7006" s="84" t="s">
        <v>331</v>
      </c>
      <c r="B7006" s="83" t="s">
        <v>3214</v>
      </c>
      <c r="C7006" s="91" t="s">
        <v>1158</v>
      </c>
    </row>
    <row r="7007" spans="1:3" ht="15">
      <c r="A7007" s="84" t="s">
        <v>331</v>
      </c>
      <c r="B7007" s="83" t="s">
        <v>3411</v>
      </c>
      <c r="C7007" s="91" t="s">
        <v>1158</v>
      </c>
    </row>
    <row r="7008" spans="1:3" ht="15">
      <c r="A7008" s="84" t="s">
        <v>331</v>
      </c>
      <c r="B7008" s="83" t="s">
        <v>3412</v>
      </c>
      <c r="C7008" s="91" t="s">
        <v>1158</v>
      </c>
    </row>
    <row r="7009" spans="1:3" ht="15">
      <c r="A7009" s="84" t="s">
        <v>331</v>
      </c>
      <c r="B7009" s="83" t="s">
        <v>3413</v>
      </c>
      <c r="C7009" s="91" t="s">
        <v>1158</v>
      </c>
    </row>
    <row r="7010" spans="1:3" ht="15">
      <c r="A7010" s="84" t="s">
        <v>331</v>
      </c>
      <c r="B7010" s="83" t="s">
        <v>3215</v>
      </c>
      <c r="C7010" s="91" t="s">
        <v>1158</v>
      </c>
    </row>
    <row r="7011" spans="1:3" ht="15">
      <c r="A7011" s="84" t="s">
        <v>331</v>
      </c>
      <c r="B7011" s="83" t="s">
        <v>3414</v>
      </c>
      <c r="C7011" s="91" t="s">
        <v>1158</v>
      </c>
    </row>
    <row r="7012" spans="1:3" ht="15">
      <c r="A7012" s="84" t="s">
        <v>331</v>
      </c>
      <c r="B7012" s="83" t="s">
        <v>3415</v>
      </c>
      <c r="C7012" s="91" t="s">
        <v>1158</v>
      </c>
    </row>
    <row r="7013" spans="1:3" ht="15">
      <c r="A7013" s="84" t="s">
        <v>331</v>
      </c>
      <c r="B7013" s="83" t="s">
        <v>3416</v>
      </c>
      <c r="C7013" s="91" t="s">
        <v>1158</v>
      </c>
    </row>
    <row r="7014" spans="1:3" ht="15">
      <c r="A7014" s="84" t="s">
        <v>331</v>
      </c>
      <c r="B7014" s="83" t="s">
        <v>3417</v>
      </c>
      <c r="C7014" s="91" t="s">
        <v>1158</v>
      </c>
    </row>
    <row r="7015" spans="1:3" ht="15">
      <c r="A7015" s="84" t="s">
        <v>331</v>
      </c>
      <c r="B7015" s="83" t="s">
        <v>3418</v>
      </c>
      <c r="C7015" s="91" t="s">
        <v>1158</v>
      </c>
    </row>
    <row r="7016" spans="1:3" ht="15">
      <c r="A7016" s="84" t="s">
        <v>331</v>
      </c>
      <c r="B7016" s="83" t="s">
        <v>3419</v>
      </c>
      <c r="C7016" s="91" t="s">
        <v>1158</v>
      </c>
    </row>
    <row r="7017" spans="1:3" ht="15">
      <c r="A7017" s="84" t="s">
        <v>331</v>
      </c>
      <c r="B7017" s="83" t="s">
        <v>3221</v>
      </c>
      <c r="C7017" s="91" t="s">
        <v>1158</v>
      </c>
    </row>
    <row r="7018" spans="1:3" ht="15">
      <c r="A7018" s="84" t="s">
        <v>331</v>
      </c>
      <c r="B7018" s="83" t="s">
        <v>3254</v>
      </c>
      <c r="C7018" s="91" t="s">
        <v>1158</v>
      </c>
    </row>
    <row r="7019" spans="1:3" ht="15">
      <c r="A7019" s="84" t="s">
        <v>331</v>
      </c>
      <c r="B7019" s="83" t="s">
        <v>3420</v>
      </c>
      <c r="C7019" s="91" t="s">
        <v>1158</v>
      </c>
    </row>
    <row r="7020" spans="1:3" ht="15">
      <c r="A7020" s="84" t="s">
        <v>331</v>
      </c>
      <c r="B7020" s="83" t="s">
        <v>3421</v>
      </c>
      <c r="C7020" s="91" t="s">
        <v>1158</v>
      </c>
    </row>
    <row r="7021" spans="1:3" ht="15">
      <c r="A7021" s="84" t="s">
        <v>331</v>
      </c>
      <c r="B7021" s="83" t="s">
        <v>586</v>
      </c>
      <c r="C7021" s="91" t="s">
        <v>1158</v>
      </c>
    </row>
    <row r="7022" spans="1:3" ht="15">
      <c r="A7022" s="84" t="s">
        <v>331</v>
      </c>
      <c r="B7022" s="83" t="s">
        <v>3393</v>
      </c>
      <c r="C7022" s="91" t="s">
        <v>1158</v>
      </c>
    </row>
    <row r="7023" spans="1:3" ht="15">
      <c r="A7023" s="84" t="s">
        <v>331</v>
      </c>
      <c r="B7023" s="83" t="s">
        <v>3422</v>
      </c>
      <c r="C7023" s="91" t="s">
        <v>1158</v>
      </c>
    </row>
    <row r="7024" spans="1:3" ht="15">
      <c r="A7024" s="84" t="s">
        <v>330</v>
      </c>
      <c r="B7024" s="83" t="s">
        <v>3328</v>
      </c>
      <c r="C7024" s="91" t="s">
        <v>1157</v>
      </c>
    </row>
    <row r="7025" spans="1:3" ht="15">
      <c r="A7025" s="84" t="s">
        <v>330</v>
      </c>
      <c r="B7025" s="83" t="s">
        <v>3225</v>
      </c>
      <c r="C7025" s="91" t="s">
        <v>1157</v>
      </c>
    </row>
    <row r="7026" spans="1:3" ht="15">
      <c r="A7026" s="84" t="s">
        <v>330</v>
      </c>
      <c r="B7026" s="83" t="s">
        <v>2648</v>
      </c>
      <c r="C7026" s="91" t="s">
        <v>1157</v>
      </c>
    </row>
    <row r="7027" spans="1:3" ht="15">
      <c r="A7027" s="84" t="s">
        <v>330</v>
      </c>
      <c r="B7027" s="83" t="s">
        <v>3408</v>
      </c>
      <c r="C7027" s="91" t="s">
        <v>1157</v>
      </c>
    </row>
    <row r="7028" spans="1:3" ht="15">
      <c r="A7028" s="84" t="s">
        <v>330</v>
      </c>
      <c r="B7028" s="83" t="s">
        <v>2582</v>
      </c>
      <c r="C7028" s="91" t="s">
        <v>1157</v>
      </c>
    </row>
    <row r="7029" spans="1:3" ht="15">
      <c r="A7029" s="84" t="s">
        <v>330</v>
      </c>
      <c r="B7029" s="83" t="s">
        <v>2589</v>
      </c>
      <c r="C7029" s="91" t="s">
        <v>1157</v>
      </c>
    </row>
    <row r="7030" spans="1:3" ht="15">
      <c r="A7030" s="84" t="s">
        <v>330</v>
      </c>
      <c r="B7030" s="83" t="s">
        <v>3409</v>
      </c>
      <c r="C7030" s="91" t="s">
        <v>1157</v>
      </c>
    </row>
    <row r="7031" spans="1:3" ht="15">
      <c r="A7031" s="84" t="s">
        <v>330</v>
      </c>
      <c r="B7031" s="83" t="s">
        <v>3203</v>
      </c>
      <c r="C7031" s="91" t="s">
        <v>1157</v>
      </c>
    </row>
    <row r="7032" spans="1:3" ht="15">
      <c r="A7032" s="84" t="s">
        <v>330</v>
      </c>
      <c r="B7032" s="83" t="s">
        <v>3410</v>
      </c>
      <c r="C7032" s="91" t="s">
        <v>1157</v>
      </c>
    </row>
    <row r="7033" spans="1:3" ht="15">
      <c r="A7033" s="84" t="s">
        <v>330</v>
      </c>
      <c r="B7033" s="83" t="s">
        <v>3198</v>
      </c>
      <c r="C7033" s="91" t="s">
        <v>1157</v>
      </c>
    </row>
    <row r="7034" spans="1:3" ht="15">
      <c r="A7034" s="84" t="s">
        <v>330</v>
      </c>
      <c r="B7034" s="83" t="s">
        <v>3214</v>
      </c>
      <c r="C7034" s="91" t="s">
        <v>1157</v>
      </c>
    </row>
    <row r="7035" spans="1:3" ht="15">
      <c r="A7035" s="84" t="s">
        <v>330</v>
      </c>
      <c r="B7035" s="83" t="s">
        <v>3411</v>
      </c>
      <c r="C7035" s="91" t="s">
        <v>1157</v>
      </c>
    </row>
    <row r="7036" spans="1:3" ht="15">
      <c r="A7036" s="84" t="s">
        <v>330</v>
      </c>
      <c r="B7036" s="83" t="s">
        <v>3412</v>
      </c>
      <c r="C7036" s="91" t="s">
        <v>1157</v>
      </c>
    </row>
    <row r="7037" spans="1:3" ht="15">
      <c r="A7037" s="84" t="s">
        <v>330</v>
      </c>
      <c r="B7037" s="83" t="s">
        <v>3413</v>
      </c>
      <c r="C7037" s="91" t="s">
        <v>1157</v>
      </c>
    </row>
    <row r="7038" spans="1:3" ht="15">
      <c r="A7038" s="84" t="s">
        <v>330</v>
      </c>
      <c r="B7038" s="83" t="s">
        <v>3215</v>
      </c>
      <c r="C7038" s="91" t="s">
        <v>1157</v>
      </c>
    </row>
    <row r="7039" spans="1:3" ht="15">
      <c r="A7039" s="84" t="s">
        <v>330</v>
      </c>
      <c r="B7039" s="83" t="s">
        <v>3414</v>
      </c>
      <c r="C7039" s="91" t="s">
        <v>1157</v>
      </c>
    </row>
    <row r="7040" spans="1:3" ht="15">
      <c r="A7040" s="84" t="s">
        <v>330</v>
      </c>
      <c r="B7040" s="83" t="s">
        <v>3415</v>
      </c>
      <c r="C7040" s="91" t="s">
        <v>1157</v>
      </c>
    </row>
    <row r="7041" spans="1:3" ht="15">
      <c r="A7041" s="84" t="s">
        <v>330</v>
      </c>
      <c r="B7041" s="83" t="s">
        <v>3416</v>
      </c>
      <c r="C7041" s="91" t="s">
        <v>1157</v>
      </c>
    </row>
    <row r="7042" spans="1:3" ht="15">
      <c r="A7042" s="84" t="s">
        <v>330</v>
      </c>
      <c r="B7042" s="83" t="s">
        <v>3417</v>
      </c>
      <c r="C7042" s="91" t="s">
        <v>1157</v>
      </c>
    </row>
    <row r="7043" spans="1:3" ht="15">
      <c r="A7043" s="84" t="s">
        <v>330</v>
      </c>
      <c r="B7043" s="83" t="s">
        <v>3418</v>
      </c>
      <c r="C7043" s="91" t="s">
        <v>1157</v>
      </c>
    </row>
    <row r="7044" spans="1:3" ht="15">
      <c r="A7044" s="84" t="s">
        <v>330</v>
      </c>
      <c r="B7044" s="83" t="s">
        <v>3419</v>
      </c>
      <c r="C7044" s="91" t="s">
        <v>1157</v>
      </c>
    </row>
    <row r="7045" spans="1:3" ht="15">
      <c r="A7045" s="84" t="s">
        <v>330</v>
      </c>
      <c r="B7045" s="83" t="s">
        <v>3221</v>
      </c>
      <c r="C7045" s="91" t="s">
        <v>1157</v>
      </c>
    </row>
    <row r="7046" spans="1:3" ht="15">
      <c r="A7046" s="84" t="s">
        <v>330</v>
      </c>
      <c r="B7046" s="83" t="s">
        <v>3254</v>
      </c>
      <c r="C7046" s="91" t="s">
        <v>1157</v>
      </c>
    </row>
    <row r="7047" spans="1:3" ht="15">
      <c r="A7047" s="84" t="s">
        <v>330</v>
      </c>
      <c r="B7047" s="83" t="s">
        <v>3420</v>
      </c>
      <c r="C7047" s="91" t="s">
        <v>1157</v>
      </c>
    </row>
    <row r="7048" spans="1:3" ht="15">
      <c r="A7048" s="84" t="s">
        <v>330</v>
      </c>
      <c r="B7048" s="83" t="s">
        <v>3421</v>
      </c>
      <c r="C7048" s="91" t="s">
        <v>1157</v>
      </c>
    </row>
    <row r="7049" spans="1:3" ht="15">
      <c r="A7049" s="84" t="s">
        <v>330</v>
      </c>
      <c r="B7049" s="83" t="s">
        <v>586</v>
      </c>
      <c r="C7049" s="91" t="s">
        <v>1157</v>
      </c>
    </row>
    <row r="7050" spans="1:3" ht="15">
      <c r="A7050" s="84" t="s">
        <v>330</v>
      </c>
      <c r="B7050" s="83" t="s">
        <v>3393</v>
      </c>
      <c r="C7050" s="91" t="s">
        <v>1157</v>
      </c>
    </row>
    <row r="7051" spans="1:3" ht="15">
      <c r="A7051" s="84" t="s">
        <v>330</v>
      </c>
      <c r="B7051" s="83" t="s">
        <v>3422</v>
      </c>
      <c r="C7051" s="91" t="s">
        <v>1157</v>
      </c>
    </row>
    <row r="7052" spans="1:3" ht="15">
      <c r="A7052" s="84" t="s">
        <v>330</v>
      </c>
      <c r="B7052" s="83" t="s">
        <v>3423</v>
      </c>
      <c r="C7052" s="91" t="s">
        <v>1156</v>
      </c>
    </row>
    <row r="7053" spans="1:3" ht="15">
      <c r="A7053" s="84" t="s">
        <v>330</v>
      </c>
      <c r="B7053" s="83" t="s">
        <v>3203</v>
      </c>
      <c r="C7053" s="91" t="s">
        <v>1156</v>
      </c>
    </row>
    <row r="7054" spans="1:3" ht="15">
      <c r="A7054" s="84" t="s">
        <v>330</v>
      </c>
      <c r="B7054" s="83">
        <v>19</v>
      </c>
      <c r="C7054" s="91" t="s">
        <v>1156</v>
      </c>
    </row>
    <row r="7055" spans="1:3" ht="15">
      <c r="A7055" s="84" t="s">
        <v>330</v>
      </c>
      <c r="B7055" s="83" t="s">
        <v>2697</v>
      </c>
      <c r="C7055" s="91" t="s">
        <v>1156</v>
      </c>
    </row>
    <row r="7056" spans="1:3" ht="15">
      <c r="A7056" s="84" t="s">
        <v>330</v>
      </c>
      <c r="B7056" s="83" t="s">
        <v>2590</v>
      </c>
      <c r="C7056" s="91" t="s">
        <v>1156</v>
      </c>
    </row>
    <row r="7057" spans="1:3" ht="15">
      <c r="A7057" s="84" t="s">
        <v>330</v>
      </c>
      <c r="B7057" s="83" t="s">
        <v>3424</v>
      </c>
      <c r="C7057" s="91" t="s">
        <v>1156</v>
      </c>
    </row>
    <row r="7058" spans="1:3" ht="15">
      <c r="A7058" s="84" t="s">
        <v>330</v>
      </c>
      <c r="B7058" s="83" t="s">
        <v>3198</v>
      </c>
      <c r="C7058" s="91" t="s">
        <v>1156</v>
      </c>
    </row>
    <row r="7059" spans="1:3" ht="15">
      <c r="A7059" s="84" t="s">
        <v>330</v>
      </c>
      <c r="B7059" s="83" t="s">
        <v>3411</v>
      </c>
      <c r="C7059" s="91" t="s">
        <v>1156</v>
      </c>
    </row>
    <row r="7060" spans="1:3" ht="15">
      <c r="A7060" s="84" t="s">
        <v>330</v>
      </c>
      <c r="B7060" s="83" t="s">
        <v>3223</v>
      </c>
      <c r="C7060" s="91" t="s">
        <v>1156</v>
      </c>
    </row>
    <row r="7061" spans="1:3" ht="15">
      <c r="A7061" s="84" t="s">
        <v>330</v>
      </c>
      <c r="B7061" s="83" t="s">
        <v>3412</v>
      </c>
      <c r="C7061" s="91" t="s">
        <v>1156</v>
      </c>
    </row>
    <row r="7062" spans="1:3" ht="15">
      <c r="A7062" s="84" t="s">
        <v>330</v>
      </c>
      <c r="B7062" s="83" t="s">
        <v>3413</v>
      </c>
      <c r="C7062" s="91" t="s">
        <v>1156</v>
      </c>
    </row>
    <row r="7063" spans="1:3" ht="15">
      <c r="A7063" s="84" t="s">
        <v>330</v>
      </c>
      <c r="B7063" s="83" t="s">
        <v>3215</v>
      </c>
      <c r="C7063" s="91" t="s">
        <v>1156</v>
      </c>
    </row>
    <row r="7064" spans="1:3" ht="15">
      <c r="A7064" s="84" t="s">
        <v>330</v>
      </c>
      <c r="B7064" s="83" t="s">
        <v>3414</v>
      </c>
      <c r="C7064" s="91" t="s">
        <v>1156</v>
      </c>
    </row>
    <row r="7065" spans="1:3" ht="15">
      <c r="A7065" s="84" t="s">
        <v>330</v>
      </c>
      <c r="B7065" s="83" t="s">
        <v>3415</v>
      </c>
      <c r="C7065" s="91" t="s">
        <v>1156</v>
      </c>
    </row>
    <row r="7066" spans="1:3" ht="15">
      <c r="A7066" s="84" t="s">
        <v>330</v>
      </c>
      <c r="B7066" s="83" t="s">
        <v>3416</v>
      </c>
      <c r="C7066" s="91" t="s">
        <v>1156</v>
      </c>
    </row>
    <row r="7067" spans="1:3" ht="15">
      <c r="A7067" s="84" t="s">
        <v>330</v>
      </c>
      <c r="B7067" s="83" t="s">
        <v>3425</v>
      </c>
      <c r="C7067" s="91" t="s">
        <v>1156</v>
      </c>
    </row>
    <row r="7068" spans="1:3" ht="15">
      <c r="A7068" s="84" t="s">
        <v>330</v>
      </c>
      <c r="B7068" s="83" t="s">
        <v>3418</v>
      </c>
      <c r="C7068" s="91" t="s">
        <v>1156</v>
      </c>
    </row>
    <row r="7069" spans="1:3" ht="15">
      <c r="A7069" s="84" t="s">
        <v>330</v>
      </c>
      <c r="B7069" s="83" t="s">
        <v>3219</v>
      </c>
      <c r="C7069" s="91" t="s">
        <v>1156</v>
      </c>
    </row>
    <row r="7070" spans="1:3" ht="15">
      <c r="A7070" s="84" t="s">
        <v>330</v>
      </c>
      <c r="B7070" s="83" t="s">
        <v>3221</v>
      </c>
      <c r="C7070" s="91" t="s">
        <v>1156</v>
      </c>
    </row>
    <row r="7071" spans="1:3" ht="15">
      <c r="A7071" s="84" t="s">
        <v>330</v>
      </c>
      <c r="B7071" s="83" t="s">
        <v>3254</v>
      </c>
      <c r="C7071" s="91" t="s">
        <v>1156</v>
      </c>
    </row>
    <row r="7072" spans="1:3" ht="15">
      <c r="A7072" s="84" t="s">
        <v>330</v>
      </c>
      <c r="B7072" s="83" t="s">
        <v>3421</v>
      </c>
      <c r="C7072" s="91" t="s">
        <v>1156</v>
      </c>
    </row>
    <row r="7073" spans="1:3" ht="15">
      <c r="A7073" s="84" t="s">
        <v>330</v>
      </c>
      <c r="B7073" s="83" t="s">
        <v>3199</v>
      </c>
      <c r="C7073" s="91" t="s">
        <v>1156</v>
      </c>
    </row>
    <row r="7074" spans="1:3" ht="15">
      <c r="A7074" s="84" t="s">
        <v>330</v>
      </c>
      <c r="B7074" s="83" t="s">
        <v>3393</v>
      </c>
      <c r="C7074" s="91" t="s">
        <v>1156</v>
      </c>
    </row>
    <row r="7075" spans="1:3" ht="15">
      <c r="A7075" s="84" t="s">
        <v>330</v>
      </c>
      <c r="B7075" s="83" t="s">
        <v>3426</v>
      </c>
      <c r="C7075" s="91" t="s">
        <v>1156</v>
      </c>
    </row>
    <row r="7076" spans="1:3" ht="15">
      <c r="A7076" s="84" t="s">
        <v>330</v>
      </c>
      <c r="B7076" s="83" t="s">
        <v>3420</v>
      </c>
      <c r="C7076" s="91" t="s">
        <v>1156</v>
      </c>
    </row>
    <row r="7077" spans="1:3" ht="15">
      <c r="A7077" s="84" t="s">
        <v>329</v>
      </c>
      <c r="B7077" s="83" t="s">
        <v>3328</v>
      </c>
      <c r="C7077" s="91" t="s">
        <v>1155</v>
      </c>
    </row>
    <row r="7078" spans="1:3" ht="15">
      <c r="A7078" s="84" t="s">
        <v>329</v>
      </c>
      <c r="B7078" s="83" t="s">
        <v>3225</v>
      </c>
      <c r="C7078" s="91" t="s">
        <v>1155</v>
      </c>
    </row>
    <row r="7079" spans="1:3" ht="15">
      <c r="A7079" s="84" t="s">
        <v>329</v>
      </c>
      <c r="B7079" s="83" t="s">
        <v>2648</v>
      </c>
      <c r="C7079" s="91" t="s">
        <v>1155</v>
      </c>
    </row>
    <row r="7080" spans="1:3" ht="15">
      <c r="A7080" s="84" t="s">
        <v>329</v>
      </c>
      <c r="B7080" s="83" t="s">
        <v>3408</v>
      </c>
      <c r="C7080" s="91" t="s">
        <v>1155</v>
      </c>
    </row>
    <row r="7081" spans="1:3" ht="15">
      <c r="A7081" s="84" t="s">
        <v>329</v>
      </c>
      <c r="B7081" s="83" t="s">
        <v>2582</v>
      </c>
      <c r="C7081" s="91" t="s">
        <v>1155</v>
      </c>
    </row>
    <row r="7082" spans="1:3" ht="15">
      <c r="A7082" s="84" t="s">
        <v>329</v>
      </c>
      <c r="B7082" s="83" t="s">
        <v>2589</v>
      </c>
      <c r="C7082" s="91" t="s">
        <v>1155</v>
      </c>
    </row>
    <row r="7083" spans="1:3" ht="15">
      <c r="A7083" s="84" t="s">
        <v>329</v>
      </c>
      <c r="B7083" s="83" t="s">
        <v>3409</v>
      </c>
      <c r="C7083" s="91" t="s">
        <v>1155</v>
      </c>
    </row>
    <row r="7084" spans="1:3" ht="15">
      <c r="A7084" s="84" t="s">
        <v>329</v>
      </c>
      <c r="B7084" s="83" t="s">
        <v>3203</v>
      </c>
      <c r="C7084" s="91" t="s">
        <v>1155</v>
      </c>
    </row>
    <row r="7085" spans="1:3" ht="15">
      <c r="A7085" s="84" t="s">
        <v>329</v>
      </c>
      <c r="B7085" s="83" t="s">
        <v>3410</v>
      </c>
      <c r="C7085" s="91" t="s">
        <v>1155</v>
      </c>
    </row>
    <row r="7086" spans="1:3" ht="15">
      <c r="A7086" s="84" t="s">
        <v>329</v>
      </c>
      <c r="B7086" s="83" t="s">
        <v>3198</v>
      </c>
      <c r="C7086" s="91" t="s">
        <v>1155</v>
      </c>
    </row>
    <row r="7087" spans="1:3" ht="15">
      <c r="A7087" s="84" t="s">
        <v>329</v>
      </c>
      <c r="B7087" s="83" t="s">
        <v>3214</v>
      </c>
      <c r="C7087" s="91" t="s">
        <v>1155</v>
      </c>
    </row>
    <row r="7088" spans="1:3" ht="15">
      <c r="A7088" s="84" t="s">
        <v>329</v>
      </c>
      <c r="B7088" s="83" t="s">
        <v>3411</v>
      </c>
      <c r="C7088" s="91" t="s">
        <v>1155</v>
      </c>
    </row>
    <row r="7089" spans="1:3" ht="15">
      <c r="A7089" s="84" t="s">
        <v>329</v>
      </c>
      <c r="B7089" s="83" t="s">
        <v>3412</v>
      </c>
      <c r="C7089" s="91" t="s">
        <v>1155</v>
      </c>
    </row>
    <row r="7090" spans="1:3" ht="15">
      <c r="A7090" s="84" t="s">
        <v>329</v>
      </c>
      <c r="B7090" s="83" t="s">
        <v>3413</v>
      </c>
      <c r="C7090" s="91" t="s">
        <v>1155</v>
      </c>
    </row>
    <row r="7091" spans="1:3" ht="15">
      <c r="A7091" s="84" t="s">
        <v>329</v>
      </c>
      <c r="B7091" s="83" t="s">
        <v>3215</v>
      </c>
      <c r="C7091" s="91" t="s">
        <v>1155</v>
      </c>
    </row>
    <row r="7092" spans="1:3" ht="15">
      <c r="A7092" s="84" t="s">
        <v>329</v>
      </c>
      <c r="B7092" s="83" t="s">
        <v>3414</v>
      </c>
      <c r="C7092" s="91" t="s">
        <v>1155</v>
      </c>
    </row>
    <row r="7093" spans="1:3" ht="15">
      <c r="A7093" s="84" t="s">
        <v>329</v>
      </c>
      <c r="B7093" s="83" t="s">
        <v>3415</v>
      </c>
      <c r="C7093" s="91" t="s">
        <v>1155</v>
      </c>
    </row>
    <row r="7094" spans="1:3" ht="15">
      <c r="A7094" s="84" t="s">
        <v>329</v>
      </c>
      <c r="B7094" s="83" t="s">
        <v>3416</v>
      </c>
      <c r="C7094" s="91" t="s">
        <v>1155</v>
      </c>
    </row>
    <row r="7095" spans="1:3" ht="15">
      <c r="A7095" s="84" t="s">
        <v>329</v>
      </c>
      <c r="B7095" s="83" t="s">
        <v>3417</v>
      </c>
      <c r="C7095" s="91" t="s">
        <v>1155</v>
      </c>
    </row>
    <row r="7096" spans="1:3" ht="15">
      <c r="A7096" s="84" t="s">
        <v>329</v>
      </c>
      <c r="B7096" s="83" t="s">
        <v>3418</v>
      </c>
      <c r="C7096" s="91" t="s">
        <v>1155</v>
      </c>
    </row>
    <row r="7097" spans="1:3" ht="15">
      <c r="A7097" s="84" t="s">
        <v>329</v>
      </c>
      <c r="B7097" s="83" t="s">
        <v>3419</v>
      </c>
      <c r="C7097" s="91" t="s">
        <v>1155</v>
      </c>
    </row>
    <row r="7098" spans="1:3" ht="15">
      <c r="A7098" s="84" t="s">
        <v>329</v>
      </c>
      <c r="B7098" s="83" t="s">
        <v>3221</v>
      </c>
      <c r="C7098" s="91" t="s">
        <v>1155</v>
      </c>
    </row>
    <row r="7099" spans="1:3" ht="15">
      <c r="A7099" s="84" t="s">
        <v>329</v>
      </c>
      <c r="B7099" s="83" t="s">
        <v>3254</v>
      </c>
      <c r="C7099" s="91" t="s">
        <v>1155</v>
      </c>
    </row>
    <row r="7100" spans="1:3" ht="15">
      <c r="A7100" s="84" t="s">
        <v>329</v>
      </c>
      <c r="B7100" s="83" t="s">
        <v>3420</v>
      </c>
      <c r="C7100" s="91" t="s">
        <v>1155</v>
      </c>
    </row>
    <row r="7101" spans="1:3" ht="15">
      <c r="A7101" s="84" t="s">
        <v>329</v>
      </c>
      <c r="B7101" s="83" t="s">
        <v>3421</v>
      </c>
      <c r="C7101" s="91" t="s">
        <v>1155</v>
      </c>
    </row>
    <row r="7102" spans="1:3" ht="15">
      <c r="A7102" s="84" t="s">
        <v>329</v>
      </c>
      <c r="B7102" s="83" t="s">
        <v>586</v>
      </c>
      <c r="C7102" s="91" t="s">
        <v>1155</v>
      </c>
    </row>
    <row r="7103" spans="1:3" ht="15">
      <c r="A7103" s="84" t="s">
        <v>329</v>
      </c>
      <c r="B7103" s="83" t="s">
        <v>3393</v>
      </c>
      <c r="C7103" s="91" t="s">
        <v>1155</v>
      </c>
    </row>
    <row r="7104" spans="1:3" ht="15">
      <c r="A7104" s="84" t="s">
        <v>329</v>
      </c>
      <c r="B7104" s="83" t="s">
        <v>3422</v>
      </c>
      <c r="C7104" s="91" t="s">
        <v>1155</v>
      </c>
    </row>
    <row r="7105" spans="1:3" ht="15">
      <c r="A7105" s="84" t="s">
        <v>328</v>
      </c>
      <c r="B7105" s="83" t="s">
        <v>3328</v>
      </c>
      <c r="C7105" s="91" t="s">
        <v>1154</v>
      </c>
    </row>
    <row r="7106" spans="1:3" ht="15">
      <c r="A7106" s="84" t="s">
        <v>328</v>
      </c>
      <c r="B7106" s="83" t="s">
        <v>3225</v>
      </c>
      <c r="C7106" s="91" t="s">
        <v>1154</v>
      </c>
    </row>
    <row r="7107" spans="1:3" ht="15">
      <c r="A7107" s="84" t="s">
        <v>328</v>
      </c>
      <c r="B7107" s="83" t="s">
        <v>2648</v>
      </c>
      <c r="C7107" s="91" t="s">
        <v>1154</v>
      </c>
    </row>
    <row r="7108" spans="1:3" ht="15">
      <c r="A7108" s="84" t="s">
        <v>328</v>
      </c>
      <c r="B7108" s="83" t="s">
        <v>3408</v>
      </c>
      <c r="C7108" s="91" t="s">
        <v>1154</v>
      </c>
    </row>
    <row r="7109" spans="1:3" ht="15">
      <c r="A7109" s="84" t="s">
        <v>328</v>
      </c>
      <c r="B7109" s="83" t="s">
        <v>2582</v>
      </c>
      <c r="C7109" s="91" t="s">
        <v>1154</v>
      </c>
    </row>
    <row r="7110" spans="1:3" ht="15">
      <c r="A7110" s="84" t="s">
        <v>328</v>
      </c>
      <c r="B7110" s="83" t="s">
        <v>2589</v>
      </c>
      <c r="C7110" s="91" t="s">
        <v>1154</v>
      </c>
    </row>
    <row r="7111" spans="1:3" ht="15">
      <c r="A7111" s="84" t="s">
        <v>328</v>
      </c>
      <c r="B7111" s="83" t="s">
        <v>3409</v>
      </c>
      <c r="C7111" s="91" t="s">
        <v>1154</v>
      </c>
    </row>
    <row r="7112" spans="1:3" ht="15">
      <c r="A7112" s="84" t="s">
        <v>328</v>
      </c>
      <c r="B7112" s="83" t="s">
        <v>3203</v>
      </c>
      <c r="C7112" s="91" t="s">
        <v>1154</v>
      </c>
    </row>
    <row r="7113" spans="1:3" ht="15">
      <c r="A7113" s="84" t="s">
        <v>328</v>
      </c>
      <c r="B7113" s="83" t="s">
        <v>3410</v>
      </c>
      <c r="C7113" s="91" t="s">
        <v>1154</v>
      </c>
    </row>
    <row r="7114" spans="1:3" ht="15">
      <c r="A7114" s="84" t="s">
        <v>328</v>
      </c>
      <c r="B7114" s="83" t="s">
        <v>3198</v>
      </c>
      <c r="C7114" s="91" t="s">
        <v>1154</v>
      </c>
    </row>
    <row r="7115" spans="1:3" ht="15">
      <c r="A7115" s="84" t="s">
        <v>328</v>
      </c>
      <c r="B7115" s="83" t="s">
        <v>3214</v>
      </c>
      <c r="C7115" s="91" t="s">
        <v>1154</v>
      </c>
    </row>
    <row r="7116" spans="1:3" ht="15">
      <c r="A7116" s="84" t="s">
        <v>328</v>
      </c>
      <c r="B7116" s="83" t="s">
        <v>3411</v>
      </c>
      <c r="C7116" s="91" t="s">
        <v>1154</v>
      </c>
    </row>
    <row r="7117" spans="1:3" ht="15">
      <c r="A7117" s="84" t="s">
        <v>328</v>
      </c>
      <c r="B7117" s="83" t="s">
        <v>3412</v>
      </c>
      <c r="C7117" s="91" t="s">
        <v>1154</v>
      </c>
    </row>
    <row r="7118" spans="1:3" ht="15">
      <c r="A7118" s="84" t="s">
        <v>328</v>
      </c>
      <c r="B7118" s="83" t="s">
        <v>3413</v>
      </c>
      <c r="C7118" s="91" t="s">
        <v>1154</v>
      </c>
    </row>
    <row r="7119" spans="1:3" ht="15">
      <c r="A7119" s="84" t="s">
        <v>328</v>
      </c>
      <c r="B7119" s="83" t="s">
        <v>3215</v>
      </c>
      <c r="C7119" s="91" t="s">
        <v>1154</v>
      </c>
    </row>
    <row r="7120" spans="1:3" ht="15">
      <c r="A7120" s="84" t="s">
        <v>328</v>
      </c>
      <c r="B7120" s="83" t="s">
        <v>3414</v>
      </c>
      <c r="C7120" s="91" t="s">
        <v>1154</v>
      </c>
    </row>
    <row r="7121" spans="1:3" ht="15">
      <c r="A7121" s="84" t="s">
        <v>328</v>
      </c>
      <c r="B7121" s="83" t="s">
        <v>3415</v>
      </c>
      <c r="C7121" s="91" t="s">
        <v>1154</v>
      </c>
    </row>
    <row r="7122" spans="1:3" ht="15">
      <c r="A7122" s="84" t="s">
        <v>328</v>
      </c>
      <c r="B7122" s="83" t="s">
        <v>3416</v>
      </c>
      <c r="C7122" s="91" t="s">
        <v>1154</v>
      </c>
    </row>
    <row r="7123" spans="1:3" ht="15">
      <c r="A7123" s="84" t="s">
        <v>328</v>
      </c>
      <c r="B7123" s="83" t="s">
        <v>3417</v>
      </c>
      <c r="C7123" s="91" t="s">
        <v>1154</v>
      </c>
    </row>
    <row r="7124" spans="1:3" ht="15">
      <c r="A7124" s="84" t="s">
        <v>328</v>
      </c>
      <c r="B7124" s="83" t="s">
        <v>3418</v>
      </c>
      <c r="C7124" s="91" t="s">
        <v>1154</v>
      </c>
    </row>
    <row r="7125" spans="1:3" ht="15">
      <c r="A7125" s="84" t="s">
        <v>328</v>
      </c>
      <c r="B7125" s="83" t="s">
        <v>3419</v>
      </c>
      <c r="C7125" s="91" t="s">
        <v>1154</v>
      </c>
    </row>
    <row r="7126" spans="1:3" ht="15">
      <c r="A7126" s="84" t="s">
        <v>328</v>
      </c>
      <c r="B7126" s="83" t="s">
        <v>3221</v>
      </c>
      <c r="C7126" s="91" t="s">
        <v>1154</v>
      </c>
    </row>
    <row r="7127" spans="1:3" ht="15">
      <c r="A7127" s="84" t="s">
        <v>328</v>
      </c>
      <c r="B7127" s="83" t="s">
        <v>3254</v>
      </c>
      <c r="C7127" s="91" t="s">
        <v>1154</v>
      </c>
    </row>
    <row r="7128" spans="1:3" ht="15">
      <c r="A7128" s="84" t="s">
        <v>328</v>
      </c>
      <c r="B7128" s="83" t="s">
        <v>3420</v>
      </c>
      <c r="C7128" s="91" t="s">
        <v>1154</v>
      </c>
    </row>
    <row r="7129" spans="1:3" ht="15">
      <c r="A7129" s="84" t="s">
        <v>328</v>
      </c>
      <c r="B7129" s="83" t="s">
        <v>3421</v>
      </c>
      <c r="C7129" s="91" t="s">
        <v>1154</v>
      </c>
    </row>
    <row r="7130" spans="1:3" ht="15">
      <c r="A7130" s="84" t="s">
        <v>328</v>
      </c>
      <c r="B7130" s="83" t="s">
        <v>586</v>
      </c>
      <c r="C7130" s="91" t="s">
        <v>1154</v>
      </c>
    </row>
    <row r="7131" spans="1:3" ht="15">
      <c r="A7131" s="84" t="s">
        <v>328</v>
      </c>
      <c r="B7131" s="83" t="s">
        <v>3393</v>
      </c>
      <c r="C7131" s="91" t="s">
        <v>1154</v>
      </c>
    </row>
    <row r="7132" spans="1:3" ht="15">
      <c r="A7132" s="84" t="s">
        <v>328</v>
      </c>
      <c r="B7132" s="83" t="s">
        <v>3422</v>
      </c>
      <c r="C7132" s="91" t="s">
        <v>1154</v>
      </c>
    </row>
    <row r="7133" spans="1:3" ht="15">
      <c r="A7133" s="84" t="s">
        <v>328</v>
      </c>
      <c r="B7133" s="83" t="s">
        <v>3267</v>
      </c>
      <c r="C7133" s="91" t="s">
        <v>1153</v>
      </c>
    </row>
    <row r="7134" spans="1:3" ht="15">
      <c r="A7134" s="84" t="s">
        <v>328</v>
      </c>
      <c r="B7134" s="83" t="s">
        <v>2581</v>
      </c>
      <c r="C7134" s="91" t="s">
        <v>1153</v>
      </c>
    </row>
    <row r="7135" spans="1:3" ht="15">
      <c r="A7135" s="84" t="s">
        <v>328</v>
      </c>
      <c r="B7135" s="83" t="s">
        <v>2586</v>
      </c>
      <c r="C7135" s="91" t="s">
        <v>1153</v>
      </c>
    </row>
    <row r="7136" spans="1:3" ht="15">
      <c r="A7136" s="84" t="s">
        <v>328</v>
      </c>
      <c r="B7136" s="83" t="s">
        <v>2595</v>
      </c>
      <c r="C7136" s="91" t="s">
        <v>1153</v>
      </c>
    </row>
    <row r="7137" spans="1:3" ht="15">
      <c r="A7137" s="84" t="s">
        <v>328</v>
      </c>
      <c r="B7137" s="83" t="s">
        <v>2568</v>
      </c>
      <c r="C7137" s="91" t="s">
        <v>1153</v>
      </c>
    </row>
    <row r="7138" spans="1:3" ht="15">
      <c r="A7138" s="84" t="s">
        <v>328</v>
      </c>
      <c r="B7138" s="83" t="s">
        <v>2592</v>
      </c>
      <c r="C7138" s="91" t="s">
        <v>1153</v>
      </c>
    </row>
    <row r="7139" spans="1:3" ht="15">
      <c r="A7139" s="84" t="s">
        <v>328</v>
      </c>
      <c r="B7139" s="83" t="s">
        <v>3213</v>
      </c>
      <c r="C7139" s="91" t="s">
        <v>1153</v>
      </c>
    </row>
    <row r="7140" spans="1:3" ht="15">
      <c r="A7140" s="84" t="s">
        <v>328</v>
      </c>
      <c r="B7140" s="83" t="s">
        <v>2576</v>
      </c>
      <c r="C7140" s="91" t="s">
        <v>1153</v>
      </c>
    </row>
    <row r="7141" spans="1:3" ht="15">
      <c r="A7141" s="84" t="s">
        <v>328</v>
      </c>
      <c r="B7141" s="83" t="s">
        <v>3229</v>
      </c>
      <c r="C7141" s="91" t="s">
        <v>1153</v>
      </c>
    </row>
    <row r="7142" spans="1:3" ht="15">
      <c r="A7142" s="84" t="s">
        <v>328</v>
      </c>
      <c r="B7142" s="83" t="s">
        <v>3230</v>
      </c>
      <c r="C7142" s="91" t="s">
        <v>1153</v>
      </c>
    </row>
    <row r="7143" spans="1:3" ht="15">
      <c r="A7143" s="84" t="s">
        <v>328</v>
      </c>
      <c r="B7143" s="83" t="s">
        <v>2598</v>
      </c>
      <c r="C7143" s="91" t="s">
        <v>1153</v>
      </c>
    </row>
    <row r="7144" spans="1:3" ht="15">
      <c r="A7144" s="84" t="s">
        <v>328</v>
      </c>
      <c r="B7144" s="83" t="s">
        <v>3231</v>
      </c>
      <c r="C7144" s="91" t="s">
        <v>1153</v>
      </c>
    </row>
    <row r="7145" spans="1:3" ht="15">
      <c r="A7145" s="84" t="s">
        <v>328</v>
      </c>
      <c r="B7145" s="83" t="s">
        <v>3232</v>
      </c>
      <c r="C7145" s="91" t="s">
        <v>1153</v>
      </c>
    </row>
    <row r="7146" spans="1:3" ht="15">
      <c r="A7146" s="84" t="s">
        <v>328</v>
      </c>
      <c r="B7146" s="83" t="s">
        <v>3233</v>
      </c>
      <c r="C7146" s="91" t="s">
        <v>1153</v>
      </c>
    </row>
    <row r="7147" spans="1:3" ht="15">
      <c r="A7147" s="84" t="s">
        <v>328</v>
      </c>
      <c r="B7147" s="83" t="s">
        <v>3211</v>
      </c>
      <c r="C7147" s="91" t="s">
        <v>1153</v>
      </c>
    </row>
    <row r="7148" spans="1:3" ht="15">
      <c r="A7148" s="84" t="s">
        <v>328</v>
      </c>
      <c r="B7148" s="83" t="s">
        <v>3199</v>
      </c>
      <c r="C7148" s="91" t="s">
        <v>1153</v>
      </c>
    </row>
    <row r="7149" spans="1:3" ht="15">
      <c r="A7149" s="84" t="s">
        <v>328</v>
      </c>
      <c r="B7149" s="83" t="s">
        <v>3218</v>
      </c>
      <c r="C7149" s="91" t="s">
        <v>1153</v>
      </c>
    </row>
    <row r="7150" spans="1:3" ht="15">
      <c r="A7150" s="84" t="s">
        <v>328</v>
      </c>
      <c r="B7150" s="83" t="s">
        <v>3234</v>
      </c>
      <c r="C7150" s="91" t="s">
        <v>1153</v>
      </c>
    </row>
    <row r="7151" spans="1:3" ht="15">
      <c r="A7151" s="84" t="s">
        <v>328</v>
      </c>
      <c r="B7151" s="83" t="s">
        <v>3235</v>
      </c>
      <c r="C7151" s="91" t="s">
        <v>1153</v>
      </c>
    </row>
    <row r="7152" spans="1:3" ht="15">
      <c r="A7152" s="84" t="s">
        <v>328</v>
      </c>
      <c r="B7152" s="83" t="s">
        <v>3236</v>
      </c>
      <c r="C7152" s="91" t="s">
        <v>1153</v>
      </c>
    </row>
    <row r="7153" spans="1:3" ht="15">
      <c r="A7153" s="84" t="s">
        <v>328</v>
      </c>
      <c r="B7153" s="83" t="s">
        <v>3237</v>
      </c>
      <c r="C7153" s="91" t="s">
        <v>1153</v>
      </c>
    </row>
    <row r="7154" spans="1:3" ht="15">
      <c r="A7154" s="84" t="s">
        <v>328</v>
      </c>
      <c r="B7154" s="83" t="s">
        <v>3238</v>
      </c>
      <c r="C7154" s="91" t="s">
        <v>1153</v>
      </c>
    </row>
    <row r="7155" spans="1:3" ht="15">
      <c r="A7155" s="84" t="s">
        <v>328</v>
      </c>
      <c r="B7155" s="83" t="s">
        <v>3239</v>
      </c>
      <c r="C7155" s="91" t="s">
        <v>1153</v>
      </c>
    </row>
    <row r="7156" spans="1:3" ht="15">
      <c r="A7156" s="84" t="s">
        <v>328</v>
      </c>
      <c r="B7156" s="83" t="s">
        <v>3240</v>
      </c>
      <c r="C7156" s="91" t="s">
        <v>1153</v>
      </c>
    </row>
    <row r="7157" spans="1:3" ht="15">
      <c r="A7157" s="84" t="s">
        <v>328</v>
      </c>
      <c r="B7157" s="83" t="s">
        <v>3241</v>
      </c>
      <c r="C7157" s="91" t="s">
        <v>1153</v>
      </c>
    </row>
    <row r="7158" spans="1:3" ht="15">
      <c r="A7158" s="84" t="s">
        <v>328</v>
      </c>
      <c r="B7158" s="83" t="s">
        <v>3242</v>
      </c>
      <c r="C7158" s="91" t="s">
        <v>1153</v>
      </c>
    </row>
    <row r="7159" spans="1:3" ht="15">
      <c r="A7159" s="84" t="s">
        <v>328</v>
      </c>
      <c r="B7159" s="83" t="s">
        <v>2767</v>
      </c>
      <c r="C7159" s="91" t="s">
        <v>1153</v>
      </c>
    </row>
    <row r="7160" spans="1:3" ht="15">
      <c r="A7160" s="84" t="s">
        <v>328</v>
      </c>
      <c r="B7160" s="83" t="s">
        <v>3243</v>
      </c>
      <c r="C7160" s="91" t="s">
        <v>1153</v>
      </c>
    </row>
    <row r="7161" spans="1:3" ht="15">
      <c r="A7161" s="84" t="s">
        <v>328</v>
      </c>
      <c r="B7161" s="83" t="s">
        <v>3244</v>
      </c>
      <c r="C7161" s="91" t="s">
        <v>1153</v>
      </c>
    </row>
    <row r="7162" spans="1:3" ht="15">
      <c r="A7162" s="84" t="s">
        <v>328</v>
      </c>
      <c r="B7162" s="83" t="s">
        <v>3223</v>
      </c>
      <c r="C7162" s="91" t="s">
        <v>1153</v>
      </c>
    </row>
    <row r="7163" spans="1:3" ht="15">
      <c r="A7163" s="84" t="s">
        <v>327</v>
      </c>
      <c r="B7163" s="83" t="s">
        <v>3328</v>
      </c>
      <c r="C7163" s="91" t="s">
        <v>1152</v>
      </c>
    </row>
    <row r="7164" spans="1:3" ht="15">
      <c r="A7164" s="84" t="s">
        <v>327</v>
      </c>
      <c r="B7164" s="83" t="s">
        <v>3225</v>
      </c>
      <c r="C7164" s="91" t="s">
        <v>1152</v>
      </c>
    </row>
    <row r="7165" spans="1:3" ht="15">
      <c r="A7165" s="84" t="s">
        <v>327</v>
      </c>
      <c r="B7165" s="83" t="s">
        <v>2648</v>
      </c>
      <c r="C7165" s="91" t="s">
        <v>1152</v>
      </c>
    </row>
    <row r="7166" spans="1:3" ht="15">
      <c r="A7166" s="84" t="s">
        <v>327</v>
      </c>
      <c r="B7166" s="83" t="s">
        <v>3408</v>
      </c>
      <c r="C7166" s="91" t="s">
        <v>1152</v>
      </c>
    </row>
    <row r="7167" spans="1:3" ht="15">
      <c r="A7167" s="84" t="s">
        <v>327</v>
      </c>
      <c r="B7167" s="83" t="s">
        <v>2582</v>
      </c>
      <c r="C7167" s="91" t="s">
        <v>1152</v>
      </c>
    </row>
    <row r="7168" spans="1:3" ht="15">
      <c r="A7168" s="84" t="s">
        <v>327</v>
      </c>
      <c r="B7168" s="83" t="s">
        <v>2589</v>
      </c>
      <c r="C7168" s="91" t="s">
        <v>1152</v>
      </c>
    </row>
    <row r="7169" spans="1:3" ht="15">
      <c r="A7169" s="84" t="s">
        <v>327</v>
      </c>
      <c r="B7169" s="83" t="s">
        <v>3409</v>
      </c>
      <c r="C7169" s="91" t="s">
        <v>1152</v>
      </c>
    </row>
    <row r="7170" spans="1:3" ht="15">
      <c r="A7170" s="84" t="s">
        <v>327</v>
      </c>
      <c r="B7170" s="83" t="s">
        <v>3203</v>
      </c>
      <c r="C7170" s="91" t="s">
        <v>1152</v>
      </c>
    </row>
    <row r="7171" spans="1:3" ht="15">
      <c r="A7171" s="84" t="s">
        <v>327</v>
      </c>
      <c r="B7171" s="83" t="s">
        <v>3410</v>
      </c>
      <c r="C7171" s="91" t="s">
        <v>1152</v>
      </c>
    </row>
    <row r="7172" spans="1:3" ht="15">
      <c r="A7172" s="84" t="s">
        <v>327</v>
      </c>
      <c r="B7172" s="83" t="s">
        <v>3198</v>
      </c>
      <c r="C7172" s="91" t="s">
        <v>1152</v>
      </c>
    </row>
    <row r="7173" spans="1:3" ht="15">
      <c r="A7173" s="84" t="s">
        <v>327</v>
      </c>
      <c r="B7173" s="83" t="s">
        <v>3214</v>
      </c>
      <c r="C7173" s="91" t="s">
        <v>1152</v>
      </c>
    </row>
    <row r="7174" spans="1:3" ht="15">
      <c r="A7174" s="84" t="s">
        <v>327</v>
      </c>
      <c r="B7174" s="83" t="s">
        <v>3411</v>
      </c>
      <c r="C7174" s="91" t="s">
        <v>1152</v>
      </c>
    </row>
    <row r="7175" spans="1:3" ht="15">
      <c r="A7175" s="84" t="s">
        <v>327</v>
      </c>
      <c r="B7175" s="83" t="s">
        <v>3412</v>
      </c>
      <c r="C7175" s="91" t="s">
        <v>1152</v>
      </c>
    </row>
    <row r="7176" spans="1:3" ht="15">
      <c r="A7176" s="84" t="s">
        <v>327</v>
      </c>
      <c r="B7176" s="83" t="s">
        <v>3413</v>
      </c>
      <c r="C7176" s="91" t="s">
        <v>1152</v>
      </c>
    </row>
    <row r="7177" spans="1:3" ht="15">
      <c r="A7177" s="84" t="s">
        <v>327</v>
      </c>
      <c r="B7177" s="83" t="s">
        <v>3215</v>
      </c>
      <c r="C7177" s="91" t="s">
        <v>1152</v>
      </c>
    </row>
    <row r="7178" spans="1:3" ht="15">
      <c r="A7178" s="84" t="s">
        <v>327</v>
      </c>
      <c r="B7178" s="83" t="s">
        <v>3414</v>
      </c>
      <c r="C7178" s="91" t="s">
        <v>1152</v>
      </c>
    </row>
    <row r="7179" spans="1:3" ht="15">
      <c r="A7179" s="84" t="s">
        <v>327</v>
      </c>
      <c r="B7179" s="83" t="s">
        <v>3415</v>
      </c>
      <c r="C7179" s="91" t="s">
        <v>1152</v>
      </c>
    </row>
    <row r="7180" spans="1:3" ht="15">
      <c r="A7180" s="84" t="s">
        <v>327</v>
      </c>
      <c r="B7180" s="83" t="s">
        <v>3416</v>
      </c>
      <c r="C7180" s="91" t="s">
        <v>1152</v>
      </c>
    </row>
    <row r="7181" spans="1:3" ht="15">
      <c r="A7181" s="84" t="s">
        <v>327</v>
      </c>
      <c r="B7181" s="83" t="s">
        <v>3417</v>
      </c>
      <c r="C7181" s="91" t="s">
        <v>1152</v>
      </c>
    </row>
    <row r="7182" spans="1:3" ht="15">
      <c r="A7182" s="84" t="s">
        <v>327</v>
      </c>
      <c r="B7182" s="83" t="s">
        <v>3418</v>
      </c>
      <c r="C7182" s="91" t="s">
        <v>1152</v>
      </c>
    </row>
    <row r="7183" spans="1:3" ht="15">
      <c r="A7183" s="84" t="s">
        <v>327</v>
      </c>
      <c r="B7183" s="83" t="s">
        <v>3419</v>
      </c>
      <c r="C7183" s="91" t="s">
        <v>1152</v>
      </c>
    </row>
    <row r="7184" spans="1:3" ht="15">
      <c r="A7184" s="84" t="s">
        <v>327</v>
      </c>
      <c r="B7184" s="83" t="s">
        <v>3221</v>
      </c>
      <c r="C7184" s="91" t="s">
        <v>1152</v>
      </c>
    </row>
    <row r="7185" spans="1:3" ht="15">
      <c r="A7185" s="84" t="s">
        <v>327</v>
      </c>
      <c r="B7185" s="83" t="s">
        <v>3254</v>
      </c>
      <c r="C7185" s="91" t="s">
        <v>1152</v>
      </c>
    </row>
    <row r="7186" spans="1:3" ht="15">
      <c r="A7186" s="84" t="s">
        <v>327</v>
      </c>
      <c r="B7186" s="83" t="s">
        <v>3420</v>
      </c>
      <c r="C7186" s="91" t="s">
        <v>1152</v>
      </c>
    </row>
    <row r="7187" spans="1:3" ht="15">
      <c r="A7187" s="84" t="s">
        <v>327</v>
      </c>
      <c r="B7187" s="83" t="s">
        <v>3421</v>
      </c>
      <c r="C7187" s="91" t="s">
        <v>1152</v>
      </c>
    </row>
    <row r="7188" spans="1:3" ht="15">
      <c r="A7188" s="84" t="s">
        <v>327</v>
      </c>
      <c r="B7188" s="83" t="s">
        <v>586</v>
      </c>
      <c r="C7188" s="91" t="s">
        <v>1152</v>
      </c>
    </row>
    <row r="7189" spans="1:3" ht="15">
      <c r="A7189" s="84" t="s">
        <v>327</v>
      </c>
      <c r="B7189" s="83" t="s">
        <v>3393</v>
      </c>
      <c r="C7189" s="91" t="s">
        <v>1152</v>
      </c>
    </row>
    <row r="7190" spans="1:3" ht="15">
      <c r="A7190" s="84" t="s">
        <v>327</v>
      </c>
      <c r="B7190" s="83" t="s">
        <v>3422</v>
      </c>
      <c r="C7190" s="91" t="s">
        <v>1152</v>
      </c>
    </row>
    <row r="7191" spans="1:3" ht="15">
      <c r="A7191" s="84" t="s">
        <v>327</v>
      </c>
      <c r="B7191" s="83" t="s">
        <v>3423</v>
      </c>
      <c r="C7191" s="91" t="s">
        <v>1151</v>
      </c>
    </row>
    <row r="7192" spans="1:3" ht="15">
      <c r="A7192" s="84" t="s">
        <v>327</v>
      </c>
      <c r="B7192" s="83" t="s">
        <v>3203</v>
      </c>
      <c r="C7192" s="91" t="s">
        <v>1151</v>
      </c>
    </row>
    <row r="7193" spans="1:3" ht="15">
      <c r="A7193" s="84" t="s">
        <v>327</v>
      </c>
      <c r="B7193" s="83">
        <v>19</v>
      </c>
      <c r="C7193" s="91" t="s">
        <v>1151</v>
      </c>
    </row>
    <row r="7194" spans="1:3" ht="15">
      <c r="A7194" s="84" t="s">
        <v>327</v>
      </c>
      <c r="B7194" s="83" t="s">
        <v>2697</v>
      </c>
      <c r="C7194" s="91" t="s">
        <v>1151</v>
      </c>
    </row>
    <row r="7195" spans="1:3" ht="15">
      <c r="A7195" s="84" t="s">
        <v>327</v>
      </c>
      <c r="B7195" s="83" t="s">
        <v>2590</v>
      </c>
      <c r="C7195" s="91" t="s">
        <v>1151</v>
      </c>
    </row>
    <row r="7196" spans="1:3" ht="15">
      <c r="A7196" s="84" t="s">
        <v>327</v>
      </c>
      <c r="B7196" s="83" t="s">
        <v>3424</v>
      </c>
      <c r="C7196" s="91" t="s">
        <v>1151</v>
      </c>
    </row>
    <row r="7197" spans="1:3" ht="15">
      <c r="A7197" s="84" t="s">
        <v>327</v>
      </c>
      <c r="B7197" s="83" t="s">
        <v>3198</v>
      </c>
      <c r="C7197" s="91" t="s">
        <v>1151</v>
      </c>
    </row>
    <row r="7198" spans="1:3" ht="15">
      <c r="A7198" s="84" t="s">
        <v>327</v>
      </c>
      <c r="B7198" s="83" t="s">
        <v>3411</v>
      </c>
      <c r="C7198" s="91" t="s">
        <v>1151</v>
      </c>
    </row>
    <row r="7199" spans="1:3" ht="15">
      <c r="A7199" s="84" t="s">
        <v>327</v>
      </c>
      <c r="B7199" s="83" t="s">
        <v>3223</v>
      </c>
      <c r="C7199" s="91" t="s">
        <v>1151</v>
      </c>
    </row>
    <row r="7200" spans="1:3" ht="15">
      <c r="A7200" s="84" t="s">
        <v>327</v>
      </c>
      <c r="B7200" s="83" t="s">
        <v>3412</v>
      </c>
      <c r="C7200" s="91" t="s">
        <v>1151</v>
      </c>
    </row>
    <row r="7201" spans="1:3" ht="15">
      <c r="A7201" s="84" t="s">
        <v>327</v>
      </c>
      <c r="B7201" s="83" t="s">
        <v>3413</v>
      </c>
      <c r="C7201" s="91" t="s">
        <v>1151</v>
      </c>
    </row>
    <row r="7202" spans="1:3" ht="15">
      <c r="A7202" s="84" t="s">
        <v>327</v>
      </c>
      <c r="B7202" s="83" t="s">
        <v>3215</v>
      </c>
      <c r="C7202" s="91" t="s">
        <v>1151</v>
      </c>
    </row>
    <row r="7203" spans="1:3" ht="15">
      <c r="A7203" s="84" t="s">
        <v>327</v>
      </c>
      <c r="B7203" s="83" t="s">
        <v>3414</v>
      </c>
      <c r="C7203" s="91" t="s">
        <v>1151</v>
      </c>
    </row>
    <row r="7204" spans="1:3" ht="15">
      <c r="A7204" s="84" t="s">
        <v>327</v>
      </c>
      <c r="B7204" s="83" t="s">
        <v>3415</v>
      </c>
      <c r="C7204" s="91" t="s">
        <v>1151</v>
      </c>
    </row>
    <row r="7205" spans="1:3" ht="15">
      <c r="A7205" s="84" t="s">
        <v>327</v>
      </c>
      <c r="B7205" s="83" t="s">
        <v>3416</v>
      </c>
      <c r="C7205" s="91" t="s">
        <v>1151</v>
      </c>
    </row>
    <row r="7206" spans="1:3" ht="15">
      <c r="A7206" s="84" t="s">
        <v>327</v>
      </c>
      <c r="B7206" s="83" t="s">
        <v>3425</v>
      </c>
      <c r="C7206" s="91" t="s">
        <v>1151</v>
      </c>
    </row>
    <row r="7207" spans="1:3" ht="15">
      <c r="A7207" s="84" t="s">
        <v>327</v>
      </c>
      <c r="B7207" s="83" t="s">
        <v>3418</v>
      </c>
      <c r="C7207" s="91" t="s">
        <v>1151</v>
      </c>
    </row>
    <row r="7208" spans="1:3" ht="15">
      <c r="A7208" s="84" t="s">
        <v>327</v>
      </c>
      <c r="B7208" s="83" t="s">
        <v>3219</v>
      </c>
      <c r="C7208" s="91" t="s">
        <v>1151</v>
      </c>
    </row>
    <row r="7209" spans="1:3" ht="15">
      <c r="A7209" s="84" t="s">
        <v>327</v>
      </c>
      <c r="B7209" s="83" t="s">
        <v>3221</v>
      </c>
      <c r="C7209" s="91" t="s">
        <v>1151</v>
      </c>
    </row>
    <row r="7210" spans="1:3" ht="15">
      <c r="A7210" s="84" t="s">
        <v>327</v>
      </c>
      <c r="B7210" s="83" t="s">
        <v>3254</v>
      </c>
      <c r="C7210" s="91" t="s">
        <v>1151</v>
      </c>
    </row>
    <row r="7211" spans="1:3" ht="15">
      <c r="A7211" s="84" t="s">
        <v>327</v>
      </c>
      <c r="B7211" s="83" t="s">
        <v>3421</v>
      </c>
      <c r="C7211" s="91" t="s">
        <v>1151</v>
      </c>
    </row>
    <row r="7212" spans="1:3" ht="15">
      <c r="A7212" s="84" t="s">
        <v>327</v>
      </c>
      <c r="B7212" s="83" t="s">
        <v>3199</v>
      </c>
      <c r="C7212" s="91" t="s">
        <v>1151</v>
      </c>
    </row>
    <row r="7213" spans="1:3" ht="15">
      <c r="A7213" s="84" t="s">
        <v>327</v>
      </c>
      <c r="B7213" s="83" t="s">
        <v>3393</v>
      </c>
      <c r="C7213" s="91" t="s">
        <v>1151</v>
      </c>
    </row>
    <row r="7214" spans="1:3" ht="15">
      <c r="A7214" s="84" t="s">
        <v>327</v>
      </c>
      <c r="B7214" s="83" t="s">
        <v>3426</v>
      </c>
      <c r="C7214" s="91" t="s">
        <v>1151</v>
      </c>
    </row>
    <row r="7215" spans="1:3" ht="15">
      <c r="A7215" s="84" t="s">
        <v>327</v>
      </c>
      <c r="B7215" s="83" t="s">
        <v>3420</v>
      </c>
      <c r="C7215" s="91" t="s">
        <v>1151</v>
      </c>
    </row>
    <row r="7216" spans="1:3" ht="15">
      <c r="A7216" s="84" t="s">
        <v>326</v>
      </c>
      <c r="B7216" s="83" t="s">
        <v>3328</v>
      </c>
      <c r="C7216" s="91" t="s">
        <v>1150</v>
      </c>
    </row>
    <row r="7217" spans="1:3" ht="15">
      <c r="A7217" s="84" t="s">
        <v>326</v>
      </c>
      <c r="B7217" s="83" t="s">
        <v>3225</v>
      </c>
      <c r="C7217" s="91" t="s">
        <v>1150</v>
      </c>
    </row>
    <row r="7218" spans="1:3" ht="15">
      <c r="A7218" s="84" t="s">
        <v>326</v>
      </c>
      <c r="B7218" s="83" t="s">
        <v>2648</v>
      </c>
      <c r="C7218" s="91" t="s">
        <v>1150</v>
      </c>
    </row>
    <row r="7219" spans="1:3" ht="15">
      <c r="A7219" s="84" t="s">
        <v>326</v>
      </c>
      <c r="B7219" s="83" t="s">
        <v>3408</v>
      </c>
      <c r="C7219" s="91" t="s">
        <v>1150</v>
      </c>
    </row>
    <row r="7220" spans="1:3" ht="15">
      <c r="A7220" s="84" t="s">
        <v>326</v>
      </c>
      <c r="B7220" s="83" t="s">
        <v>2582</v>
      </c>
      <c r="C7220" s="91" t="s">
        <v>1150</v>
      </c>
    </row>
    <row r="7221" spans="1:3" ht="15">
      <c r="A7221" s="84" t="s">
        <v>326</v>
      </c>
      <c r="B7221" s="83" t="s">
        <v>2589</v>
      </c>
      <c r="C7221" s="91" t="s">
        <v>1150</v>
      </c>
    </row>
    <row r="7222" spans="1:3" ht="15">
      <c r="A7222" s="84" t="s">
        <v>326</v>
      </c>
      <c r="B7222" s="83" t="s">
        <v>3409</v>
      </c>
      <c r="C7222" s="91" t="s">
        <v>1150</v>
      </c>
    </row>
    <row r="7223" spans="1:3" ht="15">
      <c r="A7223" s="84" t="s">
        <v>326</v>
      </c>
      <c r="B7223" s="83" t="s">
        <v>3203</v>
      </c>
      <c r="C7223" s="91" t="s">
        <v>1150</v>
      </c>
    </row>
    <row r="7224" spans="1:3" ht="15">
      <c r="A7224" s="84" t="s">
        <v>326</v>
      </c>
      <c r="B7224" s="83" t="s">
        <v>3410</v>
      </c>
      <c r="C7224" s="91" t="s">
        <v>1150</v>
      </c>
    </row>
    <row r="7225" spans="1:3" ht="15">
      <c r="A7225" s="84" t="s">
        <v>326</v>
      </c>
      <c r="B7225" s="83" t="s">
        <v>3198</v>
      </c>
      <c r="C7225" s="91" t="s">
        <v>1150</v>
      </c>
    </row>
    <row r="7226" spans="1:3" ht="15">
      <c r="A7226" s="84" t="s">
        <v>326</v>
      </c>
      <c r="B7226" s="83" t="s">
        <v>3214</v>
      </c>
      <c r="C7226" s="91" t="s">
        <v>1150</v>
      </c>
    </row>
    <row r="7227" spans="1:3" ht="15">
      <c r="A7227" s="84" t="s">
        <v>326</v>
      </c>
      <c r="B7227" s="83" t="s">
        <v>3411</v>
      </c>
      <c r="C7227" s="91" t="s">
        <v>1150</v>
      </c>
    </row>
    <row r="7228" spans="1:3" ht="15">
      <c r="A7228" s="84" t="s">
        <v>326</v>
      </c>
      <c r="B7228" s="83" t="s">
        <v>3412</v>
      </c>
      <c r="C7228" s="91" t="s">
        <v>1150</v>
      </c>
    </row>
    <row r="7229" spans="1:3" ht="15">
      <c r="A7229" s="84" t="s">
        <v>326</v>
      </c>
      <c r="B7229" s="83" t="s">
        <v>3413</v>
      </c>
      <c r="C7229" s="91" t="s">
        <v>1150</v>
      </c>
    </row>
    <row r="7230" spans="1:3" ht="15">
      <c r="A7230" s="84" t="s">
        <v>326</v>
      </c>
      <c r="B7230" s="83" t="s">
        <v>3215</v>
      </c>
      <c r="C7230" s="91" t="s">
        <v>1150</v>
      </c>
    </row>
    <row r="7231" spans="1:3" ht="15">
      <c r="A7231" s="84" t="s">
        <v>326</v>
      </c>
      <c r="B7231" s="83" t="s">
        <v>3414</v>
      </c>
      <c r="C7231" s="91" t="s">
        <v>1150</v>
      </c>
    </row>
    <row r="7232" spans="1:3" ht="15">
      <c r="A7232" s="84" t="s">
        <v>326</v>
      </c>
      <c r="B7232" s="83" t="s">
        <v>3415</v>
      </c>
      <c r="C7232" s="91" t="s">
        <v>1150</v>
      </c>
    </row>
    <row r="7233" spans="1:3" ht="15">
      <c r="A7233" s="84" t="s">
        <v>326</v>
      </c>
      <c r="B7233" s="83" t="s">
        <v>3416</v>
      </c>
      <c r="C7233" s="91" t="s">
        <v>1150</v>
      </c>
    </row>
    <row r="7234" spans="1:3" ht="15">
      <c r="A7234" s="84" t="s">
        <v>326</v>
      </c>
      <c r="B7234" s="83" t="s">
        <v>3417</v>
      </c>
      <c r="C7234" s="91" t="s">
        <v>1150</v>
      </c>
    </row>
    <row r="7235" spans="1:3" ht="15">
      <c r="A7235" s="84" t="s">
        <v>326</v>
      </c>
      <c r="B7235" s="83" t="s">
        <v>3418</v>
      </c>
      <c r="C7235" s="91" t="s">
        <v>1150</v>
      </c>
    </row>
    <row r="7236" spans="1:3" ht="15">
      <c r="A7236" s="84" t="s">
        <v>326</v>
      </c>
      <c r="B7236" s="83" t="s">
        <v>3419</v>
      </c>
      <c r="C7236" s="91" t="s">
        <v>1150</v>
      </c>
    </row>
    <row r="7237" spans="1:3" ht="15">
      <c r="A7237" s="84" t="s">
        <v>326</v>
      </c>
      <c r="B7237" s="83" t="s">
        <v>3221</v>
      </c>
      <c r="C7237" s="91" t="s">
        <v>1150</v>
      </c>
    </row>
    <row r="7238" spans="1:3" ht="15">
      <c r="A7238" s="84" t="s">
        <v>326</v>
      </c>
      <c r="B7238" s="83" t="s">
        <v>3254</v>
      </c>
      <c r="C7238" s="91" t="s">
        <v>1150</v>
      </c>
    </row>
    <row r="7239" spans="1:3" ht="15">
      <c r="A7239" s="84" t="s">
        <v>326</v>
      </c>
      <c r="B7239" s="83" t="s">
        <v>3420</v>
      </c>
      <c r="C7239" s="91" t="s">
        <v>1150</v>
      </c>
    </row>
    <row r="7240" spans="1:3" ht="15">
      <c r="A7240" s="84" t="s">
        <v>326</v>
      </c>
      <c r="B7240" s="83" t="s">
        <v>3421</v>
      </c>
      <c r="C7240" s="91" t="s">
        <v>1150</v>
      </c>
    </row>
    <row r="7241" spans="1:3" ht="15">
      <c r="A7241" s="84" t="s">
        <v>326</v>
      </c>
      <c r="B7241" s="83" t="s">
        <v>586</v>
      </c>
      <c r="C7241" s="91" t="s">
        <v>1150</v>
      </c>
    </row>
    <row r="7242" spans="1:3" ht="15">
      <c r="A7242" s="84" t="s">
        <v>326</v>
      </c>
      <c r="B7242" s="83" t="s">
        <v>3393</v>
      </c>
      <c r="C7242" s="91" t="s">
        <v>1150</v>
      </c>
    </row>
    <row r="7243" spans="1:3" ht="15">
      <c r="A7243" s="84" t="s">
        <v>326</v>
      </c>
      <c r="B7243" s="83" t="s">
        <v>3422</v>
      </c>
      <c r="C7243" s="91" t="s">
        <v>1150</v>
      </c>
    </row>
    <row r="7244" spans="1:3" ht="15">
      <c r="A7244" s="84" t="s">
        <v>325</v>
      </c>
      <c r="B7244" s="83" t="s">
        <v>3328</v>
      </c>
      <c r="C7244" s="91" t="s">
        <v>1149</v>
      </c>
    </row>
    <row r="7245" spans="1:3" ht="15">
      <c r="A7245" s="84" t="s">
        <v>325</v>
      </c>
      <c r="B7245" s="83" t="s">
        <v>3225</v>
      </c>
      <c r="C7245" s="91" t="s">
        <v>1149</v>
      </c>
    </row>
    <row r="7246" spans="1:3" ht="15">
      <c r="A7246" s="84" t="s">
        <v>325</v>
      </c>
      <c r="B7246" s="83" t="s">
        <v>2648</v>
      </c>
      <c r="C7246" s="91" t="s">
        <v>1149</v>
      </c>
    </row>
    <row r="7247" spans="1:3" ht="15">
      <c r="A7247" s="84" t="s">
        <v>325</v>
      </c>
      <c r="B7247" s="83" t="s">
        <v>3408</v>
      </c>
      <c r="C7247" s="91" t="s">
        <v>1149</v>
      </c>
    </row>
    <row r="7248" spans="1:3" ht="15">
      <c r="A7248" s="84" t="s">
        <v>325</v>
      </c>
      <c r="B7248" s="83" t="s">
        <v>2582</v>
      </c>
      <c r="C7248" s="91" t="s">
        <v>1149</v>
      </c>
    </row>
    <row r="7249" spans="1:3" ht="15">
      <c r="A7249" s="84" t="s">
        <v>325</v>
      </c>
      <c r="B7249" s="83" t="s">
        <v>2589</v>
      </c>
      <c r="C7249" s="91" t="s">
        <v>1149</v>
      </c>
    </row>
    <row r="7250" spans="1:3" ht="15">
      <c r="A7250" s="84" t="s">
        <v>325</v>
      </c>
      <c r="B7250" s="83" t="s">
        <v>3409</v>
      </c>
      <c r="C7250" s="91" t="s">
        <v>1149</v>
      </c>
    </row>
    <row r="7251" spans="1:3" ht="15">
      <c r="A7251" s="84" t="s">
        <v>325</v>
      </c>
      <c r="B7251" s="83" t="s">
        <v>3203</v>
      </c>
      <c r="C7251" s="91" t="s">
        <v>1149</v>
      </c>
    </row>
    <row r="7252" spans="1:3" ht="15">
      <c r="A7252" s="84" t="s">
        <v>325</v>
      </c>
      <c r="B7252" s="83" t="s">
        <v>3410</v>
      </c>
      <c r="C7252" s="91" t="s">
        <v>1149</v>
      </c>
    </row>
    <row r="7253" spans="1:3" ht="15">
      <c r="A7253" s="84" t="s">
        <v>325</v>
      </c>
      <c r="B7253" s="83" t="s">
        <v>3198</v>
      </c>
      <c r="C7253" s="91" t="s">
        <v>1149</v>
      </c>
    </row>
    <row r="7254" spans="1:3" ht="15">
      <c r="A7254" s="84" t="s">
        <v>325</v>
      </c>
      <c r="B7254" s="83" t="s">
        <v>3214</v>
      </c>
      <c r="C7254" s="91" t="s">
        <v>1149</v>
      </c>
    </row>
    <row r="7255" spans="1:3" ht="15">
      <c r="A7255" s="84" t="s">
        <v>325</v>
      </c>
      <c r="B7255" s="83" t="s">
        <v>3411</v>
      </c>
      <c r="C7255" s="91" t="s">
        <v>1149</v>
      </c>
    </row>
    <row r="7256" spans="1:3" ht="15">
      <c r="A7256" s="84" t="s">
        <v>325</v>
      </c>
      <c r="B7256" s="83" t="s">
        <v>3412</v>
      </c>
      <c r="C7256" s="91" t="s">
        <v>1149</v>
      </c>
    </row>
    <row r="7257" spans="1:3" ht="15">
      <c r="A7257" s="84" t="s">
        <v>325</v>
      </c>
      <c r="B7257" s="83" t="s">
        <v>3413</v>
      </c>
      <c r="C7257" s="91" t="s">
        <v>1149</v>
      </c>
    </row>
    <row r="7258" spans="1:3" ht="15">
      <c r="A7258" s="84" t="s">
        <v>325</v>
      </c>
      <c r="B7258" s="83" t="s">
        <v>3215</v>
      </c>
      <c r="C7258" s="91" t="s">
        <v>1149</v>
      </c>
    </row>
    <row r="7259" spans="1:3" ht="15">
      <c r="A7259" s="84" t="s">
        <v>325</v>
      </c>
      <c r="B7259" s="83" t="s">
        <v>3414</v>
      </c>
      <c r="C7259" s="91" t="s">
        <v>1149</v>
      </c>
    </row>
    <row r="7260" spans="1:3" ht="15">
      <c r="A7260" s="84" t="s">
        <v>325</v>
      </c>
      <c r="B7260" s="83" t="s">
        <v>3415</v>
      </c>
      <c r="C7260" s="91" t="s">
        <v>1149</v>
      </c>
    </row>
    <row r="7261" spans="1:3" ht="15">
      <c r="A7261" s="84" t="s">
        <v>325</v>
      </c>
      <c r="B7261" s="83" t="s">
        <v>3416</v>
      </c>
      <c r="C7261" s="91" t="s">
        <v>1149</v>
      </c>
    </row>
    <row r="7262" spans="1:3" ht="15">
      <c r="A7262" s="84" t="s">
        <v>325</v>
      </c>
      <c r="B7262" s="83" t="s">
        <v>3417</v>
      </c>
      <c r="C7262" s="91" t="s">
        <v>1149</v>
      </c>
    </row>
    <row r="7263" spans="1:3" ht="15">
      <c r="A7263" s="84" t="s">
        <v>325</v>
      </c>
      <c r="B7263" s="83" t="s">
        <v>3418</v>
      </c>
      <c r="C7263" s="91" t="s">
        <v>1149</v>
      </c>
    </row>
    <row r="7264" spans="1:3" ht="15">
      <c r="A7264" s="84" t="s">
        <v>325</v>
      </c>
      <c r="B7264" s="83" t="s">
        <v>3419</v>
      </c>
      <c r="C7264" s="91" t="s">
        <v>1149</v>
      </c>
    </row>
    <row r="7265" spans="1:3" ht="15">
      <c r="A7265" s="84" t="s">
        <v>325</v>
      </c>
      <c r="B7265" s="83" t="s">
        <v>3221</v>
      </c>
      <c r="C7265" s="91" t="s">
        <v>1149</v>
      </c>
    </row>
    <row r="7266" spans="1:3" ht="15">
      <c r="A7266" s="84" t="s">
        <v>325</v>
      </c>
      <c r="B7266" s="83" t="s">
        <v>3254</v>
      </c>
      <c r="C7266" s="91" t="s">
        <v>1149</v>
      </c>
    </row>
    <row r="7267" spans="1:3" ht="15">
      <c r="A7267" s="84" t="s">
        <v>325</v>
      </c>
      <c r="B7267" s="83" t="s">
        <v>3420</v>
      </c>
      <c r="C7267" s="91" t="s">
        <v>1149</v>
      </c>
    </row>
    <row r="7268" spans="1:3" ht="15">
      <c r="A7268" s="84" t="s">
        <v>325</v>
      </c>
      <c r="B7268" s="83" t="s">
        <v>3421</v>
      </c>
      <c r="C7268" s="91" t="s">
        <v>1149</v>
      </c>
    </row>
    <row r="7269" spans="1:3" ht="15">
      <c r="A7269" s="84" t="s">
        <v>325</v>
      </c>
      <c r="B7269" s="83" t="s">
        <v>586</v>
      </c>
      <c r="C7269" s="91" t="s">
        <v>1149</v>
      </c>
    </row>
    <row r="7270" spans="1:3" ht="15">
      <c r="A7270" s="84" t="s">
        <v>325</v>
      </c>
      <c r="B7270" s="83" t="s">
        <v>3393</v>
      </c>
      <c r="C7270" s="91" t="s">
        <v>1149</v>
      </c>
    </row>
    <row r="7271" spans="1:3" ht="15">
      <c r="A7271" s="84" t="s">
        <v>325</v>
      </c>
      <c r="B7271" s="83" t="s">
        <v>3422</v>
      </c>
      <c r="C7271" s="91" t="s">
        <v>1149</v>
      </c>
    </row>
    <row r="7272" spans="1:3" ht="15">
      <c r="A7272" s="84" t="s">
        <v>324</v>
      </c>
      <c r="B7272" s="83" t="s">
        <v>3328</v>
      </c>
      <c r="C7272" s="91" t="s">
        <v>1148</v>
      </c>
    </row>
    <row r="7273" spans="1:3" ht="15">
      <c r="A7273" s="84" t="s">
        <v>324</v>
      </c>
      <c r="B7273" s="83" t="s">
        <v>3225</v>
      </c>
      <c r="C7273" s="91" t="s">
        <v>1148</v>
      </c>
    </row>
    <row r="7274" spans="1:3" ht="15">
      <c r="A7274" s="84" t="s">
        <v>324</v>
      </c>
      <c r="B7274" s="83" t="s">
        <v>2648</v>
      </c>
      <c r="C7274" s="91" t="s">
        <v>1148</v>
      </c>
    </row>
    <row r="7275" spans="1:3" ht="15">
      <c r="A7275" s="84" t="s">
        <v>324</v>
      </c>
      <c r="B7275" s="83" t="s">
        <v>3408</v>
      </c>
      <c r="C7275" s="91" t="s">
        <v>1148</v>
      </c>
    </row>
    <row r="7276" spans="1:3" ht="15">
      <c r="A7276" s="84" t="s">
        <v>324</v>
      </c>
      <c r="B7276" s="83" t="s">
        <v>2582</v>
      </c>
      <c r="C7276" s="91" t="s">
        <v>1148</v>
      </c>
    </row>
    <row r="7277" spans="1:3" ht="15">
      <c r="A7277" s="84" t="s">
        <v>324</v>
      </c>
      <c r="B7277" s="83" t="s">
        <v>2589</v>
      </c>
      <c r="C7277" s="91" t="s">
        <v>1148</v>
      </c>
    </row>
    <row r="7278" spans="1:3" ht="15">
      <c r="A7278" s="84" t="s">
        <v>324</v>
      </c>
      <c r="B7278" s="83" t="s">
        <v>3409</v>
      </c>
      <c r="C7278" s="91" t="s">
        <v>1148</v>
      </c>
    </row>
    <row r="7279" spans="1:3" ht="15">
      <c r="A7279" s="84" t="s">
        <v>324</v>
      </c>
      <c r="B7279" s="83" t="s">
        <v>3203</v>
      </c>
      <c r="C7279" s="91" t="s">
        <v>1148</v>
      </c>
    </row>
    <row r="7280" spans="1:3" ht="15">
      <c r="A7280" s="84" t="s">
        <v>324</v>
      </c>
      <c r="B7280" s="83" t="s">
        <v>3410</v>
      </c>
      <c r="C7280" s="91" t="s">
        <v>1148</v>
      </c>
    </row>
    <row r="7281" spans="1:3" ht="15">
      <c r="A7281" s="84" t="s">
        <v>324</v>
      </c>
      <c r="B7281" s="83" t="s">
        <v>3198</v>
      </c>
      <c r="C7281" s="91" t="s">
        <v>1148</v>
      </c>
    </row>
    <row r="7282" spans="1:3" ht="15">
      <c r="A7282" s="84" t="s">
        <v>324</v>
      </c>
      <c r="B7282" s="83" t="s">
        <v>3214</v>
      </c>
      <c r="C7282" s="91" t="s">
        <v>1148</v>
      </c>
    </row>
    <row r="7283" spans="1:3" ht="15">
      <c r="A7283" s="84" t="s">
        <v>324</v>
      </c>
      <c r="B7283" s="83" t="s">
        <v>3411</v>
      </c>
      <c r="C7283" s="91" t="s">
        <v>1148</v>
      </c>
    </row>
    <row r="7284" spans="1:3" ht="15">
      <c r="A7284" s="84" t="s">
        <v>324</v>
      </c>
      <c r="B7284" s="83" t="s">
        <v>3412</v>
      </c>
      <c r="C7284" s="91" t="s">
        <v>1148</v>
      </c>
    </row>
    <row r="7285" spans="1:3" ht="15">
      <c r="A7285" s="84" t="s">
        <v>324</v>
      </c>
      <c r="B7285" s="83" t="s">
        <v>3413</v>
      </c>
      <c r="C7285" s="91" t="s">
        <v>1148</v>
      </c>
    </row>
    <row r="7286" spans="1:3" ht="15">
      <c r="A7286" s="84" t="s">
        <v>324</v>
      </c>
      <c r="B7286" s="83" t="s">
        <v>3215</v>
      </c>
      <c r="C7286" s="91" t="s">
        <v>1148</v>
      </c>
    </row>
    <row r="7287" spans="1:3" ht="15">
      <c r="A7287" s="84" t="s">
        <v>324</v>
      </c>
      <c r="B7287" s="83" t="s">
        <v>3414</v>
      </c>
      <c r="C7287" s="91" t="s">
        <v>1148</v>
      </c>
    </row>
    <row r="7288" spans="1:3" ht="15">
      <c r="A7288" s="84" t="s">
        <v>324</v>
      </c>
      <c r="B7288" s="83" t="s">
        <v>3415</v>
      </c>
      <c r="C7288" s="91" t="s">
        <v>1148</v>
      </c>
    </row>
    <row r="7289" spans="1:3" ht="15">
      <c r="A7289" s="84" t="s">
        <v>324</v>
      </c>
      <c r="B7289" s="83" t="s">
        <v>3416</v>
      </c>
      <c r="C7289" s="91" t="s">
        <v>1148</v>
      </c>
    </row>
    <row r="7290" spans="1:3" ht="15">
      <c r="A7290" s="84" t="s">
        <v>324</v>
      </c>
      <c r="B7290" s="83" t="s">
        <v>3417</v>
      </c>
      <c r="C7290" s="91" t="s">
        <v>1148</v>
      </c>
    </row>
    <row r="7291" spans="1:3" ht="15">
      <c r="A7291" s="84" t="s">
        <v>324</v>
      </c>
      <c r="B7291" s="83" t="s">
        <v>3418</v>
      </c>
      <c r="C7291" s="91" t="s">
        <v>1148</v>
      </c>
    </row>
    <row r="7292" spans="1:3" ht="15">
      <c r="A7292" s="84" t="s">
        <v>324</v>
      </c>
      <c r="B7292" s="83" t="s">
        <v>3419</v>
      </c>
      <c r="C7292" s="91" t="s">
        <v>1148</v>
      </c>
    </row>
    <row r="7293" spans="1:3" ht="15">
      <c r="A7293" s="84" t="s">
        <v>324</v>
      </c>
      <c r="B7293" s="83" t="s">
        <v>3221</v>
      </c>
      <c r="C7293" s="91" t="s">
        <v>1148</v>
      </c>
    </row>
    <row r="7294" spans="1:3" ht="15">
      <c r="A7294" s="84" t="s">
        <v>324</v>
      </c>
      <c r="B7294" s="83" t="s">
        <v>3254</v>
      </c>
      <c r="C7294" s="91" t="s">
        <v>1148</v>
      </c>
    </row>
    <row r="7295" spans="1:3" ht="15">
      <c r="A7295" s="84" t="s">
        <v>324</v>
      </c>
      <c r="B7295" s="83" t="s">
        <v>3420</v>
      </c>
      <c r="C7295" s="91" t="s">
        <v>1148</v>
      </c>
    </row>
    <row r="7296" spans="1:3" ht="15">
      <c r="A7296" s="84" t="s">
        <v>324</v>
      </c>
      <c r="B7296" s="83" t="s">
        <v>3421</v>
      </c>
      <c r="C7296" s="91" t="s">
        <v>1148</v>
      </c>
    </row>
    <row r="7297" spans="1:3" ht="15">
      <c r="A7297" s="84" t="s">
        <v>324</v>
      </c>
      <c r="B7297" s="83" t="s">
        <v>586</v>
      </c>
      <c r="C7297" s="91" t="s">
        <v>1148</v>
      </c>
    </row>
    <row r="7298" spans="1:3" ht="15">
      <c r="A7298" s="84" t="s">
        <v>324</v>
      </c>
      <c r="B7298" s="83" t="s">
        <v>3393</v>
      </c>
      <c r="C7298" s="91" t="s">
        <v>1148</v>
      </c>
    </row>
    <row r="7299" spans="1:3" ht="15">
      <c r="A7299" s="84" t="s">
        <v>324</v>
      </c>
      <c r="B7299" s="83" t="s">
        <v>3422</v>
      </c>
      <c r="C7299" s="91" t="s">
        <v>1148</v>
      </c>
    </row>
    <row r="7300" spans="1:3" ht="15">
      <c r="A7300" s="84" t="s">
        <v>323</v>
      </c>
      <c r="B7300" s="83" t="s">
        <v>3328</v>
      </c>
      <c r="C7300" s="91" t="s">
        <v>1147</v>
      </c>
    </row>
    <row r="7301" spans="1:3" ht="15">
      <c r="A7301" s="84" t="s">
        <v>323</v>
      </c>
      <c r="B7301" s="83" t="s">
        <v>3225</v>
      </c>
      <c r="C7301" s="91" t="s">
        <v>1147</v>
      </c>
    </row>
    <row r="7302" spans="1:3" ht="15">
      <c r="A7302" s="84" t="s">
        <v>323</v>
      </c>
      <c r="B7302" s="83" t="s">
        <v>2648</v>
      </c>
      <c r="C7302" s="91" t="s">
        <v>1147</v>
      </c>
    </row>
    <row r="7303" spans="1:3" ht="15">
      <c r="A7303" s="84" t="s">
        <v>323</v>
      </c>
      <c r="B7303" s="83" t="s">
        <v>3408</v>
      </c>
      <c r="C7303" s="91" t="s">
        <v>1147</v>
      </c>
    </row>
    <row r="7304" spans="1:3" ht="15">
      <c r="A7304" s="84" t="s">
        <v>323</v>
      </c>
      <c r="B7304" s="83" t="s">
        <v>2582</v>
      </c>
      <c r="C7304" s="91" t="s">
        <v>1147</v>
      </c>
    </row>
    <row r="7305" spans="1:3" ht="15">
      <c r="A7305" s="84" t="s">
        <v>323</v>
      </c>
      <c r="B7305" s="83" t="s">
        <v>2589</v>
      </c>
      <c r="C7305" s="91" t="s">
        <v>1147</v>
      </c>
    </row>
    <row r="7306" spans="1:3" ht="15">
      <c r="A7306" s="84" t="s">
        <v>323</v>
      </c>
      <c r="B7306" s="83" t="s">
        <v>3409</v>
      </c>
      <c r="C7306" s="91" t="s">
        <v>1147</v>
      </c>
    </row>
    <row r="7307" spans="1:3" ht="15">
      <c r="A7307" s="84" t="s">
        <v>323</v>
      </c>
      <c r="B7307" s="83" t="s">
        <v>3203</v>
      </c>
      <c r="C7307" s="91" t="s">
        <v>1147</v>
      </c>
    </row>
    <row r="7308" spans="1:3" ht="15">
      <c r="A7308" s="84" t="s">
        <v>323</v>
      </c>
      <c r="B7308" s="83" t="s">
        <v>3410</v>
      </c>
      <c r="C7308" s="91" t="s">
        <v>1147</v>
      </c>
    </row>
    <row r="7309" spans="1:3" ht="15">
      <c r="A7309" s="84" t="s">
        <v>323</v>
      </c>
      <c r="B7309" s="83" t="s">
        <v>3198</v>
      </c>
      <c r="C7309" s="91" t="s">
        <v>1147</v>
      </c>
    </row>
    <row r="7310" spans="1:3" ht="15">
      <c r="A7310" s="84" t="s">
        <v>323</v>
      </c>
      <c r="B7310" s="83" t="s">
        <v>3214</v>
      </c>
      <c r="C7310" s="91" t="s">
        <v>1147</v>
      </c>
    </row>
    <row r="7311" spans="1:3" ht="15">
      <c r="A7311" s="84" t="s">
        <v>323</v>
      </c>
      <c r="B7311" s="83" t="s">
        <v>3411</v>
      </c>
      <c r="C7311" s="91" t="s">
        <v>1147</v>
      </c>
    </row>
    <row r="7312" spans="1:3" ht="15">
      <c r="A7312" s="84" t="s">
        <v>323</v>
      </c>
      <c r="B7312" s="83" t="s">
        <v>3412</v>
      </c>
      <c r="C7312" s="91" t="s">
        <v>1147</v>
      </c>
    </row>
    <row r="7313" spans="1:3" ht="15">
      <c r="A7313" s="84" t="s">
        <v>323</v>
      </c>
      <c r="B7313" s="83" t="s">
        <v>3413</v>
      </c>
      <c r="C7313" s="91" t="s">
        <v>1147</v>
      </c>
    </row>
    <row r="7314" spans="1:3" ht="15">
      <c r="A7314" s="84" t="s">
        <v>323</v>
      </c>
      <c r="B7314" s="83" t="s">
        <v>3215</v>
      </c>
      <c r="C7314" s="91" t="s">
        <v>1147</v>
      </c>
    </row>
    <row r="7315" spans="1:3" ht="15">
      <c r="A7315" s="84" t="s">
        <v>323</v>
      </c>
      <c r="B7315" s="83" t="s">
        <v>3414</v>
      </c>
      <c r="C7315" s="91" t="s">
        <v>1147</v>
      </c>
    </row>
    <row r="7316" spans="1:3" ht="15">
      <c r="A7316" s="84" t="s">
        <v>323</v>
      </c>
      <c r="B7316" s="83" t="s">
        <v>3415</v>
      </c>
      <c r="C7316" s="91" t="s">
        <v>1147</v>
      </c>
    </row>
    <row r="7317" spans="1:3" ht="15">
      <c r="A7317" s="84" t="s">
        <v>323</v>
      </c>
      <c r="B7317" s="83" t="s">
        <v>3416</v>
      </c>
      <c r="C7317" s="91" t="s">
        <v>1147</v>
      </c>
    </row>
    <row r="7318" spans="1:3" ht="15">
      <c r="A7318" s="84" t="s">
        <v>323</v>
      </c>
      <c r="B7318" s="83" t="s">
        <v>3417</v>
      </c>
      <c r="C7318" s="91" t="s">
        <v>1147</v>
      </c>
    </row>
    <row r="7319" spans="1:3" ht="15">
      <c r="A7319" s="84" t="s">
        <v>323</v>
      </c>
      <c r="B7319" s="83" t="s">
        <v>3418</v>
      </c>
      <c r="C7319" s="91" t="s">
        <v>1147</v>
      </c>
    </row>
    <row r="7320" spans="1:3" ht="15">
      <c r="A7320" s="84" t="s">
        <v>323</v>
      </c>
      <c r="B7320" s="83" t="s">
        <v>3419</v>
      </c>
      <c r="C7320" s="91" t="s">
        <v>1147</v>
      </c>
    </row>
    <row r="7321" spans="1:3" ht="15">
      <c r="A7321" s="84" t="s">
        <v>323</v>
      </c>
      <c r="B7321" s="83" t="s">
        <v>3221</v>
      </c>
      <c r="C7321" s="91" t="s">
        <v>1147</v>
      </c>
    </row>
    <row r="7322" spans="1:3" ht="15">
      <c r="A7322" s="84" t="s">
        <v>323</v>
      </c>
      <c r="B7322" s="83" t="s">
        <v>3254</v>
      </c>
      <c r="C7322" s="91" t="s">
        <v>1147</v>
      </c>
    </row>
    <row r="7323" spans="1:3" ht="15">
      <c r="A7323" s="84" t="s">
        <v>323</v>
      </c>
      <c r="B7323" s="83" t="s">
        <v>3420</v>
      </c>
      <c r="C7323" s="91" t="s">
        <v>1147</v>
      </c>
    </row>
    <row r="7324" spans="1:3" ht="15">
      <c r="A7324" s="84" t="s">
        <v>323</v>
      </c>
      <c r="B7324" s="83" t="s">
        <v>3421</v>
      </c>
      <c r="C7324" s="91" t="s">
        <v>1147</v>
      </c>
    </row>
    <row r="7325" spans="1:3" ht="15">
      <c r="A7325" s="84" t="s">
        <v>323</v>
      </c>
      <c r="B7325" s="83" t="s">
        <v>586</v>
      </c>
      <c r="C7325" s="91" t="s">
        <v>1147</v>
      </c>
    </row>
    <row r="7326" spans="1:3" ht="15">
      <c r="A7326" s="84" t="s">
        <v>323</v>
      </c>
      <c r="B7326" s="83" t="s">
        <v>3393</v>
      </c>
      <c r="C7326" s="91" t="s">
        <v>1147</v>
      </c>
    </row>
    <row r="7327" spans="1:3" ht="15">
      <c r="A7327" s="84" t="s">
        <v>323</v>
      </c>
      <c r="B7327" s="83" t="s">
        <v>3422</v>
      </c>
      <c r="C7327" s="91" t="s">
        <v>1147</v>
      </c>
    </row>
    <row r="7328" spans="1:3" ht="15">
      <c r="A7328" s="84" t="s">
        <v>323</v>
      </c>
      <c r="B7328" s="83" t="s">
        <v>3423</v>
      </c>
      <c r="C7328" s="91" t="s">
        <v>1146</v>
      </c>
    </row>
    <row r="7329" spans="1:3" ht="15">
      <c r="A7329" s="84" t="s">
        <v>323</v>
      </c>
      <c r="B7329" s="83" t="s">
        <v>3203</v>
      </c>
      <c r="C7329" s="91" t="s">
        <v>1146</v>
      </c>
    </row>
    <row r="7330" spans="1:3" ht="15">
      <c r="A7330" s="84" t="s">
        <v>323</v>
      </c>
      <c r="B7330" s="83">
        <v>19</v>
      </c>
      <c r="C7330" s="91" t="s">
        <v>1146</v>
      </c>
    </row>
    <row r="7331" spans="1:3" ht="15">
      <c r="A7331" s="84" t="s">
        <v>323</v>
      </c>
      <c r="B7331" s="83" t="s">
        <v>2697</v>
      </c>
      <c r="C7331" s="91" t="s">
        <v>1146</v>
      </c>
    </row>
    <row r="7332" spans="1:3" ht="15">
      <c r="A7332" s="84" t="s">
        <v>323</v>
      </c>
      <c r="B7332" s="83" t="s">
        <v>2590</v>
      </c>
      <c r="C7332" s="91" t="s">
        <v>1146</v>
      </c>
    </row>
    <row r="7333" spans="1:3" ht="15">
      <c r="A7333" s="84" t="s">
        <v>323</v>
      </c>
      <c r="B7333" s="83" t="s">
        <v>3424</v>
      </c>
      <c r="C7333" s="91" t="s">
        <v>1146</v>
      </c>
    </row>
    <row r="7334" spans="1:3" ht="15">
      <c r="A7334" s="84" t="s">
        <v>323</v>
      </c>
      <c r="B7334" s="83" t="s">
        <v>3198</v>
      </c>
      <c r="C7334" s="91" t="s">
        <v>1146</v>
      </c>
    </row>
    <row r="7335" spans="1:3" ht="15">
      <c r="A7335" s="84" t="s">
        <v>323</v>
      </c>
      <c r="B7335" s="83" t="s">
        <v>3411</v>
      </c>
      <c r="C7335" s="91" t="s">
        <v>1146</v>
      </c>
    </row>
    <row r="7336" spans="1:3" ht="15">
      <c r="A7336" s="84" t="s">
        <v>323</v>
      </c>
      <c r="B7336" s="83" t="s">
        <v>3223</v>
      </c>
      <c r="C7336" s="91" t="s">
        <v>1146</v>
      </c>
    </row>
    <row r="7337" spans="1:3" ht="15">
      <c r="A7337" s="84" t="s">
        <v>323</v>
      </c>
      <c r="B7337" s="83" t="s">
        <v>3412</v>
      </c>
      <c r="C7337" s="91" t="s">
        <v>1146</v>
      </c>
    </row>
    <row r="7338" spans="1:3" ht="15">
      <c r="A7338" s="84" t="s">
        <v>323</v>
      </c>
      <c r="B7338" s="83" t="s">
        <v>3413</v>
      </c>
      <c r="C7338" s="91" t="s">
        <v>1146</v>
      </c>
    </row>
    <row r="7339" spans="1:3" ht="15">
      <c r="A7339" s="84" t="s">
        <v>323</v>
      </c>
      <c r="B7339" s="83" t="s">
        <v>3215</v>
      </c>
      <c r="C7339" s="91" t="s">
        <v>1146</v>
      </c>
    </row>
    <row r="7340" spans="1:3" ht="15">
      <c r="A7340" s="84" t="s">
        <v>323</v>
      </c>
      <c r="B7340" s="83" t="s">
        <v>3414</v>
      </c>
      <c r="C7340" s="91" t="s">
        <v>1146</v>
      </c>
    </row>
    <row r="7341" spans="1:3" ht="15">
      <c r="A7341" s="84" t="s">
        <v>323</v>
      </c>
      <c r="B7341" s="83" t="s">
        <v>3415</v>
      </c>
      <c r="C7341" s="91" t="s">
        <v>1146</v>
      </c>
    </row>
    <row r="7342" spans="1:3" ht="15">
      <c r="A7342" s="84" t="s">
        <v>323</v>
      </c>
      <c r="B7342" s="83" t="s">
        <v>3416</v>
      </c>
      <c r="C7342" s="91" t="s">
        <v>1146</v>
      </c>
    </row>
    <row r="7343" spans="1:3" ht="15">
      <c r="A7343" s="84" t="s">
        <v>323</v>
      </c>
      <c r="B7343" s="83" t="s">
        <v>3425</v>
      </c>
      <c r="C7343" s="91" t="s">
        <v>1146</v>
      </c>
    </row>
    <row r="7344" spans="1:3" ht="15">
      <c r="A7344" s="84" t="s">
        <v>323</v>
      </c>
      <c r="B7344" s="83" t="s">
        <v>3418</v>
      </c>
      <c r="C7344" s="91" t="s">
        <v>1146</v>
      </c>
    </row>
    <row r="7345" spans="1:3" ht="15">
      <c r="A7345" s="84" t="s">
        <v>323</v>
      </c>
      <c r="B7345" s="83" t="s">
        <v>3219</v>
      </c>
      <c r="C7345" s="91" t="s">
        <v>1146</v>
      </c>
    </row>
    <row r="7346" spans="1:3" ht="15">
      <c r="A7346" s="84" t="s">
        <v>323</v>
      </c>
      <c r="B7346" s="83" t="s">
        <v>3221</v>
      </c>
      <c r="C7346" s="91" t="s">
        <v>1146</v>
      </c>
    </row>
    <row r="7347" spans="1:3" ht="15">
      <c r="A7347" s="84" t="s">
        <v>323</v>
      </c>
      <c r="B7347" s="83" t="s">
        <v>3254</v>
      </c>
      <c r="C7347" s="91" t="s">
        <v>1146</v>
      </c>
    </row>
    <row r="7348" spans="1:3" ht="15">
      <c r="A7348" s="84" t="s">
        <v>323</v>
      </c>
      <c r="B7348" s="83" t="s">
        <v>3421</v>
      </c>
      <c r="C7348" s="91" t="s">
        <v>1146</v>
      </c>
    </row>
    <row r="7349" spans="1:3" ht="15">
      <c r="A7349" s="84" t="s">
        <v>323</v>
      </c>
      <c r="B7349" s="83" t="s">
        <v>3199</v>
      </c>
      <c r="C7349" s="91" t="s">
        <v>1146</v>
      </c>
    </row>
    <row r="7350" spans="1:3" ht="15">
      <c r="A7350" s="84" t="s">
        <v>323</v>
      </c>
      <c r="B7350" s="83" t="s">
        <v>3393</v>
      </c>
      <c r="C7350" s="91" t="s">
        <v>1146</v>
      </c>
    </row>
    <row r="7351" spans="1:3" ht="15">
      <c r="A7351" s="84" t="s">
        <v>323</v>
      </c>
      <c r="B7351" s="83" t="s">
        <v>3426</v>
      </c>
      <c r="C7351" s="91" t="s">
        <v>1146</v>
      </c>
    </row>
    <row r="7352" spans="1:3" ht="15">
      <c r="A7352" s="84" t="s">
        <v>323</v>
      </c>
      <c r="B7352" s="83" t="s">
        <v>3420</v>
      </c>
      <c r="C7352" s="91" t="s">
        <v>1146</v>
      </c>
    </row>
    <row r="7353" spans="1:3" ht="15">
      <c r="A7353" s="84" t="s">
        <v>323</v>
      </c>
      <c r="B7353" s="83" t="s">
        <v>3206</v>
      </c>
      <c r="C7353" s="91" t="s">
        <v>1145</v>
      </c>
    </row>
    <row r="7354" spans="1:3" ht="15">
      <c r="A7354" s="84" t="s">
        <v>323</v>
      </c>
      <c r="B7354" s="83" t="s">
        <v>3207</v>
      </c>
      <c r="C7354" s="91" t="s">
        <v>1145</v>
      </c>
    </row>
    <row r="7355" spans="1:3" ht="15">
      <c r="A7355" s="84" t="s">
        <v>323</v>
      </c>
      <c r="B7355" s="83" t="s">
        <v>3208</v>
      </c>
      <c r="C7355" s="91" t="s">
        <v>1145</v>
      </c>
    </row>
    <row r="7356" spans="1:3" ht="15">
      <c r="A7356" s="84" t="s">
        <v>323</v>
      </c>
      <c r="B7356" s="83" t="s">
        <v>195</v>
      </c>
      <c r="C7356" s="91" t="s">
        <v>1145</v>
      </c>
    </row>
    <row r="7357" spans="1:3" ht="15">
      <c r="A7357" s="84" t="s">
        <v>323</v>
      </c>
      <c r="B7357" s="83" t="s">
        <v>3209</v>
      </c>
      <c r="C7357" s="91" t="s">
        <v>1145</v>
      </c>
    </row>
    <row r="7358" spans="1:3" ht="15">
      <c r="A7358" s="84" t="s">
        <v>323</v>
      </c>
      <c r="B7358" s="83" t="s">
        <v>2576</v>
      </c>
      <c r="C7358" s="91" t="s">
        <v>1145</v>
      </c>
    </row>
    <row r="7359" spans="1:3" ht="15">
      <c r="A7359" s="84" t="s">
        <v>323</v>
      </c>
      <c r="B7359" s="83" t="s">
        <v>3210</v>
      </c>
      <c r="C7359" s="91" t="s">
        <v>1145</v>
      </c>
    </row>
    <row r="7360" spans="1:3" ht="15">
      <c r="A7360" s="84" t="s">
        <v>323</v>
      </c>
      <c r="B7360" s="83">
        <v>19</v>
      </c>
      <c r="C7360" s="91" t="s">
        <v>1145</v>
      </c>
    </row>
    <row r="7361" spans="1:3" ht="15">
      <c r="A7361" s="84" t="s">
        <v>323</v>
      </c>
      <c r="B7361" s="83" t="s">
        <v>3211</v>
      </c>
      <c r="C7361" s="91" t="s">
        <v>1145</v>
      </c>
    </row>
    <row r="7362" spans="1:3" ht="15">
      <c r="A7362" s="84" t="s">
        <v>323</v>
      </c>
      <c r="B7362" s="83" t="s">
        <v>3212</v>
      </c>
      <c r="C7362" s="91" t="s">
        <v>1145</v>
      </c>
    </row>
    <row r="7363" spans="1:3" ht="15">
      <c r="A7363" s="84" t="s">
        <v>323</v>
      </c>
      <c r="B7363" s="83" t="s">
        <v>3198</v>
      </c>
      <c r="C7363" s="91" t="s">
        <v>1145</v>
      </c>
    </row>
    <row r="7364" spans="1:3" ht="15">
      <c r="A7364" s="84" t="s">
        <v>323</v>
      </c>
      <c r="B7364" s="83" t="s">
        <v>3213</v>
      </c>
      <c r="C7364" s="91" t="s">
        <v>1145</v>
      </c>
    </row>
    <row r="7365" spans="1:3" ht="15">
      <c r="A7365" s="84" t="s">
        <v>323</v>
      </c>
      <c r="B7365" s="83" t="s">
        <v>3214</v>
      </c>
      <c r="C7365" s="91" t="s">
        <v>1145</v>
      </c>
    </row>
    <row r="7366" spans="1:3" ht="15">
      <c r="A7366" s="84" t="s">
        <v>323</v>
      </c>
      <c r="B7366" s="83" t="s">
        <v>3215</v>
      </c>
      <c r="C7366" s="91" t="s">
        <v>1145</v>
      </c>
    </row>
    <row r="7367" spans="1:3" ht="15">
      <c r="A7367" s="84" t="s">
        <v>323</v>
      </c>
      <c r="B7367" s="83" t="s">
        <v>3216</v>
      </c>
      <c r="C7367" s="91" t="s">
        <v>1145</v>
      </c>
    </row>
    <row r="7368" spans="1:3" ht="15">
      <c r="A7368" s="84" t="s">
        <v>323</v>
      </c>
      <c r="B7368" s="83" t="s">
        <v>3217</v>
      </c>
      <c r="C7368" s="91" t="s">
        <v>1145</v>
      </c>
    </row>
    <row r="7369" spans="1:3" ht="15">
      <c r="A7369" s="84" t="s">
        <v>323</v>
      </c>
      <c r="B7369" s="83" t="s">
        <v>3199</v>
      </c>
      <c r="C7369" s="91" t="s">
        <v>1145</v>
      </c>
    </row>
    <row r="7370" spans="1:3" ht="15">
      <c r="A7370" s="84" t="s">
        <v>323</v>
      </c>
      <c r="B7370" s="83" t="s">
        <v>3218</v>
      </c>
      <c r="C7370" s="91" t="s">
        <v>1145</v>
      </c>
    </row>
    <row r="7371" spans="1:3" ht="15">
      <c r="A7371" s="84" t="s">
        <v>323</v>
      </c>
      <c r="B7371" s="83" t="s">
        <v>3219</v>
      </c>
      <c r="C7371" s="91" t="s">
        <v>1145</v>
      </c>
    </row>
    <row r="7372" spans="1:3" ht="15">
      <c r="A7372" s="84" t="s">
        <v>323</v>
      </c>
      <c r="B7372" s="83" t="s">
        <v>3220</v>
      </c>
      <c r="C7372" s="91" t="s">
        <v>1145</v>
      </c>
    </row>
    <row r="7373" spans="1:3" ht="15">
      <c r="A7373" s="84" t="s">
        <v>323</v>
      </c>
      <c r="B7373" s="83" t="s">
        <v>3221</v>
      </c>
      <c r="C7373" s="91" t="s">
        <v>1145</v>
      </c>
    </row>
    <row r="7374" spans="1:3" ht="15">
      <c r="A7374" s="84" t="s">
        <v>323</v>
      </c>
      <c r="B7374" s="83" t="s">
        <v>3222</v>
      </c>
      <c r="C7374" s="91" t="s">
        <v>1145</v>
      </c>
    </row>
    <row r="7375" spans="1:3" ht="15">
      <c r="A7375" s="84" t="s">
        <v>323</v>
      </c>
      <c r="B7375" s="83" t="s">
        <v>3223</v>
      </c>
      <c r="C7375" s="91" t="s">
        <v>1145</v>
      </c>
    </row>
    <row r="7376" spans="1:3" ht="15">
      <c r="A7376" s="84" t="s">
        <v>323</v>
      </c>
      <c r="B7376" s="83" t="s">
        <v>3224</v>
      </c>
      <c r="C7376" s="91" t="s">
        <v>1145</v>
      </c>
    </row>
    <row r="7377" spans="1:3" ht="15">
      <c r="A7377" s="84" t="s">
        <v>323</v>
      </c>
      <c r="B7377" s="83" t="s">
        <v>3225</v>
      </c>
      <c r="C7377" s="91" t="s">
        <v>1145</v>
      </c>
    </row>
    <row r="7378" spans="1:3" ht="15">
      <c r="A7378" s="84" t="s">
        <v>322</v>
      </c>
      <c r="B7378" s="83" t="s">
        <v>3261</v>
      </c>
      <c r="C7378" s="91" t="s">
        <v>1144</v>
      </c>
    </row>
    <row r="7379" spans="1:3" ht="15">
      <c r="A7379" s="84" t="s">
        <v>322</v>
      </c>
      <c r="B7379" s="83" t="s">
        <v>2581</v>
      </c>
      <c r="C7379" s="91" t="s">
        <v>1144</v>
      </c>
    </row>
    <row r="7380" spans="1:3" ht="15">
      <c r="A7380" s="84" t="s">
        <v>322</v>
      </c>
      <c r="B7380" s="83" t="s">
        <v>2586</v>
      </c>
      <c r="C7380" s="91" t="s">
        <v>1144</v>
      </c>
    </row>
    <row r="7381" spans="1:3" ht="15">
      <c r="A7381" s="84" t="s">
        <v>322</v>
      </c>
      <c r="B7381" s="83" t="s">
        <v>2670</v>
      </c>
      <c r="C7381" s="91" t="s">
        <v>1144</v>
      </c>
    </row>
    <row r="7382" spans="1:3" ht="15">
      <c r="A7382" s="84" t="s">
        <v>322</v>
      </c>
      <c r="B7382" s="83" t="s">
        <v>2655</v>
      </c>
      <c r="C7382" s="91" t="s">
        <v>1144</v>
      </c>
    </row>
    <row r="7383" spans="1:3" ht="15">
      <c r="A7383" s="84" t="s">
        <v>322</v>
      </c>
      <c r="B7383" s="83" t="s">
        <v>2580</v>
      </c>
      <c r="C7383" s="91" t="s">
        <v>1144</v>
      </c>
    </row>
    <row r="7384" spans="1:3" ht="15">
      <c r="A7384" s="84" t="s">
        <v>322</v>
      </c>
      <c r="B7384" s="83" t="s">
        <v>2661</v>
      </c>
      <c r="C7384" s="91" t="s">
        <v>1144</v>
      </c>
    </row>
    <row r="7385" spans="1:3" ht="15">
      <c r="A7385" s="84" t="s">
        <v>322</v>
      </c>
      <c r="B7385" s="83" t="s">
        <v>2656</v>
      </c>
      <c r="C7385" s="91" t="s">
        <v>1144</v>
      </c>
    </row>
    <row r="7386" spans="1:3" ht="15">
      <c r="A7386" s="84" t="s">
        <v>322</v>
      </c>
      <c r="B7386" s="83" t="s">
        <v>3199</v>
      </c>
      <c r="C7386" s="91" t="s">
        <v>1144</v>
      </c>
    </row>
    <row r="7387" spans="1:3" ht="15">
      <c r="A7387" s="84" t="s">
        <v>322</v>
      </c>
      <c r="B7387" s="83" t="s">
        <v>133</v>
      </c>
      <c r="C7387" s="91" t="s">
        <v>1144</v>
      </c>
    </row>
    <row r="7388" spans="1:3" ht="15">
      <c r="A7388" s="84" t="s">
        <v>322</v>
      </c>
      <c r="B7388" s="83" t="s">
        <v>2657</v>
      </c>
      <c r="C7388" s="91" t="s">
        <v>1144</v>
      </c>
    </row>
    <row r="7389" spans="1:3" ht="15">
      <c r="A7389" s="84" t="s">
        <v>322</v>
      </c>
      <c r="B7389" s="83" t="s">
        <v>2576</v>
      </c>
      <c r="C7389" s="91" t="s">
        <v>1144</v>
      </c>
    </row>
    <row r="7390" spans="1:3" ht="15">
      <c r="A7390" s="84" t="s">
        <v>322</v>
      </c>
      <c r="B7390" s="83" t="s">
        <v>2569</v>
      </c>
      <c r="C7390" s="91" t="s">
        <v>1144</v>
      </c>
    </row>
    <row r="7391" spans="1:3" ht="15">
      <c r="A7391" s="84" t="s">
        <v>322</v>
      </c>
      <c r="B7391" s="83">
        <v>19</v>
      </c>
      <c r="C7391" s="91" t="s">
        <v>1144</v>
      </c>
    </row>
    <row r="7392" spans="1:3" ht="15">
      <c r="A7392" s="84" t="s">
        <v>322</v>
      </c>
      <c r="B7392" s="83" t="s">
        <v>2629</v>
      </c>
      <c r="C7392" s="91" t="s">
        <v>1144</v>
      </c>
    </row>
    <row r="7393" spans="1:3" ht="15">
      <c r="A7393" s="84" t="s">
        <v>322</v>
      </c>
      <c r="B7393" s="83" t="s">
        <v>3262</v>
      </c>
      <c r="C7393" s="91" t="s">
        <v>1144</v>
      </c>
    </row>
    <row r="7394" spans="1:3" ht="15">
      <c r="A7394" s="84" t="s">
        <v>322</v>
      </c>
      <c r="B7394" s="83" t="s">
        <v>2702</v>
      </c>
      <c r="C7394" s="91" t="s">
        <v>1144</v>
      </c>
    </row>
    <row r="7395" spans="1:3" ht="15">
      <c r="A7395" s="84" t="s">
        <v>322</v>
      </c>
      <c r="B7395" s="83" t="s">
        <v>2652</v>
      </c>
      <c r="C7395" s="91" t="s">
        <v>1144</v>
      </c>
    </row>
    <row r="7396" spans="1:3" ht="15">
      <c r="A7396" s="84" t="s">
        <v>322</v>
      </c>
      <c r="B7396" s="83" t="s">
        <v>2703</v>
      </c>
      <c r="C7396" s="91" t="s">
        <v>1144</v>
      </c>
    </row>
    <row r="7397" spans="1:3" ht="15">
      <c r="A7397" s="84" t="s">
        <v>322</v>
      </c>
      <c r="B7397" s="83" t="s">
        <v>2704</v>
      </c>
      <c r="C7397" s="91" t="s">
        <v>1144</v>
      </c>
    </row>
    <row r="7398" spans="1:3" ht="15">
      <c r="A7398" s="84" t="s">
        <v>322</v>
      </c>
      <c r="B7398" s="83" t="s">
        <v>2577</v>
      </c>
      <c r="C7398" s="91" t="s">
        <v>1144</v>
      </c>
    </row>
    <row r="7399" spans="1:3" ht="15">
      <c r="A7399" s="84" t="s">
        <v>322</v>
      </c>
      <c r="B7399" s="83" t="s">
        <v>2630</v>
      </c>
      <c r="C7399" s="91" t="s">
        <v>1144</v>
      </c>
    </row>
    <row r="7400" spans="1:3" ht="15">
      <c r="A7400" s="84" t="s">
        <v>322</v>
      </c>
      <c r="B7400" s="83" t="s">
        <v>3263</v>
      </c>
      <c r="C7400" s="91" t="s">
        <v>1144</v>
      </c>
    </row>
    <row r="7401" spans="1:3" ht="15">
      <c r="A7401" s="84" t="s">
        <v>322</v>
      </c>
      <c r="B7401" s="83" t="s">
        <v>2705</v>
      </c>
      <c r="C7401" s="91" t="s">
        <v>1144</v>
      </c>
    </row>
    <row r="7402" spans="1:3" ht="15">
      <c r="A7402" s="84" t="s">
        <v>322</v>
      </c>
      <c r="B7402" s="83" t="s">
        <v>2671</v>
      </c>
      <c r="C7402" s="91" t="s">
        <v>1144</v>
      </c>
    </row>
    <row r="7403" spans="1:3" ht="15">
      <c r="A7403" s="84" t="s">
        <v>322</v>
      </c>
      <c r="B7403" s="83" t="s">
        <v>3264</v>
      </c>
      <c r="C7403" s="91" t="s">
        <v>1144</v>
      </c>
    </row>
    <row r="7404" spans="1:3" ht="15">
      <c r="A7404" s="84" t="s">
        <v>322</v>
      </c>
      <c r="B7404" s="83" t="s">
        <v>2706</v>
      </c>
      <c r="C7404" s="91" t="s">
        <v>1144</v>
      </c>
    </row>
    <row r="7405" spans="1:3" ht="15">
      <c r="A7405" s="84" t="s">
        <v>322</v>
      </c>
      <c r="B7405" s="83" t="s">
        <v>2707</v>
      </c>
      <c r="C7405" s="91" t="s">
        <v>1144</v>
      </c>
    </row>
    <row r="7406" spans="1:3" ht="15">
      <c r="A7406" s="84" t="s">
        <v>322</v>
      </c>
      <c r="B7406" s="83" t="s">
        <v>2568</v>
      </c>
      <c r="C7406" s="91" t="s">
        <v>1144</v>
      </c>
    </row>
    <row r="7407" spans="1:3" ht="15">
      <c r="A7407" s="84" t="s">
        <v>322</v>
      </c>
      <c r="B7407" s="83" t="s">
        <v>2662</v>
      </c>
      <c r="C7407" s="91" t="s">
        <v>1144</v>
      </c>
    </row>
    <row r="7408" spans="1:3" ht="15">
      <c r="A7408" s="84" t="s">
        <v>322</v>
      </c>
      <c r="B7408" s="83" t="s">
        <v>2708</v>
      </c>
      <c r="C7408" s="91" t="s">
        <v>1144</v>
      </c>
    </row>
    <row r="7409" spans="1:3" ht="15">
      <c r="A7409" s="84" t="s">
        <v>322</v>
      </c>
      <c r="B7409" s="83" t="s">
        <v>2709</v>
      </c>
      <c r="C7409" s="91" t="s">
        <v>1144</v>
      </c>
    </row>
    <row r="7410" spans="1:3" ht="15">
      <c r="A7410" s="84" t="s">
        <v>322</v>
      </c>
      <c r="B7410" s="83" t="s">
        <v>3265</v>
      </c>
      <c r="C7410" s="91" t="s">
        <v>1144</v>
      </c>
    </row>
    <row r="7411" spans="1:3" ht="15">
      <c r="A7411" s="84" t="s">
        <v>322</v>
      </c>
      <c r="B7411" s="83" t="s">
        <v>2578</v>
      </c>
      <c r="C7411" s="91" t="s">
        <v>1144</v>
      </c>
    </row>
    <row r="7412" spans="1:3" ht="15">
      <c r="A7412" s="84" t="s">
        <v>322</v>
      </c>
      <c r="B7412" s="83" t="s">
        <v>2710</v>
      </c>
      <c r="C7412" s="91" t="s">
        <v>1144</v>
      </c>
    </row>
    <row r="7413" spans="1:3" ht="15">
      <c r="A7413" s="84" t="s">
        <v>322</v>
      </c>
      <c r="B7413" s="83" t="s">
        <v>3238</v>
      </c>
      <c r="C7413" s="91" t="s">
        <v>1144</v>
      </c>
    </row>
    <row r="7414" spans="1:3" ht="15">
      <c r="A7414" s="84" t="s">
        <v>322</v>
      </c>
      <c r="B7414" s="83" t="s">
        <v>586</v>
      </c>
      <c r="C7414" s="91" t="s">
        <v>1144</v>
      </c>
    </row>
    <row r="7415" spans="1:3" ht="15">
      <c r="A7415" s="84" t="s">
        <v>322</v>
      </c>
      <c r="B7415" s="83" t="s">
        <v>3258</v>
      </c>
      <c r="C7415" s="91" t="s">
        <v>1144</v>
      </c>
    </row>
    <row r="7416" spans="1:3" ht="15">
      <c r="A7416" s="84" t="s">
        <v>322</v>
      </c>
      <c r="B7416" s="83" t="s">
        <v>3109</v>
      </c>
      <c r="C7416" s="91" t="s">
        <v>1144</v>
      </c>
    </row>
    <row r="7417" spans="1:3" ht="15">
      <c r="A7417" s="84" t="s">
        <v>322</v>
      </c>
      <c r="B7417" s="83" t="s">
        <v>3340</v>
      </c>
      <c r="C7417" s="91" t="s">
        <v>1143</v>
      </c>
    </row>
    <row r="7418" spans="1:3" ht="15">
      <c r="A7418" s="84" t="s">
        <v>322</v>
      </c>
      <c r="B7418" s="83" t="s">
        <v>3213</v>
      </c>
      <c r="C7418" s="91" t="s">
        <v>1143</v>
      </c>
    </row>
    <row r="7419" spans="1:3" ht="15">
      <c r="A7419" s="84" t="s">
        <v>322</v>
      </c>
      <c r="B7419" s="83" t="s">
        <v>3341</v>
      </c>
      <c r="C7419" s="91" t="s">
        <v>1143</v>
      </c>
    </row>
    <row r="7420" spans="1:3" ht="15">
      <c r="A7420" s="84" t="s">
        <v>322</v>
      </c>
      <c r="B7420" s="83" t="s">
        <v>3342</v>
      </c>
      <c r="C7420" s="91" t="s">
        <v>1143</v>
      </c>
    </row>
    <row r="7421" spans="1:3" ht="15">
      <c r="A7421" s="84" t="s">
        <v>322</v>
      </c>
      <c r="B7421" s="83" t="s">
        <v>3343</v>
      </c>
      <c r="C7421" s="91" t="s">
        <v>1143</v>
      </c>
    </row>
    <row r="7422" spans="1:3" ht="15">
      <c r="A7422" s="84" t="s">
        <v>322</v>
      </c>
      <c r="B7422" s="83" t="s">
        <v>3344</v>
      </c>
      <c r="C7422" s="91" t="s">
        <v>1143</v>
      </c>
    </row>
    <row r="7423" spans="1:3" ht="15">
      <c r="A7423" s="84" t="s">
        <v>322</v>
      </c>
      <c r="B7423" s="83" t="s">
        <v>3345</v>
      </c>
      <c r="C7423" s="91" t="s">
        <v>1143</v>
      </c>
    </row>
    <row r="7424" spans="1:3" ht="15">
      <c r="A7424" s="84" t="s">
        <v>322</v>
      </c>
      <c r="B7424" s="83" t="s">
        <v>3290</v>
      </c>
      <c r="C7424" s="91" t="s">
        <v>1143</v>
      </c>
    </row>
    <row r="7425" spans="1:3" ht="15">
      <c r="A7425" s="84" t="s">
        <v>322</v>
      </c>
      <c r="B7425" s="83" t="s">
        <v>2179</v>
      </c>
      <c r="C7425" s="91" t="s">
        <v>1143</v>
      </c>
    </row>
    <row r="7426" spans="1:3" ht="15">
      <c r="A7426" s="84" t="s">
        <v>322</v>
      </c>
      <c r="B7426" s="83" t="s">
        <v>3300</v>
      </c>
      <c r="C7426" s="91" t="s">
        <v>1143</v>
      </c>
    </row>
    <row r="7427" spans="1:3" ht="15">
      <c r="A7427" s="84" t="s">
        <v>322</v>
      </c>
      <c r="B7427" s="83" t="s">
        <v>3301</v>
      </c>
      <c r="C7427" s="91" t="s">
        <v>1143</v>
      </c>
    </row>
    <row r="7428" spans="1:3" ht="15">
      <c r="A7428" s="84" t="s">
        <v>322</v>
      </c>
      <c r="B7428" s="83" t="s">
        <v>3302</v>
      </c>
      <c r="C7428" s="91" t="s">
        <v>1143</v>
      </c>
    </row>
    <row r="7429" spans="1:3" ht="15">
      <c r="A7429" s="84" t="s">
        <v>322</v>
      </c>
      <c r="B7429" s="83" t="s">
        <v>3303</v>
      </c>
      <c r="C7429" s="91" t="s">
        <v>1143</v>
      </c>
    </row>
    <row r="7430" spans="1:3" ht="15">
      <c r="A7430" s="84" t="s">
        <v>322</v>
      </c>
      <c r="B7430" s="83" t="s">
        <v>3291</v>
      </c>
      <c r="C7430" s="91" t="s">
        <v>1143</v>
      </c>
    </row>
    <row r="7431" spans="1:3" ht="15">
      <c r="A7431" s="84" t="s">
        <v>322</v>
      </c>
      <c r="B7431" s="83" t="s">
        <v>3292</v>
      </c>
      <c r="C7431" s="91" t="s">
        <v>1143</v>
      </c>
    </row>
    <row r="7432" spans="1:3" ht="15">
      <c r="A7432" s="84" t="s">
        <v>322</v>
      </c>
      <c r="B7432" s="83" t="s">
        <v>3293</v>
      </c>
      <c r="C7432" s="91" t="s">
        <v>1143</v>
      </c>
    </row>
    <row r="7433" spans="1:3" ht="15">
      <c r="A7433" s="84" t="s">
        <v>322</v>
      </c>
      <c r="B7433" s="83" t="s">
        <v>3294</v>
      </c>
      <c r="C7433" s="91" t="s">
        <v>1143</v>
      </c>
    </row>
    <row r="7434" spans="1:3" ht="15">
      <c r="A7434" s="84" t="s">
        <v>322</v>
      </c>
      <c r="B7434" s="83" t="s">
        <v>3295</v>
      </c>
      <c r="C7434" s="91" t="s">
        <v>1143</v>
      </c>
    </row>
    <row r="7435" spans="1:3" ht="15">
      <c r="A7435" s="84" t="s">
        <v>322</v>
      </c>
      <c r="B7435" s="83" t="s">
        <v>3237</v>
      </c>
      <c r="C7435" s="91" t="s">
        <v>1143</v>
      </c>
    </row>
    <row r="7436" spans="1:3" ht="15">
      <c r="A7436" s="84" t="s">
        <v>322</v>
      </c>
      <c r="B7436" s="83" t="s">
        <v>3296</v>
      </c>
      <c r="C7436" s="91" t="s">
        <v>1143</v>
      </c>
    </row>
    <row r="7437" spans="1:3" ht="15">
      <c r="A7437" s="84" t="s">
        <v>322</v>
      </c>
      <c r="B7437" s="83" t="s">
        <v>3297</v>
      </c>
      <c r="C7437" s="91" t="s">
        <v>1143</v>
      </c>
    </row>
    <row r="7438" spans="1:3" ht="15">
      <c r="A7438" s="84" t="s">
        <v>322</v>
      </c>
      <c r="B7438" s="83" t="s">
        <v>3218</v>
      </c>
      <c r="C7438" s="91" t="s">
        <v>1143</v>
      </c>
    </row>
    <row r="7439" spans="1:3" ht="15">
      <c r="A7439" s="84" t="s">
        <v>322</v>
      </c>
      <c r="B7439" s="83" t="s">
        <v>3346</v>
      </c>
      <c r="C7439" s="91" t="s">
        <v>1143</v>
      </c>
    </row>
    <row r="7440" spans="1:3" ht="15">
      <c r="A7440" s="84" t="s">
        <v>322</v>
      </c>
      <c r="B7440" s="83" t="s">
        <v>3298</v>
      </c>
      <c r="C7440" s="91" t="s">
        <v>1143</v>
      </c>
    </row>
    <row r="7441" spans="1:3" ht="15">
      <c r="A7441" s="84" t="s">
        <v>322</v>
      </c>
      <c r="B7441" s="83" t="s">
        <v>3299</v>
      </c>
      <c r="C7441" s="91" t="s">
        <v>1143</v>
      </c>
    </row>
    <row r="7442" spans="1:3" ht="15">
      <c r="A7442" s="84" t="s">
        <v>322</v>
      </c>
      <c r="B7442" s="83" t="s">
        <v>3199</v>
      </c>
      <c r="C7442" s="91" t="s">
        <v>1143</v>
      </c>
    </row>
    <row r="7443" spans="1:3" ht="15">
      <c r="A7443" s="84" t="s">
        <v>322</v>
      </c>
      <c r="B7443" s="83" t="s">
        <v>3347</v>
      </c>
      <c r="C7443" s="91" t="s">
        <v>1143</v>
      </c>
    </row>
    <row r="7444" spans="1:3" ht="15">
      <c r="A7444" s="84" t="s">
        <v>322</v>
      </c>
      <c r="B7444" s="83" t="s">
        <v>3228</v>
      </c>
      <c r="C7444" s="91" t="s">
        <v>1142</v>
      </c>
    </row>
    <row r="7445" spans="1:3" ht="15">
      <c r="A7445" s="84" t="s">
        <v>322</v>
      </c>
      <c r="B7445" s="83" t="s">
        <v>2581</v>
      </c>
      <c r="C7445" s="91" t="s">
        <v>1142</v>
      </c>
    </row>
    <row r="7446" spans="1:3" ht="15">
      <c r="A7446" s="84" t="s">
        <v>322</v>
      </c>
      <c r="B7446" s="83" t="s">
        <v>2586</v>
      </c>
      <c r="C7446" s="91" t="s">
        <v>1142</v>
      </c>
    </row>
    <row r="7447" spans="1:3" ht="15">
      <c r="A7447" s="84" t="s">
        <v>322</v>
      </c>
      <c r="B7447" s="83" t="s">
        <v>2595</v>
      </c>
      <c r="C7447" s="91" t="s">
        <v>1142</v>
      </c>
    </row>
    <row r="7448" spans="1:3" ht="15">
      <c r="A7448" s="84" t="s">
        <v>322</v>
      </c>
      <c r="B7448" s="83" t="s">
        <v>2568</v>
      </c>
      <c r="C7448" s="91" t="s">
        <v>1142</v>
      </c>
    </row>
    <row r="7449" spans="1:3" ht="15">
      <c r="A7449" s="84" t="s">
        <v>322</v>
      </c>
      <c r="B7449" s="83" t="s">
        <v>2592</v>
      </c>
      <c r="C7449" s="91" t="s">
        <v>1142</v>
      </c>
    </row>
    <row r="7450" spans="1:3" ht="15">
      <c r="A7450" s="84" t="s">
        <v>322</v>
      </c>
      <c r="B7450" s="83" t="s">
        <v>3213</v>
      </c>
      <c r="C7450" s="91" t="s">
        <v>1142</v>
      </c>
    </row>
    <row r="7451" spans="1:3" ht="15">
      <c r="A7451" s="84" t="s">
        <v>322</v>
      </c>
      <c r="B7451" s="83" t="s">
        <v>2576</v>
      </c>
      <c r="C7451" s="91" t="s">
        <v>1142</v>
      </c>
    </row>
    <row r="7452" spans="1:3" ht="15">
      <c r="A7452" s="84" t="s">
        <v>322</v>
      </c>
      <c r="B7452" s="83" t="s">
        <v>3229</v>
      </c>
      <c r="C7452" s="91" t="s">
        <v>1142</v>
      </c>
    </row>
    <row r="7453" spans="1:3" ht="15">
      <c r="A7453" s="84" t="s">
        <v>322</v>
      </c>
      <c r="B7453" s="83" t="s">
        <v>3230</v>
      </c>
      <c r="C7453" s="91" t="s">
        <v>1142</v>
      </c>
    </row>
    <row r="7454" spans="1:3" ht="15">
      <c r="A7454" s="84" t="s">
        <v>322</v>
      </c>
      <c r="B7454" s="83" t="s">
        <v>2598</v>
      </c>
      <c r="C7454" s="91" t="s">
        <v>1142</v>
      </c>
    </row>
    <row r="7455" spans="1:3" ht="15">
      <c r="A7455" s="84" t="s">
        <v>322</v>
      </c>
      <c r="B7455" s="83" t="s">
        <v>3231</v>
      </c>
      <c r="C7455" s="91" t="s">
        <v>1142</v>
      </c>
    </row>
    <row r="7456" spans="1:3" ht="15">
      <c r="A7456" s="84" t="s">
        <v>322</v>
      </c>
      <c r="B7456" s="83" t="s">
        <v>3232</v>
      </c>
      <c r="C7456" s="91" t="s">
        <v>1142</v>
      </c>
    </row>
    <row r="7457" spans="1:3" ht="15">
      <c r="A7457" s="84" t="s">
        <v>322</v>
      </c>
      <c r="B7457" s="83" t="s">
        <v>3233</v>
      </c>
      <c r="C7457" s="91" t="s">
        <v>1142</v>
      </c>
    </row>
    <row r="7458" spans="1:3" ht="15">
      <c r="A7458" s="84" t="s">
        <v>322</v>
      </c>
      <c r="B7458" s="83" t="s">
        <v>3211</v>
      </c>
      <c r="C7458" s="91" t="s">
        <v>1142</v>
      </c>
    </row>
    <row r="7459" spans="1:3" ht="15">
      <c r="A7459" s="84" t="s">
        <v>322</v>
      </c>
      <c r="B7459" s="83" t="s">
        <v>3199</v>
      </c>
      <c r="C7459" s="91" t="s">
        <v>1142</v>
      </c>
    </row>
    <row r="7460" spans="1:3" ht="15">
      <c r="A7460" s="84" t="s">
        <v>322</v>
      </c>
      <c r="B7460" s="83" t="s">
        <v>3218</v>
      </c>
      <c r="C7460" s="91" t="s">
        <v>1142</v>
      </c>
    </row>
    <row r="7461" spans="1:3" ht="15">
      <c r="A7461" s="84" t="s">
        <v>322</v>
      </c>
      <c r="B7461" s="83" t="s">
        <v>3234</v>
      </c>
      <c r="C7461" s="91" t="s">
        <v>1142</v>
      </c>
    </row>
    <row r="7462" spans="1:3" ht="15">
      <c r="A7462" s="84" t="s">
        <v>322</v>
      </c>
      <c r="B7462" s="83" t="s">
        <v>3235</v>
      </c>
      <c r="C7462" s="91" t="s">
        <v>1142</v>
      </c>
    </row>
    <row r="7463" spans="1:3" ht="15">
      <c r="A7463" s="84" t="s">
        <v>322</v>
      </c>
      <c r="B7463" s="83" t="s">
        <v>3236</v>
      </c>
      <c r="C7463" s="91" t="s">
        <v>1142</v>
      </c>
    </row>
    <row r="7464" spans="1:3" ht="15">
      <c r="A7464" s="84" t="s">
        <v>322</v>
      </c>
      <c r="B7464" s="83" t="s">
        <v>3237</v>
      </c>
      <c r="C7464" s="91" t="s">
        <v>1142</v>
      </c>
    </row>
    <row r="7465" spans="1:3" ht="15">
      <c r="A7465" s="84" t="s">
        <v>322</v>
      </c>
      <c r="B7465" s="83" t="s">
        <v>3238</v>
      </c>
      <c r="C7465" s="91" t="s">
        <v>1142</v>
      </c>
    </row>
    <row r="7466" spans="1:3" ht="15">
      <c r="A7466" s="84" t="s">
        <v>322</v>
      </c>
      <c r="B7466" s="83" t="s">
        <v>3239</v>
      </c>
      <c r="C7466" s="91" t="s">
        <v>1142</v>
      </c>
    </row>
    <row r="7467" spans="1:3" ht="15">
      <c r="A7467" s="84" t="s">
        <v>322</v>
      </c>
      <c r="B7467" s="83" t="s">
        <v>3240</v>
      </c>
      <c r="C7467" s="91" t="s">
        <v>1142</v>
      </c>
    </row>
    <row r="7468" spans="1:3" ht="15">
      <c r="A7468" s="84" t="s">
        <v>322</v>
      </c>
      <c r="B7468" s="83" t="s">
        <v>3241</v>
      </c>
      <c r="C7468" s="91" t="s">
        <v>1142</v>
      </c>
    </row>
    <row r="7469" spans="1:3" ht="15">
      <c r="A7469" s="84" t="s">
        <v>322</v>
      </c>
      <c r="B7469" s="83" t="s">
        <v>3242</v>
      </c>
      <c r="C7469" s="91" t="s">
        <v>1142</v>
      </c>
    </row>
    <row r="7470" spans="1:3" ht="15">
      <c r="A7470" s="84" t="s">
        <v>322</v>
      </c>
      <c r="B7470" s="83" t="s">
        <v>2767</v>
      </c>
      <c r="C7470" s="91" t="s">
        <v>1142</v>
      </c>
    </row>
    <row r="7471" spans="1:3" ht="15">
      <c r="A7471" s="84" t="s">
        <v>322</v>
      </c>
      <c r="B7471" s="83" t="s">
        <v>3243</v>
      </c>
      <c r="C7471" s="91" t="s">
        <v>1142</v>
      </c>
    </row>
    <row r="7472" spans="1:3" ht="15">
      <c r="A7472" s="84" t="s">
        <v>322</v>
      </c>
      <c r="B7472" s="83" t="s">
        <v>3244</v>
      </c>
      <c r="C7472" s="91" t="s">
        <v>1142</v>
      </c>
    </row>
    <row r="7473" spans="1:3" ht="15">
      <c r="A7473" s="84" t="s">
        <v>322</v>
      </c>
      <c r="B7473" s="83" t="s">
        <v>3223</v>
      </c>
      <c r="C7473" s="91" t="s">
        <v>1142</v>
      </c>
    </row>
    <row r="7474" spans="1:3" ht="15">
      <c r="A7474" s="84" t="s">
        <v>322</v>
      </c>
      <c r="B7474" s="83" t="s">
        <v>3266</v>
      </c>
      <c r="C7474" s="91" t="s">
        <v>1142</v>
      </c>
    </row>
    <row r="7475" spans="1:3" ht="15">
      <c r="A7475" s="84" t="s">
        <v>322</v>
      </c>
      <c r="B7475" s="83" t="s">
        <v>3308</v>
      </c>
      <c r="C7475" s="91" t="s">
        <v>1141</v>
      </c>
    </row>
    <row r="7476" spans="1:3" ht="15">
      <c r="A7476" s="84" t="s">
        <v>322</v>
      </c>
      <c r="B7476" s="83" t="s">
        <v>2568</v>
      </c>
      <c r="C7476" s="91" t="s">
        <v>1141</v>
      </c>
    </row>
    <row r="7477" spans="1:3" ht="15">
      <c r="A7477" s="84" t="s">
        <v>322</v>
      </c>
      <c r="B7477" s="83" t="s">
        <v>3203</v>
      </c>
      <c r="C7477" s="91" t="s">
        <v>1141</v>
      </c>
    </row>
    <row r="7478" spans="1:3" ht="15">
      <c r="A7478" s="84" t="s">
        <v>322</v>
      </c>
      <c r="B7478" s="83">
        <v>19</v>
      </c>
      <c r="C7478" s="91" t="s">
        <v>1141</v>
      </c>
    </row>
    <row r="7479" spans="1:3" ht="15">
      <c r="A7479" s="84" t="s">
        <v>322</v>
      </c>
      <c r="B7479" s="83" t="s">
        <v>3309</v>
      </c>
      <c r="C7479" s="91" t="s">
        <v>1141</v>
      </c>
    </row>
    <row r="7480" spans="1:3" ht="15">
      <c r="A7480" s="84" t="s">
        <v>322</v>
      </c>
      <c r="B7480" s="83" t="s">
        <v>2666</v>
      </c>
      <c r="C7480" s="91" t="s">
        <v>1141</v>
      </c>
    </row>
    <row r="7481" spans="1:3" ht="15">
      <c r="A7481" s="84" t="s">
        <v>322</v>
      </c>
      <c r="B7481" s="83" t="s">
        <v>2630</v>
      </c>
      <c r="C7481" s="91" t="s">
        <v>1141</v>
      </c>
    </row>
    <row r="7482" spans="1:3" ht="15">
      <c r="A7482" s="84" t="s">
        <v>322</v>
      </c>
      <c r="B7482" s="83" t="s">
        <v>2676</v>
      </c>
      <c r="C7482" s="91" t="s">
        <v>1141</v>
      </c>
    </row>
    <row r="7483" spans="1:3" ht="15">
      <c r="A7483" s="84" t="s">
        <v>322</v>
      </c>
      <c r="B7483" s="83" t="s">
        <v>2580</v>
      </c>
      <c r="C7483" s="91" t="s">
        <v>1141</v>
      </c>
    </row>
    <row r="7484" spans="1:3" ht="15">
      <c r="A7484" s="84" t="s">
        <v>322</v>
      </c>
      <c r="B7484" s="83" t="s">
        <v>2677</v>
      </c>
      <c r="C7484" s="91" t="s">
        <v>1141</v>
      </c>
    </row>
    <row r="7485" spans="1:3" ht="15">
      <c r="A7485" s="84" t="s">
        <v>322</v>
      </c>
      <c r="B7485" s="83" t="s">
        <v>3310</v>
      </c>
      <c r="C7485" s="91" t="s">
        <v>1141</v>
      </c>
    </row>
    <row r="7486" spans="1:3" ht="15">
      <c r="A7486" s="84" t="s">
        <v>322</v>
      </c>
      <c r="B7486" s="83" t="s">
        <v>3282</v>
      </c>
      <c r="C7486" s="91" t="s">
        <v>1141</v>
      </c>
    </row>
    <row r="7487" spans="1:3" ht="15">
      <c r="A7487" s="84" t="s">
        <v>322</v>
      </c>
      <c r="B7487" s="83" t="s">
        <v>3311</v>
      </c>
      <c r="C7487" s="91" t="s">
        <v>1141</v>
      </c>
    </row>
    <row r="7488" spans="1:3" ht="15">
      <c r="A7488" s="84" t="s">
        <v>322</v>
      </c>
      <c r="B7488" s="83" t="s">
        <v>2577</v>
      </c>
      <c r="C7488" s="91" t="s">
        <v>1141</v>
      </c>
    </row>
    <row r="7489" spans="1:3" ht="15">
      <c r="A7489" s="84" t="s">
        <v>322</v>
      </c>
      <c r="B7489" s="83" t="s">
        <v>2658</v>
      </c>
      <c r="C7489" s="91" t="s">
        <v>1141</v>
      </c>
    </row>
    <row r="7490" spans="1:3" ht="15">
      <c r="A7490" s="84" t="s">
        <v>322</v>
      </c>
      <c r="B7490" s="83" t="s">
        <v>2653</v>
      </c>
      <c r="C7490" s="91" t="s">
        <v>1141</v>
      </c>
    </row>
    <row r="7491" spans="1:3" ht="15">
      <c r="A7491" s="84" t="s">
        <v>322</v>
      </c>
      <c r="B7491" s="83" t="s">
        <v>2667</v>
      </c>
      <c r="C7491" s="91" t="s">
        <v>1141</v>
      </c>
    </row>
    <row r="7492" spans="1:3" ht="15">
      <c r="A7492" s="84" t="s">
        <v>322</v>
      </c>
      <c r="B7492" s="83" t="s">
        <v>2578</v>
      </c>
      <c r="C7492" s="91" t="s">
        <v>1141</v>
      </c>
    </row>
    <row r="7493" spans="1:3" ht="15">
      <c r="A7493" s="84" t="s">
        <v>322</v>
      </c>
      <c r="B7493" s="83" t="s">
        <v>2678</v>
      </c>
      <c r="C7493" s="91" t="s">
        <v>1141</v>
      </c>
    </row>
    <row r="7494" spans="1:3" ht="15">
      <c r="A7494" s="84" t="s">
        <v>322</v>
      </c>
      <c r="B7494" s="83" t="s">
        <v>3312</v>
      </c>
      <c r="C7494" s="91" t="s">
        <v>1141</v>
      </c>
    </row>
    <row r="7495" spans="1:3" ht="15">
      <c r="A7495" s="84" t="s">
        <v>322</v>
      </c>
      <c r="B7495" s="83" t="s">
        <v>3290</v>
      </c>
      <c r="C7495" s="91" t="s">
        <v>1141</v>
      </c>
    </row>
    <row r="7496" spans="1:3" ht="15">
      <c r="A7496" s="84" t="s">
        <v>322</v>
      </c>
      <c r="B7496" s="83" t="s">
        <v>3313</v>
      </c>
      <c r="C7496" s="91" t="s">
        <v>1141</v>
      </c>
    </row>
    <row r="7497" spans="1:3" ht="15">
      <c r="A7497" s="84" t="s">
        <v>322</v>
      </c>
      <c r="B7497" s="83" t="s">
        <v>3314</v>
      </c>
      <c r="C7497" s="91" t="s">
        <v>1141</v>
      </c>
    </row>
    <row r="7498" spans="1:3" ht="15">
      <c r="A7498" s="84" t="s">
        <v>322</v>
      </c>
      <c r="B7498" s="83" t="s">
        <v>3315</v>
      </c>
      <c r="C7498" s="91" t="s">
        <v>1141</v>
      </c>
    </row>
    <row r="7499" spans="1:3" ht="15">
      <c r="A7499" s="84" t="s">
        <v>322</v>
      </c>
      <c r="B7499" s="83" t="s">
        <v>586</v>
      </c>
      <c r="C7499" s="91" t="s">
        <v>1141</v>
      </c>
    </row>
    <row r="7500" spans="1:3" ht="15">
      <c r="A7500" s="84" t="s">
        <v>322</v>
      </c>
      <c r="B7500" s="83" t="s">
        <v>3258</v>
      </c>
      <c r="C7500" s="91" t="s">
        <v>1141</v>
      </c>
    </row>
    <row r="7501" spans="1:3" ht="15">
      <c r="A7501" s="84" t="s">
        <v>321</v>
      </c>
      <c r="B7501" s="83" t="s">
        <v>3261</v>
      </c>
      <c r="C7501" s="91" t="s">
        <v>1140</v>
      </c>
    </row>
    <row r="7502" spans="1:3" ht="15">
      <c r="A7502" s="84" t="s">
        <v>321</v>
      </c>
      <c r="B7502" s="83" t="s">
        <v>2581</v>
      </c>
      <c r="C7502" s="91" t="s">
        <v>1140</v>
      </c>
    </row>
    <row r="7503" spans="1:3" ht="15">
      <c r="A7503" s="84" t="s">
        <v>321</v>
      </c>
      <c r="B7503" s="83" t="s">
        <v>2586</v>
      </c>
      <c r="C7503" s="91" t="s">
        <v>1140</v>
      </c>
    </row>
    <row r="7504" spans="1:3" ht="15">
      <c r="A7504" s="84" t="s">
        <v>321</v>
      </c>
      <c r="B7504" s="83" t="s">
        <v>2670</v>
      </c>
      <c r="C7504" s="91" t="s">
        <v>1140</v>
      </c>
    </row>
    <row r="7505" spans="1:3" ht="15">
      <c r="A7505" s="84" t="s">
        <v>321</v>
      </c>
      <c r="B7505" s="83" t="s">
        <v>2655</v>
      </c>
      <c r="C7505" s="91" t="s">
        <v>1140</v>
      </c>
    </row>
    <row r="7506" spans="1:3" ht="15">
      <c r="A7506" s="84" t="s">
        <v>321</v>
      </c>
      <c r="B7506" s="83" t="s">
        <v>2580</v>
      </c>
      <c r="C7506" s="91" t="s">
        <v>1140</v>
      </c>
    </row>
    <row r="7507" spans="1:3" ht="15">
      <c r="A7507" s="84" t="s">
        <v>321</v>
      </c>
      <c r="B7507" s="83" t="s">
        <v>2661</v>
      </c>
      <c r="C7507" s="91" t="s">
        <v>1140</v>
      </c>
    </row>
    <row r="7508" spans="1:3" ht="15">
      <c r="A7508" s="84" t="s">
        <v>321</v>
      </c>
      <c r="B7508" s="83" t="s">
        <v>2656</v>
      </c>
      <c r="C7508" s="91" t="s">
        <v>1140</v>
      </c>
    </row>
    <row r="7509" spans="1:3" ht="15">
      <c r="A7509" s="84" t="s">
        <v>321</v>
      </c>
      <c r="B7509" s="83" t="s">
        <v>3199</v>
      </c>
      <c r="C7509" s="91" t="s">
        <v>1140</v>
      </c>
    </row>
    <row r="7510" spans="1:3" ht="15">
      <c r="A7510" s="84" t="s">
        <v>321</v>
      </c>
      <c r="B7510" s="83" t="s">
        <v>133</v>
      </c>
      <c r="C7510" s="91" t="s">
        <v>1140</v>
      </c>
    </row>
    <row r="7511" spans="1:3" ht="15">
      <c r="A7511" s="84" t="s">
        <v>321</v>
      </c>
      <c r="B7511" s="83" t="s">
        <v>2657</v>
      </c>
      <c r="C7511" s="91" t="s">
        <v>1140</v>
      </c>
    </row>
    <row r="7512" spans="1:3" ht="15">
      <c r="A7512" s="84" t="s">
        <v>321</v>
      </c>
      <c r="B7512" s="83" t="s">
        <v>2576</v>
      </c>
      <c r="C7512" s="91" t="s">
        <v>1140</v>
      </c>
    </row>
    <row r="7513" spans="1:3" ht="15">
      <c r="A7513" s="84" t="s">
        <v>321</v>
      </c>
      <c r="B7513" s="83" t="s">
        <v>2569</v>
      </c>
      <c r="C7513" s="91" t="s">
        <v>1140</v>
      </c>
    </row>
    <row r="7514" spans="1:3" ht="15">
      <c r="A7514" s="84" t="s">
        <v>321</v>
      </c>
      <c r="B7514" s="83">
        <v>19</v>
      </c>
      <c r="C7514" s="91" t="s">
        <v>1140</v>
      </c>
    </row>
    <row r="7515" spans="1:3" ht="15">
      <c r="A7515" s="84" t="s">
        <v>321</v>
      </c>
      <c r="B7515" s="83" t="s">
        <v>2629</v>
      </c>
      <c r="C7515" s="91" t="s">
        <v>1140</v>
      </c>
    </row>
    <row r="7516" spans="1:3" ht="15">
      <c r="A7516" s="84" t="s">
        <v>321</v>
      </c>
      <c r="B7516" s="83" t="s">
        <v>3262</v>
      </c>
      <c r="C7516" s="91" t="s">
        <v>1140</v>
      </c>
    </row>
    <row r="7517" spans="1:3" ht="15">
      <c r="A7517" s="84" t="s">
        <v>321</v>
      </c>
      <c r="B7517" s="83" t="s">
        <v>2702</v>
      </c>
      <c r="C7517" s="91" t="s">
        <v>1140</v>
      </c>
    </row>
    <row r="7518" spans="1:3" ht="15">
      <c r="A7518" s="84" t="s">
        <v>321</v>
      </c>
      <c r="B7518" s="83" t="s">
        <v>2652</v>
      </c>
      <c r="C7518" s="91" t="s">
        <v>1140</v>
      </c>
    </row>
    <row r="7519" spans="1:3" ht="15">
      <c r="A7519" s="84" t="s">
        <v>321</v>
      </c>
      <c r="B7519" s="83" t="s">
        <v>2703</v>
      </c>
      <c r="C7519" s="91" t="s">
        <v>1140</v>
      </c>
    </row>
    <row r="7520" spans="1:3" ht="15">
      <c r="A7520" s="84" t="s">
        <v>321</v>
      </c>
      <c r="B7520" s="83" t="s">
        <v>2704</v>
      </c>
      <c r="C7520" s="91" t="s">
        <v>1140</v>
      </c>
    </row>
    <row r="7521" spans="1:3" ht="15">
      <c r="A7521" s="84" t="s">
        <v>321</v>
      </c>
      <c r="B7521" s="83" t="s">
        <v>2577</v>
      </c>
      <c r="C7521" s="91" t="s">
        <v>1140</v>
      </c>
    </row>
    <row r="7522" spans="1:3" ht="15">
      <c r="A7522" s="84" t="s">
        <v>321</v>
      </c>
      <c r="B7522" s="83" t="s">
        <v>2630</v>
      </c>
      <c r="C7522" s="91" t="s">
        <v>1140</v>
      </c>
    </row>
    <row r="7523" spans="1:3" ht="15">
      <c r="A7523" s="84" t="s">
        <v>321</v>
      </c>
      <c r="B7523" s="83" t="s">
        <v>3263</v>
      </c>
      <c r="C7523" s="91" t="s">
        <v>1140</v>
      </c>
    </row>
    <row r="7524" spans="1:3" ht="15">
      <c r="A7524" s="84" t="s">
        <v>321</v>
      </c>
      <c r="B7524" s="83" t="s">
        <v>2705</v>
      </c>
      <c r="C7524" s="91" t="s">
        <v>1140</v>
      </c>
    </row>
    <row r="7525" spans="1:3" ht="15">
      <c r="A7525" s="84" t="s">
        <v>321</v>
      </c>
      <c r="B7525" s="83" t="s">
        <v>2671</v>
      </c>
      <c r="C7525" s="91" t="s">
        <v>1140</v>
      </c>
    </row>
    <row r="7526" spans="1:3" ht="15">
      <c r="A7526" s="84" t="s">
        <v>321</v>
      </c>
      <c r="B7526" s="83" t="s">
        <v>3264</v>
      </c>
      <c r="C7526" s="91" t="s">
        <v>1140</v>
      </c>
    </row>
    <row r="7527" spans="1:3" ht="15">
      <c r="A7527" s="84" t="s">
        <v>321</v>
      </c>
      <c r="B7527" s="83" t="s">
        <v>2706</v>
      </c>
      <c r="C7527" s="91" t="s">
        <v>1140</v>
      </c>
    </row>
    <row r="7528" spans="1:3" ht="15">
      <c r="A7528" s="84" t="s">
        <v>321</v>
      </c>
      <c r="B7528" s="83" t="s">
        <v>2707</v>
      </c>
      <c r="C7528" s="91" t="s">
        <v>1140</v>
      </c>
    </row>
    <row r="7529" spans="1:3" ht="15">
      <c r="A7529" s="84" t="s">
        <v>321</v>
      </c>
      <c r="B7529" s="83" t="s">
        <v>2568</v>
      </c>
      <c r="C7529" s="91" t="s">
        <v>1140</v>
      </c>
    </row>
    <row r="7530" spans="1:3" ht="15">
      <c r="A7530" s="84" t="s">
        <v>321</v>
      </c>
      <c r="B7530" s="83" t="s">
        <v>2662</v>
      </c>
      <c r="C7530" s="91" t="s">
        <v>1140</v>
      </c>
    </row>
    <row r="7531" spans="1:3" ht="15">
      <c r="A7531" s="84" t="s">
        <v>321</v>
      </c>
      <c r="B7531" s="83" t="s">
        <v>2708</v>
      </c>
      <c r="C7531" s="91" t="s">
        <v>1140</v>
      </c>
    </row>
    <row r="7532" spans="1:3" ht="15">
      <c r="A7532" s="84" t="s">
        <v>321</v>
      </c>
      <c r="B7532" s="83" t="s">
        <v>2709</v>
      </c>
      <c r="C7532" s="91" t="s">
        <v>1140</v>
      </c>
    </row>
    <row r="7533" spans="1:3" ht="15">
      <c r="A7533" s="84" t="s">
        <v>321</v>
      </c>
      <c r="B7533" s="83" t="s">
        <v>3265</v>
      </c>
      <c r="C7533" s="91" t="s">
        <v>1140</v>
      </c>
    </row>
    <row r="7534" spans="1:3" ht="15">
      <c r="A7534" s="84" t="s">
        <v>321</v>
      </c>
      <c r="B7534" s="83" t="s">
        <v>2578</v>
      </c>
      <c r="C7534" s="91" t="s">
        <v>1140</v>
      </c>
    </row>
    <row r="7535" spans="1:3" ht="15">
      <c r="A7535" s="84" t="s">
        <v>321</v>
      </c>
      <c r="B7535" s="83" t="s">
        <v>2710</v>
      </c>
      <c r="C7535" s="91" t="s">
        <v>1140</v>
      </c>
    </row>
    <row r="7536" spans="1:3" ht="15">
      <c r="A7536" s="84" t="s">
        <v>321</v>
      </c>
      <c r="B7536" s="83" t="s">
        <v>3238</v>
      </c>
      <c r="C7536" s="91" t="s">
        <v>1140</v>
      </c>
    </row>
    <row r="7537" spans="1:3" ht="15">
      <c r="A7537" s="84" t="s">
        <v>321</v>
      </c>
      <c r="B7537" s="83" t="s">
        <v>586</v>
      </c>
      <c r="C7537" s="91" t="s">
        <v>1140</v>
      </c>
    </row>
    <row r="7538" spans="1:3" ht="15">
      <c r="A7538" s="84" t="s">
        <v>321</v>
      </c>
      <c r="B7538" s="83" t="s">
        <v>3258</v>
      </c>
      <c r="C7538" s="91" t="s">
        <v>1140</v>
      </c>
    </row>
    <row r="7539" spans="1:3" ht="15">
      <c r="A7539" s="84" t="s">
        <v>321</v>
      </c>
      <c r="B7539" s="83" t="s">
        <v>3109</v>
      </c>
      <c r="C7539" s="91" t="s">
        <v>1140</v>
      </c>
    </row>
    <row r="7540" spans="1:3" ht="15">
      <c r="A7540" s="84" t="s">
        <v>320</v>
      </c>
      <c r="B7540" s="83" t="s">
        <v>3340</v>
      </c>
      <c r="C7540" s="91" t="s">
        <v>1139</v>
      </c>
    </row>
    <row r="7541" spans="1:3" ht="15">
      <c r="A7541" s="84" t="s">
        <v>320</v>
      </c>
      <c r="B7541" s="83" t="s">
        <v>3213</v>
      </c>
      <c r="C7541" s="91" t="s">
        <v>1139</v>
      </c>
    </row>
    <row r="7542" spans="1:3" ht="15">
      <c r="A7542" s="84" t="s">
        <v>320</v>
      </c>
      <c r="B7542" s="83" t="s">
        <v>3341</v>
      </c>
      <c r="C7542" s="91" t="s">
        <v>1139</v>
      </c>
    </row>
    <row r="7543" spans="1:3" ht="15">
      <c r="A7543" s="84" t="s">
        <v>320</v>
      </c>
      <c r="B7543" s="83" t="s">
        <v>3342</v>
      </c>
      <c r="C7543" s="91" t="s">
        <v>1139</v>
      </c>
    </row>
    <row r="7544" spans="1:3" ht="15">
      <c r="A7544" s="84" t="s">
        <v>320</v>
      </c>
      <c r="B7544" s="83" t="s">
        <v>3343</v>
      </c>
      <c r="C7544" s="91" t="s">
        <v>1139</v>
      </c>
    </row>
    <row r="7545" spans="1:3" ht="15">
      <c r="A7545" s="84" t="s">
        <v>320</v>
      </c>
      <c r="B7545" s="83" t="s">
        <v>3344</v>
      </c>
      <c r="C7545" s="91" t="s">
        <v>1139</v>
      </c>
    </row>
    <row r="7546" spans="1:3" ht="15">
      <c r="A7546" s="84" t="s">
        <v>320</v>
      </c>
      <c r="B7546" s="83" t="s">
        <v>3345</v>
      </c>
      <c r="C7546" s="91" t="s">
        <v>1139</v>
      </c>
    </row>
    <row r="7547" spans="1:3" ht="15">
      <c r="A7547" s="84" t="s">
        <v>320</v>
      </c>
      <c r="B7547" s="83" t="s">
        <v>3290</v>
      </c>
      <c r="C7547" s="91" t="s">
        <v>1139</v>
      </c>
    </row>
    <row r="7548" spans="1:3" ht="15">
      <c r="A7548" s="84" t="s">
        <v>320</v>
      </c>
      <c r="B7548" s="83" t="s">
        <v>2179</v>
      </c>
      <c r="C7548" s="91" t="s">
        <v>1139</v>
      </c>
    </row>
    <row r="7549" spans="1:3" ht="15">
      <c r="A7549" s="84" t="s">
        <v>320</v>
      </c>
      <c r="B7549" s="83" t="s">
        <v>3300</v>
      </c>
      <c r="C7549" s="91" t="s">
        <v>1139</v>
      </c>
    </row>
    <row r="7550" spans="1:3" ht="15">
      <c r="A7550" s="84" t="s">
        <v>320</v>
      </c>
      <c r="B7550" s="83" t="s">
        <v>3301</v>
      </c>
      <c r="C7550" s="91" t="s">
        <v>1139</v>
      </c>
    </row>
    <row r="7551" spans="1:3" ht="15">
      <c r="A7551" s="84" t="s">
        <v>320</v>
      </c>
      <c r="B7551" s="83" t="s">
        <v>3302</v>
      </c>
      <c r="C7551" s="91" t="s">
        <v>1139</v>
      </c>
    </row>
    <row r="7552" spans="1:3" ht="15">
      <c r="A7552" s="84" t="s">
        <v>320</v>
      </c>
      <c r="B7552" s="83" t="s">
        <v>3303</v>
      </c>
      <c r="C7552" s="91" t="s">
        <v>1139</v>
      </c>
    </row>
    <row r="7553" spans="1:3" ht="15">
      <c r="A7553" s="84" t="s">
        <v>320</v>
      </c>
      <c r="B7553" s="83" t="s">
        <v>3291</v>
      </c>
      <c r="C7553" s="91" t="s">
        <v>1139</v>
      </c>
    </row>
    <row r="7554" spans="1:3" ht="15">
      <c r="A7554" s="84" t="s">
        <v>320</v>
      </c>
      <c r="B7554" s="83" t="s">
        <v>3292</v>
      </c>
      <c r="C7554" s="91" t="s">
        <v>1139</v>
      </c>
    </row>
    <row r="7555" spans="1:3" ht="15">
      <c r="A7555" s="84" t="s">
        <v>320</v>
      </c>
      <c r="B7555" s="83" t="s">
        <v>3293</v>
      </c>
      <c r="C7555" s="91" t="s">
        <v>1139</v>
      </c>
    </row>
    <row r="7556" spans="1:3" ht="15">
      <c r="A7556" s="84" t="s">
        <v>320</v>
      </c>
      <c r="B7556" s="83" t="s">
        <v>3294</v>
      </c>
      <c r="C7556" s="91" t="s">
        <v>1139</v>
      </c>
    </row>
    <row r="7557" spans="1:3" ht="15">
      <c r="A7557" s="84" t="s">
        <v>320</v>
      </c>
      <c r="B7557" s="83" t="s">
        <v>3295</v>
      </c>
      <c r="C7557" s="91" t="s">
        <v>1139</v>
      </c>
    </row>
    <row r="7558" spans="1:3" ht="15">
      <c r="A7558" s="84" t="s">
        <v>320</v>
      </c>
      <c r="B7558" s="83" t="s">
        <v>3237</v>
      </c>
      <c r="C7558" s="91" t="s">
        <v>1139</v>
      </c>
    </row>
    <row r="7559" spans="1:3" ht="15">
      <c r="A7559" s="84" t="s">
        <v>320</v>
      </c>
      <c r="B7559" s="83" t="s">
        <v>3296</v>
      </c>
      <c r="C7559" s="91" t="s">
        <v>1139</v>
      </c>
    </row>
    <row r="7560" spans="1:3" ht="15">
      <c r="A7560" s="84" t="s">
        <v>320</v>
      </c>
      <c r="B7560" s="83" t="s">
        <v>3297</v>
      </c>
      <c r="C7560" s="91" t="s">
        <v>1139</v>
      </c>
    </row>
    <row r="7561" spans="1:3" ht="15">
      <c r="A7561" s="84" t="s">
        <v>320</v>
      </c>
      <c r="B7561" s="83" t="s">
        <v>3218</v>
      </c>
      <c r="C7561" s="91" t="s">
        <v>1139</v>
      </c>
    </row>
    <row r="7562" spans="1:3" ht="15">
      <c r="A7562" s="84" t="s">
        <v>320</v>
      </c>
      <c r="B7562" s="83" t="s">
        <v>3346</v>
      </c>
      <c r="C7562" s="91" t="s">
        <v>1139</v>
      </c>
    </row>
    <row r="7563" spans="1:3" ht="15">
      <c r="A7563" s="84" t="s">
        <v>320</v>
      </c>
      <c r="B7563" s="83" t="s">
        <v>3298</v>
      </c>
      <c r="C7563" s="91" t="s">
        <v>1139</v>
      </c>
    </row>
    <row r="7564" spans="1:3" ht="15">
      <c r="A7564" s="84" t="s">
        <v>320</v>
      </c>
      <c r="B7564" s="83" t="s">
        <v>3299</v>
      </c>
      <c r="C7564" s="91" t="s">
        <v>1139</v>
      </c>
    </row>
    <row r="7565" spans="1:3" ht="15">
      <c r="A7565" s="84" t="s">
        <v>320</v>
      </c>
      <c r="B7565" s="83" t="s">
        <v>3199</v>
      </c>
      <c r="C7565" s="91" t="s">
        <v>1139</v>
      </c>
    </row>
    <row r="7566" spans="1:3" ht="15">
      <c r="A7566" s="84" t="s">
        <v>320</v>
      </c>
      <c r="B7566" s="83" t="s">
        <v>3347</v>
      </c>
      <c r="C7566" s="91" t="s">
        <v>1139</v>
      </c>
    </row>
    <row r="7567" spans="1:3" ht="15">
      <c r="A7567" s="84" t="s">
        <v>319</v>
      </c>
      <c r="B7567" s="83" t="s">
        <v>3340</v>
      </c>
      <c r="C7567" s="91" t="s">
        <v>1138</v>
      </c>
    </row>
    <row r="7568" spans="1:3" ht="15">
      <c r="A7568" s="84" t="s">
        <v>319</v>
      </c>
      <c r="B7568" s="83" t="s">
        <v>3213</v>
      </c>
      <c r="C7568" s="91" t="s">
        <v>1138</v>
      </c>
    </row>
    <row r="7569" spans="1:3" ht="15">
      <c r="A7569" s="84" t="s">
        <v>319</v>
      </c>
      <c r="B7569" s="83" t="s">
        <v>3341</v>
      </c>
      <c r="C7569" s="91" t="s">
        <v>1138</v>
      </c>
    </row>
    <row r="7570" spans="1:3" ht="15">
      <c r="A7570" s="84" t="s">
        <v>319</v>
      </c>
      <c r="B7570" s="83" t="s">
        <v>3342</v>
      </c>
      <c r="C7570" s="91" t="s">
        <v>1138</v>
      </c>
    </row>
    <row r="7571" spans="1:3" ht="15">
      <c r="A7571" s="84" t="s">
        <v>319</v>
      </c>
      <c r="B7571" s="83" t="s">
        <v>3343</v>
      </c>
      <c r="C7571" s="91" t="s">
        <v>1138</v>
      </c>
    </row>
    <row r="7572" spans="1:3" ht="15">
      <c r="A7572" s="84" t="s">
        <v>319</v>
      </c>
      <c r="B7572" s="83" t="s">
        <v>3344</v>
      </c>
      <c r="C7572" s="91" t="s">
        <v>1138</v>
      </c>
    </row>
    <row r="7573" spans="1:3" ht="15">
      <c r="A7573" s="84" t="s">
        <v>319</v>
      </c>
      <c r="B7573" s="83" t="s">
        <v>3345</v>
      </c>
      <c r="C7573" s="91" t="s">
        <v>1138</v>
      </c>
    </row>
    <row r="7574" spans="1:3" ht="15">
      <c r="A7574" s="84" t="s">
        <v>319</v>
      </c>
      <c r="B7574" s="83" t="s">
        <v>3290</v>
      </c>
      <c r="C7574" s="91" t="s">
        <v>1138</v>
      </c>
    </row>
    <row r="7575" spans="1:3" ht="15">
      <c r="A7575" s="84" t="s">
        <v>319</v>
      </c>
      <c r="B7575" s="83" t="s">
        <v>2179</v>
      </c>
      <c r="C7575" s="91" t="s">
        <v>1138</v>
      </c>
    </row>
    <row r="7576" spans="1:3" ht="15">
      <c r="A7576" s="84" t="s">
        <v>319</v>
      </c>
      <c r="B7576" s="83" t="s">
        <v>3300</v>
      </c>
      <c r="C7576" s="91" t="s">
        <v>1138</v>
      </c>
    </row>
    <row r="7577" spans="1:3" ht="15">
      <c r="A7577" s="84" t="s">
        <v>319</v>
      </c>
      <c r="B7577" s="83" t="s">
        <v>3301</v>
      </c>
      <c r="C7577" s="91" t="s">
        <v>1138</v>
      </c>
    </row>
    <row r="7578" spans="1:3" ht="15">
      <c r="A7578" s="84" t="s">
        <v>319</v>
      </c>
      <c r="B7578" s="83" t="s">
        <v>3302</v>
      </c>
      <c r="C7578" s="91" t="s">
        <v>1138</v>
      </c>
    </row>
    <row r="7579" spans="1:3" ht="15">
      <c r="A7579" s="84" t="s">
        <v>319</v>
      </c>
      <c r="B7579" s="83" t="s">
        <v>3303</v>
      </c>
      <c r="C7579" s="91" t="s">
        <v>1138</v>
      </c>
    </row>
    <row r="7580" spans="1:3" ht="15">
      <c r="A7580" s="84" t="s">
        <v>319</v>
      </c>
      <c r="B7580" s="83" t="s">
        <v>3291</v>
      </c>
      <c r="C7580" s="91" t="s">
        <v>1138</v>
      </c>
    </row>
    <row r="7581" spans="1:3" ht="15">
      <c r="A7581" s="84" t="s">
        <v>319</v>
      </c>
      <c r="B7581" s="83" t="s">
        <v>3292</v>
      </c>
      <c r="C7581" s="91" t="s">
        <v>1138</v>
      </c>
    </row>
    <row r="7582" spans="1:3" ht="15">
      <c r="A7582" s="84" t="s">
        <v>319</v>
      </c>
      <c r="B7582" s="83" t="s">
        <v>3293</v>
      </c>
      <c r="C7582" s="91" t="s">
        <v>1138</v>
      </c>
    </row>
    <row r="7583" spans="1:3" ht="15">
      <c r="A7583" s="84" t="s">
        <v>319</v>
      </c>
      <c r="B7583" s="83" t="s">
        <v>3294</v>
      </c>
      <c r="C7583" s="91" t="s">
        <v>1138</v>
      </c>
    </row>
    <row r="7584" spans="1:3" ht="15">
      <c r="A7584" s="84" t="s">
        <v>319</v>
      </c>
      <c r="B7584" s="83" t="s">
        <v>3295</v>
      </c>
      <c r="C7584" s="91" t="s">
        <v>1138</v>
      </c>
    </row>
    <row r="7585" spans="1:3" ht="15">
      <c r="A7585" s="84" t="s">
        <v>319</v>
      </c>
      <c r="B7585" s="83" t="s">
        <v>3237</v>
      </c>
      <c r="C7585" s="91" t="s">
        <v>1138</v>
      </c>
    </row>
    <row r="7586" spans="1:3" ht="15">
      <c r="A7586" s="84" t="s">
        <v>319</v>
      </c>
      <c r="B7586" s="83" t="s">
        <v>3296</v>
      </c>
      <c r="C7586" s="91" t="s">
        <v>1138</v>
      </c>
    </row>
    <row r="7587" spans="1:3" ht="15">
      <c r="A7587" s="84" t="s">
        <v>319</v>
      </c>
      <c r="B7587" s="83" t="s">
        <v>3297</v>
      </c>
      <c r="C7587" s="91" t="s">
        <v>1138</v>
      </c>
    </row>
    <row r="7588" spans="1:3" ht="15">
      <c r="A7588" s="84" t="s">
        <v>319</v>
      </c>
      <c r="B7588" s="83" t="s">
        <v>3218</v>
      </c>
      <c r="C7588" s="91" t="s">
        <v>1138</v>
      </c>
    </row>
    <row r="7589" spans="1:3" ht="15">
      <c r="A7589" s="84" t="s">
        <v>319</v>
      </c>
      <c r="B7589" s="83" t="s">
        <v>3346</v>
      </c>
      <c r="C7589" s="91" t="s">
        <v>1138</v>
      </c>
    </row>
    <row r="7590" spans="1:3" ht="15">
      <c r="A7590" s="84" t="s">
        <v>319</v>
      </c>
      <c r="B7590" s="83" t="s">
        <v>3298</v>
      </c>
      <c r="C7590" s="91" t="s">
        <v>1138</v>
      </c>
    </row>
    <row r="7591" spans="1:3" ht="15">
      <c r="A7591" s="84" t="s">
        <v>319</v>
      </c>
      <c r="B7591" s="83" t="s">
        <v>3299</v>
      </c>
      <c r="C7591" s="91" t="s">
        <v>1138</v>
      </c>
    </row>
    <row r="7592" spans="1:3" ht="15">
      <c r="A7592" s="84" t="s">
        <v>319</v>
      </c>
      <c r="B7592" s="83" t="s">
        <v>3199</v>
      </c>
      <c r="C7592" s="91" t="s">
        <v>1138</v>
      </c>
    </row>
    <row r="7593" spans="1:3" ht="15">
      <c r="A7593" s="84" t="s">
        <v>319</v>
      </c>
      <c r="B7593" s="83" t="s">
        <v>3347</v>
      </c>
      <c r="C7593" s="91" t="s">
        <v>1138</v>
      </c>
    </row>
    <row r="7594" spans="1:3" ht="15">
      <c r="A7594" s="84" t="s">
        <v>390</v>
      </c>
      <c r="B7594" s="83" t="s">
        <v>3340</v>
      </c>
      <c r="C7594" s="91" t="s">
        <v>1405</v>
      </c>
    </row>
    <row r="7595" spans="1:3" ht="15">
      <c r="A7595" s="84" t="s">
        <v>390</v>
      </c>
      <c r="B7595" s="83" t="s">
        <v>3213</v>
      </c>
      <c r="C7595" s="91" t="s">
        <v>1405</v>
      </c>
    </row>
    <row r="7596" spans="1:3" ht="15">
      <c r="A7596" s="84" t="s">
        <v>390</v>
      </c>
      <c r="B7596" s="83" t="s">
        <v>3341</v>
      </c>
      <c r="C7596" s="91" t="s">
        <v>1405</v>
      </c>
    </row>
    <row r="7597" spans="1:3" ht="15">
      <c r="A7597" s="84" t="s">
        <v>390</v>
      </c>
      <c r="B7597" s="83" t="s">
        <v>3342</v>
      </c>
      <c r="C7597" s="91" t="s">
        <v>1405</v>
      </c>
    </row>
    <row r="7598" spans="1:3" ht="15">
      <c r="A7598" s="84" t="s">
        <v>390</v>
      </c>
      <c r="B7598" s="83" t="s">
        <v>3343</v>
      </c>
      <c r="C7598" s="91" t="s">
        <v>1405</v>
      </c>
    </row>
    <row r="7599" spans="1:3" ht="15">
      <c r="A7599" s="84" t="s">
        <v>390</v>
      </c>
      <c r="B7599" s="83" t="s">
        <v>3344</v>
      </c>
      <c r="C7599" s="91" t="s">
        <v>1405</v>
      </c>
    </row>
    <row r="7600" spans="1:3" ht="15">
      <c r="A7600" s="84" t="s">
        <v>390</v>
      </c>
      <c r="B7600" s="83" t="s">
        <v>3345</v>
      </c>
      <c r="C7600" s="91" t="s">
        <v>1405</v>
      </c>
    </row>
    <row r="7601" spans="1:3" ht="15">
      <c r="A7601" s="84" t="s">
        <v>390</v>
      </c>
      <c r="B7601" s="83" t="s">
        <v>3290</v>
      </c>
      <c r="C7601" s="91" t="s">
        <v>1405</v>
      </c>
    </row>
    <row r="7602" spans="1:3" ht="15">
      <c r="A7602" s="84" t="s">
        <v>390</v>
      </c>
      <c r="B7602" s="83" t="s">
        <v>2179</v>
      </c>
      <c r="C7602" s="91" t="s">
        <v>1405</v>
      </c>
    </row>
    <row r="7603" spans="1:3" ht="15">
      <c r="A7603" s="84" t="s">
        <v>390</v>
      </c>
      <c r="B7603" s="83" t="s">
        <v>3300</v>
      </c>
      <c r="C7603" s="91" t="s">
        <v>1405</v>
      </c>
    </row>
    <row r="7604" spans="1:3" ht="15">
      <c r="A7604" s="84" t="s">
        <v>390</v>
      </c>
      <c r="B7604" s="83" t="s">
        <v>3301</v>
      </c>
      <c r="C7604" s="91" t="s">
        <v>1405</v>
      </c>
    </row>
    <row r="7605" spans="1:3" ht="15">
      <c r="A7605" s="84" t="s">
        <v>390</v>
      </c>
      <c r="B7605" s="83" t="s">
        <v>3302</v>
      </c>
      <c r="C7605" s="91" t="s">
        <v>1405</v>
      </c>
    </row>
    <row r="7606" spans="1:3" ht="15">
      <c r="A7606" s="84" t="s">
        <v>390</v>
      </c>
      <c r="B7606" s="83" t="s">
        <v>3303</v>
      </c>
      <c r="C7606" s="91" t="s">
        <v>1405</v>
      </c>
    </row>
    <row r="7607" spans="1:3" ht="15">
      <c r="A7607" s="84" t="s">
        <v>390</v>
      </c>
      <c r="B7607" s="83" t="s">
        <v>3291</v>
      </c>
      <c r="C7607" s="91" t="s">
        <v>1405</v>
      </c>
    </row>
    <row r="7608" spans="1:3" ht="15">
      <c r="A7608" s="84" t="s">
        <v>390</v>
      </c>
      <c r="B7608" s="83" t="s">
        <v>3292</v>
      </c>
      <c r="C7608" s="91" t="s">
        <v>1405</v>
      </c>
    </row>
    <row r="7609" spans="1:3" ht="15">
      <c r="A7609" s="84" t="s">
        <v>390</v>
      </c>
      <c r="B7609" s="83" t="s">
        <v>3293</v>
      </c>
      <c r="C7609" s="91" t="s">
        <v>1405</v>
      </c>
    </row>
    <row r="7610" spans="1:3" ht="15">
      <c r="A7610" s="84" t="s">
        <v>390</v>
      </c>
      <c r="B7610" s="83" t="s">
        <v>3294</v>
      </c>
      <c r="C7610" s="91" t="s">
        <v>1405</v>
      </c>
    </row>
    <row r="7611" spans="1:3" ht="15">
      <c r="A7611" s="84" t="s">
        <v>390</v>
      </c>
      <c r="B7611" s="83" t="s">
        <v>3295</v>
      </c>
      <c r="C7611" s="91" t="s">
        <v>1405</v>
      </c>
    </row>
    <row r="7612" spans="1:3" ht="15">
      <c r="A7612" s="84" t="s">
        <v>390</v>
      </c>
      <c r="B7612" s="83" t="s">
        <v>3237</v>
      </c>
      <c r="C7612" s="91" t="s">
        <v>1405</v>
      </c>
    </row>
    <row r="7613" spans="1:3" ht="15">
      <c r="A7613" s="84" t="s">
        <v>390</v>
      </c>
      <c r="B7613" s="83" t="s">
        <v>3296</v>
      </c>
      <c r="C7613" s="91" t="s">
        <v>1405</v>
      </c>
    </row>
    <row r="7614" spans="1:3" ht="15">
      <c r="A7614" s="84" t="s">
        <v>390</v>
      </c>
      <c r="B7614" s="83" t="s">
        <v>3297</v>
      </c>
      <c r="C7614" s="91" t="s">
        <v>1405</v>
      </c>
    </row>
    <row r="7615" spans="1:3" ht="15">
      <c r="A7615" s="84" t="s">
        <v>390</v>
      </c>
      <c r="B7615" s="83" t="s">
        <v>3218</v>
      </c>
      <c r="C7615" s="91" t="s">
        <v>1405</v>
      </c>
    </row>
    <row r="7616" spans="1:3" ht="15">
      <c r="A7616" s="84" t="s">
        <v>390</v>
      </c>
      <c r="B7616" s="83" t="s">
        <v>3346</v>
      </c>
      <c r="C7616" s="91" t="s">
        <v>1405</v>
      </c>
    </row>
    <row r="7617" spans="1:3" ht="15">
      <c r="A7617" s="84" t="s">
        <v>390</v>
      </c>
      <c r="B7617" s="83" t="s">
        <v>3298</v>
      </c>
      <c r="C7617" s="91" t="s">
        <v>1405</v>
      </c>
    </row>
    <row r="7618" spans="1:3" ht="15">
      <c r="A7618" s="84" t="s">
        <v>390</v>
      </c>
      <c r="B7618" s="83" t="s">
        <v>3299</v>
      </c>
      <c r="C7618" s="91" t="s">
        <v>1405</v>
      </c>
    </row>
    <row r="7619" spans="1:3" ht="15">
      <c r="A7619" s="84" t="s">
        <v>390</v>
      </c>
      <c r="B7619" s="83" t="s">
        <v>3199</v>
      </c>
      <c r="C7619" s="91" t="s">
        <v>1405</v>
      </c>
    </row>
    <row r="7620" spans="1:3" ht="15">
      <c r="A7620" s="84" t="s">
        <v>390</v>
      </c>
      <c r="B7620" s="83" t="s">
        <v>3347</v>
      </c>
      <c r="C7620" s="91" t="s">
        <v>1405</v>
      </c>
    </row>
    <row r="7621" spans="1:3" ht="15">
      <c r="A7621" s="84" t="s">
        <v>390</v>
      </c>
      <c r="B7621" s="83" t="s">
        <v>3267</v>
      </c>
      <c r="C7621" s="91" t="s">
        <v>1404</v>
      </c>
    </row>
    <row r="7622" spans="1:3" ht="15">
      <c r="A7622" s="84" t="s">
        <v>390</v>
      </c>
      <c r="B7622" s="83" t="s">
        <v>2581</v>
      </c>
      <c r="C7622" s="91" t="s">
        <v>1404</v>
      </c>
    </row>
    <row r="7623" spans="1:3" ht="15">
      <c r="A7623" s="84" t="s">
        <v>390</v>
      </c>
      <c r="B7623" s="83" t="s">
        <v>2586</v>
      </c>
      <c r="C7623" s="91" t="s">
        <v>1404</v>
      </c>
    </row>
    <row r="7624" spans="1:3" ht="15">
      <c r="A7624" s="84" t="s">
        <v>390</v>
      </c>
      <c r="B7624" s="83" t="s">
        <v>2595</v>
      </c>
      <c r="C7624" s="91" t="s">
        <v>1404</v>
      </c>
    </row>
    <row r="7625" spans="1:3" ht="15">
      <c r="A7625" s="84" t="s">
        <v>390</v>
      </c>
      <c r="B7625" s="83" t="s">
        <v>2568</v>
      </c>
      <c r="C7625" s="91" t="s">
        <v>1404</v>
      </c>
    </row>
    <row r="7626" spans="1:3" ht="15">
      <c r="A7626" s="84" t="s">
        <v>390</v>
      </c>
      <c r="B7626" s="83" t="s">
        <v>2592</v>
      </c>
      <c r="C7626" s="91" t="s">
        <v>1404</v>
      </c>
    </row>
    <row r="7627" spans="1:3" ht="15">
      <c r="A7627" s="84" t="s">
        <v>390</v>
      </c>
      <c r="B7627" s="83" t="s">
        <v>3213</v>
      </c>
      <c r="C7627" s="91" t="s">
        <v>1404</v>
      </c>
    </row>
    <row r="7628" spans="1:3" ht="15">
      <c r="A7628" s="84" t="s">
        <v>390</v>
      </c>
      <c r="B7628" s="83" t="s">
        <v>2576</v>
      </c>
      <c r="C7628" s="91" t="s">
        <v>1404</v>
      </c>
    </row>
    <row r="7629" spans="1:3" ht="15">
      <c r="A7629" s="84" t="s">
        <v>390</v>
      </c>
      <c r="B7629" s="83" t="s">
        <v>3229</v>
      </c>
      <c r="C7629" s="91" t="s">
        <v>1404</v>
      </c>
    </row>
    <row r="7630" spans="1:3" ht="15">
      <c r="A7630" s="84" t="s">
        <v>390</v>
      </c>
      <c r="B7630" s="83" t="s">
        <v>3230</v>
      </c>
      <c r="C7630" s="91" t="s">
        <v>1404</v>
      </c>
    </row>
    <row r="7631" spans="1:3" ht="15">
      <c r="A7631" s="84" t="s">
        <v>390</v>
      </c>
      <c r="B7631" s="83" t="s">
        <v>2598</v>
      </c>
      <c r="C7631" s="91" t="s">
        <v>1404</v>
      </c>
    </row>
    <row r="7632" spans="1:3" ht="15">
      <c r="A7632" s="84" t="s">
        <v>390</v>
      </c>
      <c r="B7632" s="83" t="s">
        <v>3231</v>
      </c>
      <c r="C7632" s="91" t="s">
        <v>1404</v>
      </c>
    </row>
    <row r="7633" spans="1:3" ht="15">
      <c r="A7633" s="84" t="s">
        <v>390</v>
      </c>
      <c r="B7633" s="83" t="s">
        <v>3232</v>
      </c>
      <c r="C7633" s="91" t="s">
        <v>1404</v>
      </c>
    </row>
    <row r="7634" spans="1:3" ht="15">
      <c r="A7634" s="84" t="s">
        <v>390</v>
      </c>
      <c r="B7634" s="83" t="s">
        <v>3233</v>
      </c>
      <c r="C7634" s="91" t="s">
        <v>1404</v>
      </c>
    </row>
    <row r="7635" spans="1:3" ht="15">
      <c r="A7635" s="84" t="s">
        <v>390</v>
      </c>
      <c r="B7635" s="83" t="s">
        <v>3211</v>
      </c>
      <c r="C7635" s="91" t="s">
        <v>1404</v>
      </c>
    </row>
    <row r="7636" spans="1:3" ht="15">
      <c r="A7636" s="84" t="s">
        <v>390</v>
      </c>
      <c r="B7636" s="83" t="s">
        <v>3199</v>
      </c>
      <c r="C7636" s="91" t="s">
        <v>1404</v>
      </c>
    </row>
    <row r="7637" spans="1:3" ht="15">
      <c r="A7637" s="84" t="s">
        <v>390</v>
      </c>
      <c r="B7637" s="83" t="s">
        <v>3218</v>
      </c>
      <c r="C7637" s="91" t="s">
        <v>1404</v>
      </c>
    </row>
    <row r="7638" spans="1:3" ht="15">
      <c r="A7638" s="84" t="s">
        <v>390</v>
      </c>
      <c r="B7638" s="83" t="s">
        <v>3234</v>
      </c>
      <c r="C7638" s="91" t="s">
        <v>1404</v>
      </c>
    </row>
    <row r="7639" spans="1:3" ht="15">
      <c r="A7639" s="84" t="s">
        <v>390</v>
      </c>
      <c r="B7639" s="83" t="s">
        <v>3235</v>
      </c>
      <c r="C7639" s="91" t="s">
        <v>1404</v>
      </c>
    </row>
    <row r="7640" spans="1:3" ht="15">
      <c r="A7640" s="84" t="s">
        <v>390</v>
      </c>
      <c r="B7640" s="83" t="s">
        <v>3236</v>
      </c>
      <c r="C7640" s="91" t="s">
        <v>1404</v>
      </c>
    </row>
    <row r="7641" spans="1:3" ht="15">
      <c r="A7641" s="84" t="s">
        <v>390</v>
      </c>
      <c r="B7641" s="83" t="s">
        <v>3237</v>
      </c>
      <c r="C7641" s="91" t="s">
        <v>1404</v>
      </c>
    </row>
    <row r="7642" spans="1:3" ht="15">
      <c r="A7642" s="84" t="s">
        <v>390</v>
      </c>
      <c r="B7642" s="83" t="s">
        <v>3238</v>
      </c>
      <c r="C7642" s="91" t="s">
        <v>1404</v>
      </c>
    </row>
    <row r="7643" spans="1:3" ht="15">
      <c r="A7643" s="84" t="s">
        <v>390</v>
      </c>
      <c r="B7643" s="83" t="s">
        <v>3239</v>
      </c>
      <c r="C7643" s="91" t="s">
        <v>1404</v>
      </c>
    </row>
    <row r="7644" spans="1:3" ht="15">
      <c r="A7644" s="84" t="s">
        <v>390</v>
      </c>
      <c r="B7644" s="83" t="s">
        <v>3240</v>
      </c>
      <c r="C7644" s="91" t="s">
        <v>1404</v>
      </c>
    </row>
    <row r="7645" spans="1:3" ht="15">
      <c r="A7645" s="84" t="s">
        <v>390</v>
      </c>
      <c r="B7645" s="83" t="s">
        <v>3241</v>
      </c>
      <c r="C7645" s="91" t="s">
        <v>1404</v>
      </c>
    </row>
    <row r="7646" spans="1:3" ht="15">
      <c r="A7646" s="84" t="s">
        <v>390</v>
      </c>
      <c r="B7646" s="83" t="s">
        <v>3242</v>
      </c>
      <c r="C7646" s="91" t="s">
        <v>1404</v>
      </c>
    </row>
    <row r="7647" spans="1:3" ht="15">
      <c r="A7647" s="84" t="s">
        <v>390</v>
      </c>
      <c r="B7647" s="83" t="s">
        <v>2767</v>
      </c>
      <c r="C7647" s="91" t="s">
        <v>1404</v>
      </c>
    </row>
    <row r="7648" spans="1:3" ht="15">
      <c r="A7648" s="84" t="s">
        <v>390</v>
      </c>
      <c r="B7648" s="83" t="s">
        <v>3243</v>
      </c>
      <c r="C7648" s="91" t="s">
        <v>1404</v>
      </c>
    </row>
    <row r="7649" spans="1:3" ht="15">
      <c r="A7649" s="84" t="s">
        <v>390</v>
      </c>
      <c r="B7649" s="83" t="s">
        <v>3244</v>
      </c>
      <c r="C7649" s="91" t="s">
        <v>1404</v>
      </c>
    </row>
    <row r="7650" spans="1:3" ht="15">
      <c r="A7650" s="84" t="s">
        <v>390</v>
      </c>
      <c r="B7650" s="83" t="s">
        <v>3223</v>
      </c>
      <c r="C7650" s="91" t="s">
        <v>1404</v>
      </c>
    </row>
    <row r="7651" spans="1:3" ht="15">
      <c r="A7651" s="84" t="s">
        <v>390</v>
      </c>
      <c r="B7651" s="83" t="s">
        <v>3328</v>
      </c>
      <c r="C7651" s="91" t="s">
        <v>1290</v>
      </c>
    </row>
    <row r="7652" spans="1:3" ht="15">
      <c r="A7652" s="84" t="s">
        <v>390</v>
      </c>
      <c r="B7652" s="83" t="s">
        <v>3225</v>
      </c>
      <c r="C7652" s="91" t="s">
        <v>1290</v>
      </c>
    </row>
    <row r="7653" spans="1:3" ht="15">
      <c r="A7653" s="84" t="s">
        <v>390</v>
      </c>
      <c r="B7653" s="83" t="s">
        <v>2648</v>
      </c>
      <c r="C7653" s="91" t="s">
        <v>1290</v>
      </c>
    </row>
    <row r="7654" spans="1:3" ht="15">
      <c r="A7654" s="84" t="s">
        <v>390</v>
      </c>
      <c r="B7654" s="83" t="s">
        <v>3408</v>
      </c>
      <c r="C7654" s="91" t="s">
        <v>1290</v>
      </c>
    </row>
    <row r="7655" spans="1:3" ht="15">
      <c r="A7655" s="84" t="s">
        <v>390</v>
      </c>
      <c r="B7655" s="83" t="s">
        <v>2582</v>
      </c>
      <c r="C7655" s="91" t="s">
        <v>1290</v>
      </c>
    </row>
    <row r="7656" spans="1:3" ht="15">
      <c r="A7656" s="84" t="s">
        <v>390</v>
      </c>
      <c r="B7656" s="83" t="s">
        <v>2589</v>
      </c>
      <c r="C7656" s="91" t="s">
        <v>1290</v>
      </c>
    </row>
    <row r="7657" spans="1:3" ht="15">
      <c r="A7657" s="84" t="s">
        <v>390</v>
      </c>
      <c r="B7657" s="83" t="s">
        <v>3409</v>
      </c>
      <c r="C7657" s="91" t="s">
        <v>1290</v>
      </c>
    </row>
    <row r="7658" spans="1:3" ht="15">
      <c r="A7658" s="84" t="s">
        <v>390</v>
      </c>
      <c r="B7658" s="83" t="s">
        <v>3203</v>
      </c>
      <c r="C7658" s="91" t="s">
        <v>1290</v>
      </c>
    </row>
    <row r="7659" spans="1:3" ht="15">
      <c r="A7659" s="84" t="s">
        <v>390</v>
      </c>
      <c r="B7659" s="83" t="s">
        <v>3410</v>
      </c>
      <c r="C7659" s="91" t="s">
        <v>1290</v>
      </c>
    </row>
    <row r="7660" spans="1:3" ht="15">
      <c r="A7660" s="84" t="s">
        <v>390</v>
      </c>
      <c r="B7660" s="83" t="s">
        <v>3198</v>
      </c>
      <c r="C7660" s="91" t="s">
        <v>1290</v>
      </c>
    </row>
    <row r="7661" spans="1:3" ht="15">
      <c r="A7661" s="84" t="s">
        <v>390</v>
      </c>
      <c r="B7661" s="83" t="s">
        <v>3214</v>
      </c>
      <c r="C7661" s="91" t="s">
        <v>1290</v>
      </c>
    </row>
    <row r="7662" spans="1:3" ht="15">
      <c r="A7662" s="84" t="s">
        <v>390</v>
      </c>
      <c r="B7662" s="83" t="s">
        <v>3411</v>
      </c>
      <c r="C7662" s="91" t="s">
        <v>1290</v>
      </c>
    </row>
    <row r="7663" spans="1:3" ht="15">
      <c r="A7663" s="84" t="s">
        <v>390</v>
      </c>
      <c r="B7663" s="83" t="s">
        <v>3412</v>
      </c>
      <c r="C7663" s="91" t="s">
        <v>1290</v>
      </c>
    </row>
    <row r="7664" spans="1:3" ht="15">
      <c r="A7664" s="84" t="s">
        <v>390</v>
      </c>
      <c r="B7664" s="83" t="s">
        <v>3413</v>
      </c>
      <c r="C7664" s="91" t="s">
        <v>1290</v>
      </c>
    </row>
    <row r="7665" spans="1:3" ht="15">
      <c r="A7665" s="84" t="s">
        <v>390</v>
      </c>
      <c r="B7665" s="83" t="s">
        <v>3215</v>
      </c>
      <c r="C7665" s="91" t="s">
        <v>1290</v>
      </c>
    </row>
    <row r="7666" spans="1:3" ht="15">
      <c r="A7666" s="84" t="s">
        <v>390</v>
      </c>
      <c r="B7666" s="83" t="s">
        <v>3414</v>
      </c>
      <c r="C7666" s="91" t="s">
        <v>1290</v>
      </c>
    </row>
    <row r="7667" spans="1:3" ht="15">
      <c r="A7667" s="84" t="s">
        <v>390</v>
      </c>
      <c r="B7667" s="83" t="s">
        <v>3415</v>
      </c>
      <c r="C7667" s="91" t="s">
        <v>1290</v>
      </c>
    </row>
    <row r="7668" spans="1:3" ht="15">
      <c r="A7668" s="84" t="s">
        <v>390</v>
      </c>
      <c r="B7668" s="83" t="s">
        <v>3416</v>
      </c>
      <c r="C7668" s="91" t="s">
        <v>1290</v>
      </c>
    </row>
    <row r="7669" spans="1:3" ht="15">
      <c r="A7669" s="84" t="s">
        <v>390</v>
      </c>
      <c r="B7669" s="83" t="s">
        <v>3417</v>
      </c>
      <c r="C7669" s="91" t="s">
        <v>1290</v>
      </c>
    </row>
    <row r="7670" spans="1:3" ht="15">
      <c r="A7670" s="84" t="s">
        <v>390</v>
      </c>
      <c r="B7670" s="83" t="s">
        <v>3418</v>
      </c>
      <c r="C7670" s="91" t="s">
        <v>1290</v>
      </c>
    </row>
    <row r="7671" spans="1:3" ht="15">
      <c r="A7671" s="84" t="s">
        <v>390</v>
      </c>
      <c r="B7671" s="83" t="s">
        <v>3419</v>
      </c>
      <c r="C7671" s="91" t="s">
        <v>1290</v>
      </c>
    </row>
    <row r="7672" spans="1:3" ht="15">
      <c r="A7672" s="84" t="s">
        <v>390</v>
      </c>
      <c r="B7672" s="83" t="s">
        <v>3221</v>
      </c>
      <c r="C7672" s="91" t="s">
        <v>1290</v>
      </c>
    </row>
    <row r="7673" spans="1:3" ht="15">
      <c r="A7673" s="84" t="s">
        <v>390</v>
      </c>
      <c r="B7673" s="83" t="s">
        <v>3254</v>
      </c>
      <c r="C7673" s="91" t="s">
        <v>1290</v>
      </c>
    </row>
    <row r="7674" spans="1:3" ht="15">
      <c r="A7674" s="84" t="s">
        <v>390</v>
      </c>
      <c r="B7674" s="83" t="s">
        <v>3420</v>
      </c>
      <c r="C7674" s="91" t="s">
        <v>1290</v>
      </c>
    </row>
    <row r="7675" spans="1:3" ht="15">
      <c r="A7675" s="84" t="s">
        <v>390</v>
      </c>
      <c r="B7675" s="83" t="s">
        <v>3421</v>
      </c>
      <c r="C7675" s="91" t="s">
        <v>1290</v>
      </c>
    </row>
    <row r="7676" spans="1:3" ht="15">
      <c r="A7676" s="84" t="s">
        <v>390</v>
      </c>
      <c r="B7676" s="83" t="s">
        <v>586</v>
      </c>
      <c r="C7676" s="91" t="s">
        <v>1290</v>
      </c>
    </row>
    <row r="7677" spans="1:3" ht="15">
      <c r="A7677" s="84" t="s">
        <v>390</v>
      </c>
      <c r="B7677" s="83" t="s">
        <v>3393</v>
      </c>
      <c r="C7677" s="91" t="s">
        <v>1290</v>
      </c>
    </row>
    <row r="7678" spans="1:3" ht="15">
      <c r="A7678" s="84" t="s">
        <v>390</v>
      </c>
      <c r="B7678" s="83" t="s">
        <v>3422</v>
      </c>
      <c r="C7678" s="91" t="s">
        <v>1290</v>
      </c>
    </row>
    <row r="7679" spans="1:3" ht="15">
      <c r="A7679" s="84" t="s">
        <v>318</v>
      </c>
      <c r="B7679" s="83" t="s">
        <v>3340</v>
      </c>
      <c r="C7679" s="91" t="s">
        <v>1137</v>
      </c>
    </row>
    <row r="7680" spans="1:3" ht="15">
      <c r="A7680" s="84" t="s">
        <v>318</v>
      </c>
      <c r="B7680" s="83" t="s">
        <v>3213</v>
      </c>
      <c r="C7680" s="91" t="s">
        <v>1137</v>
      </c>
    </row>
    <row r="7681" spans="1:3" ht="15">
      <c r="A7681" s="84" t="s">
        <v>318</v>
      </c>
      <c r="B7681" s="83" t="s">
        <v>3341</v>
      </c>
      <c r="C7681" s="91" t="s">
        <v>1137</v>
      </c>
    </row>
    <row r="7682" spans="1:3" ht="15">
      <c r="A7682" s="84" t="s">
        <v>318</v>
      </c>
      <c r="B7682" s="83" t="s">
        <v>3342</v>
      </c>
      <c r="C7682" s="91" t="s">
        <v>1137</v>
      </c>
    </row>
    <row r="7683" spans="1:3" ht="15">
      <c r="A7683" s="84" t="s">
        <v>318</v>
      </c>
      <c r="B7683" s="83" t="s">
        <v>3343</v>
      </c>
      <c r="C7683" s="91" t="s">
        <v>1137</v>
      </c>
    </row>
    <row r="7684" spans="1:3" ht="15">
      <c r="A7684" s="84" t="s">
        <v>318</v>
      </c>
      <c r="B7684" s="83" t="s">
        <v>3344</v>
      </c>
      <c r="C7684" s="91" t="s">
        <v>1137</v>
      </c>
    </row>
    <row r="7685" spans="1:3" ht="15">
      <c r="A7685" s="84" t="s">
        <v>318</v>
      </c>
      <c r="B7685" s="83" t="s">
        <v>3345</v>
      </c>
      <c r="C7685" s="91" t="s">
        <v>1137</v>
      </c>
    </row>
    <row r="7686" spans="1:3" ht="15">
      <c r="A7686" s="84" t="s">
        <v>318</v>
      </c>
      <c r="B7686" s="83" t="s">
        <v>3290</v>
      </c>
      <c r="C7686" s="91" t="s">
        <v>1137</v>
      </c>
    </row>
    <row r="7687" spans="1:3" ht="15">
      <c r="A7687" s="84" t="s">
        <v>318</v>
      </c>
      <c r="B7687" s="83" t="s">
        <v>2179</v>
      </c>
      <c r="C7687" s="91" t="s">
        <v>1137</v>
      </c>
    </row>
    <row r="7688" spans="1:3" ht="15">
      <c r="A7688" s="84" t="s">
        <v>318</v>
      </c>
      <c r="B7688" s="83" t="s">
        <v>3300</v>
      </c>
      <c r="C7688" s="91" t="s">
        <v>1137</v>
      </c>
    </row>
    <row r="7689" spans="1:3" ht="15">
      <c r="A7689" s="84" t="s">
        <v>318</v>
      </c>
      <c r="B7689" s="83" t="s">
        <v>3301</v>
      </c>
      <c r="C7689" s="91" t="s">
        <v>1137</v>
      </c>
    </row>
    <row r="7690" spans="1:3" ht="15">
      <c r="A7690" s="84" t="s">
        <v>318</v>
      </c>
      <c r="B7690" s="83" t="s">
        <v>3302</v>
      </c>
      <c r="C7690" s="91" t="s">
        <v>1137</v>
      </c>
    </row>
    <row r="7691" spans="1:3" ht="15">
      <c r="A7691" s="84" t="s">
        <v>318</v>
      </c>
      <c r="B7691" s="83" t="s">
        <v>3303</v>
      </c>
      <c r="C7691" s="91" t="s">
        <v>1137</v>
      </c>
    </row>
    <row r="7692" spans="1:3" ht="15">
      <c r="A7692" s="84" t="s">
        <v>318</v>
      </c>
      <c r="B7692" s="83" t="s">
        <v>3291</v>
      </c>
      <c r="C7692" s="91" t="s">
        <v>1137</v>
      </c>
    </row>
    <row r="7693" spans="1:3" ht="15">
      <c r="A7693" s="84" t="s">
        <v>318</v>
      </c>
      <c r="B7693" s="83" t="s">
        <v>3292</v>
      </c>
      <c r="C7693" s="91" t="s">
        <v>1137</v>
      </c>
    </row>
    <row r="7694" spans="1:3" ht="15">
      <c r="A7694" s="84" t="s">
        <v>318</v>
      </c>
      <c r="B7694" s="83" t="s">
        <v>3293</v>
      </c>
      <c r="C7694" s="91" t="s">
        <v>1137</v>
      </c>
    </row>
    <row r="7695" spans="1:3" ht="15">
      <c r="A7695" s="84" t="s">
        <v>318</v>
      </c>
      <c r="B7695" s="83" t="s">
        <v>3294</v>
      </c>
      <c r="C7695" s="91" t="s">
        <v>1137</v>
      </c>
    </row>
    <row r="7696" spans="1:3" ht="15">
      <c r="A7696" s="84" t="s">
        <v>318</v>
      </c>
      <c r="B7696" s="83" t="s">
        <v>3295</v>
      </c>
      <c r="C7696" s="91" t="s">
        <v>1137</v>
      </c>
    </row>
    <row r="7697" spans="1:3" ht="15">
      <c r="A7697" s="84" t="s">
        <v>318</v>
      </c>
      <c r="B7697" s="83" t="s">
        <v>3237</v>
      </c>
      <c r="C7697" s="91" t="s">
        <v>1137</v>
      </c>
    </row>
    <row r="7698" spans="1:3" ht="15">
      <c r="A7698" s="84" t="s">
        <v>318</v>
      </c>
      <c r="B7698" s="83" t="s">
        <v>3296</v>
      </c>
      <c r="C7698" s="91" t="s">
        <v>1137</v>
      </c>
    </row>
    <row r="7699" spans="1:3" ht="15">
      <c r="A7699" s="84" t="s">
        <v>318</v>
      </c>
      <c r="B7699" s="83" t="s">
        <v>3297</v>
      </c>
      <c r="C7699" s="91" t="s">
        <v>1137</v>
      </c>
    </row>
    <row r="7700" spans="1:3" ht="15">
      <c r="A7700" s="84" t="s">
        <v>318</v>
      </c>
      <c r="B7700" s="83" t="s">
        <v>3218</v>
      </c>
      <c r="C7700" s="91" t="s">
        <v>1137</v>
      </c>
    </row>
    <row r="7701" spans="1:3" ht="15">
      <c r="A7701" s="84" t="s">
        <v>318</v>
      </c>
      <c r="B7701" s="83" t="s">
        <v>3346</v>
      </c>
      <c r="C7701" s="91" t="s">
        <v>1137</v>
      </c>
    </row>
    <row r="7702" spans="1:3" ht="15">
      <c r="A7702" s="84" t="s">
        <v>318</v>
      </c>
      <c r="B7702" s="83" t="s">
        <v>3298</v>
      </c>
      <c r="C7702" s="91" t="s">
        <v>1137</v>
      </c>
    </row>
    <row r="7703" spans="1:3" ht="15">
      <c r="A7703" s="84" t="s">
        <v>318</v>
      </c>
      <c r="B7703" s="83" t="s">
        <v>3299</v>
      </c>
      <c r="C7703" s="91" t="s">
        <v>1137</v>
      </c>
    </row>
    <row r="7704" spans="1:3" ht="15">
      <c r="A7704" s="84" t="s">
        <v>318</v>
      </c>
      <c r="B7704" s="83" t="s">
        <v>3199</v>
      </c>
      <c r="C7704" s="91" t="s">
        <v>1137</v>
      </c>
    </row>
    <row r="7705" spans="1:3" ht="15">
      <c r="A7705" s="84" t="s">
        <v>318</v>
      </c>
      <c r="B7705" s="83" t="s">
        <v>3347</v>
      </c>
      <c r="C7705" s="91" t="s">
        <v>1137</v>
      </c>
    </row>
    <row r="7706" spans="1:3" ht="15">
      <c r="A7706" s="84" t="s">
        <v>317</v>
      </c>
      <c r="B7706" s="83" t="s">
        <v>3423</v>
      </c>
      <c r="C7706" s="91" t="s">
        <v>1136</v>
      </c>
    </row>
    <row r="7707" spans="1:3" ht="15">
      <c r="A7707" s="84" t="s">
        <v>317</v>
      </c>
      <c r="B7707" s="83" t="s">
        <v>3203</v>
      </c>
      <c r="C7707" s="91" t="s">
        <v>1136</v>
      </c>
    </row>
    <row r="7708" spans="1:3" ht="15">
      <c r="A7708" s="84" t="s">
        <v>317</v>
      </c>
      <c r="B7708" s="83">
        <v>19</v>
      </c>
      <c r="C7708" s="91" t="s">
        <v>1136</v>
      </c>
    </row>
    <row r="7709" spans="1:3" ht="15">
      <c r="A7709" s="84" t="s">
        <v>317</v>
      </c>
      <c r="B7709" s="83" t="s">
        <v>2697</v>
      </c>
      <c r="C7709" s="91" t="s">
        <v>1136</v>
      </c>
    </row>
    <row r="7710" spans="1:3" ht="15">
      <c r="A7710" s="84" t="s">
        <v>317</v>
      </c>
      <c r="B7710" s="83" t="s">
        <v>2590</v>
      </c>
      <c r="C7710" s="91" t="s">
        <v>1136</v>
      </c>
    </row>
    <row r="7711" spans="1:3" ht="15">
      <c r="A7711" s="84" t="s">
        <v>317</v>
      </c>
      <c r="B7711" s="83" t="s">
        <v>3424</v>
      </c>
      <c r="C7711" s="91" t="s">
        <v>1136</v>
      </c>
    </row>
    <row r="7712" spans="1:3" ht="15">
      <c r="A7712" s="84" t="s">
        <v>317</v>
      </c>
      <c r="B7712" s="83" t="s">
        <v>3198</v>
      </c>
      <c r="C7712" s="91" t="s">
        <v>1136</v>
      </c>
    </row>
    <row r="7713" spans="1:3" ht="15">
      <c r="A7713" s="84" t="s">
        <v>317</v>
      </c>
      <c r="B7713" s="83" t="s">
        <v>3411</v>
      </c>
      <c r="C7713" s="91" t="s">
        <v>1136</v>
      </c>
    </row>
    <row r="7714" spans="1:3" ht="15">
      <c r="A7714" s="84" t="s">
        <v>317</v>
      </c>
      <c r="B7714" s="83" t="s">
        <v>3223</v>
      </c>
      <c r="C7714" s="91" t="s">
        <v>1136</v>
      </c>
    </row>
    <row r="7715" spans="1:3" ht="15">
      <c r="A7715" s="84" t="s">
        <v>317</v>
      </c>
      <c r="B7715" s="83" t="s">
        <v>3412</v>
      </c>
      <c r="C7715" s="91" t="s">
        <v>1136</v>
      </c>
    </row>
    <row r="7716" spans="1:3" ht="15">
      <c r="A7716" s="84" t="s">
        <v>317</v>
      </c>
      <c r="B7716" s="83" t="s">
        <v>3413</v>
      </c>
      <c r="C7716" s="91" t="s">
        <v>1136</v>
      </c>
    </row>
    <row r="7717" spans="1:3" ht="15">
      <c r="A7717" s="84" t="s">
        <v>317</v>
      </c>
      <c r="B7717" s="83" t="s">
        <v>3215</v>
      </c>
      <c r="C7717" s="91" t="s">
        <v>1136</v>
      </c>
    </row>
    <row r="7718" spans="1:3" ht="15">
      <c r="A7718" s="84" t="s">
        <v>317</v>
      </c>
      <c r="B7718" s="83" t="s">
        <v>3414</v>
      </c>
      <c r="C7718" s="91" t="s">
        <v>1136</v>
      </c>
    </row>
    <row r="7719" spans="1:3" ht="15">
      <c r="A7719" s="84" t="s">
        <v>317</v>
      </c>
      <c r="B7719" s="83" t="s">
        <v>3415</v>
      </c>
      <c r="C7719" s="91" t="s">
        <v>1136</v>
      </c>
    </row>
    <row r="7720" spans="1:3" ht="15">
      <c r="A7720" s="84" t="s">
        <v>317</v>
      </c>
      <c r="B7720" s="83" t="s">
        <v>3416</v>
      </c>
      <c r="C7720" s="91" t="s">
        <v>1136</v>
      </c>
    </row>
    <row r="7721" spans="1:3" ht="15">
      <c r="A7721" s="84" t="s">
        <v>317</v>
      </c>
      <c r="B7721" s="83" t="s">
        <v>3425</v>
      </c>
      <c r="C7721" s="91" t="s">
        <v>1136</v>
      </c>
    </row>
    <row r="7722" spans="1:3" ht="15">
      <c r="A7722" s="84" t="s">
        <v>317</v>
      </c>
      <c r="B7722" s="83" t="s">
        <v>3418</v>
      </c>
      <c r="C7722" s="91" t="s">
        <v>1136</v>
      </c>
    </row>
    <row r="7723" spans="1:3" ht="15">
      <c r="A7723" s="84" t="s">
        <v>317</v>
      </c>
      <c r="B7723" s="83" t="s">
        <v>3219</v>
      </c>
      <c r="C7723" s="91" t="s">
        <v>1136</v>
      </c>
    </row>
    <row r="7724" spans="1:3" ht="15">
      <c r="A7724" s="84" t="s">
        <v>317</v>
      </c>
      <c r="B7724" s="83" t="s">
        <v>3221</v>
      </c>
      <c r="C7724" s="91" t="s">
        <v>1136</v>
      </c>
    </row>
    <row r="7725" spans="1:3" ht="15">
      <c r="A7725" s="84" t="s">
        <v>317</v>
      </c>
      <c r="B7725" s="83" t="s">
        <v>3254</v>
      </c>
      <c r="C7725" s="91" t="s">
        <v>1136</v>
      </c>
    </row>
    <row r="7726" spans="1:3" ht="15">
      <c r="A7726" s="84" t="s">
        <v>317</v>
      </c>
      <c r="B7726" s="83" t="s">
        <v>3421</v>
      </c>
      <c r="C7726" s="91" t="s">
        <v>1136</v>
      </c>
    </row>
    <row r="7727" spans="1:3" ht="15">
      <c r="A7727" s="84" t="s">
        <v>317</v>
      </c>
      <c r="B7727" s="83" t="s">
        <v>3199</v>
      </c>
      <c r="C7727" s="91" t="s">
        <v>1136</v>
      </c>
    </row>
    <row r="7728" spans="1:3" ht="15">
      <c r="A7728" s="84" t="s">
        <v>317</v>
      </c>
      <c r="B7728" s="83" t="s">
        <v>3393</v>
      </c>
      <c r="C7728" s="91" t="s">
        <v>1136</v>
      </c>
    </row>
    <row r="7729" spans="1:3" ht="15">
      <c r="A7729" s="84" t="s">
        <v>317</v>
      </c>
      <c r="B7729" s="83" t="s">
        <v>3426</v>
      </c>
      <c r="C7729" s="91" t="s">
        <v>1136</v>
      </c>
    </row>
    <row r="7730" spans="1:3" ht="15">
      <c r="A7730" s="84" t="s">
        <v>317</v>
      </c>
      <c r="B7730" s="83" t="s">
        <v>3420</v>
      </c>
      <c r="C7730" s="91" t="s">
        <v>1136</v>
      </c>
    </row>
    <row r="7731" spans="1:3" ht="15">
      <c r="A7731" s="84" t="s">
        <v>316</v>
      </c>
      <c r="B7731" s="83" t="s">
        <v>3308</v>
      </c>
      <c r="C7731" s="91" t="s">
        <v>1135</v>
      </c>
    </row>
    <row r="7732" spans="1:3" ht="15">
      <c r="A7732" s="84" t="s">
        <v>316</v>
      </c>
      <c r="B7732" s="83" t="s">
        <v>2568</v>
      </c>
      <c r="C7732" s="91" t="s">
        <v>1135</v>
      </c>
    </row>
    <row r="7733" spans="1:3" ht="15">
      <c r="A7733" s="84" t="s">
        <v>316</v>
      </c>
      <c r="B7733" s="83" t="s">
        <v>3203</v>
      </c>
      <c r="C7733" s="91" t="s">
        <v>1135</v>
      </c>
    </row>
    <row r="7734" spans="1:3" ht="15">
      <c r="A7734" s="84" t="s">
        <v>316</v>
      </c>
      <c r="B7734" s="83">
        <v>19</v>
      </c>
      <c r="C7734" s="91" t="s">
        <v>1135</v>
      </c>
    </row>
    <row r="7735" spans="1:3" ht="15">
      <c r="A7735" s="84" t="s">
        <v>316</v>
      </c>
      <c r="B7735" s="83" t="s">
        <v>3309</v>
      </c>
      <c r="C7735" s="91" t="s">
        <v>1135</v>
      </c>
    </row>
    <row r="7736" spans="1:3" ht="15">
      <c r="A7736" s="84" t="s">
        <v>316</v>
      </c>
      <c r="B7736" s="83" t="s">
        <v>2666</v>
      </c>
      <c r="C7736" s="91" t="s">
        <v>1135</v>
      </c>
    </row>
    <row r="7737" spans="1:3" ht="15">
      <c r="A7737" s="84" t="s">
        <v>316</v>
      </c>
      <c r="B7737" s="83" t="s">
        <v>2630</v>
      </c>
      <c r="C7737" s="91" t="s">
        <v>1135</v>
      </c>
    </row>
    <row r="7738" spans="1:3" ht="15">
      <c r="A7738" s="84" t="s">
        <v>316</v>
      </c>
      <c r="B7738" s="83" t="s">
        <v>2676</v>
      </c>
      <c r="C7738" s="91" t="s">
        <v>1135</v>
      </c>
    </row>
    <row r="7739" spans="1:3" ht="15">
      <c r="A7739" s="84" t="s">
        <v>316</v>
      </c>
      <c r="B7739" s="83" t="s">
        <v>2580</v>
      </c>
      <c r="C7739" s="91" t="s">
        <v>1135</v>
      </c>
    </row>
    <row r="7740" spans="1:3" ht="15">
      <c r="A7740" s="84" t="s">
        <v>316</v>
      </c>
      <c r="B7740" s="83" t="s">
        <v>2677</v>
      </c>
      <c r="C7740" s="91" t="s">
        <v>1135</v>
      </c>
    </row>
    <row r="7741" spans="1:3" ht="15">
      <c r="A7741" s="84" t="s">
        <v>316</v>
      </c>
      <c r="B7741" s="83" t="s">
        <v>3310</v>
      </c>
      <c r="C7741" s="91" t="s">
        <v>1135</v>
      </c>
    </row>
    <row r="7742" spans="1:3" ht="15">
      <c r="A7742" s="84" t="s">
        <v>316</v>
      </c>
      <c r="B7742" s="83" t="s">
        <v>3282</v>
      </c>
      <c r="C7742" s="91" t="s">
        <v>1135</v>
      </c>
    </row>
    <row r="7743" spans="1:3" ht="15">
      <c r="A7743" s="84" t="s">
        <v>316</v>
      </c>
      <c r="B7743" s="83" t="s">
        <v>3311</v>
      </c>
      <c r="C7743" s="91" t="s">
        <v>1135</v>
      </c>
    </row>
    <row r="7744" spans="1:3" ht="15">
      <c r="A7744" s="84" t="s">
        <v>316</v>
      </c>
      <c r="B7744" s="83" t="s">
        <v>2577</v>
      </c>
      <c r="C7744" s="91" t="s">
        <v>1135</v>
      </c>
    </row>
    <row r="7745" spans="1:3" ht="15">
      <c r="A7745" s="84" t="s">
        <v>316</v>
      </c>
      <c r="B7745" s="83" t="s">
        <v>2658</v>
      </c>
      <c r="C7745" s="91" t="s">
        <v>1135</v>
      </c>
    </row>
    <row r="7746" spans="1:3" ht="15">
      <c r="A7746" s="84" t="s">
        <v>316</v>
      </c>
      <c r="B7746" s="83" t="s">
        <v>2653</v>
      </c>
      <c r="C7746" s="91" t="s">
        <v>1135</v>
      </c>
    </row>
    <row r="7747" spans="1:3" ht="15">
      <c r="A7747" s="84" t="s">
        <v>316</v>
      </c>
      <c r="B7747" s="83" t="s">
        <v>2667</v>
      </c>
      <c r="C7747" s="91" t="s">
        <v>1135</v>
      </c>
    </row>
    <row r="7748" spans="1:3" ht="15">
      <c r="A7748" s="84" t="s">
        <v>316</v>
      </c>
      <c r="B7748" s="83" t="s">
        <v>2578</v>
      </c>
      <c r="C7748" s="91" t="s">
        <v>1135</v>
      </c>
    </row>
    <row r="7749" spans="1:3" ht="15">
      <c r="A7749" s="84" t="s">
        <v>316</v>
      </c>
      <c r="B7749" s="83" t="s">
        <v>2678</v>
      </c>
      <c r="C7749" s="91" t="s">
        <v>1135</v>
      </c>
    </row>
    <row r="7750" spans="1:3" ht="15">
      <c r="A7750" s="84" t="s">
        <v>316</v>
      </c>
      <c r="B7750" s="83" t="s">
        <v>3312</v>
      </c>
      <c r="C7750" s="91" t="s">
        <v>1135</v>
      </c>
    </row>
    <row r="7751" spans="1:3" ht="15">
      <c r="A7751" s="84" t="s">
        <v>316</v>
      </c>
      <c r="B7751" s="83" t="s">
        <v>3290</v>
      </c>
      <c r="C7751" s="91" t="s">
        <v>1135</v>
      </c>
    </row>
    <row r="7752" spans="1:3" ht="15">
      <c r="A7752" s="84" t="s">
        <v>316</v>
      </c>
      <c r="B7752" s="83" t="s">
        <v>3313</v>
      </c>
      <c r="C7752" s="91" t="s">
        <v>1135</v>
      </c>
    </row>
    <row r="7753" spans="1:3" ht="15">
      <c r="A7753" s="84" t="s">
        <v>316</v>
      </c>
      <c r="B7753" s="83" t="s">
        <v>3314</v>
      </c>
      <c r="C7753" s="91" t="s">
        <v>1135</v>
      </c>
    </row>
    <row r="7754" spans="1:3" ht="15">
      <c r="A7754" s="84" t="s">
        <v>316</v>
      </c>
      <c r="B7754" s="83" t="s">
        <v>3315</v>
      </c>
      <c r="C7754" s="91" t="s">
        <v>1135</v>
      </c>
    </row>
    <row r="7755" spans="1:3" ht="15">
      <c r="A7755" s="84" t="s">
        <v>316</v>
      </c>
      <c r="B7755" s="83" t="s">
        <v>586</v>
      </c>
      <c r="C7755" s="91" t="s">
        <v>1135</v>
      </c>
    </row>
    <row r="7756" spans="1:3" ht="15">
      <c r="A7756" s="84" t="s">
        <v>316</v>
      </c>
      <c r="B7756" s="83" t="s">
        <v>3258</v>
      </c>
      <c r="C7756" s="91" t="s">
        <v>1135</v>
      </c>
    </row>
    <row r="7757" spans="1:3" ht="15">
      <c r="A7757" s="84" t="s">
        <v>315</v>
      </c>
      <c r="B7757" s="83" t="s">
        <v>3308</v>
      </c>
      <c r="C7757" s="91" t="s">
        <v>1134</v>
      </c>
    </row>
    <row r="7758" spans="1:3" ht="15">
      <c r="A7758" s="84" t="s">
        <v>315</v>
      </c>
      <c r="B7758" s="83" t="s">
        <v>2568</v>
      </c>
      <c r="C7758" s="91" t="s">
        <v>1134</v>
      </c>
    </row>
    <row r="7759" spans="1:3" ht="15">
      <c r="A7759" s="84" t="s">
        <v>315</v>
      </c>
      <c r="B7759" s="83" t="s">
        <v>3203</v>
      </c>
      <c r="C7759" s="91" t="s">
        <v>1134</v>
      </c>
    </row>
    <row r="7760" spans="1:3" ht="15">
      <c r="A7760" s="84" t="s">
        <v>315</v>
      </c>
      <c r="B7760" s="83">
        <v>19</v>
      </c>
      <c r="C7760" s="91" t="s">
        <v>1134</v>
      </c>
    </row>
    <row r="7761" spans="1:3" ht="15">
      <c r="A7761" s="84" t="s">
        <v>315</v>
      </c>
      <c r="B7761" s="83" t="s">
        <v>3309</v>
      </c>
      <c r="C7761" s="91" t="s">
        <v>1134</v>
      </c>
    </row>
    <row r="7762" spans="1:3" ht="15">
      <c r="A7762" s="84" t="s">
        <v>315</v>
      </c>
      <c r="B7762" s="83" t="s">
        <v>2666</v>
      </c>
      <c r="C7762" s="91" t="s">
        <v>1134</v>
      </c>
    </row>
    <row r="7763" spans="1:3" ht="15">
      <c r="A7763" s="84" t="s">
        <v>315</v>
      </c>
      <c r="B7763" s="83" t="s">
        <v>2630</v>
      </c>
      <c r="C7763" s="91" t="s">
        <v>1134</v>
      </c>
    </row>
    <row r="7764" spans="1:3" ht="15">
      <c r="A7764" s="84" t="s">
        <v>315</v>
      </c>
      <c r="B7764" s="83" t="s">
        <v>2676</v>
      </c>
      <c r="C7764" s="91" t="s">
        <v>1134</v>
      </c>
    </row>
    <row r="7765" spans="1:3" ht="15">
      <c r="A7765" s="84" t="s">
        <v>315</v>
      </c>
      <c r="B7765" s="83" t="s">
        <v>2580</v>
      </c>
      <c r="C7765" s="91" t="s">
        <v>1134</v>
      </c>
    </row>
    <row r="7766" spans="1:3" ht="15">
      <c r="A7766" s="84" t="s">
        <v>315</v>
      </c>
      <c r="B7766" s="83" t="s">
        <v>2677</v>
      </c>
      <c r="C7766" s="91" t="s">
        <v>1134</v>
      </c>
    </row>
    <row r="7767" spans="1:3" ht="15">
      <c r="A7767" s="84" t="s">
        <v>315</v>
      </c>
      <c r="B7767" s="83" t="s">
        <v>3310</v>
      </c>
      <c r="C7767" s="91" t="s">
        <v>1134</v>
      </c>
    </row>
    <row r="7768" spans="1:3" ht="15">
      <c r="A7768" s="84" t="s">
        <v>315</v>
      </c>
      <c r="B7768" s="83" t="s">
        <v>3282</v>
      </c>
      <c r="C7768" s="91" t="s">
        <v>1134</v>
      </c>
    </row>
    <row r="7769" spans="1:3" ht="15">
      <c r="A7769" s="84" t="s">
        <v>315</v>
      </c>
      <c r="B7769" s="83" t="s">
        <v>3311</v>
      </c>
      <c r="C7769" s="91" t="s">
        <v>1134</v>
      </c>
    </row>
    <row r="7770" spans="1:3" ht="15">
      <c r="A7770" s="84" t="s">
        <v>315</v>
      </c>
      <c r="B7770" s="83" t="s">
        <v>2577</v>
      </c>
      <c r="C7770" s="91" t="s">
        <v>1134</v>
      </c>
    </row>
    <row r="7771" spans="1:3" ht="15">
      <c r="A7771" s="84" t="s">
        <v>315</v>
      </c>
      <c r="B7771" s="83" t="s">
        <v>2658</v>
      </c>
      <c r="C7771" s="91" t="s">
        <v>1134</v>
      </c>
    </row>
    <row r="7772" spans="1:3" ht="15">
      <c r="A7772" s="84" t="s">
        <v>315</v>
      </c>
      <c r="B7772" s="83" t="s">
        <v>2653</v>
      </c>
      <c r="C7772" s="91" t="s">
        <v>1134</v>
      </c>
    </row>
    <row r="7773" spans="1:3" ht="15">
      <c r="A7773" s="84" t="s">
        <v>315</v>
      </c>
      <c r="B7773" s="83" t="s">
        <v>2667</v>
      </c>
      <c r="C7773" s="91" t="s">
        <v>1134</v>
      </c>
    </row>
    <row r="7774" spans="1:3" ht="15">
      <c r="A7774" s="84" t="s">
        <v>315</v>
      </c>
      <c r="B7774" s="83" t="s">
        <v>2578</v>
      </c>
      <c r="C7774" s="91" t="s">
        <v>1134</v>
      </c>
    </row>
    <row r="7775" spans="1:3" ht="15">
      <c r="A7775" s="84" t="s">
        <v>315</v>
      </c>
      <c r="B7775" s="83" t="s">
        <v>2678</v>
      </c>
      <c r="C7775" s="91" t="s">
        <v>1134</v>
      </c>
    </row>
    <row r="7776" spans="1:3" ht="15">
      <c r="A7776" s="84" t="s">
        <v>315</v>
      </c>
      <c r="B7776" s="83" t="s">
        <v>3312</v>
      </c>
      <c r="C7776" s="91" t="s">
        <v>1134</v>
      </c>
    </row>
    <row r="7777" spans="1:3" ht="15">
      <c r="A7777" s="84" t="s">
        <v>315</v>
      </c>
      <c r="B7777" s="83" t="s">
        <v>3290</v>
      </c>
      <c r="C7777" s="91" t="s">
        <v>1134</v>
      </c>
    </row>
    <row r="7778" spans="1:3" ht="15">
      <c r="A7778" s="84" t="s">
        <v>315</v>
      </c>
      <c r="B7778" s="83" t="s">
        <v>3313</v>
      </c>
      <c r="C7778" s="91" t="s">
        <v>1134</v>
      </c>
    </row>
    <row r="7779" spans="1:3" ht="15">
      <c r="A7779" s="84" t="s">
        <v>315</v>
      </c>
      <c r="B7779" s="83" t="s">
        <v>3314</v>
      </c>
      <c r="C7779" s="91" t="s">
        <v>1134</v>
      </c>
    </row>
    <row r="7780" spans="1:3" ht="15">
      <c r="A7780" s="84" t="s">
        <v>315</v>
      </c>
      <c r="B7780" s="83" t="s">
        <v>3315</v>
      </c>
      <c r="C7780" s="91" t="s">
        <v>1134</v>
      </c>
    </row>
    <row r="7781" spans="1:3" ht="15">
      <c r="A7781" s="84" t="s">
        <v>315</v>
      </c>
      <c r="B7781" s="83" t="s">
        <v>586</v>
      </c>
      <c r="C7781" s="91" t="s">
        <v>1134</v>
      </c>
    </row>
    <row r="7782" spans="1:3" ht="15">
      <c r="A7782" s="84" t="s">
        <v>315</v>
      </c>
      <c r="B7782" s="83" t="s">
        <v>3258</v>
      </c>
      <c r="C7782" s="91" t="s">
        <v>1134</v>
      </c>
    </row>
    <row r="7783" spans="1:3" ht="15">
      <c r="A7783" s="84" t="s">
        <v>314</v>
      </c>
      <c r="B7783" s="83" t="s">
        <v>3308</v>
      </c>
      <c r="C7783" s="91" t="s">
        <v>1133</v>
      </c>
    </row>
    <row r="7784" spans="1:3" ht="15">
      <c r="A7784" s="84" t="s">
        <v>314</v>
      </c>
      <c r="B7784" s="83" t="s">
        <v>2568</v>
      </c>
      <c r="C7784" s="91" t="s">
        <v>1133</v>
      </c>
    </row>
    <row r="7785" spans="1:3" ht="15">
      <c r="A7785" s="84" t="s">
        <v>314</v>
      </c>
      <c r="B7785" s="83" t="s">
        <v>3203</v>
      </c>
      <c r="C7785" s="91" t="s">
        <v>1133</v>
      </c>
    </row>
    <row r="7786" spans="1:3" ht="15">
      <c r="A7786" s="84" t="s">
        <v>314</v>
      </c>
      <c r="B7786" s="83">
        <v>19</v>
      </c>
      <c r="C7786" s="91" t="s">
        <v>1133</v>
      </c>
    </row>
    <row r="7787" spans="1:3" ht="15">
      <c r="A7787" s="84" t="s">
        <v>314</v>
      </c>
      <c r="B7787" s="83" t="s">
        <v>3309</v>
      </c>
      <c r="C7787" s="91" t="s">
        <v>1133</v>
      </c>
    </row>
    <row r="7788" spans="1:3" ht="15">
      <c r="A7788" s="84" t="s">
        <v>314</v>
      </c>
      <c r="B7788" s="83" t="s">
        <v>2666</v>
      </c>
      <c r="C7788" s="91" t="s">
        <v>1133</v>
      </c>
    </row>
    <row r="7789" spans="1:3" ht="15">
      <c r="A7789" s="84" t="s">
        <v>314</v>
      </c>
      <c r="B7789" s="83" t="s">
        <v>2630</v>
      </c>
      <c r="C7789" s="91" t="s">
        <v>1133</v>
      </c>
    </row>
    <row r="7790" spans="1:3" ht="15">
      <c r="A7790" s="84" t="s">
        <v>314</v>
      </c>
      <c r="B7790" s="83" t="s">
        <v>2676</v>
      </c>
      <c r="C7790" s="91" t="s">
        <v>1133</v>
      </c>
    </row>
    <row r="7791" spans="1:3" ht="15">
      <c r="A7791" s="84" t="s">
        <v>314</v>
      </c>
      <c r="B7791" s="83" t="s">
        <v>2580</v>
      </c>
      <c r="C7791" s="91" t="s">
        <v>1133</v>
      </c>
    </row>
    <row r="7792" spans="1:3" ht="15">
      <c r="A7792" s="84" t="s">
        <v>314</v>
      </c>
      <c r="B7792" s="83" t="s">
        <v>2677</v>
      </c>
      <c r="C7792" s="91" t="s">
        <v>1133</v>
      </c>
    </row>
    <row r="7793" spans="1:3" ht="15">
      <c r="A7793" s="84" t="s">
        <v>314</v>
      </c>
      <c r="B7793" s="83" t="s">
        <v>3310</v>
      </c>
      <c r="C7793" s="91" t="s">
        <v>1133</v>
      </c>
    </row>
    <row r="7794" spans="1:3" ht="15">
      <c r="A7794" s="84" t="s">
        <v>314</v>
      </c>
      <c r="B7794" s="83" t="s">
        <v>3282</v>
      </c>
      <c r="C7794" s="91" t="s">
        <v>1133</v>
      </c>
    </row>
    <row r="7795" spans="1:3" ht="15">
      <c r="A7795" s="84" t="s">
        <v>314</v>
      </c>
      <c r="B7795" s="83" t="s">
        <v>3311</v>
      </c>
      <c r="C7795" s="91" t="s">
        <v>1133</v>
      </c>
    </row>
    <row r="7796" spans="1:3" ht="15">
      <c r="A7796" s="84" t="s">
        <v>314</v>
      </c>
      <c r="B7796" s="83" t="s">
        <v>2577</v>
      </c>
      <c r="C7796" s="91" t="s">
        <v>1133</v>
      </c>
    </row>
    <row r="7797" spans="1:3" ht="15">
      <c r="A7797" s="84" t="s">
        <v>314</v>
      </c>
      <c r="B7797" s="83" t="s">
        <v>2658</v>
      </c>
      <c r="C7797" s="91" t="s">
        <v>1133</v>
      </c>
    </row>
    <row r="7798" spans="1:3" ht="15">
      <c r="A7798" s="84" t="s">
        <v>314</v>
      </c>
      <c r="B7798" s="83" t="s">
        <v>2653</v>
      </c>
      <c r="C7798" s="91" t="s">
        <v>1133</v>
      </c>
    </row>
    <row r="7799" spans="1:3" ht="15">
      <c r="A7799" s="84" t="s">
        <v>314</v>
      </c>
      <c r="B7799" s="83" t="s">
        <v>2667</v>
      </c>
      <c r="C7799" s="91" t="s">
        <v>1133</v>
      </c>
    </row>
    <row r="7800" spans="1:3" ht="15">
      <c r="A7800" s="84" t="s">
        <v>314</v>
      </c>
      <c r="B7800" s="83" t="s">
        <v>2578</v>
      </c>
      <c r="C7800" s="91" t="s">
        <v>1133</v>
      </c>
    </row>
    <row r="7801" spans="1:3" ht="15">
      <c r="A7801" s="84" t="s">
        <v>314</v>
      </c>
      <c r="B7801" s="83" t="s">
        <v>2678</v>
      </c>
      <c r="C7801" s="91" t="s">
        <v>1133</v>
      </c>
    </row>
    <row r="7802" spans="1:3" ht="15">
      <c r="A7802" s="84" t="s">
        <v>314</v>
      </c>
      <c r="B7802" s="83" t="s">
        <v>3312</v>
      </c>
      <c r="C7802" s="91" t="s">
        <v>1133</v>
      </c>
    </row>
    <row r="7803" spans="1:3" ht="15">
      <c r="A7803" s="84" t="s">
        <v>314</v>
      </c>
      <c r="B7803" s="83" t="s">
        <v>3290</v>
      </c>
      <c r="C7803" s="91" t="s">
        <v>1133</v>
      </c>
    </row>
    <row r="7804" spans="1:3" ht="15">
      <c r="A7804" s="84" t="s">
        <v>314</v>
      </c>
      <c r="B7804" s="83" t="s">
        <v>3313</v>
      </c>
      <c r="C7804" s="91" t="s">
        <v>1133</v>
      </c>
    </row>
    <row r="7805" spans="1:3" ht="15">
      <c r="A7805" s="84" t="s">
        <v>314</v>
      </c>
      <c r="B7805" s="83" t="s">
        <v>3314</v>
      </c>
      <c r="C7805" s="91" t="s">
        <v>1133</v>
      </c>
    </row>
    <row r="7806" spans="1:3" ht="15">
      <c r="A7806" s="84" t="s">
        <v>314</v>
      </c>
      <c r="B7806" s="83" t="s">
        <v>3315</v>
      </c>
      <c r="C7806" s="91" t="s">
        <v>1133</v>
      </c>
    </row>
    <row r="7807" spans="1:3" ht="15">
      <c r="A7807" s="84" t="s">
        <v>314</v>
      </c>
      <c r="B7807" s="83" t="s">
        <v>586</v>
      </c>
      <c r="C7807" s="91" t="s">
        <v>1133</v>
      </c>
    </row>
    <row r="7808" spans="1:3" ht="15">
      <c r="A7808" s="84" t="s">
        <v>314</v>
      </c>
      <c r="B7808" s="83" t="s">
        <v>3258</v>
      </c>
      <c r="C7808" s="91" t="s">
        <v>1133</v>
      </c>
    </row>
    <row r="7809" spans="1:3" ht="15">
      <c r="A7809" s="84" t="s">
        <v>313</v>
      </c>
      <c r="B7809" s="83" t="s">
        <v>3423</v>
      </c>
      <c r="C7809" s="91" t="s">
        <v>1132</v>
      </c>
    </row>
    <row r="7810" spans="1:3" ht="15">
      <c r="A7810" s="84" t="s">
        <v>313</v>
      </c>
      <c r="B7810" s="83" t="s">
        <v>3203</v>
      </c>
      <c r="C7810" s="91" t="s">
        <v>1132</v>
      </c>
    </row>
    <row r="7811" spans="1:3" ht="15">
      <c r="A7811" s="84" t="s">
        <v>313</v>
      </c>
      <c r="B7811" s="83">
        <v>19</v>
      </c>
      <c r="C7811" s="91" t="s">
        <v>1132</v>
      </c>
    </row>
    <row r="7812" spans="1:3" ht="15">
      <c r="A7812" s="84" t="s">
        <v>313</v>
      </c>
      <c r="B7812" s="83" t="s">
        <v>2697</v>
      </c>
      <c r="C7812" s="91" t="s">
        <v>1132</v>
      </c>
    </row>
    <row r="7813" spans="1:3" ht="15">
      <c r="A7813" s="84" t="s">
        <v>313</v>
      </c>
      <c r="B7813" s="83" t="s">
        <v>2590</v>
      </c>
      <c r="C7813" s="91" t="s">
        <v>1132</v>
      </c>
    </row>
    <row r="7814" spans="1:3" ht="15">
      <c r="A7814" s="84" t="s">
        <v>313</v>
      </c>
      <c r="B7814" s="83" t="s">
        <v>3424</v>
      </c>
      <c r="C7814" s="91" t="s">
        <v>1132</v>
      </c>
    </row>
    <row r="7815" spans="1:3" ht="15">
      <c r="A7815" s="84" t="s">
        <v>313</v>
      </c>
      <c r="B7815" s="83" t="s">
        <v>3198</v>
      </c>
      <c r="C7815" s="91" t="s">
        <v>1132</v>
      </c>
    </row>
    <row r="7816" spans="1:3" ht="15">
      <c r="A7816" s="84" t="s">
        <v>313</v>
      </c>
      <c r="B7816" s="83" t="s">
        <v>3411</v>
      </c>
      <c r="C7816" s="91" t="s">
        <v>1132</v>
      </c>
    </row>
    <row r="7817" spans="1:3" ht="15">
      <c r="A7817" s="84" t="s">
        <v>313</v>
      </c>
      <c r="B7817" s="83" t="s">
        <v>3223</v>
      </c>
      <c r="C7817" s="91" t="s">
        <v>1132</v>
      </c>
    </row>
    <row r="7818" spans="1:3" ht="15">
      <c r="A7818" s="84" t="s">
        <v>313</v>
      </c>
      <c r="B7818" s="83" t="s">
        <v>3412</v>
      </c>
      <c r="C7818" s="91" t="s">
        <v>1132</v>
      </c>
    </row>
    <row r="7819" spans="1:3" ht="15">
      <c r="A7819" s="84" t="s">
        <v>313</v>
      </c>
      <c r="B7819" s="83" t="s">
        <v>3413</v>
      </c>
      <c r="C7819" s="91" t="s">
        <v>1132</v>
      </c>
    </row>
    <row r="7820" spans="1:3" ht="15">
      <c r="A7820" s="84" t="s">
        <v>313</v>
      </c>
      <c r="B7820" s="83" t="s">
        <v>3215</v>
      </c>
      <c r="C7820" s="91" t="s">
        <v>1132</v>
      </c>
    </row>
    <row r="7821" spans="1:3" ht="15">
      <c r="A7821" s="84" t="s">
        <v>313</v>
      </c>
      <c r="B7821" s="83" t="s">
        <v>3414</v>
      </c>
      <c r="C7821" s="91" t="s">
        <v>1132</v>
      </c>
    </row>
    <row r="7822" spans="1:3" ht="15">
      <c r="A7822" s="84" t="s">
        <v>313</v>
      </c>
      <c r="B7822" s="83" t="s">
        <v>3415</v>
      </c>
      <c r="C7822" s="91" t="s">
        <v>1132</v>
      </c>
    </row>
    <row r="7823" spans="1:3" ht="15">
      <c r="A7823" s="84" t="s">
        <v>313</v>
      </c>
      <c r="B7823" s="83" t="s">
        <v>3416</v>
      </c>
      <c r="C7823" s="91" t="s">
        <v>1132</v>
      </c>
    </row>
    <row r="7824" spans="1:3" ht="15">
      <c r="A7824" s="84" t="s">
        <v>313</v>
      </c>
      <c r="B7824" s="83" t="s">
        <v>3425</v>
      </c>
      <c r="C7824" s="91" t="s">
        <v>1132</v>
      </c>
    </row>
    <row r="7825" spans="1:3" ht="15">
      <c r="A7825" s="84" t="s">
        <v>313</v>
      </c>
      <c r="B7825" s="83" t="s">
        <v>3418</v>
      </c>
      <c r="C7825" s="91" t="s">
        <v>1132</v>
      </c>
    </row>
    <row r="7826" spans="1:3" ht="15">
      <c r="A7826" s="84" t="s">
        <v>313</v>
      </c>
      <c r="B7826" s="83" t="s">
        <v>3219</v>
      </c>
      <c r="C7826" s="91" t="s">
        <v>1132</v>
      </c>
    </row>
    <row r="7827" spans="1:3" ht="15">
      <c r="A7827" s="84" t="s">
        <v>313</v>
      </c>
      <c r="B7827" s="83" t="s">
        <v>3221</v>
      </c>
      <c r="C7827" s="91" t="s">
        <v>1132</v>
      </c>
    </row>
    <row r="7828" spans="1:3" ht="15">
      <c r="A7828" s="84" t="s">
        <v>313</v>
      </c>
      <c r="B7828" s="83" t="s">
        <v>3254</v>
      </c>
      <c r="C7828" s="91" t="s">
        <v>1132</v>
      </c>
    </row>
    <row r="7829" spans="1:3" ht="15">
      <c r="A7829" s="84" t="s">
        <v>313</v>
      </c>
      <c r="B7829" s="83" t="s">
        <v>3421</v>
      </c>
      <c r="C7829" s="91" t="s">
        <v>1132</v>
      </c>
    </row>
    <row r="7830" spans="1:3" ht="15">
      <c r="A7830" s="84" t="s">
        <v>313</v>
      </c>
      <c r="B7830" s="83" t="s">
        <v>3199</v>
      </c>
      <c r="C7830" s="91" t="s">
        <v>1132</v>
      </c>
    </row>
    <row r="7831" spans="1:3" ht="15">
      <c r="A7831" s="84" t="s">
        <v>313</v>
      </c>
      <c r="B7831" s="83" t="s">
        <v>3393</v>
      </c>
      <c r="C7831" s="91" t="s">
        <v>1132</v>
      </c>
    </row>
    <row r="7832" spans="1:3" ht="15">
      <c r="A7832" s="84" t="s">
        <v>313</v>
      </c>
      <c r="B7832" s="83" t="s">
        <v>3426</v>
      </c>
      <c r="C7832" s="91" t="s">
        <v>1132</v>
      </c>
    </row>
    <row r="7833" spans="1:3" ht="15">
      <c r="A7833" s="84" t="s">
        <v>313</v>
      </c>
      <c r="B7833" s="83" t="s">
        <v>3420</v>
      </c>
      <c r="C7833" s="91" t="s">
        <v>1132</v>
      </c>
    </row>
    <row r="7834" spans="1:3" ht="15">
      <c r="A7834" s="84" t="s">
        <v>312</v>
      </c>
      <c r="B7834" s="83" t="s">
        <v>3542</v>
      </c>
      <c r="C7834" s="91" t="s">
        <v>1131</v>
      </c>
    </row>
    <row r="7835" spans="1:3" ht="15">
      <c r="A7835" s="84" t="s">
        <v>312</v>
      </c>
      <c r="B7835" s="83" t="s">
        <v>3543</v>
      </c>
      <c r="C7835" s="91" t="s">
        <v>1131</v>
      </c>
    </row>
    <row r="7836" spans="1:3" ht="15">
      <c r="A7836" s="84" t="s">
        <v>312</v>
      </c>
      <c r="B7836" s="83" t="s">
        <v>3227</v>
      </c>
      <c r="C7836" s="91" t="s">
        <v>1131</v>
      </c>
    </row>
    <row r="7837" spans="1:3" ht="15">
      <c r="A7837" s="84" t="s">
        <v>312</v>
      </c>
      <c r="B7837" s="83" t="s">
        <v>3365</v>
      </c>
      <c r="C7837" s="91" t="s">
        <v>1131</v>
      </c>
    </row>
    <row r="7838" spans="1:3" ht="15">
      <c r="A7838" s="84" t="s">
        <v>312</v>
      </c>
      <c r="B7838" s="83" t="s">
        <v>2568</v>
      </c>
      <c r="C7838" s="91" t="s">
        <v>1131</v>
      </c>
    </row>
    <row r="7839" spans="1:3" ht="15">
      <c r="A7839" s="84" t="s">
        <v>312</v>
      </c>
      <c r="B7839" s="83" t="s">
        <v>3544</v>
      </c>
      <c r="C7839" s="91" t="s">
        <v>1131</v>
      </c>
    </row>
    <row r="7840" spans="1:3" ht="15">
      <c r="A7840" s="84" t="s">
        <v>312</v>
      </c>
      <c r="B7840" s="83" t="s">
        <v>3545</v>
      </c>
      <c r="C7840" s="91" t="s">
        <v>1131</v>
      </c>
    </row>
    <row r="7841" spans="1:3" ht="15">
      <c r="A7841" s="84" t="s">
        <v>312</v>
      </c>
      <c r="B7841" s="83" t="s">
        <v>2580</v>
      </c>
      <c r="C7841" s="91" t="s">
        <v>1131</v>
      </c>
    </row>
    <row r="7842" spans="1:3" ht="15">
      <c r="A7842" s="84" t="s">
        <v>312</v>
      </c>
      <c r="B7842" s="83" t="s">
        <v>3546</v>
      </c>
      <c r="C7842" s="91" t="s">
        <v>1131</v>
      </c>
    </row>
    <row r="7843" spans="1:3" ht="15">
      <c r="A7843" s="84" t="s">
        <v>312</v>
      </c>
      <c r="B7843" s="83">
        <v>2020</v>
      </c>
      <c r="C7843" s="91" t="s">
        <v>1131</v>
      </c>
    </row>
    <row r="7844" spans="1:3" ht="15">
      <c r="A7844" s="84" t="s">
        <v>312</v>
      </c>
      <c r="B7844" s="83" t="s">
        <v>3285</v>
      </c>
      <c r="C7844" s="91" t="s">
        <v>1131</v>
      </c>
    </row>
    <row r="7845" spans="1:3" ht="15">
      <c r="A7845" s="84" t="s">
        <v>312</v>
      </c>
      <c r="B7845" s="83" t="s">
        <v>3547</v>
      </c>
      <c r="C7845" s="91" t="s">
        <v>1131</v>
      </c>
    </row>
    <row r="7846" spans="1:3" ht="15">
      <c r="A7846" s="84" t="s">
        <v>312</v>
      </c>
      <c r="B7846" s="83" t="s">
        <v>3203</v>
      </c>
      <c r="C7846" s="91" t="s">
        <v>1131</v>
      </c>
    </row>
    <row r="7847" spans="1:3" ht="15">
      <c r="A7847" s="84" t="s">
        <v>312</v>
      </c>
      <c r="B7847" s="83" t="s">
        <v>3371</v>
      </c>
      <c r="C7847" s="91" t="s">
        <v>1131</v>
      </c>
    </row>
    <row r="7848" spans="1:3" ht="15">
      <c r="A7848" s="84" t="s">
        <v>312</v>
      </c>
      <c r="B7848" s="83" t="s">
        <v>586</v>
      </c>
      <c r="C7848" s="91" t="s">
        <v>1131</v>
      </c>
    </row>
    <row r="7849" spans="1:3" ht="15">
      <c r="A7849" s="84" t="s">
        <v>312</v>
      </c>
      <c r="B7849" s="83" t="s">
        <v>3548</v>
      </c>
      <c r="C7849" s="91" t="s">
        <v>1131</v>
      </c>
    </row>
    <row r="7850" spans="1:3" ht="15">
      <c r="A7850" s="84" t="s">
        <v>421</v>
      </c>
      <c r="B7850" s="83" t="s">
        <v>3261</v>
      </c>
      <c r="C7850" s="91" t="s">
        <v>1418</v>
      </c>
    </row>
    <row r="7851" spans="1:3" ht="15">
      <c r="A7851" s="84" t="s">
        <v>421</v>
      </c>
      <c r="B7851" s="83" t="s">
        <v>2581</v>
      </c>
      <c r="C7851" s="91" t="s">
        <v>1418</v>
      </c>
    </row>
    <row r="7852" spans="1:3" ht="15">
      <c r="A7852" s="84" t="s">
        <v>421</v>
      </c>
      <c r="B7852" s="83" t="s">
        <v>2586</v>
      </c>
      <c r="C7852" s="91" t="s">
        <v>1418</v>
      </c>
    </row>
    <row r="7853" spans="1:3" ht="15">
      <c r="A7853" s="84" t="s">
        <v>421</v>
      </c>
      <c r="B7853" s="83" t="s">
        <v>2670</v>
      </c>
      <c r="C7853" s="91" t="s">
        <v>1418</v>
      </c>
    </row>
    <row r="7854" spans="1:3" ht="15">
      <c r="A7854" s="84" t="s">
        <v>421</v>
      </c>
      <c r="B7854" s="83" t="s">
        <v>2655</v>
      </c>
      <c r="C7854" s="91" t="s">
        <v>1418</v>
      </c>
    </row>
    <row r="7855" spans="1:3" ht="15">
      <c r="A7855" s="84" t="s">
        <v>421</v>
      </c>
      <c r="B7855" s="83" t="s">
        <v>2580</v>
      </c>
      <c r="C7855" s="91" t="s">
        <v>1418</v>
      </c>
    </row>
    <row r="7856" spans="1:3" ht="15">
      <c r="A7856" s="84" t="s">
        <v>421</v>
      </c>
      <c r="B7856" s="83" t="s">
        <v>2661</v>
      </c>
      <c r="C7856" s="91" t="s">
        <v>1418</v>
      </c>
    </row>
    <row r="7857" spans="1:3" ht="15">
      <c r="A7857" s="84" t="s">
        <v>421</v>
      </c>
      <c r="B7857" s="83" t="s">
        <v>2656</v>
      </c>
      <c r="C7857" s="91" t="s">
        <v>1418</v>
      </c>
    </row>
    <row r="7858" spans="1:3" ht="15">
      <c r="A7858" s="84" t="s">
        <v>421</v>
      </c>
      <c r="B7858" s="83" t="s">
        <v>3199</v>
      </c>
      <c r="C7858" s="91" t="s">
        <v>1418</v>
      </c>
    </row>
    <row r="7859" spans="1:3" ht="15">
      <c r="A7859" s="84" t="s">
        <v>421</v>
      </c>
      <c r="B7859" s="83" t="s">
        <v>133</v>
      </c>
      <c r="C7859" s="91" t="s">
        <v>1418</v>
      </c>
    </row>
    <row r="7860" spans="1:3" ht="15">
      <c r="A7860" s="84" t="s">
        <v>421</v>
      </c>
      <c r="B7860" s="83" t="s">
        <v>2657</v>
      </c>
      <c r="C7860" s="91" t="s">
        <v>1418</v>
      </c>
    </row>
    <row r="7861" spans="1:3" ht="15">
      <c r="A7861" s="84" t="s">
        <v>421</v>
      </c>
      <c r="B7861" s="83" t="s">
        <v>2576</v>
      </c>
      <c r="C7861" s="91" t="s">
        <v>1418</v>
      </c>
    </row>
    <row r="7862" spans="1:3" ht="15">
      <c r="A7862" s="84" t="s">
        <v>421</v>
      </c>
      <c r="B7862" s="83" t="s">
        <v>2569</v>
      </c>
      <c r="C7862" s="91" t="s">
        <v>1418</v>
      </c>
    </row>
    <row r="7863" spans="1:3" ht="15">
      <c r="A7863" s="84" t="s">
        <v>421</v>
      </c>
      <c r="B7863" s="83">
        <v>19</v>
      </c>
      <c r="C7863" s="91" t="s">
        <v>1418</v>
      </c>
    </row>
    <row r="7864" spans="1:3" ht="15">
      <c r="A7864" s="84" t="s">
        <v>421</v>
      </c>
      <c r="B7864" s="83" t="s">
        <v>2629</v>
      </c>
      <c r="C7864" s="91" t="s">
        <v>1418</v>
      </c>
    </row>
    <row r="7865" spans="1:3" ht="15">
      <c r="A7865" s="84" t="s">
        <v>421</v>
      </c>
      <c r="B7865" s="83" t="s">
        <v>3262</v>
      </c>
      <c r="C7865" s="91" t="s">
        <v>1418</v>
      </c>
    </row>
    <row r="7866" spans="1:3" ht="15">
      <c r="A7866" s="84" t="s">
        <v>421</v>
      </c>
      <c r="B7866" s="83" t="s">
        <v>2702</v>
      </c>
      <c r="C7866" s="91" t="s">
        <v>1418</v>
      </c>
    </row>
    <row r="7867" spans="1:3" ht="15">
      <c r="A7867" s="84" t="s">
        <v>421</v>
      </c>
      <c r="B7867" s="83" t="s">
        <v>2652</v>
      </c>
      <c r="C7867" s="91" t="s">
        <v>1418</v>
      </c>
    </row>
    <row r="7868" spans="1:3" ht="15">
      <c r="A7868" s="84" t="s">
        <v>421</v>
      </c>
      <c r="B7868" s="83" t="s">
        <v>2703</v>
      </c>
      <c r="C7868" s="91" t="s">
        <v>1418</v>
      </c>
    </row>
    <row r="7869" spans="1:3" ht="15">
      <c r="A7869" s="84" t="s">
        <v>421</v>
      </c>
      <c r="B7869" s="83" t="s">
        <v>2704</v>
      </c>
      <c r="C7869" s="91" t="s">
        <v>1418</v>
      </c>
    </row>
    <row r="7870" spans="1:3" ht="15">
      <c r="A7870" s="84" t="s">
        <v>421</v>
      </c>
      <c r="B7870" s="83" t="s">
        <v>2577</v>
      </c>
      <c r="C7870" s="91" t="s">
        <v>1418</v>
      </c>
    </row>
    <row r="7871" spans="1:3" ht="15">
      <c r="A7871" s="84" t="s">
        <v>421</v>
      </c>
      <c r="B7871" s="83" t="s">
        <v>2630</v>
      </c>
      <c r="C7871" s="91" t="s">
        <v>1418</v>
      </c>
    </row>
    <row r="7872" spans="1:3" ht="15">
      <c r="A7872" s="84" t="s">
        <v>421</v>
      </c>
      <c r="B7872" s="83" t="s">
        <v>3263</v>
      </c>
      <c r="C7872" s="91" t="s">
        <v>1418</v>
      </c>
    </row>
    <row r="7873" spans="1:3" ht="15">
      <c r="A7873" s="84" t="s">
        <v>421</v>
      </c>
      <c r="B7873" s="83" t="s">
        <v>2705</v>
      </c>
      <c r="C7873" s="91" t="s">
        <v>1418</v>
      </c>
    </row>
    <row r="7874" spans="1:3" ht="15">
      <c r="A7874" s="84" t="s">
        <v>421</v>
      </c>
      <c r="B7874" s="83" t="s">
        <v>2671</v>
      </c>
      <c r="C7874" s="91" t="s">
        <v>1418</v>
      </c>
    </row>
    <row r="7875" spans="1:3" ht="15">
      <c r="A7875" s="84" t="s">
        <v>421</v>
      </c>
      <c r="B7875" s="83" t="s">
        <v>3264</v>
      </c>
      <c r="C7875" s="91" t="s">
        <v>1418</v>
      </c>
    </row>
    <row r="7876" spans="1:3" ht="15">
      <c r="A7876" s="84" t="s">
        <v>421</v>
      </c>
      <c r="B7876" s="83" t="s">
        <v>2706</v>
      </c>
      <c r="C7876" s="91" t="s">
        <v>1418</v>
      </c>
    </row>
    <row r="7877" spans="1:3" ht="15">
      <c r="A7877" s="84" t="s">
        <v>421</v>
      </c>
      <c r="B7877" s="83" t="s">
        <v>2707</v>
      </c>
      <c r="C7877" s="91" t="s">
        <v>1418</v>
      </c>
    </row>
    <row r="7878" spans="1:3" ht="15">
      <c r="A7878" s="84" t="s">
        <v>421</v>
      </c>
      <c r="B7878" s="83" t="s">
        <v>2568</v>
      </c>
      <c r="C7878" s="91" t="s">
        <v>1418</v>
      </c>
    </row>
    <row r="7879" spans="1:3" ht="15">
      <c r="A7879" s="84" t="s">
        <v>421</v>
      </c>
      <c r="B7879" s="83" t="s">
        <v>2662</v>
      </c>
      <c r="C7879" s="91" t="s">
        <v>1418</v>
      </c>
    </row>
    <row r="7880" spans="1:3" ht="15">
      <c r="A7880" s="84" t="s">
        <v>421</v>
      </c>
      <c r="B7880" s="83" t="s">
        <v>2708</v>
      </c>
      <c r="C7880" s="91" t="s">
        <v>1418</v>
      </c>
    </row>
    <row r="7881" spans="1:3" ht="15">
      <c r="A7881" s="84" t="s">
        <v>421</v>
      </c>
      <c r="B7881" s="83" t="s">
        <v>2709</v>
      </c>
      <c r="C7881" s="91" t="s">
        <v>1418</v>
      </c>
    </row>
    <row r="7882" spans="1:3" ht="15">
      <c r="A7882" s="84" t="s">
        <v>421</v>
      </c>
      <c r="B7882" s="83" t="s">
        <v>3265</v>
      </c>
      <c r="C7882" s="91" t="s">
        <v>1418</v>
      </c>
    </row>
    <row r="7883" spans="1:3" ht="15">
      <c r="A7883" s="84" t="s">
        <v>421</v>
      </c>
      <c r="B7883" s="83" t="s">
        <v>2578</v>
      </c>
      <c r="C7883" s="91" t="s">
        <v>1418</v>
      </c>
    </row>
    <row r="7884" spans="1:3" ht="15">
      <c r="A7884" s="84" t="s">
        <v>421</v>
      </c>
      <c r="B7884" s="83" t="s">
        <v>2710</v>
      </c>
      <c r="C7884" s="91" t="s">
        <v>1418</v>
      </c>
    </row>
    <row r="7885" spans="1:3" ht="15">
      <c r="A7885" s="84" t="s">
        <v>421</v>
      </c>
      <c r="B7885" s="83" t="s">
        <v>3238</v>
      </c>
      <c r="C7885" s="91" t="s">
        <v>1418</v>
      </c>
    </row>
    <row r="7886" spans="1:3" ht="15">
      <c r="A7886" s="84" t="s">
        <v>421</v>
      </c>
      <c r="B7886" s="83" t="s">
        <v>586</v>
      </c>
      <c r="C7886" s="91" t="s">
        <v>1418</v>
      </c>
    </row>
    <row r="7887" spans="1:3" ht="15">
      <c r="A7887" s="84" t="s">
        <v>421</v>
      </c>
      <c r="B7887" s="83" t="s">
        <v>3258</v>
      </c>
      <c r="C7887" s="91" t="s">
        <v>1418</v>
      </c>
    </row>
    <row r="7888" spans="1:3" ht="15">
      <c r="A7888" s="84" t="s">
        <v>421</v>
      </c>
      <c r="B7888" s="83" t="s">
        <v>3109</v>
      </c>
      <c r="C7888" s="91" t="s">
        <v>1418</v>
      </c>
    </row>
    <row r="7889" spans="1:3" ht="15">
      <c r="A7889" s="84" t="s">
        <v>311</v>
      </c>
      <c r="B7889" s="83" t="s">
        <v>3261</v>
      </c>
      <c r="C7889" s="91" t="s">
        <v>1130</v>
      </c>
    </row>
    <row r="7890" spans="1:3" ht="15">
      <c r="A7890" s="84" t="s">
        <v>311</v>
      </c>
      <c r="B7890" s="83" t="s">
        <v>2581</v>
      </c>
      <c r="C7890" s="91" t="s">
        <v>1130</v>
      </c>
    </row>
    <row r="7891" spans="1:3" ht="15">
      <c r="A7891" s="84" t="s">
        <v>311</v>
      </c>
      <c r="B7891" s="83" t="s">
        <v>2586</v>
      </c>
      <c r="C7891" s="91" t="s">
        <v>1130</v>
      </c>
    </row>
    <row r="7892" spans="1:3" ht="15">
      <c r="A7892" s="84" t="s">
        <v>311</v>
      </c>
      <c r="B7892" s="83" t="s">
        <v>2670</v>
      </c>
      <c r="C7892" s="91" t="s">
        <v>1130</v>
      </c>
    </row>
    <row r="7893" spans="1:3" ht="15">
      <c r="A7893" s="84" t="s">
        <v>311</v>
      </c>
      <c r="B7893" s="83" t="s">
        <v>2655</v>
      </c>
      <c r="C7893" s="91" t="s">
        <v>1130</v>
      </c>
    </row>
    <row r="7894" spans="1:3" ht="15">
      <c r="A7894" s="84" t="s">
        <v>311</v>
      </c>
      <c r="B7894" s="83" t="s">
        <v>2580</v>
      </c>
      <c r="C7894" s="91" t="s">
        <v>1130</v>
      </c>
    </row>
    <row r="7895" spans="1:3" ht="15">
      <c r="A7895" s="84" t="s">
        <v>311</v>
      </c>
      <c r="B7895" s="83" t="s">
        <v>2661</v>
      </c>
      <c r="C7895" s="91" t="s">
        <v>1130</v>
      </c>
    </row>
    <row r="7896" spans="1:3" ht="15">
      <c r="A7896" s="84" t="s">
        <v>311</v>
      </c>
      <c r="B7896" s="83" t="s">
        <v>2656</v>
      </c>
      <c r="C7896" s="91" t="s">
        <v>1130</v>
      </c>
    </row>
    <row r="7897" spans="1:3" ht="15">
      <c r="A7897" s="84" t="s">
        <v>311</v>
      </c>
      <c r="B7897" s="83" t="s">
        <v>3199</v>
      </c>
      <c r="C7897" s="91" t="s">
        <v>1130</v>
      </c>
    </row>
    <row r="7898" spans="1:3" ht="15">
      <c r="A7898" s="84" t="s">
        <v>311</v>
      </c>
      <c r="B7898" s="83" t="s">
        <v>133</v>
      </c>
      <c r="C7898" s="91" t="s">
        <v>1130</v>
      </c>
    </row>
    <row r="7899" spans="1:3" ht="15">
      <c r="A7899" s="84" t="s">
        <v>311</v>
      </c>
      <c r="B7899" s="83" t="s">
        <v>2657</v>
      </c>
      <c r="C7899" s="91" t="s">
        <v>1130</v>
      </c>
    </row>
    <row r="7900" spans="1:3" ht="15">
      <c r="A7900" s="84" t="s">
        <v>311</v>
      </c>
      <c r="B7900" s="83" t="s">
        <v>2576</v>
      </c>
      <c r="C7900" s="91" t="s">
        <v>1130</v>
      </c>
    </row>
    <row r="7901" spans="1:3" ht="15">
      <c r="A7901" s="84" t="s">
        <v>311</v>
      </c>
      <c r="B7901" s="83" t="s">
        <v>2569</v>
      </c>
      <c r="C7901" s="91" t="s">
        <v>1130</v>
      </c>
    </row>
    <row r="7902" spans="1:3" ht="15">
      <c r="A7902" s="84" t="s">
        <v>311</v>
      </c>
      <c r="B7902" s="83">
        <v>19</v>
      </c>
      <c r="C7902" s="91" t="s">
        <v>1130</v>
      </c>
    </row>
    <row r="7903" spans="1:3" ht="15">
      <c r="A7903" s="84" t="s">
        <v>311</v>
      </c>
      <c r="B7903" s="83" t="s">
        <v>2629</v>
      </c>
      <c r="C7903" s="91" t="s">
        <v>1130</v>
      </c>
    </row>
    <row r="7904" spans="1:3" ht="15">
      <c r="A7904" s="84" t="s">
        <v>311</v>
      </c>
      <c r="B7904" s="83" t="s">
        <v>3262</v>
      </c>
      <c r="C7904" s="91" t="s">
        <v>1130</v>
      </c>
    </row>
    <row r="7905" spans="1:3" ht="15">
      <c r="A7905" s="84" t="s">
        <v>311</v>
      </c>
      <c r="B7905" s="83" t="s">
        <v>2702</v>
      </c>
      <c r="C7905" s="91" t="s">
        <v>1130</v>
      </c>
    </row>
    <row r="7906" spans="1:3" ht="15">
      <c r="A7906" s="84" t="s">
        <v>311</v>
      </c>
      <c r="B7906" s="83" t="s">
        <v>2652</v>
      </c>
      <c r="C7906" s="91" t="s">
        <v>1130</v>
      </c>
    </row>
    <row r="7907" spans="1:3" ht="15">
      <c r="A7907" s="84" t="s">
        <v>311</v>
      </c>
      <c r="B7907" s="83" t="s">
        <v>2703</v>
      </c>
      <c r="C7907" s="91" t="s">
        <v>1130</v>
      </c>
    </row>
    <row r="7908" spans="1:3" ht="15">
      <c r="A7908" s="84" t="s">
        <v>311</v>
      </c>
      <c r="B7908" s="83" t="s">
        <v>2704</v>
      </c>
      <c r="C7908" s="91" t="s">
        <v>1130</v>
      </c>
    </row>
    <row r="7909" spans="1:3" ht="15">
      <c r="A7909" s="84" t="s">
        <v>311</v>
      </c>
      <c r="B7909" s="83" t="s">
        <v>2577</v>
      </c>
      <c r="C7909" s="91" t="s">
        <v>1130</v>
      </c>
    </row>
    <row r="7910" spans="1:3" ht="15">
      <c r="A7910" s="84" t="s">
        <v>311</v>
      </c>
      <c r="B7910" s="83" t="s">
        <v>2630</v>
      </c>
      <c r="C7910" s="91" t="s">
        <v>1130</v>
      </c>
    </row>
    <row r="7911" spans="1:3" ht="15">
      <c r="A7911" s="84" t="s">
        <v>311</v>
      </c>
      <c r="B7911" s="83" t="s">
        <v>3263</v>
      </c>
      <c r="C7911" s="91" t="s">
        <v>1130</v>
      </c>
    </row>
    <row r="7912" spans="1:3" ht="15">
      <c r="A7912" s="84" t="s">
        <v>311</v>
      </c>
      <c r="B7912" s="83" t="s">
        <v>2705</v>
      </c>
      <c r="C7912" s="91" t="s">
        <v>1130</v>
      </c>
    </row>
    <row r="7913" spans="1:3" ht="15">
      <c r="A7913" s="84" t="s">
        <v>311</v>
      </c>
      <c r="B7913" s="83" t="s">
        <v>2671</v>
      </c>
      <c r="C7913" s="91" t="s">
        <v>1130</v>
      </c>
    </row>
    <row r="7914" spans="1:3" ht="15">
      <c r="A7914" s="84" t="s">
        <v>311</v>
      </c>
      <c r="B7914" s="83" t="s">
        <v>3264</v>
      </c>
      <c r="C7914" s="91" t="s">
        <v>1130</v>
      </c>
    </row>
    <row r="7915" spans="1:3" ht="15">
      <c r="A7915" s="84" t="s">
        <v>311</v>
      </c>
      <c r="B7915" s="83" t="s">
        <v>2706</v>
      </c>
      <c r="C7915" s="91" t="s">
        <v>1130</v>
      </c>
    </row>
    <row r="7916" spans="1:3" ht="15">
      <c r="A7916" s="84" t="s">
        <v>311</v>
      </c>
      <c r="B7916" s="83" t="s">
        <v>2707</v>
      </c>
      <c r="C7916" s="91" t="s">
        <v>1130</v>
      </c>
    </row>
    <row r="7917" spans="1:3" ht="15">
      <c r="A7917" s="84" t="s">
        <v>311</v>
      </c>
      <c r="B7917" s="83" t="s">
        <v>2568</v>
      </c>
      <c r="C7917" s="91" t="s">
        <v>1130</v>
      </c>
    </row>
    <row r="7918" spans="1:3" ht="15">
      <c r="A7918" s="84" t="s">
        <v>311</v>
      </c>
      <c r="B7918" s="83" t="s">
        <v>2662</v>
      </c>
      <c r="C7918" s="91" t="s">
        <v>1130</v>
      </c>
    </row>
    <row r="7919" spans="1:3" ht="15">
      <c r="A7919" s="84" t="s">
        <v>311</v>
      </c>
      <c r="B7919" s="83" t="s">
        <v>2708</v>
      </c>
      <c r="C7919" s="91" t="s">
        <v>1130</v>
      </c>
    </row>
    <row r="7920" spans="1:3" ht="15">
      <c r="A7920" s="84" t="s">
        <v>311</v>
      </c>
      <c r="B7920" s="83" t="s">
        <v>2709</v>
      </c>
      <c r="C7920" s="91" t="s">
        <v>1130</v>
      </c>
    </row>
    <row r="7921" spans="1:3" ht="15">
      <c r="A7921" s="84" t="s">
        <v>311</v>
      </c>
      <c r="B7921" s="83" t="s">
        <v>3265</v>
      </c>
      <c r="C7921" s="91" t="s">
        <v>1130</v>
      </c>
    </row>
    <row r="7922" spans="1:3" ht="15">
      <c r="A7922" s="84" t="s">
        <v>311</v>
      </c>
      <c r="B7922" s="83" t="s">
        <v>2578</v>
      </c>
      <c r="C7922" s="91" t="s">
        <v>1130</v>
      </c>
    </row>
    <row r="7923" spans="1:3" ht="15">
      <c r="A7923" s="84" t="s">
        <v>311</v>
      </c>
      <c r="B7923" s="83" t="s">
        <v>2710</v>
      </c>
      <c r="C7923" s="91" t="s">
        <v>1130</v>
      </c>
    </row>
    <row r="7924" spans="1:3" ht="15">
      <c r="A7924" s="84" t="s">
        <v>311</v>
      </c>
      <c r="B7924" s="83" t="s">
        <v>3238</v>
      </c>
      <c r="C7924" s="91" t="s">
        <v>1130</v>
      </c>
    </row>
    <row r="7925" spans="1:3" ht="15">
      <c r="A7925" s="84" t="s">
        <v>311</v>
      </c>
      <c r="B7925" s="83" t="s">
        <v>586</v>
      </c>
      <c r="C7925" s="91" t="s">
        <v>1130</v>
      </c>
    </row>
    <row r="7926" spans="1:3" ht="15">
      <c r="A7926" s="84" t="s">
        <v>311</v>
      </c>
      <c r="B7926" s="83" t="s">
        <v>3258</v>
      </c>
      <c r="C7926" s="91" t="s">
        <v>1130</v>
      </c>
    </row>
    <row r="7927" spans="1:3" ht="15">
      <c r="A7927" s="84" t="s">
        <v>311</v>
      </c>
      <c r="B7927" s="83" t="s">
        <v>3109</v>
      </c>
      <c r="C7927" s="91" t="s">
        <v>1130</v>
      </c>
    </row>
    <row r="7928" spans="1:3" ht="15">
      <c r="A7928" s="84" t="s">
        <v>310</v>
      </c>
      <c r="B7928" s="83" t="s">
        <v>3423</v>
      </c>
      <c r="C7928" s="91" t="s">
        <v>1129</v>
      </c>
    </row>
    <row r="7929" spans="1:3" ht="15">
      <c r="A7929" s="84" t="s">
        <v>310</v>
      </c>
      <c r="B7929" s="83" t="s">
        <v>3203</v>
      </c>
      <c r="C7929" s="91" t="s">
        <v>1129</v>
      </c>
    </row>
    <row r="7930" spans="1:3" ht="15">
      <c r="A7930" s="84" t="s">
        <v>310</v>
      </c>
      <c r="B7930" s="83">
        <v>19</v>
      </c>
      <c r="C7930" s="91" t="s">
        <v>1129</v>
      </c>
    </row>
    <row r="7931" spans="1:3" ht="15">
      <c r="A7931" s="84" t="s">
        <v>310</v>
      </c>
      <c r="B7931" s="83" t="s">
        <v>2697</v>
      </c>
      <c r="C7931" s="91" t="s">
        <v>1129</v>
      </c>
    </row>
    <row r="7932" spans="1:3" ht="15">
      <c r="A7932" s="84" t="s">
        <v>310</v>
      </c>
      <c r="B7932" s="83" t="s">
        <v>2590</v>
      </c>
      <c r="C7932" s="91" t="s">
        <v>1129</v>
      </c>
    </row>
    <row r="7933" spans="1:3" ht="15">
      <c r="A7933" s="84" t="s">
        <v>310</v>
      </c>
      <c r="B7933" s="83" t="s">
        <v>3424</v>
      </c>
      <c r="C7933" s="91" t="s">
        <v>1129</v>
      </c>
    </row>
    <row r="7934" spans="1:3" ht="15">
      <c r="A7934" s="84" t="s">
        <v>310</v>
      </c>
      <c r="B7934" s="83" t="s">
        <v>3198</v>
      </c>
      <c r="C7934" s="91" t="s">
        <v>1129</v>
      </c>
    </row>
    <row r="7935" spans="1:3" ht="15">
      <c r="A7935" s="84" t="s">
        <v>310</v>
      </c>
      <c r="B7935" s="83" t="s">
        <v>3411</v>
      </c>
      <c r="C7935" s="91" t="s">
        <v>1129</v>
      </c>
    </row>
    <row r="7936" spans="1:3" ht="15">
      <c r="A7936" s="84" t="s">
        <v>310</v>
      </c>
      <c r="B7936" s="83" t="s">
        <v>3223</v>
      </c>
      <c r="C7936" s="91" t="s">
        <v>1129</v>
      </c>
    </row>
    <row r="7937" spans="1:3" ht="15">
      <c r="A7937" s="84" t="s">
        <v>310</v>
      </c>
      <c r="B7937" s="83" t="s">
        <v>3412</v>
      </c>
      <c r="C7937" s="91" t="s">
        <v>1129</v>
      </c>
    </row>
    <row r="7938" spans="1:3" ht="15">
      <c r="A7938" s="84" t="s">
        <v>310</v>
      </c>
      <c r="B7938" s="83" t="s">
        <v>3413</v>
      </c>
      <c r="C7938" s="91" t="s">
        <v>1129</v>
      </c>
    </row>
    <row r="7939" spans="1:3" ht="15">
      <c r="A7939" s="84" t="s">
        <v>310</v>
      </c>
      <c r="B7939" s="83" t="s">
        <v>3215</v>
      </c>
      <c r="C7939" s="91" t="s">
        <v>1129</v>
      </c>
    </row>
    <row r="7940" spans="1:3" ht="15">
      <c r="A7940" s="84" t="s">
        <v>310</v>
      </c>
      <c r="B7940" s="83" t="s">
        <v>3414</v>
      </c>
      <c r="C7940" s="91" t="s">
        <v>1129</v>
      </c>
    </row>
    <row r="7941" spans="1:3" ht="15">
      <c r="A7941" s="84" t="s">
        <v>310</v>
      </c>
      <c r="B7941" s="83" t="s">
        <v>3415</v>
      </c>
      <c r="C7941" s="91" t="s">
        <v>1129</v>
      </c>
    </row>
    <row r="7942" spans="1:3" ht="15">
      <c r="A7942" s="84" t="s">
        <v>310</v>
      </c>
      <c r="B7942" s="83" t="s">
        <v>3416</v>
      </c>
      <c r="C7942" s="91" t="s">
        <v>1129</v>
      </c>
    </row>
    <row r="7943" spans="1:3" ht="15">
      <c r="A7943" s="84" t="s">
        <v>310</v>
      </c>
      <c r="B7943" s="83" t="s">
        <v>3425</v>
      </c>
      <c r="C7943" s="91" t="s">
        <v>1129</v>
      </c>
    </row>
    <row r="7944" spans="1:3" ht="15">
      <c r="A7944" s="84" t="s">
        <v>310</v>
      </c>
      <c r="B7944" s="83" t="s">
        <v>3418</v>
      </c>
      <c r="C7944" s="91" t="s">
        <v>1129</v>
      </c>
    </row>
    <row r="7945" spans="1:3" ht="15">
      <c r="A7945" s="84" t="s">
        <v>310</v>
      </c>
      <c r="B7945" s="83" t="s">
        <v>3219</v>
      </c>
      <c r="C7945" s="91" t="s">
        <v>1129</v>
      </c>
    </row>
    <row r="7946" spans="1:3" ht="15">
      <c r="A7946" s="84" t="s">
        <v>310</v>
      </c>
      <c r="B7946" s="83" t="s">
        <v>3221</v>
      </c>
      <c r="C7946" s="91" t="s">
        <v>1129</v>
      </c>
    </row>
    <row r="7947" spans="1:3" ht="15">
      <c r="A7947" s="84" t="s">
        <v>310</v>
      </c>
      <c r="B7947" s="83" t="s">
        <v>3254</v>
      </c>
      <c r="C7947" s="91" t="s">
        <v>1129</v>
      </c>
    </row>
    <row r="7948" spans="1:3" ht="15">
      <c r="A7948" s="84" t="s">
        <v>310</v>
      </c>
      <c r="B7948" s="83" t="s">
        <v>3421</v>
      </c>
      <c r="C7948" s="91" t="s">
        <v>1129</v>
      </c>
    </row>
    <row r="7949" spans="1:3" ht="15">
      <c r="A7949" s="84" t="s">
        <v>310</v>
      </c>
      <c r="B7949" s="83" t="s">
        <v>3199</v>
      </c>
      <c r="C7949" s="91" t="s">
        <v>1129</v>
      </c>
    </row>
    <row r="7950" spans="1:3" ht="15">
      <c r="A7950" s="84" t="s">
        <v>310</v>
      </c>
      <c r="B7950" s="83" t="s">
        <v>3393</v>
      </c>
      <c r="C7950" s="91" t="s">
        <v>1129</v>
      </c>
    </row>
    <row r="7951" spans="1:3" ht="15">
      <c r="A7951" s="84" t="s">
        <v>310</v>
      </c>
      <c r="B7951" s="83" t="s">
        <v>3426</v>
      </c>
      <c r="C7951" s="91" t="s">
        <v>1129</v>
      </c>
    </row>
    <row r="7952" spans="1:3" ht="15">
      <c r="A7952" s="84" t="s">
        <v>310</v>
      </c>
      <c r="B7952" s="83" t="s">
        <v>3420</v>
      </c>
      <c r="C7952" s="91" t="s">
        <v>1129</v>
      </c>
    </row>
    <row r="7953" spans="1:3" ht="15">
      <c r="A7953" s="84" t="s">
        <v>309</v>
      </c>
      <c r="B7953" s="83" t="s">
        <v>3228</v>
      </c>
      <c r="C7953" s="91" t="s">
        <v>1128</v>
      </c>
    </row>
    <row r="7954" spans="1:3" ht="15">
      <c r="A7954" s="84" t="s">
        <v>309</v>
      </c>
      <c r="B7954" s="83" t="s">
        <v>2581</v>
      </c>
      <c r="C7954" s="91" t="s">
        <v>1128</v>
      </c>
    </row>
    <row r="7955" spans="1:3" ht="15">
      <c r="A7955" s="84" t="s">
        <v>309</v>
      </c>
      <c r="B7955" s="83" t="s">
        <v>2586</v>
      </c>
      <c r="C7955" s="91" t="s">
        <v>1128</v>
      </c>
    </row>
    <row r="7956" spans="1:3" ht="15">
      <c r="A7956" s="84" t="s">
        <v>309</v>
      </c>
      <c r="B7956" s="83" t="s">
        <v>2595</v>
      </c>
      <c r="C7956" s="91" t="s">
        <v>1128</v>
      </c>
    </row>
    <row r="7957" spans="1:3" ht="15">
      <c r="A7957" s="84" t="s">
        <v>309</v>
      </c>
      <c r="B7957" s="83" t="s">
        <v>2568</v>
      </c>
      <c r="C7957" s="91" t="s">
        <v>1128</v>
      </c>
    </row>
    <row r="7958" spans="1:3" ht="15">
      <c r="A7958" s="84" t="s">
        <v>309</v>
      </c>
      <c r="B7958" s="83" t="s">
        <v>2592</v>
      </c>
      <c r="C7958" s="91" t="s">
        <v>1128</v>
      </c>
    </row>
    <row r="7959" spans="1:3" ht="15">
      <c r="A7959" s="84" t="s">
        <v>309</v>
      </c>
      <c r="B7959" s="83" t="s">
        <v>3213</v>
      </c>
      <c r="C7959" s="91" t="s">
        <v>1128</v>
      </c>
    </row>
    <row r="7960" spans="1:3" ht="15">
      <c r="A7960" s="84" t="s">
        <v>309</v>
      </c>
      <c r="B7960" s="83" t="s">
        <v>2576</v>
      </c>
      <c r="C7960" s="91" t="s">
        <v>1128</v>
      </c>
    </row>
    <row r="7961" spans="1:3" ht="15">
      <c r="A7961" s="84" t="s">
        <v>309</v>
      </c>
      <c r="B7961" s="83" t="s">
        <v>3229</v>
      </c>
      <c r="C7961" s="91" t="s">
        <v>1128</v>
      </c>
    </row>
    <row r="7962" spans="1:3" ht="15">
      <c r="A7962" s="84" t="s">
        <v>309</v>
      </c>
      <c r="B7962" s="83" t="s">
        <v>3230</v>
      </c>
      <c r="C7962" s="91" t="s">
        <v>1128</v>
      </c>
    </row>
    <row r="7963" spans="1:3" ht="15">
      <c r="A7963" s="84" t="s">
        <v>309</v>
      </c>
      <c r="B7963" s="83" t="s">
        <v>2598</v>
      </c>
      <c r="C7963" s="91" t="s">
        <v>1128</v>
      </c>
    </row>
    <row r="7964" spans="1:3" ht="15">
      <c r="A7964" s="84" t="s">
        <v>309</v>
      </c>
      <c r="B7964" s="83" t="s">
        <v>3231</v>
      </c>
      <c r="C7964" s="91" t="s">
        <v>1128</v>
      </c>
    </row>
    <row r="7965" spans="1:3" ht="15">
      <c r="A7965" s="84" t="s">
        <v>309</v>
      </c>
      <c r="B7965" s="83" t="s">
        <v>3232</v>
      </c>
      <c r="C7965" s="91" t="s">
        <v>1128</v>
      </c>
    </row>
    <row r="7966" spans="1:3" ht="15">
      <c r="A7966" s="84" t="s">
        <v>309</v>
      </c>
      <c r="B7966" s="83" t="s">
        <v>3233</v>
      </c>
      <c r="C7966" s="91" t="s">
        <v>1128</v>
      </c>
    </row>
    <row r="7967" spans="1:3" ht="15">
      <c r="A7967" s="84" t="s">
        <v>309</v>
      </c>
      <c r="B7967" s="83" t="s">
        <v>3211</v>
      </c>
      <c r="C7967" s="91" t="s">
        <v>1128</v>
      </c>
    </row>
    <row r="7968" spans="1:3" ht="15">
      <c r="A7968" s="84" t="s">
        <v>309</v>
      </c>
      <c r="B7968" s="83" t="s">
        <v>3199</v>
      </c>
      <c r="C7968" s="91" t="s">
        <v>1128</v>
      </c>
    </row>
    <row r="7969" spans="1:3" ht="15">
      <c r="A7969" s="84" t="s">
        <v>309</v>
      </c>
      <c r="B7969" s="83" t="s">
        <v>3218</v>
      </c>
      <c r="C7969" s="91" t="s">
        <v>1128</v>
      </c>
    </row>
    <row r="7970" spans="1:3" ht="15">
      <c r="A7970" s="84" t="s">
        <v>309</v>
      </c>
      <c r="B7970" s="83" t="s">
        <v>3234</v>
      </c>
      <c r="C7970" s="91" t="s">
        <v>1128</v>
      </c>
    </row>
    <row r="7971" spans="1:3" ht="15">
      <c r="A7971" s="84" t="s">
        <v>309</v>
      </c>
      <c r="B7971" s="83" t="s">
        <v>3235</v>
      </c>
      <c r="C7971" s="91" t="s">
        <v>1128</v>
      </c>
    </row>
    <row r="7972" spans="1:3" ht="15">
      <c r="A7972" s="84" t="s">
        <v>309</v>
      </c>
      <c r="B7972" s="83" t="s">
        <v>3236</v>
      </c>
      <c r="C7972" s="91" t="s">
        <v>1128</v>
      </c>
    </row>
    <row r="7973" spans="1:3" ht="15">
      <c r="A7973" s="84" t="s">
        <v>309</v>
      </c>
      <c r="B7973" s="83" t="s">
        <v>3237</v>
      </c>
      <c r="C7973" s="91" t="s">
        <v>1128</v>
      </c>
    </row>
    <row r="7974" spans="1:3" ht="15">
      <c r="A7974" s="84" t="s">
        <v>309</v>
      </c>
      <c r="B7974" s="83" t="s">
        <v>3238</v>
      </c>
      <c r="C7974" s="91" t="s">
        <v>1128</v>
      </c>
    </row>
    <row r="7975" spans="1:3" ht="15">
      <c r="A7975" s="84" t="s">
        <v>309</v>
      </c>
      <c r="B7975" s="83" t="s">
        <v>3239</v>
      </c>
      <c r="C7975" s="91" t="s">
        <v>1128</v>
      </c>
    </row>
    <row r="7976" spans="1:3" ht="15">
      <c r="A7976" s="84" t="s">
        <v>309</v>
      </c>
      <c r="B7976" s="83" t="s">
        <v>3240</v>
      </c>
      <c r="C7976" s="91" t="s">
        <v>1128</v>
      </c>
    </row>
    <row r="7977" spans="1:3" ht="15">
      <c r="A7977" s="84" t="s">
        <v>309</v>
      </c>
      <c r="B7977" s="83" t="s">
        <v>3241</v>
      </c>
      <c r="C7977" s="91" t="s">
        <v>1128</v>
      </c>
    </row>
    <row r="7978" spans="1:3" ht="15">
      <c r="A7978" s="84" t="s">
        <v>309</v>
      </c>
      <c r="B7978" s="83" t="s">
        <v>3242</v>
      </c>
      <c r="C7978" s="91" t="s">
        <v>1128</v>
      </c>
    </row>
    <row r="7979" spans="1:3" ht="15">
      <c r="A7979" s="84" t="s">
        <v>309</v>
      </c>
      <c r="B7979" s="83" t="s">
        <v>2767</v>
      </c>
      <c r="C7979" s="91" t="s">
        <v>1128</v>
      </c>
    </row>
    <row r="7980" spans="1:3" ht="15">
      <c r="A7980" s="84" t="s">
        <v>309</v>
      </c>
      <c r="B7980" s="83" t="s">
        <v>3243</v>
      </c>
      <c r="C7980" s="91" t="s">
        <v>1128</v>
      </c>
    </row>
    <row r="7981" spans="1:3" ht="15">
      <c r="A7981" s="84" t="s">
        <v>309</v>
      </c>
      <c r="B7981" s="83" t="s">
        <v>3244</v>
      </c>
      <c r="C7981" s="91" t="s">
        <v>1128</v>
      </c>
    </row>
    <row r="7982" spans="1:3" ht="15">
      <c r="A7982" s="84" t="s">
        <v>309</v>
      </c>
      <c r="B7982" s="83" t="s">
        <v>3223</v>
      </c>
      <c r="C7982" s="91" t="s">
        <v>1128</v>
      </c>
    </row>
    <row r="7983" spans="1:3" ht="15">
      <c r="A7983" s="84" t="s">
        <v>309</v>
      </c>
      <c r="B7983" s="83" t="s">
        <v>3266</v>
      </c>
      <c r="C7983" s="91" t="s">
        <v>1128</v>
      </c>
    </row>
    <row r="7984" spans="1:3" ht="15">
      <c r="A7984" s="84" t="s">
        <v>308</v>
      </c>
      <c r="B7984" s="83" t="s">
        <v>3423</v>
      </c>
      <c r="C7984" s="91" t="s">
        <v>1127</v>
      </c>
    </row>
    <row r="7985" spans="1:3" ht="15">
      <c r="A7985" s="84" t="s">
        <v>308</v>
      </c>
      <c r="B7985" s="83" t="s">
        <v>3203</v>
      </c>
      <c r="C7985" s="91" t="s">
        <v>1127</v>
      </c>
    </row>
    <row r="7986" spans="1:3" ht="15">
      <c r="A7986" s="84" t="s">
        <v>308</v>
      </c>
      <c r="B7986" s="83">
        <v>19</v>
      </c>
      <c r="C7986" s="91" t="s">
        <v>1127</v>
      </c>
    </row>
    <row r="7987" spans="1:3" ht="15">
      <c r="A7987" s="84" t="s">
        <v>308</v>
      </c>
      <c r="B7987" s="83" t="s">
        <v>2697</v>
      </c>
      <c r="C7987" s="91" t="s">
        <v>1127</v>
      </c>
    </row>
    <row r="7988" spans="1:3" ht="15">
      <c r="A7988" s="84" t="s">
        <v>308</v>
      </c>
      <c r="B7988" s="83" t="s">
        <v>2590</v>
      </c>
      <c r="C7988" s="91" t="s">
        <v>1127</v>
      </c>
    </row>
    <row r="7989" spans="1:3" ht="15">
      <c r="A7989" s="84" t="s">
        <v>308</v>
      </c>
      <c r="B7989" s="83" t="s">
        <v>3424</v>
      </c>
      <c r="C7989" s="91" t="s">
        <v>1127</v>
      </c>
    </row>
    <row r="7990" spans="1:3" ht="15">
      <c r="A7990" s="84" t="s">
        <v>308</v>
      </c>
      <c r="B7990" s="83" t="s">
        <v>3198</v>
      </c>
      <c r="C7990" s="91" t="s">
        <v>1127</v>
      </c>
    </row>
    <row r="7991" spans="1:3" ht="15">
      <c r="A7991" s="84" t="s">
        <v>308</v>
      </c>
      <c r="B7991" s="83" t="s">
        <v>3411</v>
      </c>
      <c r="C7991" s="91" t="s">
        <v>1127</v>
      </c>
    </row>
    <row r="7992" spans="1:3" ht="15">
      <c r="A7992" s="84" t="s">
        <v>308</v>
      </c>
      <c r="B7992" s="83" t="s">
        <v>3223</v>
      </c>
      <c r="C7992" s="91" t="s">
        <v>1127</v>
      </c>
    </row>
    <row r="7993" spans="1:3" ht="15">
      <c r="A7993" s="84" t="s">
        <v>308</v>
      </c>
      <c r="B7993" s="83" t="s">
        <v>3412</v>
      </c>
      <c r="C7993" s="91" t="s">
        <v>1127</v>
      </c>
    </row>
    <row r="7994" spans="1:3" ht="15">
      <c r="A7994" s="84" t="s">
        <v>308</v>
      </c>
      <c r="B7994" s="83" t="s">
        <v>3413</v>
      </c>
      <c r="C7994" s="91" t="s">
        <v>1127</v>
      </c>
    </row>
    <row r="7995" spans="1:3" ht="15">
      <c r="A7995" s="84" t="s">
        <v>308</v>
      </c>
      <c r="B7995" s="83" t="s">
        <v>3215</v>
      </c>
      <c r="C7995" s="91" t="s">
        <v>1127</v>
      </c>
    </row>
    <row r="7996" spans="1:3" ht="15">
      <c r="A7996" s="84" t="s">
        <v>308</v>
      </c>
      <c r="B7996" s="83" t="s">
        <v>3414</v>
      </c>
      <c r="C7996" s="91" t="s">
        <v>1127</v>
      </c>
    </row>
    <row r="7997" spans="1:3" ht="15">
      <c r="A7997" s="84" t="s">
        <v>308</v>
      </c>
      <c r="B7997" s="83" t="s">
        <v>3415</v>
      </c>
      <c r="C7997" s="91" t="s">
        <v>1127</v>
      </c>
    </row>
    <row r="7998" spans="1:3" ht="15">
      <c r="A7998" s="84" t="s">
        <v>308</v>
      </c>
      <c r="B7998" s="83" t="s">
        <v>3416</v>
      </c>
      <c r="C7998" s="91" t="s">
        <v>1127</v>
      </c>
    </row>
    <row r="7999" spans="1:3" ht="15">
      <c r="A7999" s="84" t="s">
        <v>308</v>
      </c>
      <c r="B7999" s="83" t="s">
        <v>3425</v>
      </c>
      <c r="C7999" s="91" t="s">
        <v>1127</v>
      </c>
    </row>
    <row r="8000" spans="1:3" ht="15">
      <c r="A8000" s="84" t="s">
        <v>308</v>
      </c>
      <c r="B8000" s="83" t="s">
        <v>3418</v>
      </c>
      <c r="C8000" s="91" t="s">
        <v>1127</v>
      </c>
    </row>
    <row r="8001" spans="1:3" ht="15">
      <c r="A8001" s="84" t="s">
        <v>308</v>
      </c>
      <c r="B8001" s="83" t="s">
        <v>3219</v>
      </c>
      <c r="C8001" s="91" t="s">
        <v>1127</v>
      </c>
    </row>
    <row r="8002" spans="1:3" ht="15">
      <c r="A8002" s="84" t="s">
        <v>308</v>
      </c>
      <c r="B8002" s="83" t="s">
        <v>3221</v>
      </c>
      <c r="C8002" s="91" t="s">
        <v>1127</v>
      </c>
    </row>
    <row r="8003" spans="1:3" ht="15">
      <c r="A8003" s="84" t="s">
        <v>308</v>
      </c>
      <c r="B8003" s="83" t="s">
        <v>3254</v>
      </c>
      <c r="C8003" s="91" t="s">
        <v>1127</v>
      </c>
    </row>
    <row r="8004" spans="1:3" ht="15">
      <c r="A8004" s="84" t="s">
        <v>308</v>
      </c>
      <c r="B8004" s="83" t="s">
        <v>3421</v>
      </c>
      <c r="C8004" s="91" t="s">
        <v>1127</v>
      </c>
    </row>
    <row r="8005" spans="1:3" ht="15">
      <c r="A8005" s="84" t="s">
        <v>308</v>
      </c>
      <c r="B8005" s="83" t="s">
        <v>3199</v>
      </c>
      <c r="C8005" s="91" t="s">
        <v>1127</v>
      </c>
    </row>
    <row r="8006" spans="1:3" ht="15">
      <c r="A8006" s="84" t="s">
        <v>308</v>
      </c>
      <c r="B8006" s="83" t="s">
        <v>3393</v>
      </c>
      <c r="C8006" s="91" t="s">
        <v>1127</v>
      </c>
    </row>
    <row r="8007" spans="1:3" ht="15">
      <c r="A8007" s="84" t="s">
        <v>308</v>
      </c>
      <c r="B8007" s="83" t="s">
        <v>3426</v>
      </c>
      <c r="C8007" s="91" t="s">
        <v>1127</v>
      </c>
    </row>
    <row r="8008" spans="1:3" ht="15">
      <c r="A8008" s="84" t="s">
        <v>308</v>
      </c>
      <c r="B8008" s="83" t="s">
        <v>3420</v>
      </c>
      <c r="C8008" s="91" t="s">
        <v>1127</v>
      </c>
    </row>
    <row r="8009" spans="1:3" ht="15">
      <c r="A8009" s="84" t="s">
        <v>307</v>
      </c>
      <c r="B8009" s="83" t="s">
        <v>3423</v>
      </c>
      <c r="C8009" s="91" t="s">
        <v>1126</v>
      </c>
    </row>
    <row r="8010" spans="1:3" ht="15">
      <c r="A8010" s="84" t="s">
        <v>307</v>
      </c>
      <c r="B8010" s="83" t="s">
        <v>3203</v>
      </c>
      <c r="C8010" s="91" t="s">
        <v>1126</v>
      </c>
    </row>
    <row r="8011" spans="1:3" ht="15">
      <c r="A8011" s="84" t="s">
        <v>307</v>
      </c>
      <c r="B8011" s="83">
        <v>19</v>
      </c>
      <c r="C8011" s="91" t="s">
        <v>1126</v>
      </c>
    </row>
    <row r="8012" spans="1:3" ht="15">
      <c r="A8012" s="84" t="s">
        <v>307</v>
      </c>
      <c r="B8012" s="83" t="s">
        <v>2697</v>
      </c>
      <c r="C8012" s="91" t="s">
        <v>1126</v>
      </c>
    </row>
    <row r="8013" spans="1:3" ht="15">
      <c r="A8013" s="84" t="s">
        <v>307</v>
      </c>
      <c r="B8013" s="83" t="s">
        <v>2590</v>
      </c>
      <c r="C8013" s="91" t="s">
        <v>1126</v>
      </c>
    </row>
    <row r="8014" spans="1:3" ht="15">
      <c r="A8014" s="84" t="s">
        <v>307</v>
      </c>
      <c r="B8014" s="83" t="s">
        <v>3424</v>
      </c>
      <c r="C8014" s="91" t="s">
        <v>1126</v>
      </c>
    </row>
    <row r="8015" spans="1:3" ht="15">
      <c r="A8015" s="84" t="s">
        <v>307</v>
      </c>
      <c r="B8015" s="83" t="s">
        <v>3198</v>
      </c>
      <c r="C8015" s="91" t="s">
        <v>1126</v>
      </c>
    </row>
    <row r="8016" spans="1:3" ht="15">
      <c r="A8016" s="84" t="s">
        <v>307</v>
      </c>
      <c r="B8016" s="83" t="s">
        <v>3411</v>
      </c>
      <c r="C8016" s="91" t="s">
        <v>1126</v>
      </c>
    </row>
    <row r="8017" spans="1:3" ht="15">
      <c r="A8017" s="84" t="s">
        <v>307</v>
      </c>
      <c r="B8017" s="83" t="s">
        <v>3223</v>
      </c>
      <c r="C8017" s="91" t="s">
        <v>1126</v>
      </c>
    </row>
    <row r="8018" spans="1:3" ht="15">
      <c r="A8018" s="84" t="s">
        <v>307</v>
      </c>
      <c r="B8018" s="83" t="s">
        <v>3412</v>
      </c>
      <c r="C8018" s="91" t="s">
        <v>1126</v>
      </c>
    </row>
    <row r="8019" spans="1:3" ht="15">
      <c r="A8019" s="84" t="s">
        <v>307</v>
      </c>
      <c r="B8019" s="83" t="s">
        <v>3413</v>
      </c>
      <c r="C8019" s="91" t="s">
        <v>1126</v>
      </c>
    </row>
    <row r="8020" spans="1:3" ht="15">
      <c r="A8020" s="84" t="s">
        <v>307</v>
      </c>
      <c r="B8020" s="83" t="s">
        <v>3215</v>
      </c>
      <c r="C8020" s="91" t="s">
        <v>1126</v>
      </c>
    </row>
    <row r="8021" spans="1:3" ht="15">
      <c r="A8021" s="84" t="s">
        <v>307</v>
      </c>
      <c r="B8021" s="83" t="s">
        <v>3414</v>
      </c>
      <c r="C8021" s="91" t="s">
        <v>1126</v>
      </c>
    </row>
    <row r="8022" spans="1:3" ht="15">
      <c r="A8022" s="84" t="s">
        <v>307</v>
      </c>
      <c r="B8022" s="83" t="s">
        <v>3415</v>
      </c>
      <c r="C8022" s="91" t="s">
        <v>1126</v>
      </c>
    </row>
    <row r="8023" spans="1:3" ht="15">
      <c r="A8023" s="84" t="s">
        <v>307</v>
      </c>
      <c r="B8023" s="83" t="s">
        <v>3416</v>
      </c>
      <c r="C8023" s="91" t="s">
        <v>1126</v>
      </c>
    </row>
    <row r="8024" spans="1:3" ht="15">
      <c r="A8024" s="84" t="s">
        <v>307</v>
      </c>
      <c r="B8024" s="83" t="s">
        <v>3425</v>
      </c>
      <c r="C8024" s="91" t="s">
        <v>1126</v>
      </c>
    </row>
    <row r="8025" spans="1:3" ht="15">
      <c r="A8025" s="84" t="s">
        <v>307</v>
      </c>
      <c r="B8025" s="83" t="s">
        <v>3418</v>
      </c>
      <c r="C8025" s="91" t="s">
        <v>1126</v>
      </c>
    </row>
    <row r="8026" spans="1:3" ht="15">
      <c r="A8026" s="84" t="s">
        <v>307</v>
      </c>
      <c r="B8026" s="83" t="s">
        <v>3219</v>
      </c>
      <c r="C8026" s="91" t="s">
        <v>1126</v>
      </c>
    </row>
    <row r="8027" spans="1:3" ht="15">
      <c r="A8027" s="84" t="s">
        <v>307</v>
      </c>
      <c r="B8027" s="83" t="s">
        <v>3221</v>
      </c>
      <c r="C8027" s="91" t="s">
        <v>1126</v>
      </c>
    </row>
    <row r="8028" spans="1:3" ht="15">
      <c r="A8028" s="84" t="s">
        <v>307</v>
      </c>
      <c r="B8028" s="83" t="s">
        <v>3254</v>
      </c>
      <c r="C8028" s="91" t="s">
        <v>1126</v>
      </c>
    </row>
    <row r="8029" spans="1:3" ht="15">
      <c r="A8029" s="84" t="s">
        <v>307</v>
      </c>
      <c r="B8029" s="83" t="s">
        <v>3421</v>
      </c>
      <c r="C8029" s="91" t="s">
        <v>1126</v>
      </c>
    </row>
    <row r="8030" spans="1:3" ht="15">
      <c r="A8030" s="84" t="s">
        <v>307</v>
      </c>
      <c r="B8030" s="83" t="s">
        <v>3199</v>
      </c>
      <c r="C8030" s="91" t="s">
        <v>1126</v>
      </c>
    </row>
    <row r="8031" spans="1:3" ht="15">
      <c r="A8031" s="84" t="s">
        <v>307</v>
      </c>
      <c r="B8031" s="83" t="s">
        <v>3393</v>
      </c>
      <c r="C8031" s="91" t="s">
        <v>1126</v>
      </c>
    </row>
    <row r="8032" spans="1:3" ht="15">
      <c r="A8032" s="84" t="s">
        <v>307</v>
      </c>
      <c r="B8032" s="83" t="s">
        <v>3426</v>
      </c>
      <c r="C8032" s="91" t="s">
        <v>1126</v>
      </c>
    </row>
    <row r="8033" spans="1:3" ht="15">
      <c r="A8033" s="84" t="s">
        <v>307</v>
      </c>
      <c r="B8033" s="83" t="s">
        <v>3420</v>
      </c>
      <c r="C8033" s="91" t="s">
        <v>1126</v>
      </c>
    </row>
    <row r="8034" spans="1:3" ht="15">
      <c r="A8034" s="84" t="s">
        <v>306</v>
      </c>
      <c r="B8034" s="83" t="s">
        <v>3423</v>
      </c>
      <c r="C8034" s="91" t="s">
        <v>1125</v>
      </c>
    </row>
    <row r="8035" spans="1:3" ht="15">
      <c r="A8035" s="84" t="s">
        <v>306</v>
      </c>
      <c r="B8035" s="83" t="s">
        <v>3203</v>
      </c>
      <c r="C8035" s="91" t="s">
        <v>1125</v>
      </c>
    </row>
    <row r="8036" spans="1:3" ht="15">
      <c r="A8036" s="84" t="s">
        <v>306</v>
      </c>
      <c r="B8036" s="83">
        <v>19</v>
      </c>
      <c r="C8036" s="91" t="s">
        <v>1125</v>
      </c>
    </row>
    <row r="8037" spans="1:3" ht="15">
      <c r="A8037" s="84" t="s">
        <v>306</v>
      </c>
      <c r="B8037" s="83" t="s">
        <v>2697</v>
      </c>
      <c r="C8037" s="91" t="s">
        <v>1125</v>
      </c>
    </row>
    <row r="8038" spans="1:3" ht="15">
      <c r="A8038" s="84" t="s">
        <v>306</v>
      </c>
      <c r="B8038" s="83" t="s">
        <v>2590</v>
      </c>
      <c r="C8038" s="91" t="s">
        <v>1125</v>
      </c>
    </row>
    <row r="8039" spans="1:3" ht="15">
      <c r="A8039" s="84" t="s">
        <v>306</v>
      </c>
      <c r="B8039" s="83" t="s">
        <v>3424</v>
      </c>
      <c r="C8039" s="91" t="s">
        <v>1125</v>
      </c>
    </row>
    <row r="8040" spans="1:3" ht="15">
      <c r="A8040" s="84" t="s">
        <v>306</v>
      </c>
      <c r="B8040" s="83" t="s">
        <v>3198</v>
      </c>
      <c r="C8040" s="91" t="s">
        <v>1125</v>
      </c>
    </row>
    <row r="8041" spans="1:3" ht="15">
      <c r="A8041" s="84" t="s">
        <v>306</v>
      </c>
      <c r="B8041" s="83" t="s">
        <v>3411</v>
      </c>
      <c r="C8041" s="91" t="s">
        <v>1125</v>
      </c>
    </row>
    <row r="8042" spans="1:3" ht="15">
      <c r="A8042" s="84" t="s">
        <v>306</v>
      </c>
      <c r="B8042" s="83" t="s">
        <v>3223</v>
      </c>
      <c r="C8042" s="91" t="s">
        <v>1125</v>
      </c>
    </row>
    <row r="8043" spans="1:3" ht="15">
      <c r="A8043" s="84" t="s">
        <v>306</v>
      </c>
      <c r="B8043" s="83" t="s">
        <v>3412</v>
      </c>
      <c r="C8043" s="91" t="s">
        <v>1125</v>
      </c>
    </row>
    <row r="8044" spans="1:3" ht="15">
      <c r="A8044" s="84" t="s">
        <v>306</v>
      </c>
      <c r="B8044" s="83" t="s">
        <v>3413</v>
      </c>
      <c r="C8044" s="91" t="s">
        <v>1125</v>
      </c>
    </row>
    <row r="8045" spans="1:3" ht="15">
      <c r="A8045" s="84" t="s">
        <v>306</v>
      </c>
      <c r="B8045" s="83" t="s">
        <v>3215</v>
      </c>
      <c r="C8045" s="91" t="s">
        <v>1125</v>
      </c>
    </row>
    <row r="8046" spans="1:3" ht="15">
      <c r="A8046" s="84" t="s">
        <v>306</v>
      </c>
      <c r="B8046" s="83" t="s">
        <v>3414</v>
      </c>
      <c r="C8046" s="91" t="s">
        <v>1125</v>
      </c>
    </row>
    <row r="8047" spans="1:3" ht="15">
      <c r="A8047" s="84" t="s">
        <v>306</v>
      </c>
      <c r="B8047" s="83" t="s">
        <v>3415</v>
      </c>
      <c r="C8047" s="91" t="s">
        <v>1125</v>
      </c>
    </row>
    <row r="8048" spans="1:3" ht="15">
      <c r="A8048" s="84" t="s">
        <v>306</v>
      </c>
      <c r="B8048" s="83" t="s">
        <v>3416</v>
      </c>
      <c r="C8048" s="91" t="s">
        <v>1125</v>
      </c>
    </row>
    <row r="8049" spans="1:3" ht="15">
      <c r="A8049" s="84" t="s">
        <v>306</v>
      </c>
      <c r="B8049" s="83" t="s">
        <v>3425</v>
      </c>
      <c r="C8049" s="91" t="s">
        <v>1125</v>
      </c>
    </row>
    <row r="8050" spans="1:3" ht="15">
      <c r="A8050" s="84" t="s">
        <v>306</v>
      </c>
      <c r="B8050" s="83" t="s">
        <v>3418</v>
      </c>
      <c r="C8050" s="91" t="s">
        <v>1125</v>
      </c>
    </row>
    <row r="8051" spans="1:3" ht="15">
      <c r="A8051" s="84" t="s">
        <v>306</v>
      </c>
      <c r="B8051" s="83" t="s">
        <v>3219</v>
      </c>
      <c r="C8051" s="91" t="s">
        <v>1125</v>
      </c>
    </row>
    <row r="8052" spans="1:3" ht="15">
      <c r="A8052" s="84" t="s">
        <v>306</v>
      </c>
      <c r="B8052" s="83" t="s">
        <v>3221</v>
      </c>
      <c r="C8052" s="91" t="s">
        <v>1125</v>
      </c>
    </row>
    <row r="8053" spans="1:3" ht="15">
      <c r="A8053" s="84" t="s">
        <v>306</v>
      </c>
      <c r="B8053" s="83" t="s">
        <v>3254</v>
      </c>
      <c r="C8053" s="91" t="s">
        <v>1125</v>
      </c>
    </row>
    <row r="8054" spans="1:3" ht="15">
      <c r="A8054" s="84" t="s">
        <v>306</v>
      </c>
      <c r="B8054" s="83" t="s">
        <v>3421</v>
      </c>
      <c r="C8054" s="91" t="s">
        <v>1125</v>
      </c>
    </row>
    <row r="8055" spans="1:3" ht="15">
      <c r="A8055" s="84" t="s">
        <v>306</v>
      </c>
      <c r="B8055" s="83" t="s">
        <v>3199</v>
      </c>
      <c r="C8055" s="91" t="s">
        <v>1125</v>
      </c>
    </row>
    <row r="8056" spans="1:3" ht="15">
      <c r="A8056" s="84" t="s">
        <v>306</v>
      </c>
      <c r="B8056" s="83" t="s">
        <v>3393</v>
      </c>
      <c r="C8056" s="91" t="s">
        <v>1125</v>
      </c>
    </row>
    <row r="8057" spans="1:3" ht="15">
      <c r="A8057" s="84" t="s">
        <v>306</v>
      </c>
      <c r="B8057" s="83" t="s">
        <v>3426</v>
      </c>
      <c r="C8057" s="91" t="s">
        <v>1125</v>
      </c>
    </row>
    <row r="8058" spans="1:3" ht="15">
      <c r="A8058" s="84" t="s">
        <v>306</v>
      </c>
      <c r="B8058" s="83" t="s">
        <v>3420</v>
      </c>
      <c r="C8058" s="91" t="s">
        <v>1125</v>
      </c>
    </row>
    <row r="8059" spans="1:3" ht="15">
      <c r="A8059" s="84" t="s">
        <v>305</v>
      </c>
      <c r="B8059" s="83" t="s">
        <v>3423</v>
      </c>
      <c r="C8059" s="91" t="s">
        <v>1124</v>
      </c>
    </row>
    <row r="8060" spans="1:3" ht="15">
      <c r="A8060" s="84" t="s">
        <v>305</v>
      </c>
      <c r="B8060" s="83" t="s">
        <v>3203</v>
      </c>
      <c r="C8060" s="91" t="s">
        <v>1124</v>
      </c>
    </row>
    <row r="8061" spans="1:3" ht="15">
      <c r="A8061" s="84" t="s">
        <v>305</v>
      </c>
      <c r="B8061" s="83">
        <v>19</v>
      </c>
      <c r="C8061" s="91" t="s">
        <v>1124</v>
      </c>
    </row>
    <row r="8062" spans="1:3" ht="15">
      <c r="A8062" s="84" t="s">
        <v>305</v>
      </c>
      <c r="B8062" s="83" t="s">
        <v>2697</v>
      </c>
      <c r="C8062" s="91" t="s">
        <v>1124</v>
      </c>
    </row>
    <row r="8063" spans="1:3" ht="15">
      <c r="A8063" s="84" t="s">
        <v>305</v>
      </c>
      <c r="B8063" s="83" t="s">
        <v>2590</v>
      </c>
      <c r="C8063" s="91" t="s">
        <v>1124</v>
      </c>
    </row>
    <row r="8064" spans="1:3" ht="15">
      <c r="A8064" s="84" t="s">
        <v>305</v>
      </c>
      <c r="B8064" s="83" t="s">
        <v>3424</v>
      </c>
      <c r="C8064" s="91" t="s">
        <v>1124</v>
      </c>
    </row>
    <row r="8065" spans="1:3" ht="15">
      <c r="A8065" s="84" t="s">
        <v>305</v>
      </c>
      <c r="B8065" s="83" t="s">
        <v>3198</v>
      </c>
      <c r="C8065" s="91" t="s">
        <v>1124</v>
      </c>
    </row>
    <row r="8066" spans="1:3" ht="15">
      <c r="A8066" s="84" t="s">
        <v>305</v>
      </c>
      <c r="B8066" s="83" t="s">
        <v>3411</v>
      </c>
      <c r="C8066" s="91" t="s">
        <v>1124</v>
      </c>
    </row>
    <row r="8067" spans="1:3" ht="15">
      <c r="A8067" s="84" t="s">
        <v>305</v>
      </c>
      <c r="B8067" s="83" t="s">
        <v>3223</v>
      </c>
      <c r="C8067" s="91" t="s">
        <v>1124</v>
      </c>
    </row>
    <row r="8068" spans="1:3" ht="15">
      <c r="A8068" s="84" t="s">
        <v>305</v>
      </c>
      <c r="B8068" s="83" t="s">
        <v>3412</v>
      </c>
      <c r="C8068" s="91" t="s">
        <v>1124</v>
      </c>
    </row>
    <row r="8069" spans="1:3" ht="15">
      <c r="A8069" s="84" t="s">
        <v>305</v>
      </c>
      <c r="B8069" s="83" t="s">
        <v>3413</v>
      </c>
      <c r="C8069" s="91" t="s">
        <v>1124</v>
      </c>
    </row>
    <row r="8070" spans="1:3" ht="15">
      <c r="A8070" s="84" t="s">
        <v>305</v>
      </c>
      <c r="B8070" s="83" t="s">
        <v>3215</v>
      </c>
      <c r="C8070" s="91" t="s">
        <v>1124</v>
      </c>
    </row>
    <row r="8071" spans="1:3" ht="15">
      <c r="A8071" s="84" t="s">
        <v>305</v>
      </c>
      <c r="B8071" s="83" t="s">
        <v>3414</v>
      </c>
      <c r="C8071" s="91" t="s">
        <v>1124</v>
      </c>
    </row>
    <row r="8072" spans="1:3" ht="15">
      <c r="A8072" s="84" t="s">
        <v>305</v>
      </c>
      <c r="B8072" s="83" t="s">
        <v>3415</v>
      </c>
      <c r="C8072" s="91" t="s">
        <v>1124</v>
      </c>
    </row>
    <row r="8073" spans="1:3" ht="15">
      <c r="A8073" s="84" t="s">
        <v>305</v>
      </c>
      <c r="B8073" s="83" t="s">
        <v>3416</v>
      </c>
      <c r="C8073" s="91" t="s">
        <v>1124</v>
      </c>
    </row>
    <row r="8074" spans="1:3" ht="15">
      <c r="A8074" s="84" t="s">
        <v>305</v>
      </c>
      <c r="B8074" s="83" t="s">
        <v>3425</v>
      </c>
      <c r="C8074" s="91" t="s">
        <v>1124</v>
      </c>
    </row>
    <row r="8075" spans="1:3" ht="15">
      <c r="A8075" s="84" t="s">
        <v>305</v>
      </c>
      <c r="B8075" s="83" t="s">
        <v>3418</v>
      </c>
      <c r="C8075" s="91" t="s">
        <v>1124</v>
      </c>
    </row>
    <row r="8076" spans="1:3" ht="15">
      <c r="A8076" s="84" t="s">
        <v>305</v>
      </c>
      <c r="B8076" s="83" t="s">
        <v>3219</v>
      </c>
      <c r="C8076" s="91" t="s">
        <v>1124</v>
      </c>
    </row>
    <row r="8077" spans="1:3" ht="15">
      <c r="A8077" s="84" t="s">
        <v>305</v>
      </c>
      <c r="B8077" s="83" t="s">
        <v>3221</v>
      </c>
      <c r="C8077" s="91" t="s">
        <v>1124</v>
      </c>
    </row>
    <row r="8078" spans="1:3" ht="15">
      <c r="A8078" s="84" t="s">
        <v>305</v>
      </c>
      <c r="B8078" s="83" t="s">
        <v>3254</v>
      </c>
      <c r="C8078" s="91" t="s">
        <v>1124</v>
      </c>
    </row>
    <row r="8079" spans="1:3" ht="15">
      <c r="A8079" s="84" t="s">
        <v>305</v>
      </c>
      <c r="B8079" s="83" t="s">
        <v>3421</v>
      </c>
      <c r="C8079" s="91" t="s">
        <v>1124</v>
      </c>
    </row>
    <row r="8080" spans="1:3" ht="15">
      <c r="A8080" s="84" t="s">
        <v>305</v>
      </c>
      <c r="B8080" s="83" t="s">
        <v>3199</v>
      </c>
      <c r="C8080" s="91" t="s">
        <v>1124</v>
      </c>
    </row>
    <row r="8081" spans="1:3" ht="15">
      <c r="A8081" s="84" t="s">
        <v>305</v>
      </c>
      <c r="B8081" s="83" t="s">
        <v>3393</v>
      </c>
      <c r="C8081" s="91" t="s">
        <v>1124</v>
      </c>
    </row>
    <row r="8082" spans="1:3" ht="15">
      <c r="A8082" s="84" t="s">
        <v>305</v>
      </c>
      <c r="B8082" s="83" t="s">
        <v>3426</v>
      </c>
      <c r="C8082" s="91" t="s">
        <v>1124</v>
      </c>
    </row>
    <row r="8083" spans="1:3" ht="15">
      <c r="A8083" s="84" t="s">
        <v>305</v>
      </c>
      <c r="B8083" s="83" t="s">
        <v>3420</v>
      </c>
      <c r="C8083" s="91" t="s">
        <v>1124</v>
      </c>
    </row>
    <row r="8084" spans="1:3" ht="15">
      <c r="A8084" s="84" t="s">
        <v>304</v>
      </c>
      <c r="B8084" s="83" t="s">
        <v>3423</v>
      </c>
      <c r="C8084" s="91" t="s">
        <v>1123</v>
      </c>
    </row>
    <row r="8085" spans="1:3" ht="15">
      <c r="A8085" s="84" t="s">
        <v>304</v>
      </c>
      <c r="B8085" s="83" t="s">
        <v>3203</v>
      </c>
      <c r="C8085" s="91" t="s">
        <v>1123</v>
      </c>
    </row>
    <row r="8086" spans="1:3" ht="15">
      <c r="A8086" s="84" t="s">
        <v>304</v>
      </c>
      <c r="B8086" s="83">
        <v>19</v>
      </c>
      <c r="C8086" s="91" t="s">
        <v>1123</v>
      </c>
    </row>
    <row r="8087" spans="1:3" ht="15">
      <c r="A8087" s="84" t="s">
        <v>304</v>
      </c>
      <c r="B8087" s="83" t="s">
        <v>2697</v>
      </c>
      <c r="C8087" s="91" t="s">
        <v>1123</v>
      </c>
    </row>
    <row r="8088" spans="1:3" ht="15">
      <c r="A8088" s="84" t="s">
        <v>304</v>
      </c>
      <c r="B8088" s="83" t="s">
        <v>2590</v>
      </c>
      <c r="C8088" s="91" t="s">
        <v>1123</v>
      </c>
    </row>
    <row r="8089" spans="1:3" ht="15">
      <c r="A8089" s="84" t="s">
        <v>304</v>
      </c>
      <c r="B8089" s="83" t="s">
        <v>3424</v>
      </c>
      <c r="C8089" s="91" t="s">
        <v>1123</v>
      </c>
    </row>
    <row r="8090" spans="1:3" ht="15">
      <c r="A8090" s="84" t="s">
        <v>304</v>
      </c>
      <c r="B8090" s="83" t="s">
        <v>3198</v>
      </c>
      <c r="C8090" s="91" t="s">
        <v>1123</v>
      </c>
    </row>
    <row r="8091" spans="1:3" ht="15">
      <c r="A8091" s="84" t="s">
        <v>304</v>
      </c>
      <c r="B8091" s="83" t="s">
        <v>3411</v>
      </c>
      <c r="C8091" s="91" t="s">
        <v>1123</v>
      </c>
    </row>
    <row r="8092" spans="1:3" ht="15">
      <c r="A8092" s="84" t="s">
        <v>304</v>
      </c>
      <c r="B8092" s="83" t="s">
        <v>3223</v>
      </c>
      <c r="C8092" s="91" t="s">
        <v>1123</v>
      </c>
    </row>
    <row r="8093" spans="1:3" ht="15">
      <c r="A8093" s="84" t="s">
        <v>304</v>
      </c>
      <c r="B8093" s="83" t="s">
        <v>3412</v>
      </c>
      <c r="C8093" s="91" t="s">
        <v>1123</v>
      </c>
    </row>
    <row r="8094" spans="1:3" ht="15">
      <c r="A8094" s="84" t="s">
        <v>304</v>
      </c>
      <c r="B8094" s="83" t="s">
        <v>3413</v>
      </c>
      <c r="C8094" s="91" t="s">
        <v>1123</v>
      </c>
    </row>
    <row r="8095" spans="1:3" ht="15">
      <c r="A8095" s="84" t="s">
        <v>304</v>
      </c>
      <c r="B8095" s="83" t="s">
        <v>3215</v>
      </c>
      <c r="C8095" s="91" t="s">
        <v>1123</v>
      </c>
    </row>
    <row r="8096" spans="1:3" ht="15">
      <c r="A8096" s="84" t="s">
        <v>304</v>
      </c>
      <c r="B8096" s="83" t="s">
        <v>3414</v>
      </c>
      <c r="C8096" s="91" t="s">
        <v>1123</v>
      </c>
    </row>
    <row r="8097" spans="1:3" ht="15">
      <c r="A8097" s="84" t="s">
        <v>304</v>
      </c>
      <c r="B8097" s="83" t="s">
        <v>3415</v>
      </c>
      <c r="C8097" s="91" t="s">
        <v>1123</v>
      </c>
    </row>
    <row r="8098" spans="1:3" ht="15">
      <c r="A8098" s="84" t="s">
        <v>304</v>
      </c>
      <c r="B8098" s="83" t="s">
        <v>3416</v>
      </c>
      <c r="C8098" s="91" t="s">
        <v>1123</v>
      </c>
    </row>
    <row r="8099" spans="1:3" ht="15">
      <c r="A8099" s="84" t="s">
        <v>304</v>
      </c>
      <c r="B8099" s="83" t="s">
        <v>3425</v>
      </c>
      <c r="C8099" s="91" t="s">
        <v>1123</v>
      </c>
    </row>
    <row r="8100" spans="1:3" ht="15">
      <c r="A8100" s="84" t="s">
        <v>304</v>
      </c>
      <c r="B8100" s="83" t="s">
        <v>3418</v>
      </c>
      <c r="C8100" s="91" t="s">
        <v>1123</v>
      </c>
    </row>
    <row r="8101" spans="1:3" ht="15">
      <c r="A8101" s="84" t="s">
        <v>304</v>
      </c>
      <c r="B8101" s="83" t="s">
        <v>3219</v>
      </c>
      <c r="C8101" s="91" t="s">
        <v>1123</v>
      </c>
    </row>
    <row r="8102" spans="1:3" ht="15">
      <c r="A8102" s="84" t="s">
        <v>304</v>
      </c>
      <c r="B8102" s="83" t="s">
        <v>3221</v>
      </c>
      <c r="C8102" s="91" t="s">
        <v>1123</v>
      </c>
    </row>
    <row r="8103" spans="1:3" ht="15">
      <c r="A8103" s="84" t="s">
        <v>304</v>
      </c>
      <c r="B8103" s="83" t="s">
        <v>3254</v>
      </c>
      <c r="C8103" s="91" t="s">
        <v>1123</v>
      </c>
    </row>
    <row r="8104" spans="1:3" ht="15">
      <c r="A8104" s="84" t="s">
        <v>304</v>
      </c>
      <c r="B8104" s="83" t="s">
        <v>3421</v>
      </c>
      <c r="C8104" s="91" t="s">
        <v>1123</v>
      </c>
    </row>
    <row r="8105" spans="1:3" ht="15">
      <c r="A8105" s="84" t="s">
        <v>304</v>
      </c>
      <c r="B8105" s="83" t="s">
        <v>3199</v>
      </c>
      <c r="C8105" s="91" t="s">
        <v>1123</v>
      </c>
    </row>
    <row r="8106" spans="1:3" ht="15">
      <c r="A8106" s="84" t="s">
        <v>304</v>
      </c>
      <c r="B8106" s="83" t="s">
        <v>3393</v>
      </c>
      <c r="C8106" s="91" t="s">
        <v>1123</v>
      </c>
    </row>
    <row r="8107" spans="1:3" ht="15">
      <c r="A8107" s="84" t="s">
        <v>304</v>
      </c>
      <c r="B8107" s="83" t="s">
        <v>3426</v>
      </c>
      <c r="C8107" s="91" t="s">
        <v>1123</v>
      </c>
    </row>
    <row r="8108" spans="1:3" ht="15">
      <c r="A8108" s="84" t="s">
        <v>304</v>
      </c>
      <c r="B8108" s="83" t="s">
        <v>3420</v>
      </c>
      <c r="C8108" s="91" t="s">
        <v>1123</v>
      </c>
    </row>
    <row r="8109" spans="1:3" ht="15">
      <c r="A8109" s="84" t="s">
        <v>303</v>
      </c>
      <c r="B8109" s="83" t="s">
        <v>3423</v>
      </c>
      <c r="C8109" s="91" t="s">
        <v>1122</v>
      </c>
    </row>
    <row r="8110" spans="1:3" ht="15">
      <c r="A8110" s="84" t="s">
        <v>303</v>
      </c>
      <c r="B8110" s="83" t="s">
        <v>3203</v>
      </c>
      <c r="C8110" s="91" t="s">
        <v>1122</v>
      </c>
    </row>
    <row r="8111" spans="1:3" ht="15">
      <c r="A8111" s="84" t="s">
        <v>303</v>
      </c>
      <c r="B8111" s="83">
        <v>19</v>
      </c>
      <c r="C8111" s="91" t="s">
        <v>1122</v>
      </c>
    </row>
    <row r="8112" spans="1:3" ht="15">
      <c r="A8112" s="84" t="s">
        <v>303</v>
      </c>
      <c r="B8112" s="83" t="s">
        <v>2697</v>
      </c>
      <c r="C8112" s="91" t="s">
        <v>1122</v>
      </c>
    </row>
    <row r="8113" spans="1:3" ht="15">
      <c r="A8113" s="84" t="s">
        <v>303</v>
      </c>
      <c r="B8113" s="83" t="s">
        <v>2590</v>
      </c>
      <c r="C8113" s="91" t="s">
        <v>1122</v>
      </c>
    </row>
    <row r="8114" spans="1:3" ht="15">
      <c r="A8114" s="84" t="s">
        <v>303</v>
      </c>
      <c r="B8114" s="83" t="s">
        <v>3424</v>
      </c>
      <c r="C8114" s="91" t="s">
        <v>1122</v>
      </c>
    </row>
    <row r="8115" spans="1:3" ht="15">
      <c r="A8115" s="84" t="s">
        <v>303</v>
      </c>
      <c r="B8115" s="83" t="s">
        <v>3198</v>
      </c>
      <c r="C8115" s="91" t="s">
        <v>1122</v>
      </c>
    </row>
    <row r="8116" spans="1:3" ht="15">
      <c r="A8116" s="84" t="s">
        <v>303</v>
      </c>
      <c r="B8116" s="83" t="s">
        <v>3411</v>
      </c>
      <c r="C8116" s="91" t="s">
        <v>1122</v>
      </c>
    </row>
    <row r="8117" spans="1:3" ht="15">
      <c r="A8117" s="84" t="s">
        <v>303</v>
      </c>
      <c r="B8117" s="83" t="s">
        <v>3223</v>
      </c>
      <c r="C8117" s="91" t="s">
        <v>1122</v>
      </c>
    </row>
    <row r="8118" spans="1:3" ht="15">
      <c r="A8118" s="84" t="s">
        <v>303</v>
      </c>
      <c r="B8118" s="83" t="s">
        <v>3412</v>
      </c>
      <c r="C8118" s="91" t="s">
        <v>1122</v>
      </c>
    </row>
    <row r="8119" spans="1:3" ht="15">
      <c r="A8119" s="84" t="s">
        <v>303</v>
      </c>
      <c r="B8119" s="83" t="s">
        <v>3413</v>
      </c>
      <c r="C8119" s="91" t="s">
        <v>1122</v>
      </c>
    </row>
    <row r="8120" spans="1:3" ht="15">
      <c r="A8120" s="84" t="s">
        <v>303</v>
      </c>
      <c r="B8120" s="83" t="s">
        <v>3215</v>
      </c>
      <c r="C8120" s="91" t="s">
        <v>1122</v>
      </c>
    </row>
    <row r="8121" spans="1:3" ht="15">
      <c r="A8121" s="84" t="s">
        <v>303</v>
      </c>
      <c r="B8121" s="83" t="s">
        <v>3414</v>
      </c>
      <c r="C8121" s="91" t="s">
        <v>1122</v>
      </c>
    </row>
    <row r="8122" spans="1:3" ht="15">
      <c r="A8122" s="84" t="s">
        <v>303</v>
      </c>
      <c r="B8122" s="83" t="s">
        <v>3415</v>
      </c>
      <c r="C8122" s="91" t="s">
        <v>1122</v>
      </c>
    </row>
    <row r="8123" spans="1:3" ht="15">
      <c r="A8123" s="84" t="s">
        <v>303</v>
      </c>
      <c r="B8123" s="83" t="s">
        <v>3416</v>
      </c>
      <c r="C8123" s="91" t="s">
        <v>1122</v>
      </c>
    </row>
    <row r="8124" spans="1:3" ht="15">
      <c r="A8124" s="84" t="s">
        <v>303</v>
      </c>
      <c r="B8124" s="83" t="s">
        <v>3425</v>
      </c>
      <c r="C8124" s="91" t="s">
        <v>1122</v>
      </c>
    </row>
    <row r="8125" spans="1:3" ht="15">
      <c r="A8125" s="84" t="s">
        <v>303</v>
      </c>
      <c r="B8125" s="83" t="s">
        <v>3418</v>
      </c>
      <c r="C8125" s="91" t="s">
        <v>1122</v>
      </c>
    </row>
    <row r="8126" spans="1:3" ht="15">
      <c r="A8126" s="84" t="s">
        <v>303</v>
      </c>
      <c r="B8126" s="83" t="s">
        <v>3219</v>
      </c>
      <c r="C8126" s="91" t="s">
        <v>1122</v>
      </c>
    </row>
    <row r="8127" spans="1:3" ht="15">
      <c r="A8127" s="84" t="s">
        <v>303</v>
      </c>
      <c r="B8127" s="83" t="s">
        <v>3221</v>
      </c>
      <c r="C8127" s="91" t="s">
        <v>1122</v>
      </c>
    </row>
    <row r="8128" spans="1:3" ht="15">
      <c r="A8128" s="84" t="s">
        <v>303</v>
      </c>
      <c r="B8128" s="83" t="s">
        <v>3254</v>
      </c>
      <c r="C8128" s="91" t="s">
        <v>1122</v>
      </c>
    </row>
    <row r="8129" spans="1:3" ht="15">
      <c r="A8129" s="84" t="s">
        <v>303</v>
      </c>
      <c r="B8129" s="83" t="s">
        <v>3421</v>
      </c>
      <c r="C8129" s="91" t="s">
        <v>1122</v>
      </c>
    </row>
    <row r="8130" spans="1:3" ht="15">
      <c r="A8130" s="84" t="s">
        <v>303</v>
      </c>
      <c r="B8130" s="83" t="s">
        <v>3199</v>
      </c>
      <c r="C8130" s="91" t="s">
        <v>1122</v>
      </c>
    </row>
    <row r="8131" spans="1:3" ht="15">
      <c r="A8131" s="84" t="s">
        <v>303</v>
      </c>
      <c r="B8131" s="83" t="s">
        <v>3393</v>
      </c>
      <c r="C8131" s="91" t="s">
        <v>1122</v>
      </c>
    </row>
    <row r="8132" spans="1:3" ht="15">
      <c r="A8132" s="84" t="s">
        <v>303</v>
      </c>
      <c r="B8132" s="83" t="s">
        <v>3426</v>
      </c>
      <c r="C8132" s="91" t="s">
        <v>1122</v>
      </c>
    </row>
    <row r="8133" spans="1:3" ht="15">
      <c r="A8133" s="84" t="s">
        <v>303</v>
      </c>
      <c r="B8133" s="83" t="s">
        <v>3420</v>
      </c>
      <c r="C8133" s="91" t="s">
        <v>1122</v>
      </c>
    </row>
    <row r="8134" spans="1:3" ht="15">
      <c r="A8134" s="84" t="s">
        <v>302</v>
      </c>
      <c r="B8134" s="83" t="s">
        <v>3423</v>
      </c>
      <c r="C8134" s="91" t="s">
        <v>1121</v>
      </c>
    </row>
    <row r="8135" spans="1:3" ht="15">
      <c r="A8135" s="84" t="s">
        <v>302</v>
      </c>
      <c r="B8135" s="83" t="s">
        <v>3203</v>
      </c>
      <c r="C8135" s="91" t="s">
        <v>1121</v>
      </c>
    </row>
    <row r="8136" spans="1:3" ht="15">
      <c r="A8136" s="84" t="s">
        <v>302</v>
      </c>
      <c r="B8136" s="83">
        <v>19</v>
      </c>
      <c r="C8136" s="91" t="s">
        <v>1121</v>
      </c>
    </row>
    <row r="8137" spans="1:3" ht="15">
      <c r="A8137" s="84" t="s">
        <v>302</v>
      </c>
      <c r="B8137" s="83" t="s">
        <v>2697</v>
      </c>
      <c r="C8137" s="91" t="s">
        <v>1121</v>
      </c>
    </row>
    <row r="8138" spans="1:3" ht="15">
      <c r="A8138" s="84" t="s">
        <v>302</v>
      </c>
      <c r="B8138" s="83" t="s">
        <v>2590</v>
      </c>
      <c r="C8138" s="91" t="s">
        <v>1121</v>
      </c>
    </row>
    <row r="8139" spans="1:3" ht="15">
      <c r="A8139" s="84" t="s">
        <v>302</v>
      </c>
      <c r="B8139" s="83" t="s">
        <v>3424</v>
      </c>
      <c r="C8139" s="91" t="s">
        <v>1121</v>
      </c>
    </row>
    <row r="8140" spans="1:3" ht="15">
      <c r="A8140" s="84" t="s">
        <v>302</v>
      </c>
      <c r="B8140" s="83" t="s">
        <v>3198</v>
      </c>
      <c r="C8140" s="91" t="s">
        <v>1121</v>
      </c>
    </row>
    <row r="8141" spans="1:3" ht="15">
      <c r="A8141" s="84" t="s">
        <v>302</v>
      </c>
      <c r="B8141" s="83" t="s">
        <v>3411</v>
      </c>
      <c r="C8141" s="91" t="s">
        <v>1121</v>
      </c>
    </row>
    <row r="8142" spans="1:3" ht="15">
      <c r="A8142" s="84" t="s">
        <v>302</v>
      </c>
      <c r="B8142" s="83" t="s">
        <v>3223</v>
      </c>
      <c r="C8142" s="91" t="s">
        <v>1121</v>
      </c>
    </row>
    <row r="8143" spans="1:3" ht="15">
      <c r="A8143" s="84" t="s">
        <v>302</v>
      </c>
      <c r="B8143" s="83" t="s">
        <v>3412</v>
      </c>
      <c r="C8143" s="91" t="s">
        <v>1121</v>
      </c>
    </row>
    <row r="8144" spans="1:3" ht="15">
      <c r="A8144" s="84" t="s">
        <v>302</v>
      </c>
      <c r="B8144" s="83" t="s">
        <v>3413</v>
      </c>
      <c r="C8144" s="91" t="s">
        <v>1121</v>
      </c>
    </row>
    <row r="8145" spans="1:3" ht="15">
      <c r="A8145" s="84" t="s">
        <v>302</v>
      </c>
      <c r="B8145" s="83" t="s">
        <v>3215</v>
      </c>
      <c r="C8145" s="91" t="s">
        <v>1121</v>
      </c>
    </row>
    <row r="8146" spans="1:3" ht="15">
      <c r="A8146" s="84" t="s">
        <v>302</v>
      </c>
      <c r="B8146" s="83" t="s">
        <v>3414</v>
      </c>
      <c r="C8146" s="91" t="s">
        <v>1121</v>
      </c>
    </row>
    <row r="8147" spans="1:3" ht="15">
      <c r="A8147" s="84" t="s">
        <v>302</v>
      </c>
      <c r="B8147" s="83" t="s">
        <v>3415</v>
      </c>
      <c r="C8147" s="91" t="s">
        <v>1121</v>
      </c>
    </row>
    <row r="8148" spans="1:3" ht="15">
      <c r="A8148" s="84" t="s">
        <v>302</v>
      </c>
      <c r="B8148" s="83" t="s">
        <v>3416</v>
      </c>
      <c r="C8148" s="91" t="s">
        <v>1121</v>
      </c>
    </row>
    <row r="8149" spans="1:3" ht="15">
      <c r="A8149" s="84" t="s">
        <v>302</v>
      </c>
      <c r="B8149" s="83" t="s">
        <v>3425</v>
      </c>
      <c r="C8149" s="91" t="s">
        <v>1121</v>
      </c>
    </row>
    <row r="8150" spans="1:3" ht="15">
      <c r="A8150" s="84" t="s">
        <v>302</v>
      </c>
      <c r="B8150" s="83" t="s">
        <v>3418</v>
      </c>
      <c r="C8150" s="91" t="s">
        <v>1121</v>
      </c>
    </row>
    <row r="8151" spans="1:3" ht="15">
      <c r="A8151" s="84" t="s">
        <v>302</v>
      </c>
      <c r="B8151" s="83" t="s">
        <v>3219</v>
      </c>
      <c r="C8151" s="91" t="s">
        <v>1121</v>
      </c>
    </row>
    <row r="8152" spans="1:3" ht="15">
      <c r="A8152" s="84" t="s">
        <v>302</v>
      </c>
      <c r="B8152" s="83" t="s">
        <v>3221</v>
      </c>
      <c r="C8152" s="91" t="s">
        <v>1121</v>
      </c>
    </row>
    <row r="8153" spans="1:3" ht="15">
      <c r="A8153" s="84" t="s">
        <v>302</v>
      </c>
      <c r="B8153" s="83" t="s">
        <v>3254</v>
      </c>
      <c r="C8153" s="91" t="s">
        <v>1121</v>
      </c>
    </row>
    <row r="8154" spans="1:3" ht="15">
      <c r="A8154" s="84" t="s">
        <v>302</v>
      </c>
      <c r="B8154" s="83" t="s">
        <v>3421</v>
      </c>
      <c r="C8154" s="91" t="s">
        <v>1121</v>
      </c>
    </row>
    <row r="8155" spans="1:3" ht="15">
      <c r="A8155" s="84" t="s">
        <v>302</v>
      </c>
      <c r="B8155" s="83" t="s">
        <v>3199</v>
      </c>
      <c r="C8155" s="91" t="s">
        <v>1121</v>
      </c>
    </row>
    <row r="8156" spans="1:3" ht="15">
      <c r="A8156" s="84" t="s">
        <v>302</v>
      </c>
      <c r="B8156" s="83" t="s">
        <v>3393</v>
      </c>
      <c r="C8156" s="91" t="s">
        <v>1121</v>
      </c>
    </row>
    <row r="8157" spans="1:3" ht="15">
      <c r="A8157" s="84" t="s">
        <v>302</v>
      </c>
      <c r="B8157" s="83" t="s">
        <v>3426</v>
      </c>
      <c r="C8157" s="91" t="s">
        <v>1121</v>
      </c>
    </row>
    <row r="8158" spans="1:3" ht="15">
      <c r="A8158" s="84" t="s">
        <v>302</v>
      </c>
      <c r="B8158" s="83" t="s">
        <v>3420</v>
      </c>
      <c r="C8158" s="91" t="s">
        <v>1121</v>
      </c>
    </row>
    <row r="8159" spans="1:3" ht="15">
      <c r="A8159" s="84" t="s">
        <v>301</v>
      </c>
      <c r="B8159" s="83" t="s">
        <v>3431</v>
      </c>
      <c r="C8159" s="91" t="s">
        <v>1120</v>
      </c>
    </row>
    <row r="8160" spans="1:3" ht="15">
      <c r="A8160" s="84" t="s">
        <v>301</v>
      </c>
      <c r="B8160" s="83" t="s">
        <v>3210</v>
      </c>
      <c r="C8160" s="91" t="s">
        <v>1120</v>
      </c>
    </row>
    <row r="8161" spans="1:3" ht="15">
      <c r="A8161" s="84" t="s">
        <v>301</v>
      </c>
      <c r="B8161" s="83">
        <v>19</v>
      </c>
      <c r="C8161" s="91" t="s">
        <v>1120</v>
      </c>
    </row>
    <row r="8162" spans="1:3" ht="15">
      <c r="A8162" s="84" t="s">
        <v>301</v>
      </c>
      <c r="B8162" s="83" t="s">
        <v>2591</v>
      </c>
      <c r="C8162" s="91" t="s">
        <v>1120</v>
      </c>
    </row>
    <row r="8163" spans="1:3" ht="15">
      <c r="A8163" s="84" t="s">
        <v>301</v>
      </c>
      <c r="B8163" s="83" t="s">
        <v>2718</v>
      </c>
      <c r="C8163" s="91" t="s">
        <v>1120</v>
      </c>
    </row>
    <row r="8164" spans="1:3" ht="15">
      <c r="A8164" s="84" t="s">
        <v>301</v>
      </c>
      <c r="B8164" s="83" t="s">
        <v>3432</v>
      </c>
      <c r="C8164" s="91" t="s">
        <v>1120</v>
      </c>
    </row>
    <row r="8165" spans="1:3" ht="15">
      <c r="A8165" s="84" t="s">
        <v>301</v>
      </c>
      <c r="B8165" s="83" t="s">
        <v>2647</v>
      </c>
      <c r="C8165" s="91" t="s">
        <v>1120</v>
      </c>
    </row>
    <row r="8166" spans="1:3" ht="15">
      <c r="A8166" s="84" t="s">
        <v>301</v>
      </c>
      <c r="B8166" s="83" t="s">
        <v>2910</v>
      </c>
      <c r="C8166" s="91" t="s">
        <v>1120</v>
      </c>
    </row>
    <row r="8167" spans="1:3" ht="15">
      <c r="A8167" s="84" t="s">
        <v>301</v>
      </c>
      <c r="B8167" s="83" t="s">
        <v>2911</v>
      </c>
      <c r="C8167" s="91" t="s">
        <v>1120</v>
      </c>
    </row>
    <row r="8168" spans="1:3" ht="15">
      <c r="A8168" s="84" t="s">
        <v>301</v>
      </c>
      <c r="B8168" s="83" t="s">
        <v>2590</v>
      </c>
      <c r="C8168" s="91" t="s">
        <v>1120</v>
      </c>
    </row>
    <row r="8169" spans="1:3" ht="15">
      <c r="A8169" s="84" t="s">
        <v>301</v>
      </c>
      <c r="B8169" s="83" t="s">
        <v>2607</v>
      </c>
      <c r="C8169" s="91" t="s">
        <v>1120</v>
      </c>
    </row>
    <row r="8170" spans="1:3" ht="15">
      <c r="A8170" s="84" t="s">
        <v>301</v>
      </c>
      <c r="B8170" s="83" t="s">
        <v>2912</v>
      </c>
      <c r="C8170" s="91" t="s">
        <v>1120</v>
      </c>
    </row>
    <row r="8171" spans="1:3" ht="15">
      <c r="A8171" s="84" t="s">
        <v>301</v>
      </c>
      <c r="B8171" s="83" t="s">
        <v>3227</v>
      </c>
      <c r="C8171" s="91" t="s">
        <v>1120</v>
      </c>
    </row>
    <row r="8172" spans="1:3" ht="15">
      <c r="A8172" s="84" t="s">
        <v>301</v>
      </c>
      <c r="B8172" s="83" t="s">
        <v>3225</v>
      </c>
      <c r="C8172" s="91" t="s">
        <v>1120</v>
      </c>
    </row>
    <row r="8173" spans="1:3" ht="15">
      <c r="A8173" s="84" t="s">
        <v>301</v>
      </c>
      <c r="B8173" s="83" t="s">
        <v>3327</v>
      </c>
      <c r="C8173" s="91" t="s">
        <v>1120</v>
      </c>
    </row>
    <row r="8174" spans="1:3" ht="15">
      <c r="A8174" s="84" t="s">
        <v>301</v>
      </c>
      <c r="B8174" s="83" t="s">
        <v>3199</v>
      </c>
      <c r="C8174" s="91" t="s">
        <v>1120</v>
      </c>
    </row>
    <row r="8175" spans="1:3" ht="15">
      <c r="A8175" s="84" t="s">
        <v>301</v>
      </c>
      <c r="B8175" s="83" t="s">
        <v>3313</v>
      </c>
      <c r="C8175" s="91" t="s">
        <v>1120</v>
      </c>
    </row>
    <row r="8176" spans="1:3" ht="15">
      <c r="A8176" s="84" t="s">
        <v>301</v>
      </c>
      <c r="B8176" s="83" t="s">
        <v>3424</v>
      </c>
      <c r="C8176" s="91" t="s">
        <v>1120</v>
      </c>
    </row>
    <row r="8177" spans="1:3" ht="15">
      <c r="A8177" s="84" t="s">
        <v>301</v>
      </c>
      <c r="B8177" s="83" t="s">
        <v>586</v>
      </c>
      <c r="C8177" s="91" t="s">
        <v>1120</v>
      </c>
    </row>
    <row r="8178" spans="1:3" ht="15">
      <c r="A8178" s="84" t="s">
        <v>301</v>
      </c>
      <c r="B8178" s="83" t="s">
        <v>3433</v>
      </c>
      <c r="C8178" s="91" t="s">
        <v>1119</v>
      </c>
    </row>
    <row r="8179" spans="1:3" ht="15">
      <c r="A8179" s="84" t="s">
        <v>301</v>
      </c>
      <c r="B8179" s="83" t="s">
        <v>2834</v>
      </c>
      <c r="C8179" s="91" t="s">
        <v>1119</v>
      </c>
    </row>
    <row r="8180" spans="1:3" ht="15">
      <c r="A8180" s="84" t="s">
        <v>301</v>
      </c>
      <c r="B8180" s="83" t="s">
        <v>2835</v>
      </c>
      <c r="C8180" s="91" t="s">
        <v>1119</v>
      </c>
    </row>
    <row r="8181" spans="1:3" ht="15">
      <c r="A8181" s="84" t="s">
        <v>301</v>
      </c>
      <c r="B8181" s="83" t="s">
        <v>2580</v>
      </c>
      <c r="C8181" s="91" t="s">
        <v>1119</v>
      </c>
    </row>
    <row r="8182" spans="1:3" ht="15">
      <c r="A8182" s="84" t="s">
        <v>301</v>
      </c>
      <c r="B8182" s="83" t="s">
        <v>2836</v>
      </c>
      <c r="C8182" s="91" t="s">
        <v>1119</v>
      </c>
    </row>
    <row r="8183" spans="1:3" ht="15">
      <c r="A8183" s="84" t="s">
        <v>301</v>
      </c>
      <c r="B8183" s="83" t="s">
        <v>2837</v>
      </c>
      <c r="C8183" s="91" t="s">
        <v>1119</v>
      </c>
    </row>
    <row r="8184" spans="1:3" ht="15">
      <c r="A8184" s="84" t="s">
        <v>301</v>
      </c>
      <c r="B8184" s="83" t="s">
        <v>2738</v>
      </c>
      <c r="C8184" s="91" t="s">
        <v>1119</v>
      </c>
    </row>
    <row r="8185" spans="1:3" ht="15">
      <c r="A8185" s="84" t="s">
        <v>301</v>
      </c>
      <c r="B8185" s="83" t="s">
        <v>3210</v>
      </c>
      <c r="C8185" s="91" t="s">
        <v>1119</v>
      </c>
    </row>
    <row r="8186" spans="1:3" ht="15">
      <c r="A8186" s="84" t="s">
        <v>301</v>
      </c>
      <c r="B8186" s="83">
        <v>19</v>
      </c>
      <c r="C8186" s="91" t="s">
        <v>1119</v>
      </c>
    </row>
    <row r="8187" spans="1:3" ht="15">
      <c r="A8187" s="84" t="s">
        <v>301</v>
      </c>
      <c r="B8187" s="83" t="s">
        <v>2591</v>
      </c>
      <c r="C8187" s="91" t="s">
        <v>1119</v>
      </c>
    </row>
    <row r="8188" spans="1:3" ht="15">
      <c r="A8188" s="84" t="s">
        <v>301</v>
      </c>
      <c r="B8188" s="83" t="s">
        <v>2718</v>
      </c>
      <c r="C8188" s="91" t="s">
        <v>1119</v>
      </c>
    </row>
    <row r="8189" spans="1:3" ht="15">
      <c r="A8189" s="84" t="s">
        <v>301</v>
      </c>
      <c r="B8189" s="83" t="s">
        <v>3199</v>
      </c>
      <c r="C8189" s="91" t="s">
        <v>1119</v>
      </c>
    </row>
    <row r="8190" spans="1:3" ht="15">
      <c r="A8190" s="84" t="s">
        <v>301</v>
      </c>
      <c r="B8190" s="83" t="s">
        <v>2577</v>
      </c>
      <c r="C8190" s="91" t="s">
        <v>1119</v>
      </c>
    </row>
    <row r="8191" spans="1:3" ht="15">
      <c r="A8191" s="84" t="s">
        <v>301</v>
      </c>
      <c r="B8191" s="83" t="s">
        <v>2838</v>
      </c>
      <c r="C8191" s="91" t="s">
        <v>1119</v>
      </c>
    </row>
    <row r="8192" spans="1:3" ht="15">
      <c r="A8192" s="84" t="s">
        <v>301</v>
      </c>
      <c r="B8192" s="83" t="s">
        <v>2586</v>
      </c>
      <c r="C8192" s="91" t="s">
        <v>1119</v>
      </c>
    </row>
    <row r="8193" spans="1:3" ht="15">
      <c r="A8193" s="84" t="s">
        <v>301</v>
      </c>
      <c r="B8193" s="83" t="s">
        <v>2839</v>
      </c>
      <c r="C8193" s="91" t="s">
        <v>1119</v>
      </c>
    </row>
    <row r="8194" spans="1:3" ht="15">
      <c r="A8194" s="84" t="s">
        <v>301</v>
      </c>
      <c r="B8194" s="83" t="s">
        <v>2840</v>
      </c>
      <c r="C8194" s="91" t="s">
        <v>1119</v>
      </c>
    </row>
    <row r="8195" spans="1:3" ht="15">
      <c r="A8195" s="84" t="s">
        <v>301</v>
      </c>
      <c r="B8195" s="83" t="s">
        <v>2841</v>
      </c>
      <c r="C8195" s="91" t="s">
        <v>1119</v>
      </c>
    </row>
    <row r="8196" spans="1:3" ht="15">
      <c r="A8196" s="84" t="s">
        <v>301</v>
      </c>
      <c r="B8196" s="83" t="s">
        <v>2774</v>
      </c>
      <c r="C8196" s="91" t="s">
        <v>1119</v>
      </c>
    </row>
    <row r="8197" spans="1:3" ht="15">
      <c r="A8197" s="84" t="s">
        <v>301</v>
      </c>
      <c r="B8197" s="83" t="s">
        <v>2775</v>
      </c>
      <c r="C8197" s="91" t="s">
        <v>1119</v>
      </c>
    </row>
    <row r="8198" spans="1:3" ht="15">
      <c r="A8198" s="84" t="s">
        <v>301</v>
      </c>
      <c r="B8198" s="83" t="s">
        <v>2842</v>
      </c>
      <c r="C8198" s="91" t="s">
        <v>1119</v>
      </c>
    </row>
    <row r="8199" spans="1:3" ht="15">
      <c r="A8199" s="84" t="s">
        <v>301</v>
      </c>
      <c r="B8199" s="83" t="s">
        <v>2607</v>
      </c>
      <c r="C8199" s="91" t="s">
        <v>1119</v>
      </c>
    </row>
    <row r="8200" spans="1:3" ht="15">
      <c r="A8200" s="84" t="s">
        <v>301</v>
      </c>
      <c r="B8200" s="83" t="s">
        <v>3225</v>
      </c>
      <c r="C8200" s="91" t="s">
        <v>1119</v>
      </c>
    </row>
    <row r="8201" spans="1:3" ht="15">
      <c r="A8201" s="84" t="s">
        <v>301</v>
      </c>
      <c r="B8201" s="83" t="s">
        <v>3434</v>
      </c>
      <c r="C8201" s="91" t="s">
        <v>1119</v>
      </c>
    </row>
    <row r="8202" spans="1:3" ht="15">
      <c r="A8202" s="84" t="s">
        <v>301</v>
      </c>
      <c r="B8202" s="83" t="s">
        <v>3435</v>
      </c>
      <c r="C8202" s="91" t="s">
        <v>1119</v>
      </c>
    </row>
    <row r="8203" spans="1:3" ht="15">
      <c r="A8203" s="84" t="s">
        <v>301</v>
      </c>
      <c r="B8203" s="83" t="s">
        <v>2843</v>
      </c>
      <c r="C8203" s="91" t="s">
        <v>1119</v>
      </c>
    </row>
    <row r="8204" spans="1:3" ht="15">
      <c r="A8204" s="84" t="s">
        <v>301</v>
      </c>
      <c r="B8204" s="83" t="s">
        <v>3198</v>
      </c>
      <c r="C8204" s="91" t="s">
        <v>1119</v>
      </c>
    </row>
    <row r="8205" spans="1:3" ht="15">
      <c r="A8205" s="84" t="s">
        <v>301</v>
      </c>
      <c r="B8205" s="83" t="s">
        <v>3214</v>
      </c>
      <c r="C8205" s="91" t="s">
        <v>1119</v>
      </c>
    </row>
    <row r="8206" spans="1:3" ht="15">
      <c r="A8206" s="84" t="s">
        <v>301</v>
      </c>
      <c r="B8206" s="83" t="s">
        <v>3319</v>
      </c>
      <c r="C8206" s="91" t="s">
        <v>1119</v>
      </c>
    </row>
    <row r="8207" spans="1:3" ht="15">
      <c r="A8207" s="84" t="s">
        <v>300</v>
      </c>
      <c r="B8207" s="83" t="s">
        <v>3245</v>
      </c>
      <c r="C8207" s="91" t="s">
        <v>1118</v>
      </c>
    </row>
    <row r="8208" spans="1:3" ht="15">
      <c r="A8208" s="84" t="s">
        <v>300</v>
      </c>
      <c r="B8208" s="83" t="s">
        <v>3210</v>
      </c>
      <c r="C8208" s="91" t="s">
        <v>1118</v>
      </c>
    </row>
    <row r="8209" spans="1:3" ht="15">
      <c r="A8209" s="84" t="s">
        <v>300</v>
      </c>
      <c r="B8209" s="83">
        <v>19</v>
      </c>
      <c r="C8209" s="91" t="s">
        <v>1118</v>
      </c>
    </row>
    <row r="8210" spans="1:3" ht="15">
      <c r="A8210" s="84" t="s">
        <v>300</v>
      </c>
      <c r="B8210" s="83" t="s">
        <v>3102</v>
      </c>
      <c r="C8210" s="91" t="s">
        <v>1118</v>
      </c>
    </row>
    <row r="8211" spans="1:3" ht="15">
      <c r="A8211" s="84" t="s">
        <v>300</v>
      </c>
      <c r="B8211" s="83" t="s">
        <v>2989</v>
      </c>
      <c r="C8211" s="91" t="s">
        <v>1118</v>
      </c>
    </row>
    <row r="8212" spans="1:3" ht="15">
      <c r="A8212" s="84" t="s">
        <v>300</v>
      </c>
      <c r="B8212" s="83" t="s">
        <v>2590</v>
      </c>
      <c r="C8212" s="91" t="s">
        <v>1118</v>
      </c>
    </row>
    <row r="8213" spans="1:3" ht="15">
      <c r="A8213" s="84" t="s">
        <v>300</v>
      </c>
      <c r="B8213" s="83" t="s">
        <v>2578</v>
      </c>
      <c r="C8213" s="91" t="s">
        <v>1118</v>
      </c>
    </row>
    <row r="8214" spans="1:3" ht="15">
      <c r="A8214" s="84" t="s">
        <v>300</v>
      </c>
      <c r="B8214" s="83" t="s">
        <v>3103</v>
      </c>
      <c r="C8214" s="91" t="s">
        <v>1118</v>
      </c>
    </row>
    <row r="8215" spans="1:3" ht="15">
      <c r="A8215" s="84" t="s">
        <v>300</v>
      </c>
      <c r="B8215" s="83" t="s">
        <v>2580</v>
      </c>
      <c r="C8215" s="91" t="s">
        <v>1118</v>
      </c>
    </row>
    <row r="8216" spans="1:3" ht="15">
      <c r="A8216" s="84" t="s">
        <v>300</v>
      </c>
      <c r="B8216" s="83" t="s">
        <v>2734</v>
      </c>
      <c r="C8216" s="91" t="s">
        <v>1118</v>
      </c>
    </row>
    <row r="8217" spans="1:3" ht="15">
      <c r="A8217" s="84" t="s">
        <v>300</v>
      </c>
      <c r="B8217" s="83" t="s">
        <v>2730</v>
      </c>
      <c r="C8217" s="91" t="s">
        <v>1118</v>
      </c>
    </row>
    <row r="8218" spans="1:3" ht="15">
      <c r="A8218" s="84" t="s">
        <v>300</v>
      </c>
      <c r="B8218" s="83" t="s">
        <v>2893</v>
      </c>
      <c r="C8218" s="91" t="s">
        <v>1118</v>
      </c>
    </row>
    <row r="8219" spans="1:3" ht="15">
      <c r="A8219" s="84" t="s">
        <v>300</v>
      </c>
      <c r="B8219" s="83" t="s">
        <v>2589</v>
      </c>
      <c r="C8219" s="91" t="s">
        <v>1118</v>
      </c>
    </row>
    <row r="8220" spans="1:3" ht="15">
      <c r="A8220" s="84" t="s">
        <v>300</v>
      </c>
      <c r="B8220" s="83" t="s">
        <v>3104</v>
      </c>
      <c r="C8220" s="91" t="s">
        <v>1118</v>
      </c>
    </row>
    <row r="8221" spans="1:3" ht="15">
      <c r="A8221" s="84" t="s">
        <v>300</v>
      </c>
      <c r="B8221" s="83" t="s">
        <v>2668</v>
      </c>
      <c r="C8221" s="91" t="s">
        <v>1118</v>
      </c>
    </row>
    <row r="8222" spans="1:3" ht="15">
      <c r="A8222" s="84" t="s">
        <v>300</v>
      </c>
      <c r="B8222" s="83" t="s">
        <v>2729</v>
      </c>
      <c r="C8222" s="91" t="s">
        <v>1118</v>
      </c>
    </row>
    <row r="8223" spans="1:3" ht="15">
      <c r="A8223" s="84" t="s">
        <v>300</v>
      </c>
      <c r="B8223" s="83" t="s">
        <v>3105</v>
      </c>
      <c r="C8223" s="91" t="s">
        <v>1118</v>
      </c>
    </row>
    <row r="8224" spans="1:3" ht="15">
      <c r="A8224" s="84" t="s">
        <v>300</v>
      </c>
      <c r="B8224" s="83" t="s">
        <v>3449</v>
      </c>
      <c r="C8224" s="91" t="s">
        <v>1118</v>
      </c>
    </row>
    <row r="8225" spans="1:3" ht="15">
      <c r="A8225" s="84" t="s">
        <v>300</v>
      </c>
      <c r="B8225" s="83" t="s">
        <v>3106</v>
      </c>
      <c r="C8225" s="91" t="s">
        <v>1118</v>
      </c>
    </row>
    <row r="8226" spans="1:3" ht="15">
      <c r="A8226" s="84" t="s">
        <v>300</v>
      </c>
      <c r="B8226" s="83" t="s">
        <v>3107</v>
      </c>
      <c r="C8226" s="91" t="s">
        <v>1118</v>
      </c>
    </row>
    <row r="8227" spans="1:3" ht="15">
      <c r="A8227" s="84" t="s">
        <v>300</v>
      </c>
      <c r="B8227" s="83" t="s">
        <v>2568</v>
      </c>
      <c r="C8227" s="91" t="s">
        <v>1118</v>
      </c>
    </row>
    <row r="8228" spans="1:3" ht="15">
      <c r="A8228" s="84" t="s">
        <v>300</v>
      </c>
      <c r="B8228" s="83" t="s">
        <v>2753</v>
      </c>
      <c r="C8228" s="91" t="s">
        <v>1118</v>
      </c>
    </row>
    <row r="8229" spans="1:3" ht="15">
      <c r="A8229" s="84" t="s">
        <v>300</v>
      </c>
      <c r="B8229" s="83" t="s">
        <v>3040</v>
      </c>
      <c r="C8229" s="91" t="s">
        <v>1118</v>
      </c>
    </row>
    <row r="8230" spans="1:3" ht="15">
      <c r="A8230" s="84" t="s">
        <v>300</v>
      </c>
      <c r="B8230" s="83" t="s">
        <v>3227</v>
      </c>
      <c r="C8230" s="91" t="s">
        <v>1118</v>
      </c>
    </row>
    <row r="8231" spans="1:3" ht="15">
      <c r="A8231" s="84" t="s">
        <v>300</v>
      </c>
      <c r="B8231" s="83" t="s">
        <v>2661</v>
      </c>
      <c r="C8231" s="91" t="s">
        <v>1118</v>
      </c>
    </row>
    <row r="8232" spans="1:3" ht="15">
      <c r="A8232" s="84" t="s">
        <v>300</v>
      </c>
      <c r="B8232" s="83" t="s">
        <v>3108</v>
      </c>
      <c r="C8232" s="91" t="s">
        <v>1118</v>
      </c>
    </row>
    <row r="8233" spans="1:3" ht="15">
      <c r="A8233" s="84" t="s">
        <v>300</v>
      </c>
      <c r="B8233" s="83" t="s">
        <v>3549</v>
      </c>
      <c r="C8233" s="91" t="s">
        <v>1118</v>
      </c>
    </row>
    <row r="8234" spans="1:3" ht="15">
      <c r="A8234" s="84" t="s">
        <v>300</v>
      </c>
      <c r="B8234" s="83" t="s">
        <v>3110</v>
      </c>
      <c r="C8234" s="91" t="s">
        <v>1118</v>
      </c>
    </row>
    <row r="8235" spans="1:3" ht="15">
      <c r="A8235" s="84" t="s">
        <v>300</v>
      </c>
      <c r="B8235" s="83" t="s">
        <v>3550</v>
      </c>
      <c r="C8235" s="91" t="s">
        <v>1118</v>
      </c>
    </row>
    <row r="8236" spans="1:3" ht="15">
      <c r="A8236" s="84" t="s">
        <v>300</v>
      </c>
      <c r="B8236" s="83" t="s">
        <v>3112</v>
      </c>
      <c r="C8236" s="91" t="s">
        <v>1118</v>
      </c>
    </row>
    <row r="8237" spans="1:3" ht="15">
      <c r="A8237" s="84" t="s">
        <v>300</v>
      </c>
      <c r="B8237" s="83" t="s">
        <v>3113</v>
      </c>
      <c r="C8237" s="91" t="s">
        <v>1118</v>
      </c>
    </row>
    <row r="8238" spans="1:3" ht="15">
      <c r="A8238" s="84" t="s">
        <v>300</v>
      </c>
      <c r="B8238" s="83" t="s">
        <v>2577</v>
      </c>
      <c r="C8238" s="91" t="s">
        <v>1118</v>
      </c>
    </row>
    <row r="8239" spans="1:3" ht="15">
      <c r="A8239" s="84" t="s">
        <v>300</v>
      </c>
      <c r="B8239" s="83" t="s">
        <v>3024</v>
      </c>
      <c r="C8239" s="91" t="s">
        <v>1118</v>
      </c>
    </row>
    <row r="8240" spans="1:3" ht="15">
      <c r="A8240" s="84" t="s">
        <v>300</v>
      </c>
      <c r="B8240" s="83" t="s">
        <v>2845</v>
      </c>
      <c r="C8240" s="91" t="s">
        <v>1118</v>
      </c>
    </row>
    <row r="8241" spans="1:3" ht="15">
      <c r="A8241" s="84" t="s">
        <v>300</v>
      </c>
      <c r="B8241" s="83" t="s">
        <v>3114</v>
      </c>
      <c r="C8241" s="91" t="s">
        <v>1118</v>
      </c>
    </row>
    <row r="8242" spans="1:3" ht="15">
      <c r="A8242" s="84" t="s">
        <v>300</v>
      </c>
      <c r="B8242" s="83" t="s">
        <v>2666</v>
      </c>
      <c r="C8242" s="91" t="s">
        <v>1118</v>
      </c>
    </row>
    <row r="8243" spans="1:3" ht="15">
      <c r="A8243" s="84" t="s">
        <v>300</v>
      </c>
      <c r="B8243" s="83" t="s">
        <v>3115</v>
      </c>
      <c r="C8243" s="91" t="s">
        <v>1118</v>
      </c>
    </row>
    <row r="8244" spans="1:3" ht="15">
      <c r="A8244" s="84" t="s">
        <v>300</v>
      </c>
      <c r="B8244" s="83" t="s">
        <v>2797</v>
      </c>
      <c r="C8244" s="91" t="s">
        <v>1118</v>
      </c>
    </row>
    <row r="8245" spans="1:3" ht="15">
      <c r="A8245" s="84" t="s">
        <v>300</v>
      </c>
      <c r="B8245" s="83" t="s">
        <v>3551</v>
      </c>
      <c r="C8245" s="91" t="s">
        <v>1118</v>
      </c>
    </row>
    <row r="8246" spans="1:3" ht="15">
      <c r="A8246" s="84" t="s">
        <v>300</v>
      </c>
      <c r="B8246" s="83" t="s">
        <v>2656</v>
      </c>
      <c r="C8246" s="91" t="s">
        <v>1118</v>
      </c>
    </row>
    <row r="8247" spans="1:3" ht="15">
      <c r="A8247" s="84" t="s">
        <v>300</v>
      </c>
      <c r="B8247" s="83" t="s">
        <v>3116</v>
      </c>
      <c r="C8247" s="91" t="s">
        <v>1118</v>
      </c>
    </row>
    <row r="8248" spans="1:3" ht="15">
      <c r="A8248" s="84" t="s">
        <v>300</v>
      </c>
      <c r="B8248" s="83" t="s">
        <v>2774</v>
      </c>
      <c r="C8248" s="91" t="s">
        <v>1118</v>
      </c>
    </row>
    <row r="8249" spans="1:3" ht="15">
      <c r="A8249" s="84" t="s">
        <v>300</v>
      </c>
      <c r="B8249" s="83" t="s">
        <v>3199</v>
      </c>
      <c r="C8249" s="91" t="s">
        <v>1118</v>
      </c>
    </row>
    <row r="8250" spans="1:3" ht="15">
      <c r="A8250" s="84" t="s">
        <v>300</v>
      </c>
      <c r="B8250" s="83" t="s">
        <v>3552</v>
      </c>
      <c r="C8250" s="91" t="s">
        <v>1118</v>
      </c>
    </row>
    <row r="8251" spans="1:3" ht="15">
      <c r="A8251" s="84" t="s">
        <v>300</v>
      </c>
      <c r="B8251" s="83" t="s">
        <v>3370</v>
      </c>
      <c r="C8251" s="91" t="s">
        <v>1118</v>
      </c>
    </row>
    <row r="8252" spans="1:3" ht="15">
      <c r="A8252" s="84" t="s">
        <v>299</v>
      </c>
      <c r="B8252" s="83" t="s">
        <v>3245</v>
      </c>
      <c r="C8252" s="91" t="s">
        <v>1117</v>
      </c>
    </row>
    <row r="8253" spans="1:3" ht="15">
      <c r="A8253" s="84" t="s">
        <v>299</v>
      </c>
      <c r="B8253" s="83" t="s">
        <v>3210</v>
      </c>
      <c r="C8253" s="91" t="s">
        <v>1117</v>
      </c>
    </row>
    <row r="8254" spans="1:3" ht="15">
      <c r="A8254" s="84" t="s">
        <v>299</v>
      </c>
      <c r="B8254" s="83">
        <v>19</v>
      </c>
      <c r="C8254" s="91" t="s">
        <v>1117</v>
      </c>
    </row>
    <row r="8255" spans="1:3" ht="15">
      <c r="A8255" s="84" t="s">
        <v>299</v>
      </c>
      <c r="B8255" s="83" t="s">
        <v>3102</v>
      </c>
      <c r="C8255" s="91" t="s">
        <v>1117</v>
      </c>
    </row>
    <row r="8256" spans="1:3" ht="15">
      <c r="A8256" s="84" t="s">
        <v>299</v>
      </c>
      <c r="B8256" s="83" t="s">
        <v>2989</v>
      </c>
      <c r="C8256" s="91" t="s">
        <v>1117</v>
      </c>
    </row>
    <row r="8257" spans="1:3" ht="15">
      <c r="A8257" s="84" t="s">
        <v>299</v>
      </c>
      <c r="B8257" s="83" t="s">
        <v>2590</v>
      </c>
      <c r="C8257" s="91" t="s">
        <v>1117</v>
      </c>
    </row>
    <row r="8258" spans="1:3" ht="15">
      <c r="A8258" s="84" t="s">
        <v>299</v>
      </c>
      <c r="B8258" s="83" t="s">
        <v>2578</v>
      </c>
      <c r="C8258" s="91" t="s">
        <v>1117</v>
      </c>
    </row>
    <row r="8259" spans="1:3" ht="15">
      <c r="A8259" s="84" t="s">
        <v>299</v>
      </c>
      <c r="B8259" s="83" t="s">
        <v>3103</v>
      </c>
      <c r="C8259" s="91" t="s">
        <v>1117</v>
      </c>
    </row>
    <row r="8260" spans="1:3" ht="15">
      <c r="A8260" s="84" t="s">
        <v>299</v>
      </c>
      <c r="B8260" s="83" t="s">
        <v>2580</v>
      </c>
      <c r="C8260" s="91" t="s">
        <v>1117</v>
      </c>
    </row>
    <row r="8261" spans="1:3" ht="15">
      <c r="A8261" s="84" t="s">
        <v>299</v>
      </c>
      <c r="B8261" s="83" t="s">
        <v>2734</v>
      </c>
      <c r="C8261" s="91" t="s">
        <v>1117</v>
      </c>
    </row>
    <row r="8262" spans="1:3" ht="15">
      <c r="A8262" s="84" t="s">
        <v>299</v>
      </c>
      <c r="B8262" s="83" t="s">
        <v>2730</v>
      </c>
      <c r="C8262" s="91" t="s">
        <v>1117</v>
      </c>
    </row>
    <row r="8263" spans="1:3" ht="15">
      <c r="A8263" s="84" t="s">
        <v>299</v>
      </c>
      <c r="B8263" s="83" t="s">
        <v>2893</v>
      </c>
      <c r="C8263" s="91" t="s">
        <v>1117</v>
      </c>
    </row>
    <row r="8264" spans="1:3" ht="15">
      <c r="A8264" s="84" t="s">
        <v>299</v>
      </c>
      <c r="B8264" s="83" t="s">
        <v>2589</v>
      </c>
      <c r="C8264" s="91" t="s">
        <v>1117</v>
      </c>
    </row>
    <row r="8265" spans="1:3" ht="15">
      <c r="A8265" s="84" t="s">
        <v>299</v>
      </c>
      <c r="B8265" s="83" t="s">
        <v>3104</v>
      </c>
      <c r="C8265" s="91" t="s">
        <v>1117</v>
      </c>
    </row>
    <row r="8266" spans="1:3" ht="15">
      <c r="A8266" s="84" t="s">
        <v>299</v>
      </c>
      <c r="B8266" s="83" t="s">
        <v>2668</v>
      </c>
      <c r="C8266" s="91" t="s">
        <v>1117</v>
      </c>
    </row>
    <row r="8267" spans="1:3" ht="15">
      <c r="A8267" s="84" t="s">
        <v>299</v>
      </c>
      <c r="B8267" s="83" t="s">
        <v>2729</v>
      </c>
      <c r="C8267" s="91" t="s">
        <v>1117</v>
      </c>
    </row>
    <row r="8268" spans="1:3" ht="15">
      <c r="A8268" s="84" t="s">
        <v>299</v>
      </c>
      <c r="B8268" s="83" t="s">
        <v>3105</v>
      </c>
      <c r="C8268" s="91" t="s">
        <v>1117</v>
      </c>
    </row>
    <row r="8269" spans="1:3" ht="15">
      <c r="A8269" s="84" t="s">
        <v>299</v>
      </c>
      <c r="B8269" s="83" t="s">
        <v>3449</v>
      </c>
      <c r="C8269" s="91" t="s">
        <v>1117</v>
      </c>
    </row>
    <row r="8270" spans="1:3" ht="15">
      <c r="A8270" s="84" t="s">
        <v>299</v>
      </c>
      <c r="B8270" s="83" t="s">
        <v>3106</v>
      </c>
      <c r="C8270" s="91" t="s">
        <v>1117</v>
      </c>
    </row>
    <row r="8271" spans="1:3" ht="15">
      <c r="A8271" s="84" t="s">
        <v>299</v>
      </c>
      <c r="B8271" s="83" t="s">
        <v>3107</v>
      </c>
      <c r="C8271" s="91" t="s">
        <v>1117</v>
      </c>
    </row>
    <row r="8272" spans="1:3" ht="15">
      <c r="A8272" s="84" t="s">
        <v>299</v>
      </c>
      <c r="B8272" s="83" t="s">
        <v>2568</v>
      </c>
      <c r="C8272" s="91" t="s">
        <v>1117</v>
      </c>
    </row>
    <row r="8273" spans="1:3" ht="15">
      <c r="A8273" s="84" t="s">
        <v>299</v>
      </c>
      <c r="B8273" s="83" t="s">
        <v>2753</v>
      </c>
      <c r="C8273" s="91" t="s">
        <v>1117</v>
      </c>
    </row>
    <row r="8274" spans="1:3" ht="15">
      <c r="A8274" s="84" t="s">
        <v>299</v>
      </c>
      <c r="B8274" s="83" t="s">
        <v>3040</v>
      </c>
      <c r="C8274" s="91" t="s">
        <v>1117</v>
      </c>
    </row>
    <row r="8275" spans="1:3" ht="15">
      <c r="A8275" s="84" t="s">
        <v>299</v>
      </c>
      <c r="B8275" s="83" t="s">
        <v>3227</v>
      </c>
      <c r="C8275" s="91" t="s">
        <v>1117</v>
      </c>
    </row>
    <row r="8276" spans="1:3" ht="15">
      <c r="A8276" s="84" t="s">
        <v>299</v>
      </c>
      <c r="B8276" s="83" t="s">
        <v>2661</v>
      </c>
      <c r="C8276" s="91" t="s">
        <v>1117</v>
      </c>
    </row>
    <row r="8277" spans="1:3" ht="15">
      <c r="A8277" s="84" t="s">
        <v>299</v>
      </c>
      <c r="B8277" s="83" t="s">
        <v>3108</v>
      </c>
      <c r="C8277" s="91" t="s">
        <v>1117</v>
      </c>
    </row>
    <row r="8278" spans="1:3" ht="15">
      <c r="A8278" s="84" t="s">
        <v>299</v>
      </c>
      <c r="B8278" s="83" t="s">
        <v>3549</v>
      </c>
      <c r="C8278" s="91" t="s">
        <v>1117</v>
      </c>
    </row>
    <row r="8279" spans="1:3" ht="15">
      <c r="A8279" s="84" t="s">
        <v>299</v>
      </c>
      <c r="B8279" s="83" t="s">
        <v>3110</v>
      </c>
      <c r="C8279" s="91" t="s">
        <v>1117</v>
      </c>
    </row>
    <row r="8280" spans="1:3" ht="15">
      <c r="A8280" s="84" t="s">
        <v>299</v>
      </c>
      <c r="B8280" s="83" t="s">
        <v>3550</v>
      </c>
      <c r="C8280" s="91" t="s">
        <v>1117</v>
      </c>
    </row>
    <row r="8281" spans="1:3" ht="15">
      <c r="A8281" s="84" t="s">
        <v>299</v>
      </c>
      <c r="B8281" s="83" t="s">
        <v>3112</v>
      </c>
      <c r="C8281" s="91" t="s">
        <v>1117</v>
      </c>
    </row>
    <row r="8282" spans="1:3" ht="15">
      <c r="A8282" s="84" t="s">
        <v>299</v>
      </c>
      <c r="B8282" s="83" t="s">
        <v>3113</v>
      </c>
      <c r="C8282" s="91" t="s">
        <v>1117</v>
      </c>
    </row>
    <row r="8283" spans="1:3" ht="15">
      <c r="A8283" s="84" t="s">
        <v>299</v>
      </c>
      <c r="B8283" s="83" t="s">
        <v>2577</v>
      </c>
      <c r="C8283" s="91" t="s">
        <v>1117</v>
      </c>
    </row>
    <row r="8284" spans="1:3" ht="15">
      <c r="A8284" s="84" t="s">
        <v>299</v>
      </c>
      <c r="B8284" s="83" t="s">
        <v>3024</v>
      </c>
      <c r="C8284" s="91" t="s">
        <v>1117</v>
      </c>
    </row>
    <row r="8285" spans="1:3" ht="15">
      <c r="A8285" s="84" t="s">
        <v>299</v>
      </c>
      <c r="B8285" s="83" t="s">
        <v>2845</v>
      </c>
      <c r="C8285" s="91" t="s">
        <v>1117</v>
      </c>
    </row>
    <row r="8286" spans="1:3" ht="15">
      <c r="A8286" s="84" t="s">
        <v>299</v>
      </c>
      <c r="B8286" s="83" t="s">
        <v>3114</v>
      </c>
      <c r="C8286" s="91" t="s">
        <v>1117</v>
      </c>
    </row>
    <row r="8287" spans="1:3" ht="15">
      <c r="A8287" s="84" t="s">
        <v>299</v>
      </c>
      <c r="B8287" s="83" t="s">
        <v>2666</v>
      </c>
      <c r="C8287" s="91" t="s">
        <v>1117</v>
      </c>
    </row>
    <row r="8288" spans="1:3" ht="15">
      <c r="A8288" s="84" t="s">
        <v>299</v>
      </c>
      <c r="B8288" s="83" t="s">
        <v>3115</v>
      </c>
      <c r="C8288" s="91" t="s">
        <v>1117</v>
      </c>
    </row>
    <row r="8289" spans="1:3" ht="15">
      <c r="A8289" s="84" t="s">
        <v>299</v>
      </c>
      <c r="B8289" s="83" t="s">
        <v>2797</v>
      </c>
      <c r="C8289" s="91" t="s">
        <v>1117</v>
      </c>
    </row>
    <row r="8290" spans="1:3" ht="15">
      <c r="A8290" s="84" t="s">
        <v>299</v>
      </c>
      <c r="B8290" s="83" t="s">
        <v>3551</v>
      </c>
      <c r="C8290" s="91" t="s">
        <v>1117</v>
      </c>
    </row>
    <row r="8291" spans="1:3" ht="15">
      <c r="A8291" s="84" t="s">
        <v>299</v>
      </c>
      <c r="B8291" s="83" t="s">
        <v>2656</v>
      </c>
      <c r="C8291" s="91" t="s">
        <v>1117</v>
      </c>
    </row>
    <row r="8292" spans="1:3" ht="15">
      <c r="A8292" s="84" t="s">
        <v>299</v>
      </c>
      <c r="B8292" s="83" t="s">
        <v>3116</v>
      </c>
      <c r="C8292" s="91" t="s">
        <v>1117</v>
      </c>
    </row>
    <row r="8293" spans="1:3" ht="15">
      <c r="A8293" s="84" t="s">
        <v>299</v>
      </c>
      <c r="B8293" s="83" t="s">
        <v>2774</v>
      </c>
      <c r="C8293" s="91" t="s">
        <v>1117</v>
      </c>
    </row>
    <row r="8294" spans="1:3" ht="15">
      <c r="A8294" s="84" t="s">
        <v>299</v>
      </c>
      <c r="B8294" s="83" t="s">
        <v>3199</v>
      </c>
      <c r="C8294" s="91" t="s">
        <v>1117</v>
      </c>
    </row>
    <row r="8295" spans="1:3" ht="15">
      <c r="A8295" s="84" t="s">
        <v>299</v>
      </c>
      <c r="B8295" s="83" t="s">
        <v>3552</v>
      </c>
      <c r="C8295" s="91" t="s">
        <v>1117</v>
      </c>
    </row>
    <row r="8296" spans="1:3" ht="15">
      <c r="A8296" s="84" t="s">
        <v>299</v>
      </c>
      <c r="B8296" s="83" t="s">
        <v>3370</v>
      </c>
      <c r="C8296" s="91" t="s">
        <v>1117</v>
      </c>
    </row>
    <row r="8297" spans="1:3" ht="15">
      <c r="A8297" s="84" t="s">
        <v>334</v>
      </c>
      <c r="B8297" s="83" t="s">
        <v>3533</v>
      </c>
      <c r="C8297" s="91" t="s">
        <v>1161</v>
      </c>
    </row>
    <row r="8298" spans="1:3" ht="15">
      <c r="A8298" s="84" t="s">
        <v>334</v>
      </c>
      <c r="B8298" s="83">
        <v>8</v>
      </c>
      <c r="C8298" s="91" t="s">
        <v>1161</v>
      </c>
    </row>
    <row r="8299" spans="1:3" ht="15">
      <c r="A8299" s="84" t="s">
        <v>334</v>
      </c>
      <c r="B8299" s="83" t="s">
        <v>3329</v>
      </c>
      <c r="C8299" s="91" t="s">
        <v>1161</v>
      </c>
    </row>
    <row r="8300" spans="1:3" ht="15">
      <c r="A8300" s="84" t="s">
        <v>334</v>
      </c>
      <c r="B8300" s="83">
        <v>2020</v>
      </c>
      <c r="C8300" s="91" t="s">
        <v>1161</v>
      </c>
    </row>
    <row r="8301" spans="1:3" ht="15">
      <c r="A8301" s="84" t="s">
        <v>334</v>
      </c>
      <c r="B8301" s="83" t="s">
        <v>3435</v>
      </c>
      <c r="C8301" s="91" t="s">
        <v>1161</v>
      </c>
    </row>
    <row r="8302" spans="1:3" ht="15">
      <c r="A8302" s="84" t="s">
        <v>334</v>
      </c>
      <c r="B8302" s="83" t="s">
        <v>2733</v>
      </c>
      <c r="C8302" s="91" t="s">
        <v>1161</v>
      </c>
    </row>
    <row r="8303" spans="1:3" ht="15">
      <c r="A8303" s="84" t="s">
        <v>334</v>
      </c>
      <c r="B8303" s="83" t="s">
        <v>3210</v>
      </c>
      <c r="C8303" s="91" t="s">
        <v>1161</v>
      </c>
    </row>
    <row r="8304" spans="1:3" ht="15">
      <c r="A8304" s="84" t="s">
        <v>334</v>
      </c>
      <c r="B8304" s="83">
        <v>19</v>
      </c>
      <c r="C8304" s="91" t="s">
        <v>1161</v>
      </c>
    </row>
    <row r="8305" spans="1:3" ht="15">
      <c r="A8305" s="84" t="s">
        <v>334</v>
      </c>
      <c r="B8305" s="83" t="s">
        <v>2672</v>
      </c>
      <c r="C8305" s="91" t="s">
        <v>1161</v>
      </c>
    </row>
    <row r="8306" spans="1:3" ht="15">
      <c r="A8306" s="84" t="s">
        <v>334</v>
      </c>
      <c r="B8306" s="83" t="s">
        <v>3030</v>
      </c>
      <c r="C8306" s="91" t="s">
        <v>1161</v>
      </c>
    </row>
    <row r="8307" spans="1:3" ht="15">
      <c r="A8307" s="84" t="s">
        <v>334</v>
      </c>
      <c r="B8307" s="83" t="s">
        <v>3534</v>
      </c>
      <c r="C8307" s="91" t="s">
        <v>1161</v>
      </c>
    </row>
    <row r="8308" spans="1:3" ht="15">
      <c r="A8308" s="84" t="s">
        <v>334</v>
      </c>
      <c r="B8308" s="83" t="s">
        <v>2580</v>
      </c>
      <c r="C8308" s="91" t="s">
        <v>1161</v>
      </c>
    </row>
    <row r="8309" spans="1:3" ht="15">
      <c r="A8309" s="84" t="s">
        <v>334</v>
      </c>
      <c r="B8309" s="83" t="s">
        <v>3032</v>
      </c>
      <c r="C8309" s="91" t="s">
        <v>1161</v>
      </c>
    </row>
    <row r="8310" spans="1:3" ht="15">
      <c r="A8310" s="84" t="s">
        <v>334</v>
      </c>
      <c r="B8310" s="83" t="s">
        <v>2647</v>
      </c>
      <c r="C8310" s="91" t="s">
        <v>1161</v>
      </c>
    </row>
    <row r="8311" spans="1:3" ht="15">
      <c r="A8311" s="84" t="s">
        <v>334</v>
      </c>
      <c r="B8311" s="83" t="s">
        <v>3033</v>
      </c>
      <c r="C8311" s="91" t="s">
        <v>1161</v>
      </c>
    </row>
    <row r="8312" spans="1:3" ht="15">
      <c r="A8312" s="84" t="s">
        <v>334</v>
      </c>
      <c r="B8312" s="83" t="s">
        <v>3379</v>
      </c>
      <c r="C8312" s="91" t="s">
        <v>1161</v>
      </c>
    </row>
    <row r="8313" spans="1:3" ht="15">
      <c r="A8313" s="84" t="s">
        <v>334</v>
      </c>
      <c r="B8313" s="83" t="s">
        <v>2590</v>
      </c>
      <c r="C8313" s="91" t="s">
        <v>1161</v>
      </c>
    </row>
    <row r="8314" spans="1:3" ht="15">
      <c r="A8314" s="84" t="s">
        <v>334</v>
      </c>
      <c r="B8314" s="83">
        <v>5</v>
      </c>
      <c r="C8314" s="91" t="s">
        <v>1161</v>
      </c>
    </row>
    <row r="8315" spans="1:3" ht="15">
      <c r="A8315" s="84" t="s">
        <v>334</v>
      </c>
      <c r="B8315" s="83" t="s">
        <v>2650</v>
      </c>
      <c r="C8315" s="91" t="s">
        <v>1161</v>
      </c>
    </row>
    <row r="8316" spans="1:3" ht="15">
      <c r="A8316" s="84" t="s">
        <v>334</v>
      </c>
      <c r="B8316" s="83" t="s">
        <v>3034</v>
      </c>
      <c r="C8316" s="91" t="s">
        <v>1161</v>
      </c>
    </row>
    <row r="8317" spans="1:3" ht="15">
      <c r="A8317" s="84" t="s">
        <v>334</v>
      </c>
      <c r="B8317" s="83" t="s">
        <v>2693</v>
      </c>
      <c r="C8317" s="91" t="s">
        <v>1161</v>
      </c>
    </row>
    <row r="8318" spans="1:3" ht="15">
      <c r="A8318" s="84" t="s">
        <v>334</v>
      </c>
      <c r="B8318" s="83" t="s">
        <v>2568</v>
      </c>
      <c r="C8318" s="91" t="s">
        <v>1161</v>
      </c>
    </row>
    <row r="8319" spans="1:3" ht="15">
      <c r="A8319" s="84" t="s">
        <v>334</v>
      </c>
      <c r="B8319" s="83" t="s">
        <v>3035</v>
      </c>
      <c r="C8319" s="91" t="s">
        <v>1161</v>
      </c>
    </row>
    <row r="8320" spans="1:3" ht="15">
      <c r="A8320" s="84" t="s">
        <v>334</v>
      </c>
      <c r="B8320" s="83" t="s">
        <v>2589</v>
      </c>
      <c r="C8320" s="91" t="s">
        <v>1161</v>
      </c>
    </row>
    <row r="8321" spans="1:3" ht="15">
      <c r="A8321" s="84" t="s">
        <v>334</v>
      </c>
      <c r="B8321" s="83" t="s">
        <v>3036</v>
      </c>
      <c r="C8321" s="91" t="s">
        <v>1161</v>
      </c>
    </row>
    <row r="8322" spans="1:3" ht="15">
      <c r="A8322" s="84" t="s">
        <v>334</v>
      </c>
      <c r="B8322" s="83" t="s">
        <v>3037</v>
      </c>
      <c r="C8322" s="91" t="s">
        <v>1161</v>
      </c>
    </row>
    <row r="8323" spans="1:3" ht="15">
      <c r="A8323" s="84" t="s">
        <v>334</v>
      </c>
      <c r="B8323" s="83" t="s">
        <v>3205</v>
      </c>
      <c r="C8323" s="91" t="s">
        <v>1161</v>
      </c>
    </row>
    <row r="8324" spans="1:3" ht="15">
      <c r="A8324" s="84" t="s">
        <v>334</v>
      </c>
      <c r="B8324" s="83" t="s">
        <v>586</v>
      </c>
      <c r="C8324" s="91" t="s">
        <v>1161</v>
      </c>
    </row>
    <row r="8325" spans="1:3" ht="15">
      <c r="A8325" s="84" t="s">
        <v>334</v>
      </c>
      <c r="B8325" s="83" t="s">
        <v>3535</v>
      </c>
      <c r="C8325" s="91" t="s">
        <v>1161</v>
      </c>
    </row>
    <row r="8326" spans="1:3" ht="15">
      <c r="A8326" s="84" t="s">
        <v>334</v>
      </c>
      <c r="B8326" s="83" t="s">
        <v>3536</v>
      </c>
      <c r="C8326" s="91" t="s">
        <v>1161</v>
      </c>
    </row>
    <row r="8327" spans="1:3" ht="15">
      <c r="A8327" s="84" t="s">
        <v>334</v>
      </c>
      <c r="B8327" s="83" t="s">
        <v>3353</v>
      </c>
      <c r="C8327" s="91" t="s">
        <v>1161</v>
      </c>
    </row>
    <row r="8328" spans="1:3" ht="15">
      <c r="A8328" s="84" t="s">
        <v>334</v>
      </c>
      <c r="B8328" s="83" t="s">
        <v>2893</v>
      </c>
      <c r="C8328" s="91" t="s">
        <v>1161</v>
      </c>
    </row>
    <row r="8329" spans="1:3" ht="15">
      <c r="A8329" s="84" t="s">
        <v>298</v>
      </c>
      <c r="B8329" s="83" t="s">
        <v>3533</v>
      </c>
      <c r="C8329" s="91" t="s">
        <v>1116</v>
      </c>
    </row>
    <row r="8330" spans="1:3" ht="15">
      <c r="A8330" s="84" t="s">
        <v>298</v>
      </c>
      <c r="B8330" s="83">
        <v>8</v>
      </c>
      <c r="C8330" s="91" t="s">
        <v>1116</v>
      </c>
    </row>
    <row r="8331" spans="1:3" ht="15">
      <c r="A8331" s="84" t="s">
        <v>298</v>
      </c>
      <c r="B8331" s="83" t="s">
        <v>3329</v>
      </c>
      <c r="C8331" s="91" t="s">
        <v>1116</v>
      </c>
    </row>
    <row r="8332" spans="1:3" ht="15">
      <c r="A8332" s="84" t="s">
        <v>298</v>
      </c>
      <c r="B8332" s="83">
        <v>2020</v>
      </c>
      <c r="C8332" s="91" t="s">
        <v>1116</v>
      </c>
    </row>
    <row r="8333" spans="1:3" ht="15">
      <c r="A8333" s="84" t="s">
        <v>298</v>
      </c>
      <c r="B8333" s="83" t="s">
        <v>3435</v>
      </c>
      <c r="C8333" s="91" t="s">
        <v>1116</v>
      </c>
    </row>
    <row r="8334" spans="1:3" ht="15">
      <c r="A8334" s="84" t="s">
        <v>298</v>
      </c>
      <c r="B8334" s="83" t="s">
        <v>2733</v>
      </c>
      <c r="C8334" s="91" t="s">
        <v>1116</v>
      </c>
    </row>
    <row r="8335" spans="1:3" ht="15">
      <c r="A8335" s="84" t="s">
        <v>298</v>
      </c>
      <c r="B8335" s="83" t="s">
        <v>3210</v>
      </c>
      <c r="C8335" s="91" t="s">
        <v>1116</v>
      </c>
    </row>
    <row r="8336" spans="1:3" ht="15">
      <c r="A8336" s="84" t="s">
        <v>298</v>
      </c>
      <c r="B8336" s="83">
        <v>19</v>
      </c>
      <c r="C8336" s="91" t="s">
        <v>1116</v>
      </c>
    </row>
    <row r="8337" spans="1:3" ht="15">
      <c r="A8337" s="84" t="s">
        <v>298</v>
      </c>
      <c r="B8337" s="83" t="s">
        <v>2672</v>
      </c>
      <c r="C8337" s="91" t="s">
        <v>1116</v>
      </c>
    </row>
    <row r="8338" spans="1:3" ht="15">
      <c r="A8338" s="84" t="s">
        <v>298</v>
      </c>
      <c r="B8338" s="83" t="s">
        <v>3030</v>
      </c>
      <c r="C8338" s="91" t="s">
        <v>1116</v>
      </c>
    </row>
    <row r="8339" spans="1:3" ht="15">
      <c r="A8339" s="84" t="s">
        <v>298</v>
      </c>
      <c r="B8339" s="83" t="s">
        <v>3534</v>
      </c>
      <c r="C8339" s="91" t="s">
        <v>1116</v>
      </c>
    </row>
    <row r="8340" spans="1:3" ht="15">
      <c r="A8340" s="84" t="s">
        <v>298</v>
      </c>
      <c r="B8340" s="83" t="s">
        <v>2580</v>
      </c>
      <c r="C8340" s="91" t="s">
        <v>1116</v>
      </c>
    </row>
    <row r="8341" spans="1:3" ht="15">
      <c r="A8341" s="84" t="s">
        <v>298</v>
      </c>
      <c r="B8341" s="83" t="s">
        <v>3032</v>
      </c>
      <c r="C8341" s="91" t="s">
        <v>1116</v>
      </c>
    </row>
    <row r="8342" spans="1:3" ht="15">
      <c r="A8342" s="84" t="s">
        <v>298</v>
      </c>
      <c r="B8342" s="83" t="s">
        <v>2647</v>
      </c>
      <c r="C8342" s="91" t="s">
        <v>1116</v>
      </c>
    </row>
    <row r="8343" spans="1:3" ht="15">
      <c r="A8343" s="84" t="s">
        <v>298</v>
      </c>
      <c r="B8343" s="83" t="s">
        <v>3033</v>
      </c>
      <c r="C8343" s="91" t="s">
        <v>1116</v>
      </c>
    </row>
    <row r="8344" spans="1:3" ht="15">
      <c r="A8344" s="84" t="s">
        <v>298</v>
      </c>
      <c r="B8344" s="83" t="s">
        <v>3379</v>
      </c>
      <c r="C8344" s="91" t="s">
        <v>1116</v>
      </c>
    </row>
    <row r="8345" spans="1:3" ht="15">
      <c r="A8345" s="84" t="s">
        <v>298</v>
      </c>
      <c r="B8345" s="83" t="s">
        <v>2590</v>
      </c>
      <c r="C8345" s="91" t="s">
        <v>1116</v>
      </c>
    </row>
    <row r="8346" spans="1:3" ht="15">
      <c r="A8346" s="84" t="s">
        <v>298</v>
      </c>
      <c r="B8346" s="83">
        <v>5</v>
      </c>
      <c r="C8346" s="91" t="s">
        <v>1116</v>
      </c>
    </row>
    <row r="8347" spans="1:3" ht="15">
      <c r="A8347" s="84" t="s">
        <v>298</v>
      </c>
      <c r="B8347" s="83" t="s">
        <v>2650</v>
      </c>
      <c r="C8347" s="91" t="s">
        <v>1116</v>
      </c>
    </row>
    <row r="8348" spans="1:3" ht="15">
      <c r="A8348" s="84" t="s">
        <v>298</v>
      </c>
      <c r="B8348" s="83" t="s">
        <v>3034</v>
      </c>
      <c r="C8348" s="91" t="s">
        <v>1116</v>
      </c>
    </row>
    <row r="8349" spans="1:3" ht="15">
      <c r="A8349" s="84" t="s">
        <v>298</v>
      </c>
      <c r="B8349" s="83" t="s">
        <v>2693</v>
      </c>
      <c r="C8349" s="91" t="s">
        <v>1116</v>
      </c>
    </row>
    <row r="8350" spans="1:3" ht="15">
      <c r="A8350" s="84" t="s">
        <v>298</v>
      </c>
      <c r="B8350" s="83" t="s">
        <v>2568</v>
      </c>
      <c r="C8350" s="91" t="s">
        <v>1116</v>
      </c>
    </row>
    <row r="8351" spans="1:3" ht="15">
      <c r="A8351" s="84" t="s">
        <v>298</v>
      </c>
      <c r="B8351" s="83" t="s">
        <v>3035</v>
      </c>
      <c r="C8351" s="91" t="s">
        <v>1116</v>
      </c>
    </row>
    <row r="8352" spans="1:3" ht="15">
      <c r="A8352" s="84" t="s">
        <v>298</v>
      </c>
      <c r="B8352" s="83" t="s">
        <v>2589</v>
      </c>
      <c r="C8352" s="91" t="s">
        <v>1116</v>
      </c>
    </row>
    <row r="8353" spans="1:3" ht="15">
      <c r="A8353" s="84" t="s">
        <v>298</v>
      </c>
      <c r="B8353" s="83" t="s">
        <v>3036</v>
      </c>
      <c r="C8353" s="91" t="s">
        <v>1116</v>
      </c>
    </row>
    <row r="8354" spans="1:3" ht="15">
      <c r="A8354" s="84" t="s">
        <v>298</v>
      </c>
      <c r="B8354" s="83" t="s">
        <v>3037</v>
      </c>
      <c r="C8354" s="91" t="s">
        <v>1116</v>
      </c>
    </row>
    <row r="8355" spans="1:3" ht="15">
      <c r="A8355" s="84" t="s">
        <v>298</v>
      </c>
      <c r="B8355" s="83" t="s">
        <v>3205</v>
      </c>
      <c r="C8355" s="91" t="s">
        <v>1116</v>
      </c>
    </row>
    <row r="8356" spans="1:3" ht="15">
      <c r="A8356" s="84" t="s">
        <v>298</v>
      </c>
      <c r="B8356" s="83" t="s">
        <v>586</v>
      </c>
      <c r="C8356" s="91" t="s">
        <v>1116</v>
      </c>
    </row>
    <row r="8357" spans="1:3" ht="15">
      <c r="A8357" s="84" t="s">
        <v>298</v>
      </c>
      <c r="B8357" s="83" t="s">
        <v>3535</v>
      </c>
      <c r="C8357" s="91" t="s">
        <v>1116</v>
      </c>
    </row>
    <row r="8358" spans="1:3" ht="15">
      <c r="A8358" s="84" t="s">
        <v>298</v>
      </c>
      <c r="B8358" s="83" t="s">
        <v>3536</v>
      </c>
      <c r="C8358" s="91" t="s">
        <v>1116</v>
      </c>
    </row>
    <row r="8359" spans="1:3" ht="15">
      <c r="A8359" s="84" t="s">
        <v>298</v>
      </c>
      <c r="B8359" s="83" t="s">
        <v>3353</v>
      </c>
      <c r="C8359" s="91" t="s">
        <v>1116</v>
      </c>
    </row>
    <row r="8360" spans="1:3" ht="15">
      <c r="A8360" s="84" t="s">
        <v>298</v>
      </c>
      <c r="B8360" s="83" t="s">
        <v>2893</v>
      </c>
      <c r="C8360" s="91" t="s">
        <v>1116</v>
      </c>
    </row>
    <row r="8361" spans="1:3" ht="15">
      <c r="A8361" s="84" t="s">
        <v>298</v>
      </c>
      <c r="B8361" s="83" t="s">
        <v>3267</v>
      </c>
      <c r="C8361" s="91" t="s">
        <v>1115</v>
      </c>
    </row>
    <row r="8362" spans="1:3" ht="15">
      <c r="A8362" s="84" t="s">
        <v>298</v>
      </c>
      <c r="B8362" s="83" t="s">
        <v>2581</v>
      </c>
      <c r="C8362" s="91" t="s">
        <v>1115</v>
      </c>
    </row>
    <row r="8363" spans="1:3" ht="15">
      <c r="A8363" s="84" t="s">
        <v>298</v>
      </c>
      <c r="B8363" s="83" t="s">
        <v>2586</v>
      </c>
      <c r="C8363" s="91" t="s">
        <v>1115</v>
      </c>
    </row>
    <row r="8364" spans="1:3" ht="15">
      <c r="A8364" s="84" t="s">
        <v>298</v>
      </c>
      <c r="B8364" s="83" t="s">
        <v>2595</v>
      </c>
      <c r="C8364" s="91" t="s">
        <v>1115</v>
      </c>
    </row>
    <row r="8365" spans="1:3" ht="15">
      <c r="A8365" s="84" t="s">
        <v>298</v>
      </c>
      <c r="B8365" s="83" t="s">
        <v>2568</v>
      </c>
      <c r="C8365" s="91" t="s">
        <v>1115</v>
      </c>
    </row>
    <row r="8366" spans="1:3" ht="15">
      <c r="A8366" s="84" t="s">
        <v>298</v>
      </c>
      <c r="B8366" s="83" t="s">
        <v>2592</v>
      </c>
      <c r="C8366" s="91" t="s">
        <v>1115</v>
      </c>
    </row>
    <row r="8367" spans="1:3" ht="15">
      <c r="A8367" s="84" t="s">
        <v>298</v>
      </c>
      <c r="B8367" s="83" t="s">
        <v>3213</v>
      </c>
      <c r="C8367" s="91" t="s">
        <v>1115</v>
      </c>
    </row>
    <row r="8368" spans="1:3" ht="15">
      <c r="A8368" s="84" t="s">
        <v>298</v>
      </c>
      <c r="B8368" s="83" t="s">
        <v>2576</v>
      </c>
      <c r="C8368" s="91" t="s">
        <v>1115</v>
      </c>
    </row>
    <row r="8369" spans="1:3" ht="15">
      <c r="A8369" s="84" t="s">
        <v>298</v>
      </c>
      <c r="B8369" s="83" t="s">
        <v>3229</v>
      </c>
      <c r="C8369" s="91" t="s">
        <v>1115</v>
      </c>
    </row>
    <row r="8370" spans="1:3" ht="15">
      <c r="A8370" s="84" t="s">
        <v>298</v>
      </c>
      <c r="B8370" s="83" t="s">
        <v>3230</v>
      </c>
      <c r="C8370" s="91" t="s">
        <v>1115</v>
      </c>
    </row>
    <row r="8371" spans="1:3" ht="15">
      <c r="A8371" s="84" t="s">
        <v>298</v>
      </c>
      <c r="B8371" s="83" t="s">
        <v>2598</v>
      </c>
      <c r="C8371" s="91" t="s">
        <v>1115</v>
      </c>
    </row>
    <row r="8372" spans="1:3" ht="15">
      <c r="A8372" s="84" t="s">
        <v>298</v>
      </c>
      <c r="B8372" s="83" t="s">
        <v>3231</v>
      </c>
      <c r="C8372" s="91" t="s">
        <v>1115</v>
      </c>
    </row>
    <row r="8373" spans="1:3" ht="15">
      <c r="A8373" s="84" t="s">
        <v>298</v>
      </c>
      <c r="B8373" s="83" t="s">
        <v>3232</v>
      </c>
      <c r="C8373" s="91" t="s">
        <v>1115</v>
      </c>
    </row>
    <row r="8374" spans="1:3" ht="15">
      <c r="A8374" s="84" t="s">
        <v>298</v>
      </c>
      <c r="B8374" s="83" t="s">
        <v>3233</v>
      </c>
      <c r="C8374" s="91" t="s">
        <v>1115</v>
      </c>
    </row>
    <row r="8375" spans="1:3" ht="15">
      <c r="A8375" s="84" t="s">
        <v>298</v>
      </c>
      <c r="B8375" s="83" t="s">
        <v>3211</v>
      </c>
      <c r="C8375" s="91" t="s">
        <v>1115</v>
      </c>
    </row>
    <row r="8376" spans="1:3" ht="15">
      <c r="A8376" s="84" t="s">
        <v>298</v>
      </c>
      <c r="B8376" s="83" t="s">
        <v>3199</v>
      </c>
      <c r="C8376" s="91" t="s">
        <v>1115</v>
      </c>
    </row>
    <row r="8377" spans="1:3" ht="15">
      <c r="A8377" s="84" t="s">
        <v>298</v>
      </c>
      <c r="B8377" s="83" t="s">
        <v>3218</v>
      </c>
      <c r="C8377" s="91" t="s">
        <v>1115</v>
      </c>
    </row>
    <row r="8378" spans="1:3" ht="15">
      <c r="A8378" s="84" t="s">
        <v>298</v>
      </c>
      <c r="B8378" s="83" t="s">
        <v>3234</v>
      </c>
      <c r="C8378" s="91" t="s">
        <v>1115</v>
      </c>
    </row>
    <row r="8379" spans="1:3" ht="15">
      <c r="A8379" s="84" t="s">
        <v>298</v>
      </c>
      <c r="B8379" s="83" t="s">
        <v>3235</v>
      </c>
      <c r="C8379" s="91" t="s">
        <v>1115</v>
      </c>
    </row>
    <row r="8380" spans="1:3" ht="15">
      <c r="A8380" s="84" t="s">
        <v>298</v>
      </c>
      <c r="B8380" s="83" t="s">
        <v>3236</v>
      </c>
      <c r="C8380" s="91" t="s">
        <v>1115</v>
      </c>
    </row>
    <row r="8381" spans="1:3" ht="15">
      <c r="A8381" s="84" t="s">
        <v>298</v>
      </c>
      <c r="B8381" s="83" t="s">
        <v>3237</v>
      </c>
      <c r="C8381" s="91" t="s">
        <v>1115</v>
      </c>
    </row>
    <row r="8382" spans="1:3" ht="15">
      <c r="A8382" s="84" t="s">
        <v>298</v>
      </c>
      <c r="B8382" s="83" t="s">
        <v>3238</v>
      </c>
      <c r="C8382" s="91" t="s">
        <v>1115</v>
      </c>
    </row>
    <row r="8383" spans="1:3" ht="15">
      <c r="A8383" s="84" t="s">
        <v>298</v>
      </c>
      <c r="B8383" s="83" t="s">
        <v>3239</v>
      </c>
      <c r="C8383" s="91" t="s">
        <v>1115</v>
      </c>
    </row>
    <row r="8384" spans="1:3" ht="15">
      <c r="A8384" s="84" t="s">
        <v>298</v>
      </c>
      <c r="B8384" s="83" t="s">
        <v>3240</v>
      </c>
      <c r="C8384" s="91" t="s">
        <v>1115</v>
      </c>
    </row>
    <row r="8385" spans="1:3" ht="15">
      <c r="A8385" s="84" t="s">
        <v>298</v>
      </c>
      <c r="B8385" s="83" t="s">
        <v>3241</v>
      </c>
      <c r="C8385" s="91" t="s">
        <v>1115</v>
      </c>
    </row>
    <row r="8386" spans="1:3" ht="15">
      <c r="A8386" s="84" t="s">
        <v>298</v>
      </c>
      <c r="B8386" s="83" t="s">
        <v>3242</v>
      </c>
      <c r="C8386" s="91" t="s">
        <v>1115</v>
      </c>
    </row>
    <row r="8387" spans="1:3" ht="15">
      <c r="A8387" s="84" t="s">
        <v>298</v>
      </c>
      <c r="B8387" s="83" t="s">
        <v>2767</v>
      </c>
      <c r="C8387" s="91" t="s">
        <v>1115</v>
      </c>
    </row>
    <row r="8388" spans="1:3" ht="15">
      <c r="A8388" s="84" t="s">
        <v>298</v>
      </c>
      <c r="B8388" s="83" t="s">
        <v>3243</v>
      </c>
      <c r="C8388" s="91" t="s">
        <v>1115</v>
      </c>
    </row>
    <row r="8389" spans="1:3" ht="15">
      <c r="A8389" s="84" t="s">
        <v>298</v>
      </c>
      <c r="B8389" s="83" t="s">
        <v>3244</v>
      </c>
      <c r="C8389" s="91" t="s">
        <v>1115</v>
      </c>
    </row>
    <row r="8390" spans="1:3" ht="15">
      <c r="A8390" s="84" t="s">
        <v>298</v>
      </c>
      <c r="B8390" s="83" t="s">
        <v>3223</v>
      </c>
      <c r="C8390" s="91" t="s">
        <v>1115</v>
      </c>
    </row>
    <row r="8391" spans="1:3" ht="15">
      <c r="A8391" s="84" t="s">
        <v>297</v>
      </c>
      <c r="B8391" s="83" t="s">
        <v>3553</v>
      </c>
      <c r="C8391" s="91" t="s">
        <v>1114</v>
      </c>
    </row>
    <row r="8392" spans="1:3" ht="15">
      <c r="A8392" s="84" t="s">
        <v>297</v>
      </c>
      <c r="B8392" s="83" t="s">
        <v>2578</v>
      </c>
      <c r="C8392" s="91" t="s">
        <v>1114</v>
      </c>
    </row>
    <row r="8393" spans="1:3" ht="15">
      <c r="A8393" s="84" t="s">
        <v>297</v>
      </c>
      <c r="B8393" s="83" t="s">
        <v>2671</v>
      </c>
      <c r="C8393" s="91" t="s">
        <v>1114</v>
      </c>
    </row>
    <row r="8394" spans="1:3" ht="15">
      <c r="A8394" s="84" t="s">
        <v>297</v>
      </c>
      <c r="B8394" s="83" t="s">
        <v>2668</v>
      </c>
      <c r="C8394" s="91" t="s">
        <v>1114</v>
      </c>
    </row>
    <row r="8395" spans="1:3" ht="15">
      <c r="A8395" s="84" t="s">
        <v>297</v>
      </c>
      <c r="B8395" s="83" t="s">
        <v>2568</v>
      </c>
      <c r="C8395" s="91" t="s">
        <v>1114</v>
      </c>
    </row>
    <row r="8396" spans="1:3" ht="15">
      <c r="A8396" s="84" t="s">
        <v>297</v>
      </c>
      <c r="B8396" s="83" t="s">
        <v>3554</v>
      </c>
      <c r="C8396" s="91" t="s">
        <v>1114</v>
      </c>
    </row>
    <row r="8397" spans="1:3" ht="15">
      <c r="A8397" s="84" t="s">
        <v>297</v>
      </c>
      <c r="B8397" s="83" t="s">
        <v>2664</v>
      </c>
      <c r="C8397" s="91" t="s">
        <v>1114</v>
      </c>
    </row>
    <row r="8398" spans="1:3" ht="15">
      <c r="A8398" s="84" t="s">
        <v>297</v>
      </c>
      <c r="B8398" s="83" t="s">
        <v>3555</v>
      </c>
      <c r="C8398" s="91" t="s">
        <v>1114</v>
      </c>
    </row>
    <row r="8399" spans="1:3" ht="15">
      <c r="A8399" s="84" t="s">
        <v>297</v>
      </c>
      <c r="B8399" s="83" t="s">
        <v>3556</v>
      </c>
      <c r="C8399" s="91" t="s">
        <v>1114</v>
      </c>
    </row>
    <row r="8400" spans="1:3" ht="15">
      <c r="A8400" s="84" t="s">
        <v>297</v>
      </c>
      <c r="B8400" s="83" t="s">
        <v>3557</v>
      </c>
      <c r="C8400" s="91" t="s">
        <v>1114</v>
      </c>
    </row>
    <row r="8401" spans="1:3" ht="15">
      <c r="A8401" s="84" t="s">
        <v>297</v>
      </c>
      <c r="B8401" s="83" t="s">
        <v>3558</v>
      </c>
      <c r="C8401" s="91" t="s">
        <v>1114</v>
      </c>
    </row>
    <row r="8402" spans="1:3" ht="15">
      <c r="A8402" s="84" t="s">
        <v>297</v>
      </c>
      <c r="B8402" s="83" t="s">
        <v>3559</v>
      </c>
      <c r="C8402" s="91" t="s">
        <v>1114</v>
      </c>
    </row>
    <row r="8403" spans="1:3" ht="15">
      <c r="A8403" s="84" t="s">
        <v>297</v>
      </c>
      <c r="B8403" s="83" t="s">
        <v>3194</v>
      </c>
      <c r="C8403" s="91" t="s">
        <v>1114</v>
      </c>
    </row>
    <row r="8404" spans="1:3" ht="15">
      <c r="A8404" s="84" t="s">
        <v>297</v>
      </c>
      <c r="B8404" s="83" t="s">
        <v>3199</v>
      </c>
      <c r="C8404" s="91" t="s">
        <v>1114</v>
      </c>
    </row>
    <row r="8405" spans="1:3" ht="15">
      <c r="A8405" s="84" t="s">
        <v>297</v>
      </c>
      <c r="B8405" s="83" t="s">
        <v>3560</v>
      </c>
      <c r="C8405" s="91" t="s">
        <v>1114</v>
      </c>
    </row>
    <row r="8406" spans="1:3" ht="15">
      <c r="A8406" s="84" t="s">
        <v>297</v>
      </c>
      <c r="B8406" s="83" t="s">
        <v>3561</v>
      </c>
      <c r="C8406" s="91" t="s">
        <v>1114</v>
      </c>
    </row>
    <row r="8407" spans="1:3" ht="15">
      <c r="A8407" s="84" t="s">
        <v>297</v>
      </c>
      <c r="B8407" s="83" t="s">
        <v>2576</v>
      </c>
      <c r="C8407" s="91" t="s">
        <v>1114</v>
      </c>
    </row>
    <row r="8408" spans="1:3" ht="15">
      <c r="A8408" s="84" t="s">
        <v>297</v>
      </c>
      <c r="B8408" s="83" t="s">
        <v>3562</v>
      </c>
      <c r="C8408" s="91" t="s">
        <v>1114</v>
      </c>
    </row>
    <row r="8409" spans="1:3" ht="15">
      <c r="A8409" s="84" t="s">
        <v>296</v>
      </c>
      <c r="B8409" s="83" t="s">
        <v>3228</v>
      </c>
      <c r="C8409" s="91" t="s">
        <v>1113</v>
      </c>
    </row>
    <row r="8410" spans="1:3" ht="15">
      <c r="A8410" s="84" t="s">
        <v>296</v>
      </c>
      <c r="B8410" s="83" t="s">
        <v>2581</v>
      </c>
      <c r="C8410" s="91" t="s">
        <v>1113</v>
      </c>
    </row>
    <row r="8411" spans="1:3" ht="15">
      <c r="A8411" s="84" t="s">
        <v>296</v>
      </c>
      <c r="B8411" s="83" t="s">
        <v>2586</v>
      </c>
      <c r="C8411" s="91" t="s">
        <v>1113</v>
      </c>
    </row>
    <row r="8412" spans="1:3" ht="15">
      <c r="A8412" s="84" t="s">
        <v>296</v>
      </c>
      <c r="B8412" s="83" t="s">
        <v>2595</v>
      </c>
      <c r="C8412" s="91" t="s">
        <v>1113</v>
      </c>
    </row>
    <row r="8413" spans="1:3" ht="15">
      <c r="A8413" s="84" t="s">
        <v>296</v>
      </c>
      <c r="B8413" s="83" t="s">
        <v>2568</v>
      </c>
      <c r="C8413" s="91" t="s">
        <v>1113</v>
      </c>
    </row>
    <row r="8414" spans="1:3" ht="15">
      <c r="A8414" s="84" t="s">
        <v>296</v>
      </c>
      <c r="B8414" s="83" t="s">
        <v>2592</v>
      </c>
      <c r="C8414" s="91" t="s">
        <v>1113</v>
      </c>
    </row>
    <row r="8415" spans="1:3" ht="15">
      <c r="A8415" s="84" t="s">
        <v>296</v>
      </c>
      <c r="B8415" s="83" t="s">
        <v>3213</v>
      </c>
      <c r="C8415" s="91" t="s">
        <v>1113</v>
      </c>
    </row>
    <row r="8416" spans="1:3" ht="15">
      <c r="A8416" s="84" t="s">
        <v>296</v>
      </c>
      <c r="B8416" s="83" t="s">
        <v>2576</v>
      </c>
      <c r="C8416" s="91" t="s">
        <v>1113</v>
      </c>
    </row>
    <row r="8417" spans="1:3" ht="15">
      <c r="A8417" s="84" t="s">
        <v>296</v>
      </c>
      <c r="B8417" s="83" t="s">
        <v>3229</v>
      </c>
      <c r="C8417" s="91" t="s">
        <v>1113</v>
      </c>
    </row>
    <row r="8418" spans="1:3" ht="15">
      <c r="A8418" s="84" t="s">
        <v>296</v>
      </c>
      <c r="B8418" s="83" t="s">
        <v>3230</v>
      </c>
      <c r="C8418" s="91" t="s">
        <v>1113</v>
      </c>
    </row>
    <row r="8419" spans="1:3" ht="15">
      <c r="A8419" s="84" t="s">
        <v>296</v>
      </c>
      <c r="B8419" s="83" t="s">
        <v>2598</v>
      </c>
      <c r="C8419" s="91" t="s">
        <v>1113</v>
      </c>
    </row>
    <row r="8420" spans="1:3" ht="15">
      <c r="A8420" s="84" t="s">
        <v>296</v>
      </c>
      <c r="B8420" s="83" t="s">
        <v>3231</v>
      </c>
      <c r="C8420" s="91" t="s">
        <v>1113</v>
      </c>
    </row>
    <row r="8421" spans="1:3" ht="15">
      <c r="A8421" s="84" t="s">
        <v>296</v>
      </c>
      <c r="B8421" s="83" t="s">
        <v>3232</v>
      </c>
      <c r="C8421" s="91" t="s">
        <v>1113</v>
      </c>
    </row>
    <row r="8422" spans="1:3" ht="15">
      <c r="A8422" s="84" t="s">
        <v>296</v>
      </c>
      <c r="B8422" s="83" t="s">
        <v>3233</v>
      </c>
      <c r="C8422" s="91" t="s">
        <v>1113</v>
      </c>
    </row>
    <row r="8423" spans="1:3" ht="15">
      <c r="A8423" s="84" t="s">
        <v>296</v>
      </c>
      <c r="B8423" s="83" t="s">
        <v>3211</v>
      </c>
      <c r="C8423" s="91" t="s">
        <v>1113</v>
      </c>
    </row>
    <row r="8424" spans="1:3" ht="15">
      <c r="A8424" s="84" t="s">
        <v>296</v>
      </c>
      <c r="B8424" s="83" t="s">
        <v>3199</v>
      </c>
      <c r="C8424" s="91" t="s">
        <v>1113</v>
      </c>
    </row>
    <row r="8425" spans="1:3" ht="15">
      <c r="A8425" s="84" t="s">
        <v>296</v>
      </c>
      <c r="B8425" s="83" t="s">
        <v>3218</v>
      </c>
      <c r="C8425" s="91" t="s">
        <v>1113</v>
      </c>
    </row>
    <row r="8426" spans="1:3" ht="15">
      <c r="A8426" s="84" t="s">
        <v>296</v>
      </c>
      <c r="B8426" s="83" t="s">
        <v>3234</v>
      </c>
      <c r="C8426" s="91" t="s">
        <v>1113</v>
      </c>
    </row>
    <row r="8427" spans="1:3" ht="15">
      <c r="A8427" s="84" t="s">
        <v>296</v>
      </c>
      <c r="B8427" s="83" t="s">
        <v>3235</v>
      </c>
      <c r="C8427" s="91" t="s">
        <v>1113</v>
      </c>
    </row>
    <row r="8428" spans="1:3" ht="15">
      <c r="A8428" s="84" t="s">
        <v>296</v>
      </c>
      <c r="B8428" s="83" t="s">
        <v>3236</v>
      </c>
      <c r="C8428" s="91" t="s">
        <v>1113</v>
      </c>
    </row>
    <row r="8429" spans="1:3" ht="15">
      <c r="A8429" s="84" t="s">
        <v>296</v>
      </c>
      <c r="B8429" s="83" t="s">
        <v>3237</v>
      </c>
      <c r="C8429" s="91" t="s">
        <v>1113</v>
      </c>
    </row>
    <row r="8430" spans="1:3" ht="15">
      <c r="A8430" s="84" t="s">
        <v>296</v>
      </c>
      <c r="B8430" s="83" t="s">
        <v>3238</v>
      </c>
      <c r="C8430" s="91" t="s">
        <v>1113</v>
      </c>
    </row>
    <row r="8431" spans="1:3" ht="15">
      <c r="A8431" s="84" t="s">
        <v>296</v>
      </c>
      <c r="B8431" s="83" t="s">
        <v>3239</v>
      </c>
      <c r="C8431" s="91" t="s">
        <v>1113</v>
      </c>
    </row>
    <row r="8432" spans="1:3" ht="15">
      <c r="A8432" s="84" t="s">
        <v>296</v>
      </c>
      <c r="B8432" s="83" t="s">
        <v>3240</v>
      </c>
      <c r="C8432" s="91" t="s">
        <v>1113</v>
      </c>
    </row>
    <row r="8433" spans="1:3" ht="15">
      <c r="A8433" s="84" t="s">
        <v>296</v>
      </c>
      <c r="B8433" s="83" t="s">
        <v>3241</v>
      </c>
      <c r="C8433" s="91" t="s">
        <v>1113</v>
      </c>
    </row>
    <row r="8434" spans="1:3" ht="15">
      <c r="A8434" s="84" t="s">
        <v>296</v>
      </c>
      <c r="B8434" s="83" t="s">
        <v>3242</v>
      </c>
      <c r="C8434" s="91" t="s">
        <v>1113</v>
      </c>
    </row>
    <row r="8435" spans="1:3" ht="15">
      <c r="A8435" s="84" t="s">
        <v>296</v>
      </c>
      <c r="B8435" s="83" t="s">
        <v>2767</v>
      </c>
      <c r="C8435" s="91" t="s">
        <v>1113</v>
      </c>
    </row>
    <row r="8436" spans="1:3" ht="15">
      <c r="A8436" s="84" t="s">
        <v>296</v>
      </c>
      <c r="B8436" s="83" t="s">
        <v>3243</v>
      </c>
      <c r="C8436" s="91" t="s">
        <v>1113</v>
      </c>
    </row>
    <row r="8437" spans="1:3" ht="15">
      <c r="A8437" s="84" t="s">
        <v>296</v>
      </c>
      <c r="B8437" s="83" t="s">
        <v>3244</v>
      </c>
      <c r="C8437" s="91" t="s">
        <v>1113</v>
      </c>
    </row>
    <row r="8438" spans="1:3" ht="15">
      <c r="A8438" s="84" t="s">
        <v>296</v>
      </c>
      <c r="B8438" s="83" t="s">
        <v>3223</v>
      </c>
      <c r="C8438" s="91" t="s">
        <v>1113</v>
      </c>
    </row>
    <row r="8439" spans="1:3" ht="15">
      <c r="A8439" s="84" t="s">
        <v>296</v>
      </c>
      <c r="B8439" s="83" t="s">
        <v>3266</v>
      </c>
      <c r="C8439" s="91" t="s">
        <v>1113</v>
      </c>
    </row>
    <row r="8440" spans="1:3" ht="15">
      <c r="A8440" s="84" t="s">
        <v>296</v>
      </c>
      <c r="B8440" s="83" t="s">
        <v>3206</v>
      </c>
      <c r="C8440" s="91" t="s">
        <v>1112</v>
      </c>
    </row>
    <row r="8441" spans="1:3" ht="15">
      <c r="A8441" s="84" t="s">
        <v>296</v>
      </c>
      <c r="B8441" s="83" t="s">
        <v>3207</v>
      </c>
      <c r="C8441" s="91" t="s">
        <v>1112</v>
      </c>
    </row>
    <row r="8442" spans="1:3" ht="15">
      <c r="A8442" s="84" t="s">
        <v>296</v>
      </c>
      <c r="B8442" s="83" t="s">
        <v>3208</v>
      </c>
      <c r="C8442" s="91" t="s">
        <v>1112</v>
      </c>
    </row>
    <row r="8443" spans="1:3" ht="15">
      <c r="A8443" s="84" t="s">
        <v>296</v>
      </c>
      <c r="B8443" s="83" t="s">
        <v>195</v>
      </c>
      <c r="C8443" s="91" t="s">
        <v>1112</v>
      </c>
    </row>
    <row r="8444" spans="1:3" ht="15">
      <c r="A8444" s="84" t="s">
        <v>296</v>
      </c>
      <c r="B8444" s="83" t="s">
        <v>3209</v>
      </c>
      <c r="C8444" s="91" t="s">
        <v>1112</v>
      </c>
    </row>
    <row r="8445" spans="1:3" ht="15">
      <c r="A8445" s="84" t="s">
        <v>296</v>
      </c>
      <c r="B8445" s="83" t="s">
        <v>2576</v>
      </c>
      <c r="C8445" s="91" t="s">
        <v>1112</v>
      </c>
    </row>
    <row r="8446" spans="1:3" ht="15">
      <c r="A8446" s="84" t="s">
        <v>296</v>
      </c>
      <c r="B8446" s="83" t="s">
        <v>3210</v>
      </c>
      <c r="C8446" s="91" t="s">
        <v>1112</v>
      </c>
    </row>
    <row r="8447" spans="1:3" ht="15">
      <c r="A8447" s="84" t="s">
        <v>296</v>
      </c>
      <c r="B8447" s="83">
        <v>19</v>
      </c>
      <c r="C8447" s="91" t="s">
        <v>1112</v>
      </c>
    </row>
    <row r="8448" spans="1:3" ht="15">
      <c r="A8448" s="84" t="s">
        <v>296</v>
      </c>
      <c r="B8448" s="83" t="s">
        <v>3211</v>
      </c>
      <c r="C8448" s="91" t="s">
        <v>1112</v>
      </c>
    </row>
    <row r="8449" spans="1:3" ht="15">
      <c r="A8449" s="84" t="s">
        <v>296</v>
      </c>
      <c r="B8449" s="83" t="s">
        <v>3212</v>
      </c>
      <c r="C8449" s="91" t="s">
        <v>1112</v>
      </c>
    </row>
    <row r="8450" spans="1:3" ht="15">
      <c r="A8450" s="84" t="s">
        <v>296</v>
      </c>
      <c r="B8450" s="83" t="s">
        <v>3198</v>
      </c>
      <c r="C8450" s="91" t="s">
        <v>1112</v>
      </c>
    </row>
    <row r="8451" spans="1:3" ht="15">
      <c r="A8451" s="84" t="s">
        <v>296</v>
      </c>
      <c r="B8451" s="83" t="s">
        <v>3213</v>
      </c>
      <c r="C8451" s="91" t="s">
        <v>1112</v>
      </c>
    </row>
    <row r="8452" spans="1:3" ht="15">
      <c r="A8452" s="84" t="s">
        <v>296</v>
      </c>
      <c r="B8452" s="83" t="s">
        <v>3214</v>
      </c>
      <c r="C8452" s="91" t="s">
        <v>1112</v>
      </c>
    </row>
    <row r="8453" spans="1:3" ht="15">
      <c r="A8453" s="84" t="s">
        <v>296</v>
      </c>
      <c r="B8453" s="83" t="s">
        <v>3215</v>
      </c>
      <c r="C8453" s="91" t="s">
        <v>1112</v>
      </c>
    </row>
    <row r="8454" spans="1:3" ht="15">
      <c r="A8454" s="84" t="s">
        <v>296</v>
      </c>
      <c r="B8454" s="83" t="s">
        <v>3216</v>
      </c>
      <c r="C8454" s="91" t="s">
        <v>1112</v>
      </c>
    </row>
    <row r="8455" spans="1:3" ht="15">
      <c r="A8455" s="84" t="s">
        <v>296</v>
      </c>
      <c r="B8455" s="83" t="s">
        <v>3217</v>
      </c>
      <c r="C8455" s="91" t="s">
        <v>1112</v>
      </c>
    </row>
    <row r="8456" spans="1:3" ht="15">
      <c r="A8456" s="84" t="s">
        <v>296</v>
      </c>
      <c r="B8456" s="83" t="s">
        <v>3199</v>
      </c>
      <c r="C8456" s="91" t="s">
        <v>1112</v>
      </c>
    </row>
    <row r="8457" spans="1:3" ht="15">
      <c r="A8457" s="84" t="s">
        <v>296</v>
      </c>
      <c r="B8457" s="83" t="s">
        <v>3218</v>
      </c>
      <c r="C8457" s="91" t="s">
        <v>1112</v>
      </c>
    </row>
    <row r="8458" spans="1:3" ht="15">
      <c r="A8458" s="84" t="s">
        <v>296</v>
      </c>
      <c r="B8458" s="83" t="s">
        <v>3219</v>
      </c>
      <c r="C8458" s="91" t="s">
        <v>1112</v>
      </c>
    </row>
    <row r="8459" spans="1:3" ht="15">
      <c r="A8459" s="84" t="s">
        <v>296</v>
      </c>
      <c r="B8459" s="83" t="s">
        <v>3220</v>
      </c>
      <c r="C8459" s="91" t="s">
        <v>1112</v>
      </c>
    </row>
    <row r="8460" spans="1:3" ht="15">
      <c r="A8460" s="84" t="s">
        <v>296</v>
      </c>
      <c r="B8460" s="83" t="s">
        <v>3221</v>
      </c>
      <c r="C8460" s="91" t="s">
        <v>1112</v>
      </c>
    </row>
    <row r="8461" spans="1:3" ht="15">
      <c r="A8461" s="84" t="s">
        <v>296</v>
      </c>
      <c r="B8461" s="83" t="s">
        <v>3222</v>
      </c>
      <c r="C8461" s="91" t="s">
        <v>1112</v>
      </c>
    </row>
    <row r="8462" spans="1:3" ht="15">
      <c r="A8462" s="84" t="s">
        <v>296</v>
      </c>
      <c r="B8462" s="83" t="s">
        <v>3223</v>
      </c>
      <c r="C8462" s="91" t="s">
        <v>1112</v>
      </c>
    </row>
    <row r="8463" spans="1:3" ht="15">
      <c r="A8463" s="84" t="s">
        <v>296</v>
      </c>
      <c r="B8463" s="83" t="s">
        <v>3224</v>
      </c>
      <c r="C8463" s="91" t="s">
        <v>1112</v>
      </c>
    </row>
    <row r="8464" spans="1:3" ht="15">
      <c r="A8464" s="84" t="s">
        <v>296</v>
      </c>
      <c r="B8464" s="83" t="s">
        <v>3225</v>
      </c>
      <c r="C8464" s="91" t="s">
        <v>1112</v>
      </c>
    </row>
    <row r="8465" spans="1:3" ht="15">
      <c r="A8465" s="84" t="s">
        <v>296</v>
      </c>
      <c r="B8465" s="83" t="s">
        <v>3433</v>
      </c>
      <c r="C8465" s="91" t="s">
        <v>1111</v>
      </c>
    </row>
    <row r="8466" spans="1:3" ht="15">
      <c r="A8466" s="84" t="s">
        <v>296</v>
      </c>
      <c r="B8466" s="83" t="s">
        <v>2834</v>
      </c>
      <c r="C8466" s="91" t="s">
        <v>1111</v>
      </c>
    </row>
    <row r="8467" spans="1:3" ht="15">
      <c r="A8467" s="84" t="s">
        <v>296</v>
      </c>
      <c r="B8467" s="83" t="s">
        <v>2835</v>
      </c>
      <c r="C8467" s="91" t="s">
        <v>1111</v>
      </c>
    </row>
    <row r="8468" spans="1:3" ht="15">
      <c r="A8468" s="84" t="s">
        <v>296</v>
      </c>
      <c r="B8468" s="83" t="s">
        <v>2580</v>
      </c>
      <c r="C8468" s="91" t="s">
        <v>1111</v>
      </c>
    </row>
    <row r="8469" spans="1:3" ht="15">
      <c r="A8469" s="84" t="s">
        <v>296</v>
      </c>
      <c r="B8469" s="83" t="s">
        <v>2836</v>
      </c>
      <c r="C8469" s="91" t="s">
        <v>1111</v>
      </c>
    </row>
    <row r="8470" spans="1:3" ht="15">
      <c r="A8470" s="84" t="s">
        <v>296</v>
      </c>
      <c r="B8470" s="83" t="s">
        <v>2837</v>
      </c>
      <c r="C8470" s="91" t="s">
        <v>1111</v>
      </c>
    </row>
    <row r="8471" spans="1:3" ht="15">
      <c r="A8471" s="84" t="s">
        <v>296</v>
      </c>
      <c r="B8471" s="83" t="s">
        <v>2738</v>
      </c>
      <c r="C8471" s="91" t="s">
        <v>1111</v>
      </c>
    </row>
    <row r="8472" spans="1:3" ht="15">
      <c r="A8472" s="84" t="s">
        <v>296</v>
      </c>
      <c r="B8472" s="83" t="s">
        <v>3210</v>
      </c>
      <c r="C8472" s="91" t="s">
        <v>1111</v>
      </c>
    </row>
    <row r="8473" spans="1:3" ht="15">
      <c r="A8473" s="84" t="s">
        <v>296</v>
      </c>
      <c r="B8473" s="83">
        <v>19</v>
      </c>
      <c r="C8473" s="91" t="s">
        <v>1111</v>
      </c>
    </row>
    <row r="8474" spans="1:3" ht="15">
      <c r="A8474" s="84" t="s">
        <v>296</v>
      </c>
      <c r="B8474" s="83" t="s">
        <v>2591</v>
      </c>
      <c r="C8474" s="91" t="s">
        <v>1111</v>
      </c>
    </row>
    <row r="8475" spans="1:3" ht="15">
      <c r="A8475" s="84" t="s">
        <v>296</v>
      </c>
      <c r="B8475" s="83" t="s">
        <v>2718</v>
      </c>
      <c r="C8475" s="91" t="s">
        <v>1111</v>
      </c>
    </row>
    <row r="8476" spans="1:3" ht="15">
      <c r="A8476" s="84" t="s">
        <v>296</v>
      </c>
      <c r="B8476" s="83" t="s">
        <v>3199</v>
      </c>
      <c r="C8476" s="91" t="s">
        <v>1111</v>
      </c>
    </row>
    <row r="8477" spans="1:3" ht="15">
      <c r="A8477" s="84" t="s">
        <v>296</v>
      </c>
      <c r="B8477" s="83" t="s">
        <v>2577</v>
      </c>
      <c r="C8477" s="91" t="s">
        <v>1111</v>
      </c>
    </row>
    <row r="8478" spans="1:3" ht="15">
      <c r="A8478" s="84" t="s">
        <v>296</v>
      </c>
      <c r="B8478" s="83" t="s">
        <v>2838</v>
      </c>
      <c r="C8478" s="91" t="s">
        <v>1111</v>
      </c>
    </row>
    <row r="8479" spans="1:3" ht="15">
      <c r="A8479" s="84" t="s">
        <v>296</v>
      </c>
      <c r="B8479" s="83" t="s">
        <v>2586</v>
      </c>
      <c r="C8479" s="91" t="s">
        <v>1111</v>
      </c>
    </row>
    <row r="8480" spans="1:3" ht="15">
      <c r="A8480" s="84" t="s">
        <v>296</v>
      </c>
      <c r="B8480" s="83" t="s">
        <v>2839</v>
      </c>
      <c r="C8480" s="91" t="s">
        <v>1111</v>
      </c>
    </row>
    <row r="8481" spans="1:3" ht="15">
      <c r="A8481" s="84" t="s">
        <v>296</v>
      </c>
      <c r="B8481" s="83" t="s">
        <v>2840</v>
      </c>
      <c r="C8481" s="91" t="s">
        <v>1111</v>
      </c>
    </row>
    <row r="8482" spans="1:3" ht="15">
      <c r="A8482" s="84" t="s">
        <v>296</v>
      </c>
      <c r="B8482" s="83" t="s">
        <v>2841</v>
      </c>
      <c r="C8482" s="91" t="s">
        <v>1111</v>
      </c>
    </row>
    <row r="8483" spans="1:3" ht="15">
      <c r="A8483" s="84" t="s">
        <v>296</v>
      </c>
      <c r="B8483" s="83" t="s">
        <v>2774</v>
      </c>
      <c r="C8483" s="91" t="s">
        <v>1111</v>
      </c>
    </row>
    <row r="8484" spans="1:3" ht="15">
      <c r="A8484" s="84" t="s">
        <v>296</v>
      </c>
      <c r="B8484" s="83" t="s">
        <v>2775</v>
      </c>
      <c r="C8484" s="91" t="s">
        <v>1111</v>
      </c>
    </row>
    <row r="8485" spans="1:3" ht="15">
      <c r="A8485" s="84" t="s">
        <v>296</v>
      </c>
      <c r="B8485" s="83" t="s">
        <v>2842</v>
      </c>
      <c r="C8485" s="91" t="s">
        <v>1111</v>
      </c>
    </row>
    <row r="8486" spans="1:3" ht="15">
      <c r="A8486" s="84" t="s">
        <v>296</v>
      </c>
      <c r="B8486" s="83" t="s">
        <v>2607</v>
      </c>
      <c r="C8486" s="91" t="s">
        <v>1111</v>
      </c>
    </row>
    <row r="8487" spans="1:3" ht="15">
      <c r="A8487" s="84" t="s">
        <v>296</v>
      </c>
      <c r="B8487" s="83" t="s">
        <v>3225</v>
      </c>
      <c r="C8487" s="91" t="s">
        <v>1111</v>
      </c>
    </row>
    <row r="8488" spans="1:3" ht="15">
      <c r="A8488" s="84" t="s">
        <v>296</v>
      </c>
      <c r="B8488" s="83" t="s">
        <v>3434</v>
      </c>
      <c r="C8488" s="91" t="s">
        <v>1111</v>
      </c>
    </row>
    <row r="8489" spans="1:3" ht="15">
      <c r="A8489" s="84" t="s">
        <v>296</v>
      </c>
      <c r="B8489" s="83" t="s">
        <v>3435</v>
      </c>
      <c r="C8489" s="91" t="s">
        <v>1111</v>
      </c>
    </row>
    <row r="8490" spans="1:3" ht="15">
      <c r="A8490" s="84" t="s">
        <v>296</v>
      </c>
      <c r="B8490" s="83" t="s">
        <v>2843</v>
      </c>
      <c r="C8490" s="91" t="s">
        <v>1111</v>
      </c>
    </row>
    <row r="8491" spans="1:3" ht="15">
      <c r="A8491" s="84" t="s">
        <v>296</v>
      </c>
      <c r="B8491" s="83" t="s">
        <v>3198</v>
      </c>
      <c r="C8491" s="91" t="s">
        <v>1111</v>
      </c>
    </row>
    <row r="8492" spans="1:3" ht="15">
      <c r="A8492" s="84" t="s">
        <v>296</v>
      </c>
      <c r="B8492" s="83" t="s">
        <v>3214</v>
      </c>
      <c r="C8492" s="91" t="s">
        <v>1111</v>
      </c>
    </row>
    <row r="8493" spans="1:3" ht="15">
      <c r="A8493" s="84" t="s">
        <v>296</v>
      </c>
      <c r="B8493" s="83" t="s">
        <v>3319</v>
      </c>
      <c r="C8493" s="91" t="s">
        <v>1111</v>
      </c>
    </row>
    <row r="8494" spans="1:3" ht="15">
      <c r="A8494" s="84" t="s">
        <v>296</v>
      </c>
      <c r="B8494" s="83" t="s">
        <v>3267</v>
      </c>
      <c r="C8494" s="91" t="s">
        <v>1110</v>
      </c>
    </row>
    <row r="8495" spans="1:3" ht="15">
      <c r="A8495" s="84" t="s">
        <v>296</v>
      </c>
      <c r="B8495" s="83" t="s">
        <v>2581</v>
      </c>
      <c r="C8495" s="91" t="s">
        <v>1110</v>
      </c>
    </row>
    <row r="8496" spans="1:3" ht="15">
      <c r="A8496" s="84" t="s">
        <v>296</v>
      </c>
      <c r="B8496" s="83" t="s">
        <v>2586</v>
      </c>
      <c r="C8496" s="91" t="s">
        <v>1110</v>
      </c>
    </row>
    <row r="8497" spans="1:3" ht="15">
      <c r="A8497" s="84" t="s">
        <v>296</v>
      </c>
      <c r="B8497" s="83" t="s">
        <v>2595</v>
      </c>
      <c r="C8497" s="91" t="s">
        <v>1110</v>
      </c>
    </row>
    <row r="8498" spans="1:3" ht="15">
      <c r="A8498" s="84" t="s">
        <v>296</v>
      </c>
      <c r="B8498" s="83" t="s">
        <v>2568</v>
      </c>
      <c r="C8498" s="91" t="s">
        <v>1110</v>
      </c>
    </row>
    <row r="8499" spans="1:3" ht="15">
      <c r="A8499" s="84" t="s">
        <v>296</v>
      </c>
      <c r="B8499" s="83" t="s">
        <v>2592</v>
      </c>
      <c r="C8499" s="91" t="s">
        <v>1110</v>
      </c>
    </row>
    <row r="8500" spans="1:3" ht="15">
      <c r="A8500" s="84" t="s">
        <v>296</v>
      </c>
      <c r="B8500" s="83" t="s">
        <v>3213</v>
      </c>
      <c r="C8500" s="91" t="s">
        <v>1110</v>
      </c>
    </row>
    <row r="8501" spans="1:3" ht="15">
      <c r="A8501" s="84" t="s">
        <v>296</v>
      </c>
      <c r="B8501" s="83" t="s">
        <v>2576</v>
      </c>
      <c r="C8501" s="91" t="s">
        <v>1110</v>
      </c>
    </row>
    <row r="8502" spans="1:3" ht="15">
      <c r="A8502" s="84" t="s">
        <v>296</v>
      </c>
      <c r="B8502" s="83" t="s">
        <v>3229</v>
      </c>
      <c r="C8502" s="91" t="s">
        <v>1110</v>
      </c>
    </row>
    <row r="8503" spans="1:3" ht="15">
      <c r="A8503" s="84" t="s">
        <v>296</v>
      </c>
      <c r="B8503" s="83" t="s">
        <v>3230</v>
      </c>
      <c r="C8503" s="91" t="s">
        <v>1110</v>
      </c>
    </row>
    <row r="8504" spans="1:3" ht="15">
      <c r="A8504" s="84" t="s">
        <v>296</v>
      </c>
      <c r="B8504" s="83" t="s">
        <v>2598</v>
      </c>
      <c r="C8504" s="91" t="s">
        <v>1110</v>
      </c>
    </row>
    <row r="8505" spans="1:3" ht="15">
      <c r="A8505" s="84" t="s">
        <v>296</v>
      </c>
      <c r="B8505" s="83" t="s">
        <v>3231</v>
      </c>
      <c r="C8505" s="91" t="s">
        <v>1110</v>
      </c>
    </row>
    <row r="8506" spans="1:3" ht="15">
      <c r="A8506" s="84" t="s">
        <v>296</v>
      </c>
      <c r="B8506" s="83" t="s">
        <v>3232</v>
      </c>
      <c r="C8506" s="91" t="s">
        <v>1110</v>
      </c>
    </row>
    <row r="8507" spans="1:3" ht="15">
      <c r="A8507" s="84" t="s">
        <v>296</v>
      </c>
      <c r="B8507" s="83" t="s">
        <v>3233</v>
      </c>
      <c r="C8507" s="91" t="s">
        <v>1110</v>
      </c>
    </row>
    <row r="8508" spans="1:3" ht="15">
      <c r="A8508" s="84" t="s">
        <v>296</v>
      </c>
      <c r="B8508" s="83" t="s">
        <v>3211</v>
      </c>
      <c r="C8508" s="91" t="s">
        <v>1110</v>
      </c>
    </row>
    <row r="8509" spans="1:3" ht="15">
      <c r="A8509" s="84" t="s">
        <v>296</v>
      </c>
      <c r="B8509" s="83" t="s">
        <v>3199</v>
      </c>
      <c r="C8509" s="91" t="s">
        <v>1110</v>
      </c>
    </row>
    <row r="8510" spans="1:3" ht="15">
      <c r="A8510" s="84" t="s">
        <v>296</v>
      </c>
      <c r="B8510" s="83" t="s">
        <v>3218</v>
      </c>
      <c r="C8510" s="91" t="s">
        <v>1110</v>
      </c>
    </row>
    <row r="8511" spans="1:3" ht="15">
      <c r="A8511" s="84" t="s">
        <v>296</v>
      </c>
      <c r="B8511" s="83" t="s">
        <v>3234</v>
      </c>
      <c r="C8511" s="91" t="s">
        <v>1110</v>
      </c>
    </row>
    <row r="8512" spans="1:3" ht="15">
      <c r="A8512" s="84" t="s">
        <v>296</v>
      </c>
      <c r="B8512" s="83" t="s">
        <v>3235</v>
      </c>
      <c r="C8512" s="91" t="s">
        <v>1110</v>
      </c>
    </row>
    <row r="8513" spans="1:3" ht="15">
      <c r="A8513" s="84" t="s">
        <v>296</v>
      </c>
      <c r="B8513" s="83" t="s">
        <v>3236</v>
      </c>
      <c r="C8513" s="91" t="s">
        <v>1110</v>
      </c>
    </row>
    <row r="8514" spans="1:3" ht="15">
      <c r="A8514" s="84" t="s">
        <v>296</v>
      </c>
      <c r="B8514" s="83" t="s">
        <v>3237</v>
      </c>
      <c r="C8514" s="91" t="s">
        <v>1110</v>
      </c>
    </row>
    <row r="8515" spans="1:3" ht="15">
      <c r="A8515" s="84" t="s">
        <v>296</v>
      </c>
      <c r="B8515" s="83" t="s">
        <v>3238</v>
      </c>
      <c r="C8515" s="91" t="s">
        <v>1110</v>
      </c>
    </row>
    <row r="8516" spans="1:3" ht="15">
      <c r="A8516" s="84" t="s">
        <v>296</v>
      </c>
      <c r="B8516" s="83" t="s">
        <v>3239</v>
      </c>
      <c r="C8516" s="91" t="s">
        <v>1110</v>
      </c>
    </row>
    <row r="8517" spans="1:3" ht="15">
      <c r="A8517" s="84" t="s">
        <v>296</v>
      </c>
      <c r="B8517" s="83" t="s">
        <v>3240</v>
      </c>
      <c r="C8517" s="91" t="s">
        <v>1110</v>
      </c>
    </row>
    <row r="8518" spans="1:3" ht="15">
      <c r="A8518" s="84" t="s">
        <v>296</v>
      </c>
      <c r="B8518" s="83" t="s">
        <v>3241</v>
      </c>
      <c r="C8518" s="91" t="s">
        <v>1110</v>
      </c>
    </row>
    <row r="8519" spans="1:3" ht="15">
      <c r="A8519" s="84" t="s">
        <v>296</v>
      </c>
      <c r="B8519" s="83" t="s">
        <v>3242</v>
      </c>
      <c r="C8519" s="91" t="s">
        <v>1110</v>
      </c>
    </row>
    <row r="8520" spans="1:3" ht="15">
      <c r="A8520" s="84" t="s">
        <v>296</v>
      </c>
      <c r="B8520" s="83" t="s">
        <v>2767</v>
      </c>
      <c r="C8520" s="91" t="s">
        <v>1110</v>
      </c>
    </row>
    <row r="8521" spans="1:3" ht="15">
      <c r="A8521" s="84" t="s">
        <v>296</v>
      </c>
      <c r="B8521" s="83" t="s">
        <v>3243</v>
      </c>
      <c r="C8521" s="91" t="s">
        <v>1110</v>
      </c>
    </row>
    <row r="8522" spans="1:3" ht="15">
      <c r="A8522" s="84" t="s">
        <v>296</v>
      </c>
      <c r="B8522" s="83" t="s">
        <v>3244</v>
      </c>
      <c r="C8522" s="91" t="s">
        <v>1110</v>
      </c>
    </row>
    <row r="8523" spans="1:3" ht="15">
      <c r="A8523" s="84" t="s">
        <v>296</v>
      </c>
      <c r="B8523" s="83" t="s">
        <v>3223</v>
      </c>
      <c r="C8523" s="91" t="s">
        <v>1110</v>
      </c>
    </row>
    <row r="8524" spans="1:3" ht="15">
      <c r="A8524" s="84" t="s">
        <v>295</v>
      </c>
      <c r="B8524" s="83" t="s">
        <v>3228</v>
      </c>
      <c r="C8524" s="91" t="s">
        <v>1109</v>
      </c>
    </row>
    <row r="8525" spans="1:3" ht="15">
      <c r="A8525" s="84" t="s">
        <v>295</v>
      </c>
      <c r="B8525" s="83" t="s">
        <v>2581</v>
      </c>
      <c r="C8525" s="91" t="s">
        <v>1109</v>
      </c>
    </row>
    <row r="8526" spans="1:3" ht="15">
      <c r="A8526" s="84" t="s">
        <v>295</v>
      </c>
      <c r="B8526" s="83" t="s">
        <v>2586</v>
      </c>
      <c r="C8526" s="91" t="s">
        <v>1109</v>
      </c>
    </row>
    <row r="8527" spans="1:3" ht="15">
      <c r="A8527" s="84" t="s">
        <v>295</v>
      </c>
      <c r="B8527" s="83" t="s">
        <v>2595</v>
      </c>
      <c r="C8527" s="91" t="s">
        <v>1109</v>
      </c>
    </row>
    <row r="8528" spans="1:3" ht="15">
      <c r="A8528" s="84" t="s">
        <v>295</v>
      </c>
      <c r="B8528" s="83" t="s">
        <v>2568</v>
      </c>
      <c r="C8528" s="91" t="s">
        <v>1109</v>
      </c>
    </row>
    <row r="8529" spans="1:3" ht="15">
      <c r="A8529" s="84" t="s">
        <v>295</v>
      </c>
      <c r="B8529" s="83" t="s">
        <v>2592</v>
      </c>
      <c r="C8529" s="91" t="s">
        <v>1109</v>
      </c>
    </row>
    <row r="8530" spans="1:3" ht="15">
      <c r="A8530" s="84" t="s">
        <v>295</v>
      </c>
      <c r="B8530" s="83" t="s">
        <v>3213</v>
      </c>
      <c r="C8530" s="91" t="s">
        <v>1109</v>
      </c>
    </row>
    <row r="8531" spans="1:3" ht="15">
      <c r="A8531" s="84" t="s">
        <v>295</v>
      </c>
      <c r="B8531" s="83" t="s">
        <v>2576</v>
      </c>
      <c r="C8531" s="91" t="s">
        <v>1109</v>
      </c>
    </row>
    <row r="8532" spans="1:3" ht="15">
      <c r="A8532" s="84" t="s">
        <v>295</v>
      </c>
      <c r="B8532" s="83" t="s">
        <v>3229</v>
      </c>
      <c r="C8532" s="91" t="s">
        <v>1109</v>
      </c>
    </row>
    <row r="8533" spans="1:3" ht="15">
      <c r="A8533" s="84" t="s">
        <v>295</v>
      </c>
      <c r="B8533" s="83" t="s">
        <v>3230</v>
      </c>
      <c r="C8533" s="91" t="s">
        <v>1109</v>
      </c>
    </row>
    <row r="8534" spans="1:3" ht="15">
      <c r="A8534" s="84" t="s">
        <v>295</v>
      </c>
      <c r="B8534" s="83" t="s">
        <v>2598</v>
      </c>
      <c r="C8534" s="91" t="s">
        <v>1109</v>
      </c>
    </row>
    <row r="8535" spans="1:3" ht="15">
      <c r="A8535" s="84" t="s">
        <v>295</v>
      </c>
      <c r="B8535" s="83" t="s">
        <v>3231</v>
      </c>
      <c r="C8535" s="91" t="s">
        <v>1109</v>
      </c>
    </row>
    <row r="8536" spans="1:3" ht="15">
      <c r="A8536" s="84" t="s">
        <v>295</v>
      </c>
      <c r="B8536" s="83" t="s">
        <v>3232</v>
      </c>
      <c r="C8536" s="91" t="s">
        <v>1109</v>
      </c>
    </row>
    <row r="8537" spans="1:3" ht="15">
      <c r="A8537" s="84" t="s">
        <v>295</v>
      </c>
      <c r="B8537" s="83" t="s">
        <v>3233</v>
      </c>
      <c r="C8537" s="91" t="s">
        <v>1109</v>
      </c>
    </row>
    <row r="8538" spans="1:3" ht="15">
      <c r="A8538" s="84" t="s">
        <v>295</v>
      </c>
      <c r="B8538" s="83" t="s">
        <v>3211</v>
      </c>
      <c r="C8538" s="91" t="s">
        <v>1109</v>
      </c>
    </row>
    <row r="8539" spans="1:3" ht="15">
      <c r="A8539" s="84" t="s">
        <v>295</v>
      </c>
      <c r="B8539" s="83" t="s">
        <v>3199</v>
      </c>
      <c r="C8539" s="91" t="s">
        <v>1109</v>
      </c>
    </row>
    <row r="8540" spans="1:3" ht="15">
      <c r="A8540" s="84" t="s">
        <v>295</v>
      </c>
      <c r="B8540" s="83" t="s">
        <v>3218</v>
      </c>
      <c r="C8540" s="91" t="s">
        <v>1109</v>
      </c>
    </row>
    <row r="8541" spans="1:3" ht="15">
      <c r="A8541" s="84" t="s">
        <v>295</v>
      </c>
      <c r="B8541" s="83" t="s">
        <v>3234</v>
      </c>
      <c r="C8541" s="91" t="s">
        <v>1109</v>
      </c>
    </row>
    <row r="8542" spans="1:3" ht="15">
      <c r="A8542" s="84" t="s">
        <v>295</v>
      </c>
      <c r="B8542" s="83" t="s">
        <v>3235</v>
      </c>
      <c r="C8542" s="91" t="s">
        <v>1109</v>
      </c>
    </row>
    <row r="8543" spans="1:3" ht="15">
      <c r="A8543" s="84" t="s">
        <v>295</v>
      </c>
      <c r="B8543" s="83" t="s">
        <v>3236</v>
      </c>
      <c r="C8543" s="91" t="s">
        <v>1109</v>
      </c>
    </row>
    <row r="8544" spans="1:3" ht="15">
      <c r="A8544" s="84" t="s">
        <v>295</v>
      </c>
      <c r="B8544" s="83" t="s">
        <v>3237</v>
      </c>
      <c r="C8544" s="91" t="s">
        <v>1109</v>
      </c>
    </row>
    <row r="8545" spans="1:3" ht="15">
      <c r="A8545" s="84" t="s">
        <v>295</v>
      </c>
      <c r="B8545" s="83" t="s">
        <v>3238</v>
      </c>
      <c r="C8545" s="91" t="s">
        <v>1109</v>
      </c>
    </row>
    <row r="8546" spans="1:3" ht="15">
      <c r="A8546" s="84" t="s">
        <v>295</v>
      </c>
      <c r="B8546" s="83" t="s">
        <v>3239</v>
      </c>
      <c r="C8546" s="91" t="s">
        <v>1109</v>
      </c>
    </row>
    <row r="8547" spans="1:3" ht="15">
      <c r="A8547" s="84" t="s">
        <v>295</v>
      </c>
      <c r="B8547" s="83" t="s">
        <v>3240</v>
      </c>
      <c r="C8547" s="91" t="s">
        <v>1109</v>
      </c>
    </row>
    <row r="8548" spans="1:3" ht="15">
      <c r="A8548" s="84" t="s">
        <v>295</v>
      </c>
      <c r="B8548" s="83" t="s">
        <v>3241</v>
      </c>
      <c r="C8548" s="91" t="s">
        <v>1109</v>
      </c>
    </row>
    <row r="8549" spans="1:3" ht="15">
      <c r="A8549" s="84" t="s">
        <v>295</v>
      </c>
      <c r="B8549" s="83" t="s">
        <v>3242</v>
      </c>
      <c r="C8549" s="91" t="s">
        <v>1109</v>
      </c>
    </row>
    <row r="8550" spans="1:3" ht="15">
      <c r="A8550" s="84" t="s">
        <v>295</v>
      </c>
      <c r="B8550" s="83" t="s">
        <v>2767</v>
      </c>
      <c r="C8550" s="91" t="s">
        <v>1109</v>
      </c>
    </row>
    <row r="8551" spans="1:3" ht="15">
      <c r="A8551" s="84" t="s">
        <v>295</v>
      </c>
      <c r="B8551" s="83" t="s">
        <v>3243</v>
      </c>
      <c r="C8551" s="91" t="s">
        <v>1109</v>
      </c>
    </row>
    <row r="8552" spans="1:3" ht="15">
      <c r="A8552" s="84" t="s">
        <v>295</v>
      </c>
      <c r="B8552" s="83" t="s">
        <v>3244</v>
      </c>
      <c r="C8552" s="91" t="s">
        <v>1109</v>
      </c>
    </row>
    <row r="8553" spans="1:3" ht="15">
      <c r="A8553" s="84" t="s">
        <v>295</v>
      </c>
      <c r="B8553" s="83" t="s">
        <v>3223</v>
      </c>
      <c r="C8553" s="91" t="s">
        <v>1109</v>
      </c>
    </row>
    <row r="8554" spans="1:3" ht="15">
      <c r="A8554" s="84" t="s">
        <v>295</v>
      </c>
      <c r="B8554" s="83" t="s">
        <v>3266</v>
      </c>
      <c r="C8554" s="91" t="s">
        <v>1109</v>
      </c>
    </row>
    <row r="8555" spans="1:3" ht="15">
      <c r="A8555" s="84" t="s">
        <v>294</v>
      </c>
      <c r="B8555" s="83" t="s">
        <v>3228</v>
      </c>
      <c r="C8555" s="91" t="s">
        <v>1108</v>
      </c>
    </row>
    <row r="8556" spans="1:3" ht="15">
      <c r="A8556" s="84" t="s">
        <v>294</v>
      </c>
      <c r="B8556" s="83" t="s">
        <v>2581</v>
      </c>
      <c r="C8556" s="91" t="s">
        <v>1108</v>
      </c>
    </row>
    <row r="8557" spans="1:3" ht="15">
      <c r="A8557" s="84" t="s">
        <v>294</v>
      </c>
      <c r="B8557" s="83" t="s">
        <v>2586</v>
      </c>
      <c r="C8557" s="91" t="s">
        <v>1108</v>
      </c>
    </row>
    <row r="8558" spans="1:3" ht="15">
      <c r="A8558" s="84" t="s">
        <v>294</v>
      </c>
      <c r="B8558" s="83" t="s">
        <v>2595</v>
      </c>
      <c r="C8558" s="91" t="s">
        <v>1108</v>
      </c>
    </row>
    <row r="8559" spans="1:3" ht="15">
      <c r="A8559" s="84" t="s">
        <v>294</v>
      </c>
      <c r="B8559" s="83" t="s">
        <v>2568</v>
      </c>
      <c r="C8559" s="91" t="s">
        <v>1108</v>
      </c>
    </row>
    <row r="8560" spans="1:3" ht="15">
      <c r="A8560" s="84" t="s">
        <v>294</v>
      </c>
      <c r="B8560" s="83" t="s">
        <v>2592</v>
      </c>
      <c r="C8560" s="91" t="s">
        <v>1108</v>
      </c>
    </row>
    <row r="8561" spans="1:3" ht="15">
      <c r="A8561" s="84" t="s">
        <v>294</v>
      </c>
      <c r="B8561" s="83" t="s">
        <v>3213</v>
      </c>
      <c r="C8561" s="91" t="s">
        <v>1108</v>
      </c>
    </row>
    <row r="8562" spans="1:3" ht="15">
      <c r="A8562" s="84" t="s">
        <v>294</v>
      </c>
      <c r="B8562" s="83" t="s">
        <v>2576</v>
      </c>
      <c r="C8562" s="91" t="s">
        <v>1108</v>
      </c>
    </row>
    <row r="8563" spans="1:3" ht="15">
      <c r="A8563" s="84" t="s">
        <v>294</v>
      </c>
      <c r="B8563" s="83" t="s">
        <v>3229</v>
      </c>
      <c r="C8563" s="91" t="s">
        <v>1108</v>
      </c>
    </row>
    <row r="8564" spans="1:3" ht="15">
      <c r="A8564" s="84" t="s">
        <v>294</v>
      </c>
      <c r="B8564" s="83" t="s">
        <v>3230</v>
      </c>
      <c r="C8564" s="91" t="s">
        <v>1108</v>
      </c>
    </row>
    <row r="8565" spans="1:3" ht="15">
      <c r="A8565" s="84" t="s">
        <v>294</v>
      </c>
      <c r="B8565" s="83" t="s">
        <v>2598</v>
      </c>
      <c r="C8565" s="91" t="s">
        <v>1108</v>
      </c>
    </row>
    <row r="8566" spans="1:3" ht="15">
      <c r="A8566" s="84" t="s">
        <v>294</v>
      </c>
      <c r="B8566" s="83" t="s">
        <v>3231</v>
      </c>
      <c r="C8566" s="91" t="s">
        <v>1108</v>
      </c>
    </row>
    <row r="8567" spans="1:3" ht="15">
      <c r="A8567" s="84" t="s">
        <v>294</v>
      </c>
      <c r="B8567" s="83" t="s">
        <v>3232</v>
      </c>
      <c r="C8567" s="91" t="s">
        <v>1108</v>
      </c>
    </row>
    <row r="8568" spans="1:3" ht="15">
      <c r="A8568" s="84" t="s">
        <v>294</v>
      </c>
      <c r="B8568" s="83" t="s">
        <v>3233</v>
      </c>
      <c r="C8568" s="91" t="s">
        <v>1108</v>
      </c>
    </row>
    <row r="8569" spans="1:3" ht="15">
      <c r="A8569" s="84" t="s">
        <v>294</v>
      </c>
      <c r="B8569" s="83" t="s">
        <v>3211</v>
      </c>
      <c r="C8569" s="91" t="s">
        <v>1108</v>
      </c>
    </row>
    <row r="8570" spans="1:3" ht="15">
      <c r="A8570" s="84" t="s">
        <v>294</v>
      </c>
      <c r="B8570" s="83" t="s">
        <v>3199</v>
      </c>
      <c r="C8570" s="91" t="s">
        <v>1108</v>
      </c>
    </row>
    <row r="8571" spans="1:3" ht="15">
      <c r="A8571" s="84" t="s">
        <v>294</v>
      </c>
      <c r="B8571" s="83" t="s">
        <v>3218</v>
      </c>
      <c r="C8571" s="91" t="s">
        <v>1108</v>
      </c>
    </row>
    <row r="8572" spans="1:3" ht="15">
      <c r="A8572" s="84" t="s">
        <v>294</v>
      </c>
      <c r="B8572" s="83" t="s">
        <v>3234</v>
      </c>
      <c r="C8572" s="91" t="s">
        <v>1108</v>
      </c>
    </row>
    <row r="8573" spans="1:3" ht="15">
      <c r="A8573" s="84" t="s">
        <v>294</v>
      </c>
      <c r="B8573" s="83" t="s">
        <v>3235</v>
      </c>
      <c r="C8573" s="91" t="s">
        <v>1108</v>
      </c>
    </row>
    <row r="8574" spans="1:3" ht="15">
      <c r="A8574" s="84" t="s">
        <v>294</v>
      </c>
      <c r="B8574" s="83" t="s">
        <v>3236</v>
      </c>
      <c r="C8574" s="91" t="s">
        <v>1108</v>
      </c>
    </row>
    <row r="8575" spans="1:3" ht="15">
      <c r="A8575" s="84" t="s">
        <v>294</v>
      </c>
      <c r="B8575" s="83" t="s">
        <v>3237</v>
      </c>
      <c r="C8575" s="91" t="s">
        <v>1108</v>
      </c>
    </row>
    <row r="8576" spans="1:3" ht="15">
      <c r="A8576" s="84" t="s">
        <v>294</v>
      </c>
      <c r="B8576" s="83" t="s">
        <v>3238</v>
      </c>
      <c r="C8576" s="91" t="s">
        <v>1108</v>
      </c>
    </row>
    <row r="8577" spans="1:3" ht="15">
      <c r="A8577" s="84" t="s">
        <v>294</v>
      </c>
      <c r="B8577" s="83" t="s">
        <v>3239</v>
      </c>
      <c r="C8577" s="91" t="s">
        <v>1108</v>
      </c>
    </row>
    <row r="8578" spans="1:3" ht="15">
      <c r="A8578" s="84" t="s">
        <v>294</v>
      </c>
      <c r="B8578" s="83" t="s">
        <v>3240</v>
      </c>
      <c r="C8578" s="91" t="s">
        <v>1108</v>
      </c>
    </row>
    <row r="8579" spans="1:3" ht="15">
      <c r="A8579" s="84" t="s">
        <v>294</v>
      </c>
      <c r="B8579" s="83" t="s">
        <v>3241</v>
      </c>
      <c r="C8579" s="91" t="s">
        <v>1108</v>
      </c>
    </row>
    <row r="8580" spans="1:3" ht="15">
      <c r="A8580" s="84" t="s">
        <v>294</v>
      </c>
      <c r="B8580" s="83" t="s">
        <v>3242</v>
      </c>
      <c r="C8580" s="91" t="s">
        <v>1108</v>
      </c>
    </row>
    <row r="8581" spans="1:3" ht="15">
      <c r="A8581" s="84" t="s">
        <v>294</v>
      </c>
      <c r="B8581" s="83" t="s">
        <v>2767</v>
      </c>
      <c r="C8581" s="91" t="s">
        <v>1108</v>
      </c>
    </row>
    <row r="8582" spans="1:3" ht="15">
      <c r="A8582" s="84" t="s">
        <v>294</v>
      </c>
      <c r="B8582" s="83" t="s">
        <v>3243</v>
      </c>
      <c r="C8582" s="91" t="s">
        <v>1108</v>
      </c>
    </row>
    <row r="8583" spans="1:3" ht="15">
      <c r="A8583" s="84" t="s">
        <v>294</v>
      </c>
      <c r="B8583" s="83" t="s">
        <v>3244</v>
      </c>
      <c r="C8583" s="91" t="s">
        <v>1108</v>
      </c>
    </row>
    <row r="8584" spans="1:3" ht="15">
      <c r="A8584" s="84" t="s">
        <v>294</v>
      </c>
      <c r="B8584" s="83" t="s">
        <v>3223</v>
      </c>
      <c r="C8584" s="91" t="s">
        <v>1108</v>
      </c>
    </row>
    <row r="8585" spans="1:3" ht="15">
      <c r="A8585" s="84" t="s">
        <v>294</v>
      </c>
      <c r="B8585" s="83" t="s">
        <v>3266</v>
      </c>
      <c r="C8585" s="91" t="s">
        <v>1108</v>
      </c>
    </row>
    <row r="8586" spans="1:3" ht="15">
      <c r="A8586" s="84" t="s">
        <v>293</v>
      </c>
      <c r="B8586" s="83" t="s">
        <v>3228</v>
      </c>
      <c r="C8586" s="91" t="s">
        <v>1107</v>
      </c>
    </row>
    <row r="8587" spans="1:3" ht="15">
      <c r="A8587" s="84" t="s">
        <v>293</v>
      </c>
      <c r="B8587" s="83" t="s">
        <v>2581</v>
      </c>
      <c r="C8587" s="91" t="s">
        <v>1107</v>
      </c>
    </row>
    <row r="8588" spans="1:3" ht="15">
      <c r="A8588" s="84" t="s">
        <v>293</v>
      </c>
      <c r="B8588" s="83" t="s">
        <v>2586</v>
      </c>
      <c r="C8588" s="91" t="s">
        <v>1107</v>
      </c>
    </row>
    <row r="8589" spans="1:3" ht="15">
      <c r="A8589" s="84" t="s">
        <v>293</v>
      </c>
      <c r="B8589" s="83" t="s">
        <v>2595</v>
      </c>
      <c r="C8589" s="91" t="s">
        <v>1107</v>
      </c>
    </row>
    <row r="8590" spans="1:3" ht="15">
      <c r="A8590" s="84" t="s">
        <v>293</v>
      </c>
      <c r="B8590" s="83" t="s">
        <v>2568</v>
      </c>
      <c r="C8590" s="91" t="s">
        <v>1107</v>
      </c>
    </row>
    <row r="8591" spans="1:3" ht="15">
      <c r="A8591" s="84" t="s">
        <v>293</v>
      </c>
      <c r="B8591" s="83" t="s">
        <v>2592</v>
      </c>
      <c r="C8591" s="91" t="s">
        <v>1107</v>
      </c>
    </row>
    <row r="8592" spans="1:3" ht="15">
      <c r="A8592" s="84" t="s">
        <v>293</v>
      </c>
      <c r="B8592" s="83" t="s">
        <v>3213</v>
      </c>
      <c r="C8592" s="91" t="s">
        <v>1107</v>
      </c>
    </row>
    <row r="8593" spans="1:3" ht="15">
      <c r="A8593" s="84" t="s">
        <v>293</v>
      </c>
      <c r="B8593" s="83" t="s">
        <v>2576</v>
      </c>
      <c r="C8593" s="91" t="s">
        <v>1107</v>
      </c>
    </row>
    <row r="8594" spans="1:3" ht="15">
      <c r="A8594" s="84" t="s">
        <v>293</v>
      </c>
      <c r="B8594" s="83" t="s">
        <v>3229</v>
      </c>
      <c r="C8594" s="91" t="s">
        <v>1107</v>
      </c>
    </row>
    <row r="8595" spans="1:3" ht="15">
      <c r="A8595" s="84" t="s">
        <v>293</v>
      </c>
      <c r="B8595" s="83" t="s">
        <v>3230</v>
      </c>
      <c r="C8595" s="91" t="s">
        <v>1107</v>
      </c>
    </row>
    <row r="8596" spans="1:3" ht="15">
      <c r="A8596" s="84" t="s">
        <v>293</v>
      </c>
      <c r="B8596" s="83" t="s">
        <v>2598</v>
      </c>
      <c r="C8596" s="91" t="s">
        <v>1107</v>
      </c>
    </row>
    <row r="8597" spans="1:3" ht="15">
      <c r="A8597" s="84" t="s">
        <v>293</v>
      </c>
      <c r="B8597" s="83" t="s">
        <v>3231</v>
      </c>
      <c r="C8597" s="91" t="s">
        <v>1107</v>
      </c>
    </row>
    <row r="8598" spans="1:3" ht="15">
      <c r="A8598" s="84" t="s">
        <v>293</v>
      </c>
      <c r="B8598" s="83" t="s">
        <v>3232</v>
      </c>
      <c r="C8598" s="91" t="s">
        <v>1107</v>
      </c>
    </row>
    <row r="8599" spans="1:3" ht="15">
      <c r="A8599" s="84" t="s">
        <v>293</v>
      </c>
      <c r="B8599" s="83" t="s">
        <v>3233</v>
      </c>
      <c r="C8599" s="91" t="s">
        <v>1107</v>
      </c>
    </row>
    <row r="8600" spans="1:3" ht="15">
      <c r="A8600" s="84" t="s">
        <v>293</v>
      </c>
      <c r="B8600" s="83" t="s">
        <v>3211</v>
      </c>
      <c r="C8600" s="91" t="s">
        <v>1107</v>
      </c>
    </row>
    <row r="8601" spans="1:3" ht="15">
      <c r="A8601" s="84" t="s">
        <v>293</v>
      </c>
      <c r="B8601" s="83" t="s">
        <v>3199</v>
      </c>
      <c r="C8601" s="91" t="s">
        <v>1107</v>
      </c>
    </row>
    <row r="8602" spans="1:3" ht="15">
      <c r="A8602" s="84" t="s">
        <v>293</v>
      </c>
      <c r="B8602" s="83" t="s">
        <v>3218</v>
      </c>
      <c r="C8602" s="91" t="s">
        <v>1107</v>
      </c>
    </row>
    <row r="8603" spans="1:3" ht="15">
      <c r="A8603" s="84" t="s">
        <v>293</v>
      </c>
      <c r="B8603" s="83" t="s">
        <v>3234</v>
      </c>
      <c r="C8603" s="91" t="s">
        <v>1107</v>
      </c>
    </row>
    <row r="8604" spans="1:3" ht="15">
      <c r="A8604" s="84" t="s">
        <v>293</v>
      </c>
      <c r="B8604" s="83" t="s">
        <v>3235</v>
      </c>
      <c r="C8604" s="91" t="s">
        <v>1107</v>
      </c>
    </row>
    <row r="8605" spans="1:3" ht="15">
      <c r="A8605" s="84" t="s">
        <v>293</v>
      </c>
      <c r="B8605" s="83" t="s">
        <v>3236</v>
      </c>
      <c r="C8605" s="91" t="s">
        <v>1107</v>
      </c>
    </row>
    <row r="8606" spans="1:3" ht="15">
      <c r="A8606" s="84" t="s">
        <v>293</v>
      </c>
      <c r="B8606" s="83" t="s">
        <v>3237</v>
      </c>
      <c r="C8606" s="91" t="s">
        <v>1107</v>
      </c>
    </row>
    <row r="8607" spans="1:3" ht="15">
      <c r="A8607" s="84" t="s">
        <v>293</v>
      </c>
      <c r="B8607" s="83" t="s">
        <v>3238</v>
      </c>
      <c r="C8607" s="91" t="s">
        <v>1107</v>
      </c>
    </row>
    <row r="8608" spans="1:3" ht="15">
      <c r="A8608" s="84" t="s">
        <v>293</v>
      </c>
      <c r="B8608" s="83" t="s">
        <v>3239</v>
      </c>
      <c r="C8608" s="91" t="s">
        <v>1107</v>
      </c>
    </row>
    <row r="8609" spans="1:3" ht="15">
      <c r="A8609" s="84" t="s">
        <v>293</v>
      </c>
      <c r="B8609" s="83" t="s">
        <v>3240</v>
      </c>
      <c r="C8609" s="91" t="s">
        <v>1107</v>
      </c>
    </row>
    <row r="8610" spans="1:3" ht="15">
      <c r="A8610" s="84" t="s">
        <v>293</v>
      </c>
      <c r="B8610" s="83" t="s">
        <v>3241</v>
      </c>
      <c r="C8610" s="91" t="s">
        <v>1107</v>
      </c>
    </row>
    <row r="8611" spans="1:3" ht="15">
      <c r="A8611" s="84" t="s">
        <v>293</v>
      </c>
      <c r="B8611" s="83" t="s">
        <v>3242</v>
      </c>
      <c r="C8611" s="91" t="s">
        <v>1107</v>
      </c>
    </row>
    <row r="8612" spans="1:3" ht="15">
      <c r="A8612" s="84" t="s">
        <v>293</v>
      </c>
      <c r="B8612" s="83" t="s">
        <v>2767</v>
      </c>
      <c r="C8612" s="91" t="s">
        <v>1107</v>
      </c>
    </row>
    <row r="8613" spans="1:3" ht="15">
      <c r="A8613" s="84" t="s">
        <v>293</v>
      </c>
      <c r="B8613" s="83" t="s">
        <v>3243</v>
      </c>
      <c r="C8613" s="91" t="s">
        <v>1107</v>
      </c>
    </row>
    <row r="8614" spans="1:3" ht="15">
      <c r="A8614" s="84" t="s">
        <v>293</v>
      </c>
      <c r="B8614" s="83" t="s">
        <v>3244</v>
      </c>
      <c r="C8614" s="91" t="s">
        <v>1107</v>
      </c>
    </row>
    <row r="8615" spans="1:3" ht="15">
      <c r="A8615" s="84" t="s">
        <v>293</v>
      </c>
      <c r="B8615" s="83" t="s">
        <v>3223</v>
      </c>
      <c r="C8615" s="91" t="s">
        <v>1107</v>
      </c>
    </row>
    <row r="8616" spans="1:3" ht="15">
      <c r="A8616" s="84" t="s">
        <v>293</v>
      </c>
      <c r="B8616" s="83" t="s">
        <v>3266</v>
      </c>
      <c r="C8616" s="91" t="s">
        <v>1107</v>
      </c>
    </row>
    <row r="8617" spans="1:3" ht="15">
      <c r="A8617" s="84" t="s">
        <v>292</v>
      </c>
      <c r="B8617" s="83" t="s">
        <v>3285</v>
      </c>
      <c r="C8617" s="91" t="s">
        <v>1106</v>
      </c>
    </row>
    <row r="8618" spans="1:3" ht="15">
      <c r="A8618" s="84" t="s">
        <v>292</v>
      </c>
      <c r="B8618" s="83" t="s">
        <v>3563</v>
      </c>
      <c r="C8618" s="91" t="s">
        <v>1106</v>
      </c>
    </row>
    <row r="8619" spans="1:3" ht="15">
      <c r="A8619" s="84" t="s">
        <v>292</v>
      </c>
      <c r="B8619" s="83" t="s">
        <v>3564</v>
      </c>
      <c r="C8619" s="91" t="s">
        <v>1106</v>
      </c>
    </row>
    <row r="8620" spans="1:3" ht="15">
      <c r="A8620" s="84" t="s">
        <v>292</v>
      </c>
      <c r="B8620" s="83" t="s">
        <v>3565</v>
      </c>
      <c r="C8620" s="91" t="s">
        <v>1106</v>
      </c>
    </row>
    <row r="8621" spans="1:3" ht="15">
      <c r="A8621" s="84" t="s">
        <v>292</v>
      </c>
      <c r="B8621" s="83" t="s">
        <v>2582</v>
      </c>
      <c r="C8621" s="91" t="s">
        <v>1106</v>
      </c>
    </row>
    <row r="8622" spans="1:3" ht="15">
      <c r="A8622" s="84" t="s">
        <v>292</v>
      </c>
      <c r="B8622" s="83" t="s">
        <v>2174</v>
      </c>
      <c r="C8622" s="91" t="s">
        <v>1106</v>
      </c>
    </row>
    <row r="8623" spans="1:3" ht="15">
      <c r="A8623" s="84" t="s">
        <v>292</v>
      </c>
      <c r="B8623" s="83" t="s">
        <v>2718</v>
      </c>
      <c r="C8623" s="91" t="s">
        <v>1106</v>
      </c>
    </row>
    <row r="8624" spans="1:3" ht="15">
      <c r="A8624" s="84" t="s">
        <v>292</v>
      </c>
      <c r="B8624" s="83" t="s">
        <v>3199</v>
      </c>
      <c r="C8624" s="91" t="s">
        <v>1106</v>
      </c>
    </row>
    <row r="8625" spans="1:3" ht="15">
      <c r="A8625" s="84" t="s">
        <v>292</v>
      </c>
      <c r="B8625" s="83" t="s">
        <v>3531</v>
      </c>
      <c r="C8625" s="91" t="s">
        <v>1106</v>
      </c>
    </row>
    <row r="8626" spans="1:3" ht="15">
      <c r="A8626" s="84" t="s">
        <v>425</v>
      </c>
      <c r="B8626" s="83" t="s">
        <v>3206</v>
      </c>
      <c r="C8626" s="91" t="s">
        <v>1431</v>
      </c>
    </row>
    <row r="8627" spans="1:3" ht="15">
      <c r="A8627" s="84" t="s">
        <v>425</v>
      </c>
      <c r="B8627" s="83" t="s">
        <v>3207</v>
      </c>
      <c r="C8627" s="91" t="s">
        <v>1431</v>
      </c>
    </row>
    <row r="8628" spans="1:3" ht="15">
      <c r="A8628" s="84" t="s">
        <v>425</v>
      </c>
      <c r="B8628" s="83" t="s">
        <v>3208</v>
      </c>
      <c r="C8628" s="91" t="s">
        <v>1431</v>
      </c>
    </row>
    <row r="8629" spans="1:3" ht="15">
      <c r="A8629" s="84" t="s">
        <v>425</v>
      </c>
      <c r="B8629" s="83" t="s">
        <v>195</v>
      </c>
      <c r="C8629" s="91" t="s">
        <v>1431</v>
      </c>
    </row>
    <row r="8630" spans="1:3" ht="15">
      <c r="A8630" s="84" t="s">
        <v>425</v>
      </c>
      <c r="B8630" s="83" t="s">
        <v>3209</v>
      </c>
      <c r="C8630" s="91" t="s">
        <v>1431</v>
      </c>
    </row>
    <row r="8631" spans="1:3" ht="15">
      <c r="A8631" s="84" t="s">
        <v>425</v>
      </c>
      <c r="B8631" s="83" t="s">
        <v>2576</v>
      </c>
      <c r="C8631" s="91" t="s">
        <v>1431</v>
      </c>
    </row>
    <row r="8632" spans="1:3" ht="15">
      <c r="A8632" s="84" t="s">
        <v>425</v>
      </c>
      <c r="B8632" s="83" t="s">
        <v>3210</v>
      </c>
      <c r="C8632" s="91" t="s">
        <v>1431</v>
      </c>
    </row>
    <row r="8633" spans="1:3" ht="15">
      <c r="A8633" s="84" t="s">
        <v>425</v>
      </c>
      <c r="B8633" s="83">
        <v>19</v>
      </c>
      <c r="C8633" s="91" t="s">
        <v>1431</v>
      </c>
    </row>
    <row r="8634" spans="1:3" ht="15">
      <c r="A8634" s="84" t="s">
        <v>425</v>
      </c>
      <c r="B8634" s="83" t="s">
        <v>3211</v>
      </c>
      <c r="C8634" s="91" t="s">
        <v>1431</v>
      </c>
    </row>
    <row r="8635" spans="1:3" ht="15">
      <c r="A8635" s="84" t="s">
        <v>425</v>
      </c>
      <c r="B8635" s="83" t="s">
        <v>3212</v>
      </c>
      <c r="C8635" s="91" t="s">
        <v>1431</v>
      </c>
    </row>
    <row r="8636" spans="1:3" ht="15">
      <c r="A8636" s="84" t="s">
        <v>425</v>
      </c>
      <c r="B8636" s="83" t="s">
        <v>3198</v>
      </c>
      <c r="C8636" s="91" t="s">
        <v>1431</v>
      </c>
    </row>
    <row r="8637" spans="1:3" ht="15">
      <c r="A8637" s="84" t="s">
        <v>425</v>
      </c>
      <c r="B8637" s="83" t="s">
        <v>3213</v>
      </c>
      <c r="C8637" s="91" t="s">
        <v>1431</v>
      </c>
    </row>
    <row r="8638" spans="1:3" ht="15">
      <c r="A8638" s="84" t="s">
        <v>425</v>
      </c>
      <c r="B8638" s="83" t="s">
        <v>3214</v>
      </c>
      <c r="C8638" s="91" t="s">
        <v>1431</v>
      </c>
    </row>
    <row r="8639" spans="1:3" ht="15">
      <c r="A8639" s="84" t="s">
        <v>425</v>
      </c>
      <c r="B8639" s="83" t="s">
        <v>3215</v>
      </c>
      <c r="C8639" s="91" t="s">
        <v>1431</v>
      </c>
    </row>
    <row r="8640" spans="1:3" ht="15">
      <c r="A8640" s="84" t="s">
        <v>425</v>
      </c>
      <c r="B8640" s="83" t="s">
        <v>3216</v>
      </c>
      <c r="C8640" s="91" t="s">
        <v>1431</v>
      </c>
    </row>
    <row r="8641" spans="1:3" ht="15">
      <c r="A8641" s="84" t="s">
        <v>425</v>
      </c>
      <c r="B8641" s="83" t="s">
        <v>3217</v>
      </c>
      <c r="C8641" s="91" t="s">
        <v>1431</v>
      </c>
    </row>
    <row r="8642" spans="1:3" ht="15">
      <c r="A8642" s="84" t="s">
        <v>425</v>
      </c>
      <c r="B8642" s="83" t="s">
        <v>3199</v>
      </c>
      <c r="C8642" s="91" t="s">
        <v>1431</v>
      </c>
    </row>
    <row r="8643" spans="1:3" ht="15">
      <c r="A8643" s="84" t="s">
        <v>425</v>
      </c>
      <c r="B8643" s="83" t="s">
        <v>3218</v>
      </c>
      <c r="C8643" s="91" t="s">
        <v>1431</v>
      </c>
    </row>
    <row r="8644" spans="1:3" ht="15">
      <c r="A8644" s="84" t="s">
        <v>425</v>
      </c>
      <c r="B8644" s="83" t="s">
        <v>3219</v>
      </c>
      <c r="C8644" s="91" t="s">
        <v>1431</v>
      </c>
    </row>
    <row r="8645" spans="1:3" ht="15">
      <c r="A8645" s="84" t="s">
        <v>425</v>
      </c>
      <c r="B8645" s="83" t="s">
        <v>3220</v>
      </c>
      <c r="C8645" s="91" t="s">
        <v>1431</v>
      </c>
    </row>
    <row r="8646" spans="1:3" ht="15">
      <c r="A8646" s="84" t="s">
        <v>425</v>
      </c>
      <c r="B8646" s="83" t="s">
        <v>3221</v>
      </c>
      <c r="C8646" s="91" t="s">
        <v>1431</v>
      </c>
    </row>
    <row r="8647" spans="1:3" ht="15">
      <c r="A8647" s="84" t="s">
        <v>425</v>
      </c>
      <c r="B8647" s="83" t="s">
        <v>3222</v>
      </c>
      <c r="C8647" s="91" t="s">
        <v>1431</v>
      </c>
    </row>
    <row r="8648" spans="1:3" ht="15">
      <c r="A8648" s="84" t="s">
        <v>425</v>
      </c>
      <c r="B8648" s="83" t="s">
        <v>3223</v>
      </c>
      <c r="C8648" s="91" t="s">
        <v>1431</v>
      </c>
    </row>
    <row r="8649" spans="1:3" ht="15">
      <c r="A8649" s="84" t="s">
        <v>425</v>
      </c>
      <c r="B8649" s="83" t="s">
        <v>3224</v>
      </c>
      <c r="C8649" s="91" t="s">
        <v>1431</v>
      </c>
    </row>
    <row r="8650" spans="1:3" ht="15">
      <c r="A8650" s="84" t="s">
        <v>425</v>
      </c>
      <c r="B8650" s="83" t="s">
        <v>3225</v>
      </c>
      <c r="C8650" s="91" t="s">
        <v>1431</v>
      </c>
    </row>
    <row r="8651" spans="1:3" ht="15">
      <c r="A8651" s="84" t="s">
        <v>291</v>
      </c>
      <c r="B8651" s="83" t="s">
        <v>3206</v>
      </c>
      <c r="C8651" s="91" t="s">
        <v>1105</v>
      </c>
    </row>
    <row r="8652" spans="1:3" ht="15">
      <c r="A8652" s="84" t="s">
        <v>291</v>
      </c>
      <c r="B8652" s="83" t="s">
        <v>3207</v>
      </c>
      <c r="C8652" s="91" t="s">
        <v>1105</v>
      </c>
    </row>
    <row r="8653" spans="1:3" ht="15">
      <c r="A8653" s="84" t="s">
        <v>291</v>
      </c>
      <c r="B8653" s="83" t="s">
        <v>3208</v>
      </c>
      <c r="C8653" s="91" t="s">
        <v>1105</v>
      </c>
    </row>
    <row r="8654" spans="1:3" ht="15">
      <c r="A8654" s="84" t="s">
        <v>291</v>
      </c>
      <c r="B8654" s="83" t="s">
        <v>195</v>
      </c>
      <c r="C8654" s="91" t="s">
        <v>1105</v>
      </c>
    </row>
    <row r="8655" spans="1:3" ht="15">
      <c r="A8655" s="84" t="s">
        <v>291</v>
      </c>
      <c r="B8655" s="83" t="s">
        <v>3209</v>
      </c>
      <c r="C8655" s="91" t="s">
        <v>1105</v>
      </c>
    </row>
    <row r="8656" spans="1:3" ht="15">
      <c r="A8656" s="84" t="s">
        <v>291</v>
      </c>
      <c r="B8656" s="83" t="s">
        <v>2576</v>
      </c>
      <c r="C8656" s="91" t="s">
        <v>1105</v>
      </c>
    </row>
    <row r="8657" spans="1:3" ht="15">
      <c r="A8657" s="84" t="s">
        <v>291</v>
      </c>
      <c r="B8657" s="83" t="s">
        <v>3210</v>
      </c>
      <c r="C8657" s="91" t="s">
        <v>1105</v>
      </c>
    </row>
    <row r="8658" spans="1:3" ht="15">
      <c r="A8658" s="84" t="s">
        <v>291</v>
      </c>
      <c r="B8658" s="83">
        <v>19</v>
      </c>
      <c r="C8658" s="91" t="s">
        <v>1105</v>
      </c>
    </row>
    <row r="8659" spans="1:3" ht="15">
      <c r="A8659" s="84" t="s">
        <v>291</v>
      </c>
      <c r="B8659" s="83" t="s">
        <v>3211</v>
      </c>
      <c r="C8659" s="91" t="s">
        <v>1105</v>
      </c>
    </row>
    <row r="8660" spans="1:3" ht="15">
      <c r="A8660" s="84" t="s">
        <v>291</v>
      </c>
      <c r="B8660" s="83" t="s">
        <v>3212</v>
      </c>
      <c r="C8660" s="91" t="s">
        <v>1105</v>
      </c>
    </row>
    <row r="8661" spans="1:3" ht="15">
      <c r="A8661" s="84" t="s">
        <v>291</v>
      </c>
      <c r="B8661" s="83" t="s">
        <v>3198</v>
      </c>
      <c r="C8661" s="91" t="s">
        <v>1105</v>
      </c>
    </row>
    <row r="8662" spans="1:3" ht="15">
      <c r="A8662" s="84" t="s">
        <v>291</v>
      </c>
      <c r="B8662" s="83" t="s">
        <v>3213</v>
      </c>
      <c r="C8662" s="91" t="s">
        <v>1105</v>
      </c>
    </row>
    <row r="8663" spans="1:3" ht="15">
      <c r="A8663" s="84" t="s">
        <v>291</v>
      </c>
      <c r="B8663" s="83" t="s">
        <v>3214</v>
      </c>
      <c r="C8663" s="91" t="s">
        <v>1105</v>
      </c>
    </row>
    <row r="8664" spans="1:3" ht="15">
      <c r="A8664" s="84" t="s">
        <v>291</v>
      </c>
      <c r="B8664" s="83" t="s">
        <v>3215</v>
      </c>
      <c r="C8664" s="91" t="s">
        <v>1105</v>
      </c>
    </row>
    <row r="8665" spans="1:3" ht="15">
      <c r="A8665" s="84" t="s">
        <v>291</v>
      </c>
      <c r="B8665" s="83" t="s">
        <v>3216</v>
      </c>
      <c r="C8665" s="91" t="s">
        <v>1105</v>
      </c>
    </row>
    <row r="8666" spans="1:3" ht="15">
      <c r="A8666" s="84" t="s">
        <v>291</v>
      </c>
      <c r="B8666" s="83" t="s">
        <v>3217</v>
      </c>
      <c r="C8666" s="91" t="s">
        <v>1105</v>
      </c>
    </row>
    <row r="8667" spans="1:3" ht="15">
      <c r="A8667" s="84" t="s">
        <v>291</v>
      </c>
      <c r="B8667" s="83" t="s">
        <v>3199</v>
      </c>
      <c r="C8667" s="91" t="s">
        <v>1105</v>
      </c>
    </row>
    <row r="8668" spans="1:3" ht="15">
      <c r="A8668" s="84" t="s">
        <v>291</v>
      </c>
      <c r="B8668" s="83" t="s">
        <v>3218</v>
      </c>
      <c r="C8668" s="91" t="s">
        <v>1105</v>
      </c>
    </row>
    <row r="8669" spans="1:3" ht="15">
      <c r="A8669" s="84" t="s">
        <v>291</v>
      </c>
      <c r="B8669" s="83" t="s">
        <v>3219</v>
      </c>
      <c r="C8669" s="91" t="s">
        <v>1105</v>
      </c>
    </row>
    <row r="8670" spans="1:3" ht="15">
      <c r="A8670" s="84" t="s">
        <v>291</v>
      </c>
      <c r="B8670" s="83" t="s">
        <v>3220</v>
      </c>
      <c r="C8670" s="91" t="s">
        <v>1105</v>
      </c>
    </row>
    <row r="8671" spans="1:3" ht="15">
      <c r="A8671" s="84" t="s">
        <v>291</v>
      </c>
      <c r="B8671" s="83" t="s">
        <v>3221</v>
      </c>
      <c r="C8671" s="91" t="s">
        <v>1105</v>
      </c>
    </row>
    <row r="8672" spans="1:3" ht="15">
      <c r="A8672" s="84" t="s">
        <v>291</v>
      </c>
      <c r="B8672" s="83" t="s">
        <v>3222</v>
      </c>
      <c r="C8672" s="91" t="s">
        <v>1105</v>
      </c>
    </row>
    <row r="8673" spans="1:3" ht="15">
      <c r="A8673" s="84" t="s">
        <v>291</v>
      </c>
      <c r="B8673" s="83" t="s">
        <v>3223</v>
      </c>
      <c r="C8673" s="91" t="s">
        <v>1105</v>
      </c>
    </row>
    <row r="8674" spans="1:3" ht="15">
      <c r="A8674" s="84" t="s">
        <v>291</v>
      </c>
      <c r="B8674" s="83" t="s">
        <v>3224</v>
      </c>
      <c r="C8674" s="91" t="s">
        <v>1105</v>
      </c>
    </row>
    <row r="8675" spans="1:3" ht="15">
      <c r="A8675" s="84" t="s">
        <v>291</v>
      </c>
      <c r="B8675" s="83" t="s">
        <v>3225</v>
      </c>
      <c r="C8675" s="91" t="s">
        <v>1105</v>
      </c>
    </row>
    <row r="8676" spans="1:3" ht="15">
      <c r="A8676" s="84" t="s">
        <v>290</v>
      </c>
      <c r="B8676" s="83" t="s">
        <v>3267</v>
      </c>
      <c r="C8676" s="91" t="s">
        <v>1104</v>
      </c>
    </row>
    <row r="8677" spans="1:3" ht="15">
      <c r="A8677" s="84" t="s">
        <v>290</v>
      </c>
      <c r="B8677" s="83" t="s">
        <v>2581</v>
      </c>
      <c r="C8677" s="91" t="s">
        <v>1104</v>
      </c>
    </row>
    <row r="8678" spans="1:3" ht="15">
      <c r="A8678" s="84" t="s">
        <v>290</v>
      </c>
      <c r="B8678" s="83" t="s">
        <v>2586</v>
      </c>
      <c r="C8678" s="91" t="s">
        <v>1104</v>
      </c>
    </row>
    <row r="8679" spans="1:3" ht="15">
      <c r="A8679" s="84" t="s">
        <v>290</v>
      </c>
      <c r="B8679" s="83" t="s">
        <v>2595</v>
      </c>
      <c r="C8679" s="91" t="s">
        <v>1104</v>
      </c>
    </row>
    <row r="8680" spans="1:3" ht="15">
      <c r="A8680" s="84" t="s">
        <v>290</v>
      </c>
      <c r="B8680" s="83" t="s">
        <v>2568</v>
      </c>
      <c r="C8680" s="91" t="s">
        <v>1104</v>
      </c>
    </row>
    <row r="8681" spans="1:3" ht="15">
      <c r="A8681" s="84" t="s">
        <v>290</v>
      </c>
      <c r="B8681" s="83" t="s">
        <v>2592</v>
      </c>
      <c r="C8681" s="91" t="s">
        <v>1104</v>
      </c>
    </row>
    <row r="8682" spans="1:3" ht="15">
      <c r="A8682" s="84" t="s">
        <v>290</v>
      </c>
      <c r="B8682" s="83" t="s">
        <v>3213</v>
      </c>
      <c r="C8682" s="91" t="s">
        <v>1104</v>
      </c>
    </row>
    <row r="8683" spans="1:3" ht="15">
      <c r="A8683" s="84" t="s">
        <v>290</v>
      </c>
      <c r="B8683" s="83" t="s">
        <v>2576</v>
      </c>
      <c r="C8683" s="91" t="s">
        <v>1104</v>
      </c>
    </row>
    <row r="8684" spans="1:3" ht="15">
      <c r="A8684" s="84" t="s">
        <v>290</v>
      </c>
      <c r="B8684" s="83" t="s">
        <v>3229</v>
      </c>
      <c r="C8684" s="91" t="s">
        <v>1104</v>
      </c>
    </row>
    <row r="8685" spans="1:3" ht="15">
      <c r="A8685" s="84" t="s">
        <v>290</v>
      </c>
      <c r="B8685" s="83" t="s">
        <v>3230</v>
      </c>
      <c r="C8685" s="91" t="s">
        <v>1104</v>
      </c>
    </row>
    <row r="8686" spans="1:3" ht="15">
      <c r="A8686" s="84" t="s">
        <v>290</v>
      </c>
      <c r="B8686" s="83" t="s">
        <v>2598</v>
      </c>
      <c r="C8686" s="91" t="s">
        <v>1104</v>
      </c>
    </row>
    <row r="8687" spans="1:3" ht="15">
      <c r="A8687" s="84" t="s">
        <v>290</v>
      </c>
      <c r="B8687" s="83" t="s">
        <v>3231</v>
      </c>
      <c r="C8687" s="91" t="s">
        <v>1104</v>
      </c>
    </row>
    <row r="8688" spans="1:3" ht="15">
      <c r="A8688" s="84" t="s">
        <v>290</v>
      </c>
      <c r="B8688" s="83" t="s">
        <v>3232</v>
      </c>
      <c r="C8688" s="91" t="s">
        <v>1104</v>
      </c>
    </row>
    <row r="8689" spans="1:3" ht="15">
      <c r="A8689" s="84" t="s">
        <v>290</v>
      </c>
      <c r="B8689" s="83" t="s">
        <v>3233</v>
      </c>
      <c r="C8689" s="91" t="s">
        <v>1104</v>
      </c>
    </row>
    <row r="8690" spans="1:3" ht="15">
      <c r="A8690" s="84" t="s">
        <v>290</v>
      </c>
      <c r="B8690" s="83" t="s">
        <v>3211</v>
      </c>
      <c r="C8690" s="91" t="s">
        <v>1104</v>
      </c>
    </row>
    <row r="8691" spans="1:3" ht="15">
      <c r="A8691" s="84" t="s">
        <v>290</v>
      </c>
      <c r="B8691" s="83" t="s">
        <v>3199</v>
      </c>
      <c r="C8691" s="91" t="s">
        <v>1104</v>
      </c>
    </row>
    <row r="8692" spans="1:3" ht="15">
      <c r="A8692" s="84" t="s">
        <v>290</v>
      </c>
      <c r="B8692" s="83" t="s">
        <v>3218</v>
      </c>
      <c r="C8692" s="91" t="s">
        <v>1104</v>
      </c>
    </row>
    <row r="8693" spans="1:3" ht="15">
      <c r="A8693" s="84" t="s">
        <v>290</v>
      </c>
      <c r="B8693" s="83" t="s">
        <v>3234</v>
      </c>
      <c r="C8693" s="91" t="s">
        <v>1104</v>
      </c>
    </row>
    <row r="8694" spans="1:3" ht="15">
      <c r="A8694" s="84" t="s">
        <v>290</v>
      </c>
      <c r="B8694" s="83" t="s">
        <v>3235</v>
      </c>
      <c r="C8694" s="91" t="s">
        <v>1104</v>
      </c>
    </row>
    <row r="8695" spans="1:3" ht="15">
      <c r="A8695" s="84" t="s">
        <v>290</v>
      </c>
      <c r="B8695" s="83" t="s">
        <v>3236</v>
      </c>
      <c r="C8695" s="91" t="s">
        <v>1104</v>
      </c>
    </row>
    <row r="8696" spans="1:3" ht="15">
      <c r="A8696" s="84" t="s">
        <v>290</v>
      </c>
      <c r="B8696" s="83" t="s">
        <v>3237</v>
      </c>
      <c r="C8696" s="91" t="s">
        <v>1104</v>
      </c>
    </row>
    <row r="8697" spans="1:3" ht="15">
      <c r="A8697" s="84" t="s">
        <v>290</v>
      </c>
      <c r="B8697" s="83" t="s">
        <v>3238</v>
      </c>
      <c r="C8697" s="91" t="s">
        <v>1104</v>
      </c>
    </row>
    <row r="8698" spans="1:3" ht="15">
      <c r="A8698" s="84" t="s">
        <v>290</v>
      </c>
      <c r="B8698" s="83" t="s">
        <v>3239</v>
      </c>
      <c r="C8698" s="91" t="s">
        <v>1104</v>
      </c>
    </row>
    <row r="8699" spans="1:3" ht="15">
      <c r="A8699" s="84" t="s">
        <v>290</v>
      </c>
      <c r="B8699" s="83" t="s">
        <v>3240</v>
      </c>
      <c r="C8699" s="91" t="s">
        <v>1104</v>
      </c>
    </row>
    <row r="8700" spans="1:3" ht="15">
      <c r="A8700" s="84" t="s">
        <v>290</v>
      </c>
      <c r="B8700" s="83" t="s">
        <v>3241</v>
      </c>
      <c r="C8700" s="91" t="s">
        <v>1104</v>
      </c>
    </row>
    <row r="8701" spans="1:3" ht="15">
      <c r="A8701" s="84" t="s">
        <v>290</v>
      </c>
      <c r="B8701" s="83" t="s">
        <v>3242</v>
      </c>
      <c r="C8701" s="91" t="s">
        <v>1104</v>
      </c>
    </row>
    <row r="8702" spans="1:3" ht="15">
      <c r="A8702" s="84" t="s">
        <v>290</v>
      </c>
      <c r="B8702" s="83" t="s">
        <v>2767</v>
      </c>
      <c r="C8702" s="91" t="s">
        <v>1104</v>
      </c>
    </row>
    <row r="8703" spans="1:3" ht="15">
      <c r="A8703" s="84" t="s">
        <v>290</v>
      </c>
      <c r="B8703" s="83" t="s">
        <v>3243</v>
      </c>
      <c r="C8703" s="91" t="s">
        <v>1104</v>
      </c>
    </row>
    <row r="8704" spans="1:3" ht="15">
      <c r="A8704" s="84" t="s">
        <v>290</v>
      </c>
      <c r="B8704" s="83" t="s">
        <v>3244</v>
      </c>
      <c r="C8704" s="91" t="s">
        <v>1104</v>
      </c>
    </row>
    <row r="8705" spans="1:3" ht="15">
      <c r="A8705" s="84" t="s">
        <v>290</v>
      </c>
      <c r="B8705" s="83" t="s">
        <v>3223</v>
      </c>
      <c r="C8705" s="91" t="s">
        <v>1104</v>
      </c>
    </row>
    <row r="8706" spans="1:3" ht="15">
      <c r="A8706" s="84" t="s">
        <v>289</v>
      </c>
      <c r="B8706" s="83" t="s">
        <v>3566</v>
      </c>
      <c r="C8706" s="91" t="s">
        <v>1103</v>
      </c>
    </row>
    <row r="8707" spans="1:3" ht="15">
      <c r="A8707" s="84" t="s">
        <v>289</v>
      </c>
      <c r="B8707" s="83" t="s">
        <v>3567</v>
      </c>
      <c r="C8707" s="91" t="s">
        <v>1103</v>
      </c>
    </row>
    <row r="8708" spans="1:3" ht="15">
      <c r="A8708" s="84" t="s">
        <v>289</v>
      </c>
      <c r="B8708" s="83" t="s">
        <v>3568</v>
      </c>
      <c r="C8708" s="91" t="s">
        <v>1103</v>
      </c>
    </row>
    <row r="8709" spans="1:3" ht="15">
      <c r="A8709" s="84" t="s">
        <v>289</v>
      </c>
      <c r="B8709" s="83" t="s">
        <v>3569</v>
      </c>
      <c r="C8709" s="91" t="s">
        <v>1103</v>
      </c>
    </row>
    <row r="8710" spans="1:3" ht="15">
      <c r="A8710" s="84" t="s">
        <v>289</v>
      </c>
      <c r="B8710" s="83" t="s">
        <v>2720</v>
      </c>
      <c r="C8710" s="91" t="s">
        <v>1103</v>
      </c>
    </row>
    <row r="8711" spans="1:3" ht="15">
      <c r="A8711" s="84" t="s">
        <v>289</v>
      </c>
      <c r="B8711" s="83" t="s">
        <v>3570</v>
      </c>
      <c r="C8711" s="91" t="s">
        <v>1103</v>
      </c>
    </row>
    <row r="8712" spans="1:3" ht="15">
      <c r="A8712" s="84" t="s">
        <v>289</v>
      </c>
      <c r="B8712" s="83" t="s">
        <v>3044</v>
      </c>
      <c r="C8712" s="91" t="s">
        <v>1103</v>
      </c>
    </row>
    <row r="8713" spans="1:3" ht="15">
      <c r="A8713" s="84" t="s">
        <v>289</v>
      </c>
      <c r="B8713" s="83" t="s">
        <v>3199</v>
      </c>
      <c r="C8713" s="91" t="s">
        <v>1103</v>
      </c>
    </row>
    <row r="8714" spans="1:3" ht="15">
      <c r="A8714" s="84" t="s">
        <v>289</v>
      </c>
      <c r="B8714" s="83" t="s">
        <v>3571</v>
      </c>
      <c r="C8714" s="91" t="s">
        <v>1103</v>
      </c>
    </row>
    <row r="8715" spans="1:3" ht="15">
      <c r="A8715" s="84" t="s">
        <v>289</v>
      </c>
      <c r="B8715" s="83" t="s">
        <v>3371</v>
      </c>
      <c r="C8715" s="91" t="s">
        <v>1103</v>
      </c>
    </row>
    <row r="8716" spans="1:3" ht="15">
      <c r="A8716" s="84" t="s">
        <v>289</v>
      </c>
      <c r="B8716" s="83" t="s">
        <v>3198</v>
      </c>
      <c r="C8716" s="91" t="s">
        <v>1103</v>
      </c>
    </row>
    <row r="8717" spans="1:3" ht="15">
      <c r="A8717" s="84" t="s">
        <v>289</v>
      </c>
      <c r="B8717" s="83" t="s">
        <v>3266</v>
      </c>
      <c r="C8717" s="91" t="s">
        <v>1103</v>
      </c>
    </row>
    <row r="8718" spans="1:3" ht="15">
      <c r="A8718" s="84" t="s">
        <v>289</v>
      </c>
      <c r="B8718" s="83" t="s">
        <v>3213</v>
      </c>
      <c r="C8718" s="91" t="s">
        <v>1103</v>
      </c>
    </row>
    <row r="8719" spans="1:3" ht="15">
      <c r="A8719" s="84" t="s">
        <v>289</v>
      </c>
      <c r="B8719" s="83" t="s">
        <v>3205</v>
      </c>
      <c r="C8719" s="91" t="s">
        <v>1103</v>
      </c>
    </row>
    <row r="8720" spans="1:3" ht="15">
      <c r="A8720" s="84" t="s">
        <v>289</v>
      </c>
      <c r="B8720" s="83" t="s">
        <v>3242</v>
      </c>
      <c r="C8720" s="91" t="s">
        <v>1103</v>
      </c>
    </row>
    <row r="8721" spans="1:3" ht="15">
      <c r="A8721" s="84" t="s">
        <v>288</v>
      </c>
      <c r="B8721" s="83" t="s">
        <v>3566</v>
      </c>
      <c r="C8721" s="91" t="s">
        <v>1102</v>
      </c>
    </row>
    <row r="8722" spans="1:3" ht="15">
      <c r="A8722" s="84" t="s">
        <v>288</v>
      </c>
      <c r="B8722" s="83" t="s">
        <v>3567</v>
      </c>
      <c r="C8722" s="91" t="s">
        <v>1102</v>
      </c>
    </row>
    <row r="8723" spans="1:3" ht="15">
      <c r="A8723" s="84" t="s">
        <v>288</v>
      </c>
      <c r="B8723" s="83" t="s">
        <v>3568</v>
      </c>
      <c r="C8723" s="91" t="s">
        <v>1102</v>
      </c>
    </row>
    <row r="8724" spans="1:3" ht="15">
      <c r="A8724" s="84" t="s">
        <v>288</v>
      </c>
      <c r="B8724" s="83" t="s">
        <v>3569</v>
      </c>
      <c r="C8724" s="91" t="s">
        <v>1102</v>
      </c>
    </row>
    <row r="8725" spans="1:3" ht="15">
      <c r="A8725" s="84" t="s">
        <v>288</v>
      </c>
      <c r="B8725" s="83" t="s">
        <v>2720</v>
      </c>
      <c r="C8725" s="91" t="s">
        <v>1102</v>
      </c>
    </row>
    <row r="8726" spans="1:3" ht="15">
      <c r="A8726" s="84" t="s">
        <v>288</v>
      </c>
      <c r="B8726" s="83" t="s">
        <v>3570</v>
      </c>
      <c r="C8726" s="91" t="s">
        <v>1102</v>
      </c>
    </row>
    <row r="8727" spans="1:3" ht="15">
      <c r="A8727" s="84" t="s">
        <v>288</v>
      </c>
      <c r="B8727" s="83" t="s">
        <v>3044</v>
      </c>
      <c r="C8727" s="91" t="s">
        <v>1102</v>
      </c>
    </row>
    <row r="8728" spans="1:3" ht="15">
      <c r="A8728" s="84" t="s">
        <v>288</v>
      </c>
      <c r="B8728" s="83" t="s">
        <v>3199</v>
      </c>
      <c r="C8728" s="91" t="s">
        <v>1102</v>
      </c>
    </row>
    <row r="8729" spans="1:3" ht="15">
      <c r="A8729" s="84" t="s">
        <v>288</v>
      </c>
      <c r="B8729" s="83" t="s">
        <v>3571</v>
      </c>
      <c r="C8729" s="91" t="s">
        <v>1102</v>
      </c>
    </row>
    <row r="8730" spans="1:3" ht="15">
      <c r="A8730" s="84" t="s">
        <v>288</v>
      </c>
      <c r="B8730" s="83" t="s">
        <v>3371</v>
      </c>
      <c r="C8730" s="91" t="s">
        <v>1102</v>
      </c>
    </row>
    <row r="8731" spans="1:3" ht="15">
      <c r="A8731" s="84" t="s">
        <v>288</v>
      </c>
      <c r="B8731" s="83" t="s">
        <v>3198</v>
      </c>
      <c r="C8731" s="91" t="s">
        <v>1102</v>
      </c>
    </row>
    <row r="8732" spans="1:3" ht="15">
      <c r="A8732" s="84" t="s">
        <v>288</v>
      </c>
      <c r="B8732" s="83" t="s">
        <v>3266</v>
      </c>
      <c r="C8732" s="91" t="s">
        <v>1102</v>
      </c>
    </row>
    <row r="8733" spans="1:3" ht="15">
      <c r="A8733" s="84" t="s">
        <v>288</v>
      </c>
      <c r="B8733" s="83" t="s">
        <v>3213</v>
      </c>
      <c r="C8733" s="91" t="s">
        <v>1102</v>
      </c>
    </row>
    <row r="8734" spans="1:3" ht="15">
      <c r="A8734" s="84" t="s">
        <v>288</v>
      </c>
      <c r="B8734" s="83" t="s">
        <v>3205</v>
      </c>
      <c r="C8734" s="91" t="s">
        <v>1102</v>
      </c>
    </row>
    <row r="8735" spans="1:3" ht="15">
      <c r="A8735" s="84" t="s">
        <v>288</v>
      </c>
      <c r="B8735" s="83" t="s">
        <v>3242</v>
      </c>
      <c r="C8735" s="91" t="s">
        <v>1102</v>
      </c>
    </row>
    <row r="8736" spans="1:3" ht="15">
      <c r="A8736" s="84" t="s">
        <v>287</v>
      </c>
      <c r="B8736" s="83" t="s">
        <v>3566</v>
      </c>
      <c r="C8736" s="91" t="s">
        <v>1100</v>
      </c>
    </row>
    <row r="8737" spans="1:3" ht="15">
      <c r="A8737" s="84" t="s">
        <v>287</v>
      </c>
      <c r="B8737" s="83" t="s">
        <v>3567</v>
      </c>
      <c r="C8737" s="91" t="s">
        <v>1100</v>
      </c>
    </row>
    <row r="8738" spans="1:3" ht="15">
      <c r="A8738" s="84" t="s">
        <v>287</v>
      </c>
      <c r="B8738" s="83" t="s">
        <v>3568</v>
      </c>
      <c r="C8738" s="91" t="s">
        <v>1100</v>
      </c>
    </row>
    <row r="8739" spans="1:3" ht="15">
      <c r="A8739" s="84" t="s">
        <v>287</v>
      </c>
      <c r="B8739" s="83" t="s">
        <v>3569</v>
      </c>
      <c r="C8739" s="91" t="s">
        <v>1100</v>
      </c>
    </row>
    <row r="8740" spans="1:3" ht="15">
      <c r="A8740" s="84" t="s">
        <v>287</v>
      </c>
      <c r="B8740" s="83" t="s">
        <v>2720</v>
      </c>
      <c r="C8740" s="91" t="s">
        <v>1100</v>
      </c>
    </row>
    <row r="8741" spans="1:3" ht="15">
      <c r="A8741" s="84" t="s">
        <v>287</v>
      </c>
      <c r="B8741" s="83" t="s">
        <v>3570</v>
      </c>
      <c r="C8741" s="91" t="s">
        <v>1100</v>
      </c>
    </row>
    <row r="8742" spans="1:3" ht="15">
      <c r="A8742" s="84" t="s">
        <v>287</v>
      </c>
      <c r="B8742" s="83" t="s">
        <v>3044</v>
      </c>
      <c r="C8742" s="91" t="s">
        <v>1100</v>
      </c>
    </row>
    <row r="8743" spans="1:3" ht="15">
      <c r="A8743" s="84" t="s">
        <v>287</v>
      </c>
      <c r="B8743" s="83" t="s">
        <v>3199</v>
      </c>
      <c r="C8743" s="91" t="s">
        <v>1100</v>
      </c>
    </row>
    <row r="8744" spans="1:3" ht="15">
      <c r="A8744" s="84" t="s">
        <v>287</v>
      </c>
      <c r="B8744" s="83" t="s">
        <v>3571</v>
      </c>
      <c r="C8744" s="91" t="s">
        <v>1100</v>
      </c>
    </row>
    <row r="8745" spans="1:3" ht="15">
      <c r="A8745" s="84" t="s">
        <v>287</v>
      </c>
      <c r="B8745" s="83" t="s">
        <v>3371</v>
      </c>
      <c r="C8745" s="91" t="s">
        <v>1100</v>
      </c>
    </row>
    <row r="8746" spans="1:3" ht="15">
      <c r="A8746" s="84" t="s">
        <v>287</v>
      </c>
      <c r="B8746" s="83" t="s">
        <v>3198</v>
      </c>
      <c r="C8746" s="91" t="s">
        <v>1100</v>
      </c>
    </row>
    <row r="8747" spans="1:3" ht="15">
      <c r="A8747" s="84" t="s">
        <v>287</v>
      </c>
      <c r="B8747" s="83" t="s">
        <v>3266</v>
      </c>
      <c r="C8747" s="91" t="s">
        <v>1100</v>
      </c>
    </row>
    <row r="8748" spans="1:3" ht="15">
      <c r="A8748" s="84" t="s">
        <v>287</v>
      </c>
      <c r="B8748" s="83" t="s">
        <v>3213</v>
      </c>
      <c r="C8748" s="91" t="s">
        <v>1100</v>
      </c>
    </row>
    <row r="8749" spans="1:3" ht="15">
      <c r="A8749" s="84" t="s">
        <v>287</v>
      </c>
      <c r="B8749" s="83" t="s">
        <v>3205</v>
      </c>
      <c r="C8749" s="91" t="s">
        <v>1100</v>
      </c>
    </row>
    <row r="8750" spans="1:3" ht="15">
      <c r="A8750" s="84" t="s">
        <v>287</v>
      </c>
      <c r="B8750" s="83" t="s">
        <v>3242</v>
      </c>
      <c r="C8750" s="91" t="s">
        <v>1100</v>
      </c>
    </row>
    <row r="8751" spans="1:3" ht="15">
      <c r="A8751" s="84" t="s">
        <v>287</v>
      </c>
      <c r="B8751" s="83" t="s">
        <v>3245</v>
      </c>
      <c r="C8751" s="91" t="s">
        <v>1101</v>
      </c>
    </row>
    <row r="8752" spans="1:3" ht="15">
      <c r="A8752" s="84" t="s">
        <v>287</v>
      </c>
      <c r="B8752" s="83" t="s">
        <v>2767</v>
      </c>
      <c r="C8752" s="91" t="s">
        <v>1101</v>
      </c>
    </row>
    <row r="8753" spans="1:3" ht="15">
      <c r="A8753" s="84" t="s">
        <v>287</v>
      </c>
      <c r="B8753" s="83" t="s">
        <v>2817</v>
      </c>
      <c r="C8753" s="91" t="s">
        <v>1101</v>
      </c>
    </row>
    <row r="8754" spans="1:3" ht="15">
      <c r="A8754" s="84" t="s">
        <v>287</v>
      </c>
      <c r="B8754" s="83" t="s">
        <v>2773</v>
      </c>
      <c r="C8754" s="91" t="s">
        <v>1101</v>
      </c>
    </row>
    <row r="8755" spans="1:3" ht="15">
      <c r="A8755" s="84" t="s">
        <v>287</v>
      </c>
      <c r="B8755" s="83" t="s">
        <v>2568</v>
      </c>
      <c r="C8755" s="91" t="s">
        <v>1101</v>
      </c>
    </row>
    <row r="8756" spans="1:3" ht="15">
      <c r="A8756" s="84" t="s">
        <v>287</v>
      </c>
      <c r="B8756" s="83" t="s">
        <v>2818</v>
      </c>
      <c r="C8756" s="91" t="s">
        <v>1101</v>
      </c>
    </row>
    <row r="8757" spans="1:3" ht="15">
      <c r="A8757" s="84" t="s">
        <v>287</v>
      </c>
      <c r="B8757" s="83" t="s">
        <v>2819</v>
      </c>
      <c r="C8757" s="91" t="s">
        <v>1101</v>
      </c>
    </row>
    <row r="8758" spans="1:3" ht="15">
      <c r="A8758" s="84" t="s">
        <v>287</v>
      </c>
      <c r="B8758" s="83" t="s">
        <v>2607</v>
      </c>
      <c r="C8758" s="91" t="s">
        <v>1101</v>
      </c>
    </row>
    <row r="8759" spans="1:3" ht="15">
      <c r="A8759" s="84" t="s">
        <v>287</v>
      </c>
      <c r="B8759" s="83" t="s">
        <v>2820</v>
      </c>
      <c r="C8759" s="91" t="s">
        <v>1101</v>
      </c>
    </row>
    <row r="8760" spans="1:3" ht="15">
      <c r="A8760" s="84" t="s">
        <v>287</v>
      </c>
      <c r="B8760" s="83" t="s">
        <v>2743</v>
      </c>
      <c r="C8760" s="91" t="s">
        <v>1101</v>
      </c>
    </row>
    <row r="8761" spans="1:3" ht="15">
      <c r="A8761" s="84" t="s">
        <v>287</v>
      </c>
      <c r="B8761" s="83" t="s">
        <v>2821</v>
      </c>
      <c r="C8761" s="91" t="s">
        <v>1101</v>
      </c>
    </row>
    <row r="8762" spans="1:3" ht="15">
      <c r="A8762" s="84" t="s">
        <v>287</v>
      </c>
      <c r="B8762" s="83" t="s">
        <v>2577</v>
      </c>
      <c r="C8762" s="91" t="s">
        <v>1101</v>
      </c>
    </row>
    <row r="8763" spans="1:3" ht="15">
      <c r="A8763" s="84" t="s">
        <v>287</v>
      </c>
      <c r="B8763" s="83" t="s">
        <v>2822</v>
      </c>
      <c r="C8763" s="91" t="s">
        <v>1101</v>
      </c>
    </row>
    <row r="8764" spans="1:3" ht="15">
      <c r="A8764" s="84" t="s">
        <v>287</v>
      </c>
      <c r="B8764" s="83" t="s">
        <v>2823</v>
      </c>
      <c r="C8764" s="91" t="s">
        <v>1101</v>
      </c>
    </row>
    <row r="8765" spans="1:3" ht="15">
      <c r="A8765" s="84" t="s">
        <v>287</v>
      </c>
      <c r="B8765" s="83" t="s">
        <v>2824</v>
      </c>
      <c r="C8765" s="91" t="s">
        <v>1101</v>
      </c>
    </row>
    <row r="8766" spans="1:3" ht="15">
      <c r="A8766" s="84" t="s">
        <v>287</v>
      </c>
      <c r="B8766" s="83" t="s">
        <v>2694</v>
      </c>
      <c r="C8766" s="91" t="s">
        <v>1101</v>
      </c>
    </row>
    <row r="8767" spans="1:3" ht="15">
      <c r="A8767" s="84" t="s">
        <v>287</v>
      </c>
      <c r="B8767" s="83" t="s">
        <v>2636</v>
      </c>
      <c r="C8767" s="91" t="s">
        <v>1101</v>
      </c>
    </row>
    <row r="8768" spans="1:3" ht="15">
      <c r="A8768" s="84" t="s">
        <v>287</v>
      </c>
      <c r="B8768" s="83" t="s">
        <v>2825</v>
      </c>
      <c r="C8768" s="91" t="s">
        <v>1101</v>
      </c>
    </row>
    <row r="8769" spans="1:3" ht="15">
      <c r="A8769" s="84" t="s">
        <v>287</v>
      </c>
      <c r="B8769" s="83" t="s">
        <v>2665</v>
      </c>
      <c r="C8769" s="91" t="s">
        <v>1101</v>
      </c>
    </row>
    <row r="8770" spans="1:3" ht="15">
      <c r="A8770" s="84" t="s">
        <v>287</v>
      </c>
      <c r="B8770" s="83" t="s">
        <v>2826</v>
      </c>
      <c r="C8770" s="91" t="s">
        <v>1101</v>
      </c>
    </row>
    <row r="8771" spans="1:3" ht="15">
      <c r="A8771" s="84" t="s">
        <v>287</v>
      </c>
      <c r="B8771" s="83" t="s">
        <v>2827</v>
      </c>
      <c r="C8771" s="91" t="s">
        <v>1101</v>
      </c>
    </row>
    <row r="8772" spans="1:3" ht="15">
      <c r="A8772" s="84" t="s">
        <v>287</v>
      </c>
      <c r="B8772" s="83" t="s">
        <v>2895</v>
      </c>
      <c r="C8772" s="91" t="s">
        <v>1101</v>
      </c>
    </row>
    <row r="8773" spans="1:3" ht="15">
      <c r="A8773" s="84" t="s">
        <v>287</v>
      </c>
      <c r="B8773" s="83" t="s">
        <v>2569</v>
      </c>
      <c r="C8773" s="91" t="s">
        <v>1101</v>
      </c>
    </row>
    <row r="8774" spans="1:3" ht="15">
      <c r="A8774" s="84" t="s">
        <v>287</v>
      </c>
      <c r="B8774" s="83" t="s">
        <v>3365</v>
      </c>
      <c r="C8774" s="91" t="s">
        <v>1101</v>
      </c>
    </row>
    <row r="8775" spans="1:3" ht="15">
      <c r="A8775" s="84" t="s">
        <v>287</v>
      </c>
      <c r="B8775" s="83" t="s">
        <v>3366</v>
      </c>
      <c r="C8775" s="91" t="s">
        <v>1101</v>
      </c>
    </row>
    <row r="8776" spans="1:3" ht="15">
      <c r="A8776" s="84" t="s">
        <v>287</v>
      </c>
      <c r="B8776" s="83" t="s">
        <v>3367</v>
      </c>
      <c r="C8776" s="91" t="s">
        <v>1101</v>
      </c>
    </row>
    <row r="8777" spans="1:3" ht="15">
      <c r="A8777" s="84" t="s">
        <v>287</v>
      </c>
      <c r="B8777" s="83" t="s">
        <v>3199</v>
      </c>
      <c r="C8777" s="91" t="s">
        <v>1101</v>
      </c>
    </row>
    <row r="8778" spans="1:3" ht="15">
      <c r="A8778" s="84" t="s">
        <v>287</v>
      </c>
      <c r="B8778" s="83" t="s">
        <v>3238</v>
      </c>
      <c r="C8778" s="91" t="s">
        <v>1101</v>
      </c>
    </row>
    <row r="8779" spans="1:3" ht="15">
      <c r="A8779" s="84" t="s">
        <v>287</v>
      </c>
      <c r="B8779" s="83" t="s">
        <v>3214</v>
      </c>
      <c r="C8779" s="91" t="s">
        <v>1101</v>
      </c>
    </row>
    <row r="8780" spans="1:3" ht="15">
      <c r="A8780" s="84" t="s">
        <v>287</v>
      </c>
      <c r="B8780" s="83" t="s">
        <v>3368</v>
      </c>
      <c r="C8780" s="91" t="s">
        <v>1101</v>
      </c>
    </row>
    <row r="8781" spans="1:3" ht="15">
      <c r="A8781" s="84" t="s">
        <v>287</v>
      </c>
      <c r="B8781" s="83" t="s">
        <v>3213</v>
      </c>
      <c r="C8781" s="91" t="s">
        <v>1101</v>
      </c>
    </row>
    <row r="8782" spans="1:3" ht="15">
      <c r="A8782" s="84" t="s">
        <v>287</v>
      </c>
      <c r="B8782" s="83" t="s">
        <v>3258</v>
      </c>
      <c r="C8782" s="91" t="s">
        <v>1101</v>
      </c>
    </row>
    <row r="8783" spans="1:3" ht="15">
      <c r="A8783" s="84" t="s">
        <v>287</v>
      </c>
      <c r="B8783" s="83" t="s">
        <v>3369</v>
      </c>
      <c r="C8783" s="91" t="s">
        <v>1101</v>
      </c>
    </row>
    <row r="8784" spans="1:3" ht="15">
      <c r="A8784" s="84" t="s">
        <v>403</v>
      </c>
      <c r="B8784" s="83" t="s">
        <v>3245</v>
      </c>
      <c r="C8784" s="91" t="s">
        <v>1337</v>
      </c>
    </row>
    <row r="8785" spans="1:3" ht="15">
      <c r="A8785" s="84" t="s">
        <v>403</v>
      </c>
      <c r="B8785" s="83" t="s">
        <v>2767</v>
      </c>
      <c r="C8785" s="91" t="s">
        <v>1337</v>
      </c>
    </row>
    <row r="8786" spans="1:3" ht="15">
      <c r="A8786" s="84" t="s">
        <v>403</v>
      </c>
      <c r="B8786" s="83" t="s">
        <v>2817</v>
      </c>
      <c r="C8786" s="91" t="s">
        <v>1337</v>
      </c>
    </row>
    <row r="8787" spans="1:3" ht="15">
      <c r="A8787" s="84" t="s">
        <v>403</v>
      </c>
      <c r="B8787" s="83" t="s">
        <v>2773</v>
      </c>
      <c r="C8787" s="91" t="s">
        <v>1337</v>
      </c>
    </row>
    <row r="8788" spans="1:3" ht="15">
      <c r="A8788" s="84" t="s">
        <v>403</v>
      </c>
      <c r="B8788" s="83" t="s">
        <v>2568</v>
      </c>
      <c r="C8788" s="91" t="s">
        <v>1337</v>
      </c>
    </row>
    <row r="8789" spans="1:3" ht="15">
      <c r="A8789" s="84" t="s">
        <v>403</v>
      </c>
      <c r="B8789" s="83" t="s">
        <v>2818</v>
      </c>
      <c r="C8789" s="91" t="s">
        <v>1337</v>
      </c>
    </row>
    <row r="8790" spans="1:3" ht="15">
      <c r="A8790" s="84" t="s">
        <v>403</v>
      </c>
      <c r="B8790" s="83" t="s">
        <v>2819</v>
      </c>
      <c r="C8790" s="91" t="s">
        <v>1337</v>
      </c>
    </row>
    <row r="8791" spans="1:3" ht="15">
      <c r="A8791" s="84" t="s">
        <v>403</v>
      </c>
      <c r="B8791" s="83" t="s">
        <v>2607</v>
      </c>
      <c r="C8791" s="91" t="s">
        <v>1337</v>
      </c>
    </row>
    <row r="8792" spans="1:3" ht="15">
      <c r="A8792" s="84" t="s">
        <v>403</v>
      </c>
      <c r="B8792" s="83" t="s">
        <v>2820</v>
      </c>
      <c r="C8792" s="91" t="s">
        <v>1337</v>
      </c>
    </row>
    <row r="8793" spans="1:3" ht="15">
      <c r="A8793" s="84" t="s">
        <v>403</v>
      </c>
      <c r="B8793" s="83" t="s">
        <v>2743</v>
      </c>
      <c r="C8793" s="91" t="s">
        <v>1337</v>
      </c>
    </row>
    <row r="8794" spans="1:3" ht="15">
      <c r="A8794" s="84" t="s">
        <v>403</v>
      </c>
      <c r="B8794" s="83" t="s">
        <v>2821</v>
      </c>
      <c r="C8794" s="91" t="s">
        <v>1337</v>
      </c>
    </row>
    <row r="8795" spans="1:3" ht="15">
      <c r="A8795" s="84" t="s">
        <v>403</v>
      </c>
      <c r="B8795" s="83" t="s">
        <v>2577</v>
      </c>
      <c r="C8795" s="91" t="s">
        <v>1337</v>
      </c>
    </row>
    <row r="8796" spans="1:3" ht="15">
      <c r="A8796" s="84" t="s">
        <v>403</v>
      </c>
      <c r="B8796" s="83" t="s">
        <v>2822</v>
      </c>
      <c r="C8796" s="91" t="s">
        <v>1337</v>
      </c>
    </row>
    <row r="8797" spans="1:3" ht="15">
      <c r="A8797" s="84" t="s">
        <v>403</v>
      </c>
      <c r="B8797" s="83" t="s">
        <v>2823</v>
      </c>
      <c r="C8797" s="91" t="s">
        <v>1337</v>
      </c>
    </row>
    <row r="8798" spans="1:3" ht="15">
      <c r="A8798" s="84" t="s">
        <v>403</v>
      </c>
      <c r="B8798" s="83" t="s">
        <v>2824</v>
      </c>
      <c r="C8798" s="91" t="s">
        <v>1337</v>
      </c>
    </row>
    <row r="8799" spans="1:3" ht="15">
      <c r="A8799" s="84" t="s">
        <v>403</v>
      </c>
      <c r="B8799" s="83" t="s">
        <v>2694</v>
      </c>
      <c r="C8799" s="91" t="s">
        <v>1337</v>
      </c>
    </row>
    <row r="8800" spans="1:3" ht="15">
      <c r="A8800" s="84" t="s">
        <v>403</v>
      </c>
      <c r="B8800" s="83" t="s">
        <v>2636</v>
      </c>
      <c r="C8800" s="91" t="s">
        <v>1337</v>
      </c>
    </row>
    <row r="8801" spans="1:3" ht="15">
      <c r="A8801" s="84" t="s">
        <v>403</v>
      </c>
      <c r="B8801" s="83" t="s">
        <v>2825</v>
      </c>
      <c r="C8801" s="91" t="s">
        <v>1337</v>
      </c>
    </row>
    <row r="8802" spans="1:3" ht="15">
      <c r="A8802" s="84" t="s">
        <v>403</v>
      </c>
      <c r="B8802" s="83" t="s">
        <v>2665</v>
      </c>
      <c r="C8802" s="91" t="s">
        <v>1337</v>
      </c>
    </row>
    <row r="8803" spans="1:3" ht="15">
      <c r="A8803" s="84" t="s">
        <v>403</v>
      </c>
      <c r="B8803" s="83" t="s">
        <v>2826</v>
      </c>
      <c r="C8803" s="91" t="s">
        <v>1337</v>
      </c>
    </row>
    <row r="8804" spans="1:3" ht="15">
      <c r="A8804" s="84" t="s">
        <v>403</v>
      </c>
      <c r="B8804" s="83" t="s">
        <v>2827</v>
      </c>
      <c r="C8804" s="91" t="s">
        <v>1337</v>
      </c>
    </row>
    <row r="8805" spans="1:3" ht="15">
      <c r="A8805" s="84" t="s">
        <v>403</v>
      </c>
      <c r="B8805" s="83" t="s">
        <v>2895</v>
      </c>
      <c r="C8805" s="91" t="s">
        <v>1337</v>
      </c>
    </row>
    <row r="8806" spans="1:3" ht="15">
      <c r="A8806" s="84" t="s">
        <v>403</v>
      </c>
      <c r="B8806" s="83" t="s">
        <v>2569</v>
      </c>
      <c r="C8806" s="91" t="s">
        <v>1337</v>
      </c>
    </row>
    <row r="8807" spans="1:3" ht="15">
      <c r="A8807" s="84" t="s">
        <v>403</v>
      </c>
      <c r="B8807" s="83" t="s">
        <v>3365</v>
      </c>
      <c r="C8807" s="91" t="s">
        <v>1337</v>
      </c>
    </row>
    <row r="8808" spans="1:3" ht="15">
      <c r="A8808" s="84" t="s">
        <v>403</v>
      </c>
      <c r="B8808" s="83" t="s">
        <v>3366</v>
      </c>
      <c r="C8808" s="91" t="s">
        <v>1337</v>
      </c>
    </row>
    <row r="8809" spans="1:3" ht="15">
      <c r="A8809" s="84" t="s">
        <v>403</v>
      </c>
      <c r="B8809" s="83" t="s">
        <v>3367</v>
      </c>
      <c r="C8809" s="91" t="s">
        <v>1337</v>
      </c>
    </row>
    <row r="8810" spans="1:3" ht="15">
      <c r="A8810" s="84" t="s">
        <v>403</v>
      </c>
      <c r="B8810" s="83" t="s">
        <v>3199</v>
      </c>
      <c r="C8810" s="91" t="s">
        <v>1337</v>
      </c>
    </row>
    <row r="8811" spans="1:3" ht="15">
      <c r="A8811" s="84" t="s">
        <v>403</v>
      </c>
      <c r="B8811" s="83" t="s">
        <v>3238</v>
      </c>
      <c r="C8811" s="91" t="s">
        <v>1337</v>
      </c>
    </row>
    <row r="8812" spans="1:3" ht="15">
      <c r="A8812" s="84" t="s">
        <v>403</v>
      </c>
      <c r="B8812" s="83" t="s">
        <v>3214</v>
      </c>
      <c r="C8812" s="91" t="s">
        <v>1337</v>
      </c>
    </row>
    <row r="8813" spans="1:3" ht="15">
      <c r="A8813" s="84" t="s">
        <v>403</v>
      </c>
      <c r="B8813" s="83" t="s">
        <v>3368</v>
      </c>
      <c r="C8813" s="91" t="s">
        <v>1337</v>
      </c>
    </row>
    <row r="8814" spans="1:3" ht="15">
      <c r="A8814" s="84" t="s">
        <v>403</v>
      </c>
      <c r="B8814" s="83" t="s">
        <v>3213</v>
      </c>
      <c r="C8814" s="91" t="s">
        <v>1337</v>
      </c>
    </row>
    <row r="8815" spans="1:3" ht="15">
      <c r="A8815" s="84" t="s">
        <v>403</v>
      </c>
      <c r="B8815" s="83" t="s">
        <v>3258</v>
      </c>
      <c r="C8815" s="91" t="s">
        <v>1337</v>
      </c>
    </row>
    <row r="8816" spans="1:3" ht="15">
      <c r="A8816" s="84" t="s">
        <v>403</v>
      </c>
      <c r="B8816" s="83" t="s">
        <v>3369</v>
      </c>
      <c r="C8816" s="91" t="s">
        <v>1337</v>
      </c>
    </row>
    <row r="8817" spans="1:3" ht="15">
      <c r="A8817" s="84" t="s">
        <v>286</v>
      </c>
      <c r="B8817" s="83" t="s">
        <v>3245</v>
      </c>
      <c r="C8817" s="91" t="s">
        <v>1099</v>
      </c>
    </row>
    <row r="8818" spans="1:3" ht="15">
      <c r="A8818" s="84" t="s">
        <v>286</v>
      </c>
      <c r="B8818" s="83" t="s">
        <v>2767</v>
      </c>
      <c r="C8818" s="91" t="s">
        <v>1099</v>
      </c>
    </row>
    <row r="8819" spans="1:3" ht="15">
      <c r="A8819" s="84" t="s">
        <v>286</v>
      </c>
      <c r="B8819" s="83" t="s">
        <v>2817</v>
      </c>
      <c r="C8819" s="91" t="s">
        <v>1099</v>
      </c>
    </row>
    <row r="8820" spans="1:3" ht="15">
      <c r="A8820" s="84" t="s">
        <v>286</v>
      </c>
      <c r="B8820" s="83" t="s">
        <v>2773</v>
      </c>
      <c r="C8820" s="91" t="s">
        <v>1099</v>
      </c>
    </row>
    <row r="8821" spans="1:3" ht="15">
      <c r="A8821" s="84" t="s">
        <v>286</v>
      </c>
      <c r="B8821" s="83" t="s">
        <v>2568</v>
      </c>
      <c r="C8821" s="91" t="s">
        <v>1099</v>
      </c>
    </row>
    <row r="8822" spans="1:3" ht="15">
      <c r="A8822" s="84" t="s">
        <v>286</v>
      </c>
      <c r="B8822" s="83" t="s">
        <v>2818</v>
      </c>
      <c r="C8822" s="91" t="s">
        <v>1099</v>
      </c>
    </row>
    <row r="8823" spans="1:3" ht="15">
      <c r="A8823" s="84" t="s">
        <v>286</v>
      </c>
      <c r="B8823" s="83" t="s">
        <v>2819</v>
      </c>
      <c r="C8823" s="91" t="s">
        <v>1099</v>
      </c>
    </row>
    <row r="8824" spans="1:3" ht="15">
      <c r="A8824" s="84" t="s">
        <v>286</v>
      </c>
      <c r="B8824" s="83" t="s">
        <v>2607</v>
      </c>
      <c r="C8824" s="91" t="s">
        <v>1099</v>
      </c>
    </row>
    <row r="8825" spans="1:3" ht="15">
      <c r="A8825" s="84" t="s">
        <v>286</v>
      </c>
      <c r="B8825" s="83" t="s">
        <v>2820</v>
      </c>
      <c r="C8825" s="91" t="s">
        <v>1099</v>
      </c>
    </row>
    <row r="8826" spans="1:3" ht="15">
      <c r="A8826" s="84" t="s">
        <v>286</v>
      </c>
      <c r="B8826" s="83" t="s">
        <v>2743</v>
      </c>
      <c r="C8826" s="91" t="s">
        <v>1099</v>
      </c>
    </row>
    <row r="8827" spans="1:3" ht="15">
      <c r="A8827" s="84" t="s">
        <v>286</v>
      </c>
      <c r="B8827" s="83" t="s">
        <v>2821</v>
      </c>
      <c r="C8827" s="91" t="s">
        <v>1099</v>
      </c>
    </row>
    <row r="8828" spans="1:3" ht="15">
      <c r="A8828" s="84" t="s">
        <v>286</v>
      </c>
      <c r="B8828" s="83" t="s">
        <v>2577</v>
      </c>
      <c r="C8828" s="91" t="s">
        <v>1099</v>
      </c>
    </row>
    <row r="8829" spans="1:3" ht="15">
      <c r="A8829" s="84" t="s">
        <v>286</v>
      </c>
      <c r="B8829" s="83" t="s">
        <v>2822</v>
      </c>
      <c r="C8829" s="91" t="s">
        <v>1099</v>
      </c>
    </row>
    <row r="8830" spans="1:3" ht="15">
      <c r="A8830" s="84" t="s">
        <v>286</v>
      </c>
      <c r="B8830" s="83" t="s">
        <v>2823</v>
      </c>
      <c r="C8830" s="91" t="s">
        <v>1099</v>
      </c>
    </row>
    <row r="8831" spans="1:3" ht="15">
      <c r="A8831" s="84" t="s">
        <v>286</v>
      </c>
      <c r="B8831" s="83" t="s">
        <v>2824</v>
      </c>
      <c r="C8831" s="91" t="s">
        <v>1099</v>
      </c>
    </row>
    <row r="8832" spans="1:3" ht="15">
      <c r="A8832" s="84" t="s">
        <v>286</v>
      </c>
      <c r="B8832" s="83" t="s">
        <v>2694</v>
      </c>
      <c r="C8832" s="91" t="s">
        <v>1099</v>
      </c>
    </row>
    <row r="8833" spans="1:3" ht="15">
      <c r="A8833" s="84" t="s">
        <v>286</v>
      </c>
      <c r="B8833" s="83" t="s">
        <v>2636</v>
      </c>
      <c r="C8833" s="91" t="s">
        <v>1099</v>
      </c>
    </row>
    <row r="8834" spans="1:3" ht="15">
      <c r="A8834" s="84" t="s">
        <v>286</v>
      </c>
      <c r="B8834" s="83" t="s">
        <v>2825</v>
      </c>
      <c r="C8834" s="91" t="s">
        <v>1099</v>
      </c>
    </row>
    <row r="8835" spans="1:3" ht="15">
      <c r="A8835" s="84" t="s">
        <v>286</v>
      </c>
      <c r="B8835" s="83" t="s">
        <v>2665</v>
      </c>
      <c r="C8835" s="91" t="s">
        <v>1099</v>
      </c>
    </row>
    <row r="8836" spans="1:3" ht="15">
      <c r="A8836" s="84" t="s">
        <v>286</v>
      </c>
      <c r="B8836" s="83" t="s">
        <v>2826</v>
      </c>
      <c r="C8836" s="91" t="s">
        <v>1099</v>
      </c>
    </row>
    <row r="8837" spans="1:3" ht="15">
      <c r="A8837" s="84" t="s">
        <v>286</v>
      </c>
      <c r="B8837" s="83" t="s">
        <v>2827</v>
      </c>
      <c r="C8837" s="91" t="s">
        <v>1099</v>
      </c>
    </row>
    <row r="8838" spans="1:3" ht="15">
      <c r="A8838" s="84" t="s">
        <v>286</v>
      </c>
      <c r="B8838" s="83" t="s">
        <v>2895</v>
      </c>
      <c r="C8838" s="91" t="s">
        <v>1099</v>
      </c>
    </row>
    <row r="8839" spans="1:3" ht="15">
      <c r="A8839" s="84" t="s">
        <v>286</v>
      </c>
      <c r="B8839" s="83" t="s">
        <v>2569</v>
      </c>
      <c r="C8839" s="91" t="s">
        <v>1099</v>
      </c>
    </row>
    <row r="8840" spans="1:3" ht="15">
      <c r="A8840" s="84" t="s">
        <v>286</v>
      </c>
      <c r="B8840" s="83" t="s">
        <v>3365</v>
      </c>
      <c r="C8840" s="91" t="s">
        <v>1099</v>
      </c>
    </row>
    <row r="8841" spans="1:3" ht="15">
      <c r="A8841" s="84" t="s">
        <v>286</v>
      </c>
      <c r="B8841" s="83" t="s">
        <v>3366</v>
      </c>
      <c r="C8841" s="91" t="s">
        <v>1099</v>
      </c>
    </row>
    <row r="8842" spans="1:3" ht="15">
      <c r="A8842" s="84" t="s">
        <v>286</v>
      </c>
      <c r="B8842" s="83" t="s">
        <v>3367</v>
      </c>
      <c r="C8842" s="91" t="s">
        <v>1099</v>
      </c>
    </row>
    <row r="8843" spans="1:3" ht="15">
      <c r="A8843" s="84" t="s">
        <v>286</v>
      </c>
      <c r="B8843" s="83" t="s">
        <v>3199</v>
      </c>
      <c r="C8843" s="91" t="s">
        <v>1099</v>
      </c>
    </row>
    <row r="8844" spans="1:3" ht="15">
      <c r="A8844" s="84" t="s">
        <v>286</v>
      </c>
      <c r="B8844" s="83" t="s">
        <v>3238</v>
      </c>
      <c r="C8844" s="91" t="s">
        <v>1099</v>
      </c>
    </row>
    <row r="8845" spans="1:3" ht="15">
      <c r="A8845" s="84" t="s">
        <v>286</v>
      </c>
      <c r="B8845" s="83" t="s">
        <v>3214</v>
      </c>
      <c r="C8845" s="91" t="s">
        <v>1099</v>
      </c>
    </row>
    <row r="8846" spans="1:3" ht="15">
      <c r="A8846" s="84" t="s">
        <v>286</v>
      </c>
      <c r="B8846" s="83" t="s">
        <v>3368</v>
      </c>
      <c r="C8846" s="91" t="s">
        <v>1099</v>
      </c>
    </row>
    <row r="8847" spans="1:3" ht="15">
      <c r="A8847" s="84" t="s">
        <v>286</v>
      </c>
      <c r="B8847" s="83" t="s">
        <v>3213</v>
      </c>
      <c r="C8847" s="91" t="s">
        <v>1099</v>
      </c>
    </row>
    <row r="8848" spans="1:3" ht="15">
      <c r="A8848" s="84" t="s">
        <v>286</v>
      </c>
      <c r="B8848" s="83" t="s">
        <v>3258</v>
      </c>
      <c r="C8848" s="91" t="s">
        <v>1099</v>
      </c>
    </row>
    <row r="8849" spans="1:3" ht="15">
      <c r="A8849" s="84" t="s">
        <v>286</v>
      </c>
      <c r="B8849" s="83" t="s">
        <v>3369</v>
      </c>
      <c r="C8849" s="91" t="s">
        <v>1099</v>
      </c>
    </row>
    <row r="8850" spans="1:3" ht="15">
      <c r="A8850" s="84" t="s">
        <v>285</v>
      </c>
      <c r="B8850" s="83" t="s">
        <v>3267</v>
      </c>
      <c r="C8850" s="91" t="s">
        <v>1098</v>
      </c>
    </row>
    <row r="8851" spans="1:3" ht="15">
      <c r="A8851" s="84" t="s">
        <v>285</v>
      </c>
      <c r="B8851" s="83" t="s">
        <v>2581</v>
      </c>
      <c r="C8851" s="91" t="s">
        <v>1098</v>
      </c>
    </row>
    <row r="8852" spans="1:3" ht="15">
      <c r="A8852" s="84" t="s">
        <v>285</v>
      </c>
      <c r="B8852" s="83" t="s">
        <v>2586</v>
      </c>
      <c r="C8852" s="91" t="s">
        <v>1098</v>
      </c>
    </row>
    <row r="8853" spans="1:3" ht="15">
      <c r="A8853" s="84" t="s">
        <v>285</v>
      </c>
      <c r="B8853" s="83" t="s">
        <v>2595</v>
      </c>
      <c r="C8853" s="91" t="s">
        <v>1098</v>
      </c>
    </row>
    <row r="8854" spans="1:3" ht="15">
      <c r="A8854" s="84" t="s">
        <v>285</v>
      </c>
      <c r="B8854" s="83" t="s">
        <v>2568</v>
      </c>
      <c r="C8854" s="91" t="s">
        <v>1098</v>
      </c>
    </row>
    <row r="8855" spans="1:3" ht="15">
      <c r="A8855" s="84" t="s">
        <v>285</v>
      </c>
      <c r="B8855" s="83" t="s">
        <v>2592</v>
      </c>
      <c r="C8855" s="91" t="s">
        <v>1098</v>
      </c>
    </row>
    <row r="8856" spans="1:3" ht="15">
      <c r="A8856" s="84" t="s">
        <v>285</v>
      </c>
      <c r="B8856" s="83" t="s">
        <v>3213</v>
      </c>
      <c r="C8856" s="91" t="s">
        <v>1098</v>
      </c>
    </row>
    <row r="8857" spans="1:3" ht="15">
      <c r="A8857" s="84" t="s">
        <v>285</v>
      </c>
      <c r="B8857" s="83" t="s">
        <v>2576</v>
      </c>
      <c r="C8857" s="91" t="s">
        <v>1098</v>
      </c>
    </row>
    <row r="8858" spans="1:3" ht="15">
      <c r="A8858" s="84" t="s">
        <v>285</v>
      </c>
      <c r="B8858" s="83" t="s">
        <v>3229</v>
      </c>
      <c r="C8858" s="91" t="s">
        <v>1098</v>
      </c>
    </row>
    <row r="8859" spans="1:3" ht="15">
      <c r="A8859" s="84" t="s">
        <v>285</v>
      </c>
      <c r="B8859" s="83" t="s">
        <v>3230</v>
      </c>
      <c r="C8859" s="91" t="s">
        <v>1098</v>
      </c>
    </row>
    <row r="8860" spans="1:3" ht="15">
      <c r="A8860" s="84" t="s">
        <v>285</v>
      </c>
      <c r="B8860" s="83" t="s">
        <v>2598</v>
      </c>
      <c r="C8860" s="91" t="s">
        <v>1098</v>
      </c>
    </row>
    <row r="8861" spans="1:3" ht="15">
      <c r="A8861" s="84" t="s">
        <v>285</v>
      </c>
      <c r="B8861" s="83" t="s">
        <v>3231</v>
      </c>
      <c r="C8861" s="91" t="s">
        <v>1098</v>
      </c>
    </row>
    <row r="8862" spans="1:3" ht="15">
      <c r="A8862" s="84" t="s">
        <v>285</v>
      </c>
      <c r="B8862" s="83" t="s">
        <v>3232</v>
      </c>
      <c r="C8862" s="91" t="s">
        <v>1098</v>
      </c>
    </row>
    <row r="8863" spans="1:3" ht="15">
      <c r="A8863" s="84" t="s">
        <v>285</v>
      </c>
      <c r="B8863" s="83" t="s">
        <v>3233</v>
      </c>
      <c r="C8863" s="91" t="s">
        <v>1098</v>
      </c>
    </row>
    <row r="8864" spans="1:3" ht="15">
      <c r="A8864" s="84" t="s">
        <v>285</v>
      </c>
      <c r="B8864" s="83" t="s">
        <v>3211</v>
      </c>
      <c r="C8864" s="91" t="s">
        <v>1098</v>
      </c>
    </row>
    <row r="8865" spans="1:3" ht="15">
      <c r="A8865" s="84" t="s">
        <v>285</v>
      </c>
      <c r="B8865" s="83" t="s">
        <v>3199</v>
      </c>
      <c r="C8865" s="91" t="s">
        <v>1098</v>
      </c>
    </row>
    <row r="8866" spans="1:3" ht="15">
      <c r="A8866" s="84" t="s">
        <v>285</v>
      </c>
      <c r="B8866" s="83" t="s">
        <v>3218</v>
      </c>
      <c r="C8866" s="91" t="s">
        <v>1098</v>
      </c>
    </row>
    <row r="8867" spans="1:3" ht="15">
      <c r="A8867" s="84" t="s">
        <v>285</v>
      </c>
      <c r="B8867" s="83" t="s">
        <v>3234</v>
      </c>
      <c r="C8867" s="91" t="s">
        <v>1098</v>
      </c>
    </row>
    <row r="8868" spans="1:3" ht="15">
      <c r="A8868" s="84" t="s">
        <v>285</v>
      </c>
      <c r="B8868" s="83" t="s">
        <v>3235</v>
      </c>
      <c r="C8868" s="91" t="s">
        <v>1098</v>
      </c>
    </row>
    <row r="8869" spans="1:3" ht="15">
      <c r="A8869" s="84" t="s">
        <v>285</v>
      </c>
      <c r="B8869" s="83" t="s">
        <v>3236</v>
      </c>
      <c r="C8869" s="91" t="s">
        <v>1098</v>
      </c>
    </row>
    <row r="8870" spans="1:3" ht="15">
      <c r="A8870" s="84" t="s">
        <v>285</v>
      </c>
      <c r="B8870" s="83" t="s">
        <v>3237</v>
      </c>
      <c r="C8870" s="91" t="s">
        <v>1098</v>
      </c>
    </row>
    <row r="8871" spans="1:3" ht="15">
      <c r="A8871" s="84" t="s">
        <v>285</v>
      </c>
      <c r="B8871" s="83" t="s">
        <v>3238</v>
      </c>
      <c r="C8871" s="91" t="s">
        <v>1098</v>
      </c>
    </row>
    <row r="8872" spans="1:3" ht="15">
      <c r="A8872" s="84" t="s">
        <v>285</v>
      </c>
      <c r="B8872" s="83" t="s">
        <v>3239</v>
      </c>
      <c r="C8872" s="91" t="s">
        <v>1098</v>
      </c>
    </row>
    <row r="8873" spans="1:3" ht="15">
      <c r="A8873" s="84" t="s">
        <v>285</v>
      </c>
      <c r="B8873" s="83" t="s">
        <v>3240</v>
      </c>
      <c r="C8873" s="91" t="s">
        <v>1098</v>
      </c>
    </row>
    <row r="8874" spans="1:3" ht="15">
      <c r="A8874" s="84" t="s">
        <v>285</v>
      </c>
      <c r="B8874" s="83" t="s">
        <v>3241</v>
      </c>
      <c r="C8874" s="91" t="s">
        <v>1098</v>
      </c>
    </row>
    <row r="8875" spans="1:3" ht="15">
      <c r="A8875" s="84" t="s">
        <v>285</v>
      </c>
      <c r="B8875" s="83" t="s">
        <v>3242</v>
      </c>
      <c r="C8875" s="91" t="s">
        <v>1098</v>
      </c>
    </row>
    <row r="8876" spans="1:3" ht="15">
      <c r="A8876" s="84" t="s">
        <v>285</v>
      </c>
      <c r="B8876" s="83" t="s">
        <v>2767</v>
      </c>
      <c r="C8876" s="91" t="s">
        <v>1098</v>
      </c>
    </row>
    <row r="8877" spans="1:3" ht="15">
      <c r="A8877" s="84" t="s">
        <v>285</v>
      </c>
      <c r="B8877" s="83" t="s">
        <v>3243</v>
      </c>
      <c r="C8877" s="91" t="s">
        <v>1098</v>
      </c>
    </row>
    <row r="8878" spans="1:3" ht="15">
      <c r="A8878" s="84" t="s">
        <v>285</v>
      </c>
      <c r="B8878" s="83" t="s">
        <v>3244</v>
      </c>
      <c r="C8878" s="91" t="s">
        <v>1098</v>
      </c>
    </row>
    <row r="8879" spans="1:3" ht="15">
      <c r="A8879" s="84" t="s">
        <v>285</v>
      </c>
      <c r="B8879" s="83" t="s">
        <v>3223</v>
      </c>
      <c r="C8879" s="91" t="s">
        <v>1098</v>
      </c>
    </row>
    <row r="8880" spans="1:3" ht="15">
      <c r="A8880" s="84" t="s">
        <v>284</v>
      </c>
      <c r="B8880" s="83" t="s">
        <v>434</v>
      </c>
      <c r="C8880" s="91" t="s">
        <v>1097</v>
      </c>
    </row>
    <row r="8881" spans="1:3" ht="15">
      <c r="A8881" s="84" t="s">
        <v>284</v>
      </c>
      <c r="B8881" s="83" t="s">
        <v>3487</v>
      </c>
      <c r="C8881" s="91" t="s">
        <v>1097</v>
      </c>
    </row>
    <row r="8882" spans="1:3" ht="15">
      <c r="A8882" s="84" t="s">
        <v>284</v>
      </c>
      <c r="B8882" s="83" t="s">
        <v>2658</v>
      </c>
      <c r="C8882" s="91" t="s">
        <v>1097</v>
      </c>
    </row>
    <row r="8883" spans="1:3" ht="15">
      <c r="A8883" s="84" t="s">
        <v>284</v>
      </c>
      <c r="B8883" s="83" t="s">
        <v>2576</v>
      </c>
      <c r="C8883" s="91" t="s">
        <v>1097</v>
      </c>
    </row>
    <row r="8884" spans="1:3" ht="15">
      <c r="A8884" s="84" t="s">
        <v>284</v>
      </c>
      <c r="B8884" s="83" t="s">
        <v>2589</v>
      </c>
      <c r="C8884" s="91" t="s">
        <v>1097</v>
      </c>
    </row>
    <row r="8885" spans="1:3" ht="15">
      <c r="A8885" s="84" t="s">
        <v>284</v>
      </c>
      <c r="B8885" s="83" t="s">
        <v>3572</v>
      </c>
      <c r="C8885" s="91" t="s">
        <v>1097</v>
      </c>
    </row>
    <row r="8886" spans="1:3" ht="15">
      <c r="A8886" s="84" t="s">
        <v>284</v>
      </c>
      <c r="B8886" s="83" t="s">
        <v>3573</v>
      </c>
      <c r="C8886" s="91" t="s">
        <v>1097</v>
      </c>
    </row>
    <row r="8887" spans="1:3" ht="15">
      <c r="A8887" s="84" t="s">
        <v>284</v>
      </c>
      <c r="B8887" s="83" t="s">
        <v>3449</v>
      </c>
      <c r="C8887" s="91" t="s">
        <v>1097</v>
      </c>
    </row>
    <row r="8888" spans="1:3" ht="15">
      <c r="A8888" s="84" t="s">
        <v>284</v>
      </c>
      <c r="B8888" s="83" t="s">
        <v>2665</v>
      </c>
      <c r="C8888" s="91" t="s">
        <v>1097</v>
      </c>
    </row>
    <row r="8889" spans="1:3" ht="15">
      <c r="A8889" s="84" t="s">
        <v>284</v>
      </c>
      <c r="B8889" s="83" t="s">
        <v>2582</v>
      </c>
      <c r="C8889" s="91" t="s">
        <v>1097</v>
      </c>
    </row>
    <row r="8890" spans="1:3" ht="15">
      <c r="A8890" s="84" t="s">
        <v>284</v>
      </c>
      <c r="B8890" s="83" t="s">
        <v>3574</v>
      </c>
      <c r="C8890" s="91" t="s">
        <v>1097</v>
      </c>
    </row>
    <row r="8891" spans="1:3" ht="15">
      <c r="A8891" s="84" t="s">
        <v>284</v>
      </c>
      <c r="B8891" s="83" t="s">
        <v>3575</v>
      </c>
      <c r="C8891" s="91" t="s">
        <v>1097</v>
      </c>
    </row>
    <row r="8892" spans="1:3" ht="15">
      <c r="A8892" s="84" t="s">
        <v>284</v>
      </c>
      <c r="B8892" s="83" t="s">
        <v>2577</v>
      </c>
      <c r="C8892" s="91" t="s">
        <v>1097</v>
      </c>
    </row>
    <row r="8893" spans="1:3" ht="15">
      <c r="A8893" s="84" t="s">
        <v>284</v>
      </c>
      <c r="B8893" s="83" t="s">
        <v>2663</v>
      </c>
      <c r="C8893" s="91" t="s">
        <v>1097</v>
      </c>
    </row>
    <row r="8894" spans="1:3" ht="15">
      <c r="A8894" s="84" t="s">
        <v>284</v>
      </c>
      <c r="B8894" s="83" t="s">
        <v>2568</v>
      </c>
      <c r="C8894" s="91" t="s">
        <v>1097</v>
      </c>
    </row>
    <row r="8895" spans="1:3" ht="15">
      <c r="A8895" s="84" t="s">
        <v>284</v>
      </c>
      <c r="B8895" s="83" t="s">
        <v>3203</v>
      </c>
      <c r="C8895" s="91" t="s">
        <v>1097</v>
      </c>
    </row>
    <row r="8896" spans="1:3" ht="15">
      <c r="A8896" s="84" t="s">
        <v>284</v>
      </c>
      <c r="B8896" s="83">
        <v>19</v>
      </c>
      <c r="C8896" s="91" t="s">
        <v>1097</v>
      </c>
    </row>
    <row r="8897" spans="1:3" ht="15">
      <c r="A8897" s="84" t="s">
        <v>284</v>
      </c>
      <c r="B8897" s="83" t="s">
        <v>3576</v>
      </c>
      <c r="C8897" s="91" t="s">
        <v>1097</v>
      </c>
    </row>
    <row r="8898" spans="1:3" ht="15">
      <c r="A8898" s="84" t="s">
        <v>284</v>
      </c>
      <c r="B8898" s="83" t="s">
        <v>2729</v>
      </c>
      <c r="C8898" s="91" t="s">
        <v>1097</v>
      </c>
    </row>
    <row r="8899" spans="1:3" ht="15">
      <c r="A8899" s="84" t="s">
        <v>284</v>
      </c>
      <c r="B8899" s="83" t="s">
        <v>2748</v>
      </c>
      <c r="C8899" s="91" t="s">
        <v>1097</v>
      </c>
    </row>
    <row r="8900" spans="1:3" ht="15">
      <c r="A8900" s="84" t="s">
        <v>284</v>
      </c>
      <c r="B8900" s="83" t="s">
        <v>2772</v>
      </c>
      <c r="C8900" s="91" t="s">
        <v>1097</v>
      </c>
    </row>
    <row r="8901" spans="1:3" ht="15">
      <c r="A8901" s="84" t="s">
        <v>284</v>
      </c>
      <c r="B8901" s="83" t="s">
        <v>3577</v>
      </c>
      <c r="C8901" s="91" t="s">
        <v>1097</v>
      </c>
    </row>
    <row r="8902" spans="1:3" ht="15">
      <c r="A8902" s="84" t="s">
        <v>284</v>
      </c>
      <c r="B8902" s="83" t="s">
        <v>3578</v>
      </c>
      <c r="C8902" s="91" t="s">
        <v>1097</v>
      </c>
    </row>
    <row r="8903" spans="1:3" ht="15">
      <c r="A8903" s="84" t="s">
        <v>284</v>
      </c>
      <c r="B8903" s="83" t="s">
        <v>3579</v>
      </c>
      <c r="C8903" s="91" t="s">
        <v>1097</v>
      </c>
    </row>
    <row r="8904" spans="1:3" ht="15">
      <c r="A8904" s="84" t="s">
        <v>284</v>
      </c>
      <c r="B8904" s="83" t="s">
        <v>3580</v>
      </c>
      <c r="C8904" s="91" t="s">
        <v>1097</v>
      </c>
    </row>
    <row r="8905" spans="1:3" ht="15">
      <c r="A8905" s="84" t="s">
        <v>284</v>
      </c>
      <c r="B8905" s="83" t="s">
        <v>3335</v>
      </c>
      <c r="C8905" s="91" t="s">
        <v>1097</v>
      </c>
    </row>
    <row r="8906" spans="1:3" ht="15">
      <c r="A8906" s="84" t="s">
        <v>284</v>
      </c>
      <c r="B8906" s="83" t="s">
        <v>2581</v>
      </c>
      <c r="C8906" s="91" t="s">
        <v>1097</v>
      </c>
    </row>
    <row r="8907" spans="1:3" ht="15">
      <c r="A8907" s="84" t="s">
        <v>284</v>
      </c>
      <c r="B8907" s="83" t="s">
        <v>3581</v>
      </c>
      <c r="C8907" s="91" t="s">
        <v>1097</v>
      </c>
    </row>
    <row r="8908" spans="1:3" ht="15">
      <c r="A8908" s="84" t="s">
        <v>284</v>
      </c>
      <c r="B8908" s="83" t="s">
        <v>2730</v>
      </c>
      <c r="C8908" s="91" t="s">
        <v>1097</v>
      </c>
    </row>
    <row r="8909" spans="1:3" ht="15">
      <c r="A8909" s="84" t="s">
        <v>284</v>
      </c>
      <c r="B8909" s="83" t="s">
        <v>3582</v>
      </c>
      <c r="C8909" s="91" t="s">
        <v>1097</v>
      </c>
    </row>
    <row r="8910" spans="1:3" ht="15">
      <c r="A8910" s="84" t="s">
        <v>284</v>
      </c>
      <c r="B8910" s="83" t="s">
        <v>3583</v>
      </c>
      <c r="C8910" s="91" t="s">
        <v>1097</v>
      </c>
    </row>
    <row r="8911" spans="1:3" ht="15">
      <c r="A8911" s="84" t="s">
        <v>284</v>
      </c>
      <c r="B8911" s="83" t="s">
        <v>3584</v>
      </c>
      <c r="C8911" s="91" t="s">
        <v>1097</v>
      </c>
    </row>
    <row r="8912" spans="1:3" ht="15">
      <c r="A8912" s="84" t="s">
        <v>284</v>
      </c>
      <c r="B8912" s="83" t="s">
        <v>3585</v>
      </c>
      <c r="C8912" s="91" t="s">
        <v>1097</v>
      </c>
    </row>
    <row r="8913" spans="1:3" ht="15">
      <c r="A8913" s="84" t="s">
        <v>284</v>
      </c>
      <c r="B8913" s="83" t="s">
        <v>3586</v>
      </c>
      <c r="C8913" s="91" t="s">
        <v>1097</v>
      </c>
    </row>
    <row r="8914" spans="1:3" ht="15">
      <c r="A8914" s="84" t="s">
        <v>284</v>
      </c>
      <c r="B8914" s="83" t="s">
        <v>3040</v>
      </c>
      <c r="C8914" s="91" t="s">
        <v>1097</v>
      </c>
    </row>
    <row r="8915" spans="1:3" ht="15">
      <c r="A8915" s="84" t="s">
        <v>284</v>
      </c>
      <c r="B8915" s="83" t="s">
        <v>3587</v>
      </c>
      <c r="C8915" s="91" t="s">
        <v>1097</v>
      </c>
    </row>
    <row r="8916" spans="1:3" ht="15">
      <c r="A8916" s="84" t="s">
        <v>284</v>
      </c>
      <c r="B8916" s="83" t="s">
        <v>586</v>
      </c>
      <c r="C8916" s="91" t="s">
        <v>1097</v>
      </c>
    </row>
    <row r="8917" spans="1:3" ht="15">
      <c r="A8917" s="84" t="s">
        <v>283</v>
      </c>
      <c r="B8917" s="83" t="s">
        <v>3433</v>
      </c>
      <c r="C8917" s="91" t="s">
        <v>1096</v>
      </c>
    </row>
    <row r="8918" spans="1:3" ht="15">
      <c r="A8918" s="84" t="s">
        <v>283</v>
      </c>
      <c r="B8918" s="83" t="s">
        <v>2834</v>
      </c>
      <c r="C8918" s="91" t="s">
        <v>1096</v>
      </c>
    </row>
    <row r="8919" spans="1:3" ht="15">
      <c r="A8919" s="84" t="s">
        <v>283</v>
      </c>
      <c r="B8919" s="83" t="s">
        <v>2835</v>
      </c>
      <c r="C8919" s="91" t="s">
        <v>1096</v>
      </c>
    </row>
    <row r="8920" spans="1:3" ht="15">
      <c r="A8920" s="84" t="s">
        <v>283</v>
      </c>
      <c r="B8920" s="83" t="s">
        <v>2580</v>
      </c>
      <c r="C8920" s="91" t="s">
        <v>1096</v>
      </c>
    </row>
    <row r="8921" spans="1:3" ht="15">
      <c r="A8921" s="84" t="s">
        <v>283</v>
      </c>
      <c r="B8921" s="83" t="s">
        <v>2836</v>
      </c>
      <c r="C8921" s="91" t="s">
        <v>1096</v>
      </c>
    </row>
    <row r="8922" spans="1:3" ht="15">
      <c r="A8922" s="84" t="s">
        <v>283</v>
      </c>
      <c r="B8922" s="83" t="s">
        <v>2837</v>
      </c>
      <c r="C8922" s="91" t="s">
        <v>1096</v>
      </c>
    </row>
    <row r="8923" spans="1:3" ht="15">
      <c r="A8923" s="84" t="s">
        <v>283</v>
      </c>
      <c r="B8923" s="83" t="s">
        <v>2738</v>
      </c>
      <c r="C8923" s="91" t="s">
        <v>1096</v>
      </c>
    </row>
    <row r="8924" spans="1:3" ht="15">
      <c r="A8924" s="84" t="s">
        <v>283</v>
      </c>
      <c r="B8924" s="83" t="s">
        <v>3210</v>
      </c>
      <c r="C8924" s="91" t="s">
        <v>1096</v>
      </c>
    </row>
    <row r="8925" spans="1:3" ht="15">
      <c r="A8925" s="84" t="s">
        <v>283</v>
      </c>
      <c r="B8925" s="83">
        <v>19</v>
      </c>
      <c r="C8925" s="91" t="s">
        <v>1096</v>
      </c>
    </row>
    <row r="8926" spans="1:3" ht="15">
      <c r="A8926" s="84" t="s">
        <v>283</v>
      </c>
      <c r="B8926" s="83" t="s">
        <v>2591</v>
      </c>
      <c r="C8926" s="91" t="s">
        <v>1096</v>
      </c>
    </row>
    <row r="8927" spans="1:3" ht="15">
      <c r="A8927" s="84" t="s">
        <v>283</v>
      </c>
      <c r="B8927" s="83" t="s">
        <v>2718</v>
      </c>
      <c r="C8927" s="91" t="s">
        <v>1096</v>
      </c>
    </row>
    <row r="8928" spans="1:3" ht="15">
      <c r="A8928" s="84" t="s">
        <v>283</v>
      </c>
      <c r="B8928" s="83" t="s">
        <v>3199</v>
      </c>
      <c r="C8928" s="91" t="s">
        <v>1096</v>
      </c>
    </row>
    <row r="8929" spans="1:3" ht="15">
      <c r="A8929" s="84" t="s">
        <v>283</v>
      </c>
      <c r="B8929" s="83" t="s">
        <v>2577</v>
      </c>
      <c r="C8929" s="91" t="s">
        <v>1096</v>
      </c>
    </row>
    <row r="8930" spans="1:3" ht="15">
      <c r="A8930" s="84" t="s">
        <v>283</v>
      </c>
      <c r="B8930" s="83" t="s">
        <v>2838</v>
      </c>
      <c r="C8930" s="91" t="s">
        <v>1096</v>
      </c>
    </row>
    <row r="8931" spans="1:3" ht="15">
      <c r="A8931" s="84" t="s">
        <v>283</v>
      </c>
      <c r="B8931" s="83" t="s">
        <v>2586</v>
      </c>
      <c r="C8931" s="91" t="s">
        <v>1096</v>
      </c>
    </row>
    <row r="8932" spans="1:3" ht="15">
      <c r="A8932" s="84" t="s">
        <v>283</v>
      </c>
      <c r="B8932" s="83" t="s">
        <v>2839</v>
      </c>
      <c r="C8932" s="91" t="s">
        <v>1096</v>
      </c>
    </row>
    <row r="8933" spans="1:3" ht="15">
      <c r="A8933" s="84" t="s">
        <v>283</v>
      </c>
      <c r="B8933" s="83" t="s">
        <v>2840</v>
      </c>
      <c r="C8933" s="91" t="s">
        <v>1096</v>
      </c>
    </row>
    <row r="8934" spans="1:3" ht="15">
      <c r="A8934" s="84" t="s">
        <v>283</v>
      </c>
      <c r="B8934" s="83" t="s">
        <v>2841</v>
      </c>
      <c r="C8934" s="91" t="s">
        <v>1096</v>
      </c>
    </row>
    <row r="8935" spans="1:3" ht="15">
      <c r="A8935" s="84" t="s">
        <v>283</v>
      </c>
      <c r="B8935" s="83" t="s">
        <v>2774</v>
      </c>
      <c r="C8935" s="91" t="s">
        <v>1096</v>
      </c>
    </row>
    <row r="8936" spans="1:3" ht="15">
      <c r="A8936" s="84" t="s">
        <v>283</v>
      </c>
      <c r="B8936" s="83" t="s">
        <v>2775</v>
      </c>
      <c r="C8936" s="91" t="s">
        <v>1096</v>
      </c>
    </row>
    <row r="8937" spans="1:3" ht="15">
      <c r="A8937" s="84" t="s">
        <v>283</v>
      </c>
      <c r="B8937" s="83" t="s">
        <v>2842</v>
      </c>
      <c r="C8937" s="91" t="s">
        <v>1096</v>
      </c>
    </row>
    <row r="8938" spans="1:3" ht="15">
      <c r="A8938" s="84" t="s">
        <v>283</v>
      </c>
      <c r="B8938" s="83" t="s">
        <v>2607</v>
      </c>
      <c r="C8938" s="91" t="s">
        <v>1096</v>
      </c>
    </row>
    <row r="8939" spans="1:3" ht="15">
      <c r="A8939" s="84" t="s">
        <v>283</v>
      </c>
      <c r="B8939" s="83" t="s">
        <v>3225</v>
      </c>
      <c r="C8939" s="91" t="s">
        <v>1096</v>
      </c>
    </row>
    <row r="8940" spans="1:3" ht="15">
      <c r="A8940" s="84" t="s">
        <v>283</v>
      </c>
      <c r="B8940" s="83" t="s">
        <v>3434</v>
      </c>
      <c r="C8940" s="91" t="s">
        <v>1096</v>
      </c>
    </row>
    <row r="8941" spans="1:3" ht="15">
      <c r="A8941" s="84" t="s">
        <v>283</v>
      </c>
      <c r="B8941" s="83" t="s">
        <v>3435</v>
      </c>
      <c r="C8941" s="91" t="s">
        <v>1096</v>
      </c>
    </row>
    <row r="8942" spans="1:3" ht="15">
      <c r="A8942" s="84" t="s">
        <v>283</v>
      </c>
      <c r="B8942" s="83" t="s">
        <v>2843</v>
      </c>
      <c r="C8942" s="91" t="s">
        <v>1096</v>
      </c>
    </row>
    <row r="8943" spans="1:3" ht="15">
      <c r="A8943" s="84" t="s">
        <v>283</v>
      </c>
      <c r="B8943" s="83" t="s">
        <v>3198</v>
      </c>
      <c r="C8943" s="91" t="s">
        <v>1096</v>
      </c>
    </row>
    <row r="8944" spans="1:3" ht="15">
      <c r="A8944" s="84" t="s">
        <v>283</v>
      </c>
      <c r="B8944" s="83" t="s">
        <v>3214</v>
      </c>
      <c r="C8944" s="91" t="s">
        <v>1096</v>
      </c>
    </row>
    <row r="8945" spans="1:3" ht="15">
      <c r="A8945" s="84" t="s">
        <v>283</v>
      </c>
      <c r="B8945" s="83" t="s">
        <v>3319</v>
      </c>
      <c r="C8945" s="91" t="s">
        <v>1096</v>
      </c>
    </row>
    <row r="8946" spans="1:3" ht="15">
      <c r="A8946" s="84" t="s">
        <v>282</v>
      </c>
      <c r="B8946" s="83" t="s">
        <v>3433</v>
      </c>
      <c r="C8946" s="91" t="s">
        <v>1095</v>
      </c>
    </row>
    <row r="8947" spans="1:3" ht="15">
      <c r="A8947" s="84" t="s">
        <v>282</v>
      </c>
      <c r="B8947" s="83" t="s">
        <v>2834</v>
      </c>
      <c r="C8947" s="91" t="s">
        <v>1095</v>
      </c>
    </row>
    <row r="8948" spans="1:3" ht="15">
      <c r="A8948" s="84" t="s">
        <v>282</v>
      </c>
      <c r="B8948" s="83" t="s">
        <v>2835</v>
      </c>
      <c r="C8948" s="91" t="s">
        <v>1095</v>
      </c>
    </row>
    <row r="8949" spans="1:3" ht="15">
      <c r="A8949" s="84" t="s">
        <v>282</v>
      </c>
      <c r="B8949" s="83" t="s">
        <v>2580</v>
      </c>
      <c r="C8949" s="91" t="s">
        <v>1095</v>
      </c>
    </row>
    <row r="8950" spans="1:3" ht="15">
      <c r="A8950" s="84" t="s">
        <v>282</v>
      </c>
      <c r="B8950" s="83" t="s">
        <v>2836</v>
      </c>
      <c r="C8950" s="91" t="s">
        <v>1095</v>
      </c>
    </row>
    <row r="8951" spans="1:3" ht="15">
      <c r="A8951" s="84" t="s">
        <v>282</v>
      </c>
      <c r="B8951" s="83" t="s">
        <v>2837</v>
      </c>
      <c r="C8951" s="91" t="s">
        <v>1095</v>
      </c>
    </row>
    <row r="8952" spans="1:3" ht="15">
      <c r="A8952" s="84" t="s">
        <v>282</v>
      </c>
      <c r="B8952" s="83" t="s">
        <v>2738</v>
      </c>
      <c r="C8952" s="91" t="s">
        <v>1095</v>
      </c>
    </row>
    <row r="8953" spans="1:3" ht="15">
      <c r="A8953" s="84" t="s">
        <v>282</v>
      </c>
      <c r="B8953" s="83" t="s">
        <v>3210</v>
      </c>
      <c r="C8953" s="91" t="s">
        <v>1095</v>
      </c>
    </row>
    <row r="8954" spans="1:3" ht="15">
      <c r="A8954" s="84" t="s">
        <v>282</v>
      </c>
      <c r="B8954" s="83">
        <v>19</v>
      </c>
      <c r="C8954" s="91" t="s">
        <v>1095</v>
      </c>
    </row>
    <row r="8955" spans="1:3" ht="15">
      <c r="A8955" s="84" t="s">
        <v>282</v>
      </c>
      <c r="B8955" s="83" t="s">
        <v>2591</v>
      </c>
      <c r="C8955" s="91" t="s">
        <v>1095</v>
      </c>
    </row>
    <row r="8956" spans="1:3" ht="15">
      <c r="A8956" s="84" t="s">
        <v>282</v>
      </c>
      <c r="B8956" s="83" t="s">
        <v>2718</v>
      </c>
      <c r="C8956" s="91" t="s">
        <v>1095</v>
      </c>
    </row>
    <row r="8957" spans="1:3" ht="15">
      <c r="A8957" s="84" t="s">
        <v>282</v>
      </c>
      <c r="B8957" s="83" t="s">
        <v>3199</v>
      </c>
      <c r="C8957" s="91" t="s">
        <v>1095</v>
      </c>
    </row>
    <row r="8958" spans="1:3" ht="15">
      <c r="A8958" s="84" t="s">
        <v>282</v>
      </c>
      <c r="B8958" s="83" t="s">
        <v>2577</v>
      </c>
      <c r="C8958" s="91" t="s">
        <v>1095</v>
      </c>
    </row>
    <row r="8959" spans="1:3" ht="15">
      <c r="A8959" s="84" t="s">
        <v>282</v>
      </c>
      <c r="B8959" s="83" t="s">
        <v>2838</v>
      </c>
      <c r="C8959" s="91" t="s">
        <v>1095</v>
      </c>
    </row>
    <row r="8960" spans="1:3" ht="15">
      <c r="A8960" s="84" t="s">
        <v>282</v>
      </c>
      <c r="B8960" s="83" t="s">
        <v>2586</v>
      </c>
      <c r="C8960" s="91" t="s">
        <v>1095</v>
      </c>
    </row>
    <row r="8961" spans="1:3" ht="15">
      <c r="A8961" s="84" t="s">
        <v>282</v>
      </c>
      <c r="B8961" s="83" t="s">
        <v>2839</v>
      </c>
      <c r="C8961" s="91" t="s">
        <v>1095</v>
      </c>
    </row>
    <row r="8962" spans="1:3" ht="15">
      <c r="A8962" s="84" t="s">
        <v>282</v>
      </c>
      <c r="B8962" s="83" t="s">
        <v>2840</v>
      </c>
      <c r="C8962" s="91" t="s">
        <v>1095</v>
      </c>
    </row>
    <row r="8963" spans="1:3" ht="15">
      <c r="A8963" s="84" t="s">
        <v>282</v>
      </c>
      <c r="B8963" s="83" t="s">
        <v>2841</v>
      </c>
      <c r="C8963" s="91" t="s">
        <v>1095</v>
      </c>
    </row>
    <row r="8964" spans="1:3" ht="15">
      <c r="A8964" s="84" t="s">
        <v>282</v>
      </c>
      <c r="B8964" s="83" t="s">
        <v>2774</v>
      </c>
      <c r="C8964" s="91" t="s">
        <v>1095</v>
      </c>
    </row>
    <row r="8965" spans="1:3" ht="15">
      <c r="A8965" s="84" t="s">
        <v>282</v>
      </c>
      <c r="B8965" s="83" t="s">
        <v>2775</v>
      </c>
      <c r="C8965" s="91" t="s">
        <v>1095</v>
      </c>
    </row>
    <row r="8966" spans="1:3" ht="15">
      <c r="A8966" s="84" t="s">
        <v>282</v>
      </c>
      <c r="B8966" s="83" t="s">
        <v>2842</v>
      </c>
      <c r="C8966" s="91" t="s">
        <v>1095</v>
      </c>
    </row>
    <row r="8967" spans="1:3" ht="15">
      <c r="A8967" s="84" t="s">
        <v>282</v>
      </c>
      <c r="B8967" s="83" t="s">
        <v>2607</v>
      </c>
      <c r="C8967" s="91" t="s">
        <v>1095</v>
      </c>
    </row>
    <row r="8968" spans="1:3" ht="15">
      <c r="A8968" s="84" t="s">
        <v>282</v>
      </c>
      <c r="B8968" s="83" t="s">
        <v>3225</v>
      </c>
      <c r="C8968" s="91" t="s">
        <v>1095</v>
      </c>
    </row>
    <row r="8969" spans="1:3" ht="15">
      <c r="A8969" s="84" t="s">
        <v>282</v>
      </c>
      <c r="B8969" s="83" t="s">
        <v>3434</v>
      </c>
      <c r="C8969" s="91" t="s">
        <v>1095</v>
      </c>
    </row>
    <row r="8970" spans="1:3" ht="15">
      <c r="A8970" s="84" t="s">
        <v>282</v>
      </c>
      <c r="B8970" s="83" t="s">
        <v>3435</v>
      </c>
      <c r="C8970" s="91" t="s">
        <v>1095</v>
      </c>
    </row>
    <row r="8971" spans="1:3" ht="15">
      <c r="A8971" s="84" t="s">
        <v>282</v>
      </c>
      <c r="B8971" s="83" t="s">
        <v>2843</v>
      </c>
      <c r="C8971" s="91" t="s">
        <v>1095</v>
      </c>
    </row>
    <row r="8972" spans="1:3" ht="15">
      <c r="A8972" s="84" t="s">
        <v>282</v>
      </c>
      <c r="B8972" s="83" t="s">
        <v>3198</v>
      </c>
      <c r="C8972" s="91" t="s">
        <v>1095</v>
      </c>
    </row>
    <row r="8973" spans="1:3" ht="15">
      <c r="A8973" s="84" t="s">
        <v>282</v>
      </c>
      <c r="B8973" s="83" t="s">
        <v>3214</v>
      </c>
      <c r="C8973" s="91" t="s">
        <v>1095</v>
      </c>
    </row>
    <row r="8974" spans="1:3" ht="15">
      <c r="A8974" s="84" t="s">
        <v>282</v>
      </c>
      <c r="B8974" s="83" t="s">
        <v>3319</v>
      </c>
      <c r="C8974" s="91" t="s">
        <v>1095</v>
      </c>
    </row>
    <row r="8975" spans="1:3" ht="15">
      <c r="A8975" s="84" t="s">
        <v>281</v>
      </c>
      <c r="B8975" s="83" t="s">
        <v>3433</v>
      </c>
      <c r="C8975" s="91" t="s">
        <v>1094</v>
      </c>
    </row>
    <row r="8976" spans="1:3" ht="15">
      <c r="A8976" s="84" t="s">
        <v>281</v>
      </c>
      <c r="B8976" s="83" t="s">
        <v>2834</v>
      </c>
      <c r="C8976" s="91" t="s">
        <v>1094</v>
      </c>
    </row>
    <row r="8977" spans="1:3" ht="15">
      <c r="A8977" s="84" t="s">
        <v>281</v>
      </c>
      <c r="B8977" s="83" t="s">
        <v>2835</v>
      </c>
      <c r="C8977" s="91" t="s">
        <v>1094</v>
      </c>
    </row>
    <row r="8978" spans="1:3" ht="15">
      <c r="A8978" s="84" t="s">
        <v>281</v>
      </c>
      <c r="B8978" s="83" t="s">
        <v>2580</v>
      </c>
      <c r="C8978" s="91" t="s">
        <v>1094</v>
      </c>
    </row>
    <row r="8979" spans="1:3" ht="15">
      <c r="A8979" s="84" t="s">
        <v>281</v>
      </c>
      <c r="B8979" s="83" t="s">
        <v>2836</v>
      </c>
      <c r="C8979" s="91" t="s">
        <v>1094</v>
      </c>
    </row>
    <row r="8980" spans="1:3" ht="15">
      <c r="A8980" s="84" t="s">
        <v>281</v>
      </c>
      <c r="B8980" s="83" t="s">
        <v>2837</v>
      </c>
      <c r="C8980" s="91" t="s">
        <v>1094</v>
      </c>
    </row>
    <row r="8981" spans="1:3" ht="15">
      <c r="A8981" s="84" t="s">
        <v>281</v>
      </c>
      <c r="B8981" s="83" t="s">
        <v>2738</v>
      </c>
      <c r="C8981" s="91" t="s">
        <v>1094</v>
      </c>
    </row>
    <row r="8982" spans="1:3" ht="15">
      <c r="A8982" s="84" t="s">
        <v>281</v>
      </c>
      <c r="B8982" s="83" t="s">
        <v>3210</v>
      </c>
      <c r="C8982" s="91" t="s">
        <v>1094</v>
      </c>
    </row>
    <row r="8983" spans="1:3" ht="15">
      <c r="A8983" s="84" t="s">
        <v>281</v>
      </c>
      <c r="B8983" s="83">
        <v>19</v>
      </c>
      <c r="C8983" s="91" t="s">
        <v>1094</v>
      </c>
    </row>
    <row r="8984" spans="1:3" ht="15">
      <c r="A8984" s="84" t="s">
        <v>281</v>
      </c>
      <c r="B8984" s="83" t="s">
        <v>2591</v>
      </c>
      <c r="C8984" s="91" t="s">
        <v>1094</v>
      </c>
    </row>
    <row r="8985" spans="1:3" ht="15">
      <c r="A8985" s="84" t="s">
        <v>281</v>
      </c>
      <c r="B8985" s="83" t="s">
        <v>2718</v>
      </c>
      <c r="C8985" s="91" t="s">
        <v>1094</v>
      </c>
    </row>
    <row r="8986" spans="1:3" ht="15">
      <c r="A8986" s="84" t="s">
        <v>281</v>
      </c>
      <c r="B8986" s="83" t="s">
        <v>3199</v>
      </c>
      <c r="C8986" s="91" t="s">
        <v>1094</v>
      </c>
    </row>
    <row r="8987" spans="1:3" ht="15">
      <c r="A8987" s="84" t="s">
        <v>281</v>
      </c>
      <c r="B8987" s="83" t="s">
        <v>2577</v>
      </c>
      <c r="C8987" s="91" t="s">
        <v>1094</v>
      </c>
    </row>
    <row r="8988" spans="1:3" ht="15">
      <c r="A8988" s="84" t="s">
        <v>281</v>
      </c>
      <c r="B8988" s="83" t="s">
        <v>2838</v>
      </c>
      <c r="C8988" s="91" t="s">
        <v>1094</v>
      </c>
    </row>
    <row r="8989" spans="1:3" ht="15">
      <c r="A8989" s="84" t="s">
        <v>281</v>
      </c>
      <c r="B8989" s="83" t="s">
        <v>2586</v>
      </c>
      <c r="C8989" s="91" t="s">
        <v>1094</v>
      </c>
    </row>
    <row r="8990" spans="1:3" ht="15">
      <c r="A8990" s="84" t="s">
        <v>281</v>
      </c>
      <c r="B8990" s="83" t="s">
        <v>2839</v>
      </c>
      <c r="C8990" s="91" t="s">
        <v>1094</v>
      </c>
    </row>
    <row r="8991" spans="1:3" ht="15">
      <c r="A8991" s="84" t="s">
        <v>281</v>
      </c>
      <c r="B8991" s="83" t="s">
        <v>2840</v>
      </c>
      <c r="C8991" s="91" t="s">
        <v>1094</v>
      </c>
    </row>
    <row r="8992" spans="1:3" ht="15">
      <c r="A8992" s="84" t="s">
        <v>281</v>
      </c>
      <c r="B8992" s="83" t="s">
        <v>2841</v>
      </c>
      <c r="C8992" s="91" t="s">
        <v>1094</v>
      </c>
    </row>
    <row r="8993" spans="1:3" ht="15">
      <c r="A8993" s="84" t="s">
        <v>281</v>
      </c>
      <c r="B8993" s="83" t="s">
        <v>2774</v>
      </c>
      <c r="C8993" s="91" t="s">
        <v>1094</v>
      </c>
    </row>
    <row r="8994" spans="1:3" ht="15">
      <c r="A8994" s="84" t="s">
        <v>281</v>
      </c>
      <c r="B8994" s="83" t="s">
        <v>2775</v>
      </c>
      <c r="C8994" s="91" t="s">
        <v>1094</v>
      </c>
    </row>
    <row r="8995" spans="1:3" ht="15">
      <c r="A8995" s="84" t="s">
        <v>281</v>
      </c>
      <c r="B8995" s="83" t="s">
        <v>2842</v>
      </c>
      <c r="C8995" s="91" t="s">
        <v>1094</v>
      </c>
    </row>
    <row r="8996" spans="1:3" ht="15">
      <c r="A8996" s="84" t="s">
        <v>281</v>
      </c>
      <c r="B8996" s="83" t="s">
        <v>2607</v>
      </c>
      <c r="C8996" s="91" t="s">
        <v>1094</v>
      </c>
    </row>
    <row r="8997" spans="1:3" ht="15">
      <c r="A8997" s="84" t="s">
        <v>281</v>
      </c>
      <c r="B8997" s="83" t="s">
        <v>3225</v>
      </c>
      <c r="C8997" s="91" t="s">
        <v>1094</v>
      </c>
    </row>
    <row r="8998" spans="1:3" ht="15">
      <c r="A8998" s="84" t="s">
        <v>281</v>
      </c>
      <c r="B8998" s="83" t="s">
        <v>3434</v>
      </c>
      <c r="C8998" s="91" t="s">
        <v>1094</v>
      </c>
    </row>
    <row r="8999" spans="1:3" ht="15">
      <c r="A8999" s="84" t="s">
        <v>281</v>
      </c>
      <c r="B8999" s="83" t="s">
        <v>3435</v>
      </c>
      <c r="C8999" s="91" t="s">
        <v>1094</v>
      </c>
    </row>
    <row r="9000" spans="1:3" ht="15">
      <c r="A9000" s="84" t="s">
        <v>281</v>
      </c>
      <c r="B9000" s="83" t="s">
        <v>2843</v>
      </c>
      <c r="C9000" s="91" t="s">
        <v>1094</v>
      </c>
    </row>
    <row r="9001" spans="1:3" ht="15">
      <c r="A9001" s="84" t="s">
        <v>281</v>
      </c>
      <c r="B9001" s="83" t="s">
        <v>3198</v>
      </c>
      <c r="C9001" s="91" t="s">
        <v>1094</v>
      </c>
    </row>
    <row r="9002" spans="1:3" ht="15">
      <c r="A9002" s="84" t="s">
        <v>281</v>
      </c>
      <c r="B9002" s="83" t="s">
        <v>3214</v>
      </c>
      <c r="C9002" s="91" t="s">
        <v>1094</v>
      </c>
    </row>
    <row r="9003" spans="1:3" ht="15">
      <c r="A9003" s="84" t="s">
        <v>281</v>
      </c>
      <c r="B9003" s="83" t="s">
        <v>3319</v>
      </c>
      <c r="C9003" s="91" t="s">
        <v>1094</v>
      </c>
    </row>
    <row r="9004" spans="1:3" ht="15">
      <c r="A9004" s="84" t="s">
        <v>280</v>
      </c>
      <c r="B9004" s="83" t="s">
        <v>3588</v>
      </c>
      <c r="C9004" s="91" t="s">
        <v>1093</v>
      </c>
    </row>
    <row r="9005" spans="1:3" ht="15">
      <c r="A9005" s="84" t="s">
        <v>280</v>
      </c>
      <c r="B9005" s="83" t="s">
        <v>3120</v>
      </c>
      <c r="C9005" s="91" t="s">
        <v>1093</v>
      </c>
    </row>
    <row r="9006" spans="1:3" ht="15">
      <c r="A9006" s="84" t="s">
        <v>280</v>
      </c>
      <c r="B9006" s="83" t="s">
        <v>2678</v>
      </c>
      <c r="C9006" s="91" t="s">
        <v>1093</v>
      </c>
    </row>
    <row r="9007" spans="1:3" ht="15">
      <c r="A9007" s="84" t="s">
        <v>280</v>
      </c>
      <c r="B9007" s="83" t="s">
        <v>3589</v>
      </c>
      <c r="C9007" s="91" t="s">
        <v>1093</v>
      </c>
    </row>
    <row r="9008" spans="1:3" ht="15">
      <c r="A9008" s="84" t="s">
        <v>280</v>
      </c>
      <c r="B9008" s="83" t="s">
        <v>3590</v>
      </c>
      <c r="C9008" s="91" t="s">
        <v>1093</v>
      </c>
    </row>
    <row r="9009" spans="1:3" ht="15">
      <c r="A9009" s="84" t="s">
        <v>280</v>
      </c>
      <c r="B9009" s="83" t="s">
        <v>3591</v>
      </c>
      <c r="C9009" s="91" t="s">
        <v>1093</v>
      </c>
    </row>
    <row r="9010" spans="1:3" ht="15">
      <c r="A9010" s="84" t="s">
        <v>280</v>
      </c>
      <c r="B9010" s="83" t="s">
        <v>3592</v>
      </c>
      <c r="C9010" s="91" t="s">
        <v>1093</v>
      </c>
    </row>
    <row r="9011" spans="1:3" ht="15">
      <c r="A9011" s="84" t="s">
        <v>280</v>
      </c>
      <c r="B9011" s="83" t="s">
        <v>3336</v>
      </c>
      <c r="C9011" s="91" t="s">
        <v>1093</v>
      </c>
    </row>
    <row r="9012" spans="1:3" ht="15">
      <c r="A9012" s="84" t="s">
        <v>280</v>
      </c>
      <c r="B9012" s="83" t="s">
        <v>3258</v>
      </c>
      <c r="C9012" s="91" t="s">
        <v>1093</v>
      </c>
    </row>
    <row r="9013" spans="1:3" ht="15">
      <c r="A9013" s="84" t="s">
        <v>280</v>
      </c>
      <c r="B9013" s="83" t="s">
        <v>2972</v>
      </c>
      <c r="C9013" s="91" t="s">
        <v>1093</v>
      </c>
    </row>
    <row r="9014" spans="1:3" ht="15">
      <c r="A9014" s="84" t="s">
        <v>280</v>
      </c>
      <c r="B9014" s="83" t="s">
        <v>586</v>
      </c>
      <c r="C9014" s="91" t="s">
        <v>1093</v>
      </c>
    </row>
    <row r="9015" spans="1:3" ht="15">
      <c r="A9015" s="84" t="s">
        <v>280</v>
      </c>
      <c r="B9015" s="83" t="s">
        <v>3593</v>
      </c>
      <c r="C9015" s="91" t="s">
        <v>1093</v>
      </c>
    </row>
    <row r="9016" spans="1:3" ht="15">
      <c r="A9016" s="84" t="s">
        <v>280</v>
      </c>
      <c r="B9016" s="83" t="s">
        <v>3594</v>
      </c>
      <c r="C9016" s="91" t="s">
        <v>1093</v>
      </c>
    </row>
    <row r="9017" spans="1:3" ht="15">
      <c r="A9017" s="84" t="s">
        <v>280</v>
      </c>
      <c r="B9017" s="83" t="s">
        <v>2766</v>
      </c>
      <c r="C9017" s="91" t="s">
        <v>1093</v>
      </c>
    </row>
    <row r="9018" spans="1:3" ht="15">
      <c r="A9018" s="84" t="s">
        <v>280</v>
      </c>
      <c r="B9018" s="83" t="s">
        <v>3119</v>
      </c>
      <c r="C9018" s="91" t="s">
        <v>1093</v>
      </c>
    </row>
    <row r="9019" spans="1:3" ht="15">
      <c r="A9019" s="84" t="s">
        <v>280</v>
      </c>
      <c r="B9019" s="83" t="s">
        <v>3114</v>
      </c>
      <c r="C9019" s="91" t="s">
        <v>1093</v>
      </c>
    </row>
    <row r="9020" spans="1:3" ht="15">
      <c r="A9020" s="84" t="s">
        <v>280</v>
      </c>
      <c r="B9020" s="83" t="s">
        <v>3499</v>
      </c>
      <c r="C9020" s="91" t="s">
        <v>1093</v>
      </c>
    </row>
    <row r="9021" spans="1:3" ht="15">
      <c r="A9021" s="84" t="s">
        <v>280</v>
      </c>
      <c r="B9021" s="83" t="s">
        <v>3500</v>
      </c>
      <c r="C9021" s="91" t="s">
        <v>1093</v>
      </c>
    </row>
    <row r="9022" spans="1:3" ht="15">
      <c r="A9022" s="84" t="s">
        <v>280</v>
      </c>
      <c r="B9022" s="83" t="s">
        <v>3502</v>
      </c>
      <c r="C9022" s="91" t="s">
        <v>1093</v>
      </c>
    </row>
    <row r="9023" spans="1:3" ht="15">
      <c r="A9023" s="84" t="s">
        <v>280</v>
      </c>
      <c r="B9023" s="83" t="s">
        <v>3595</v>
      </c>
      <c r="C9023" s="91" t="s">
        <v>1093</v>
      </c>
    </row>
    <row r="9024" spans="1:3" ht="15">
      <c r="A9024" s="84" t="s">
        <v>280</v>
      </c>
      <c r="B9024" s="83" t="s">
        <v>3596</v>
      </c>
      <c r="C9024" s="91" t="s">
        <v>1093</v>
      </c>
    </row>
    <row r="9025" spans="1:3" ht="15">
      <c r="A9025" s="84" t="s">
        <v>280</v>
      </c>
      <c r="B9025" s="83" t="s">
        <v>3597</v>
      </c>
      <c r="C9025" s="91" t="s">
        <v>1093</v>
      </c>
    </row>
    <row r="9026" spans="1:3" ht="15">
      <c r="A9026" s="84" t="s">
        <v>280</v>
      </c>
      <c r="B9026" s="83" t="s">
        <v>2917</v>
      </c>
      <c r="C9026" s="91" t="s">
        <v>1093</v>
      </c>
    </row>
    <row r="9027" spans="1:3" ht="15">
      <c r="A9027" s="84" t="s">
        <v>280</v>
      </c>
      <c r="B9027" s="83" t="s">
        <v>2861</v>
      </c>
      <c r="C9027" s="91" t="s">
        <v>1093</v>
      </c>
    </row>
    <row r="9028" spans="1:3" ht="15">
      <c r="A9028" s="84" t="s">
        <v>280</v>
      </c>
      <c r="B9028" s="83" t="s">
        <v>3598</v>
      </c>
      <c r="C9028" s="91" t="s">
        <v>1093</v>
      </c>
    </row>
    <row r="9029" spans="1:3" ht="15">
      <c r="A9029" s="84" t="s">
        <v>280</v>
      </c>
      <c r="B9029" s="83" t="s">
        <v>3599</v>
      </c>
      <c r="C9029" s="91" t="s">
        <v>1093</v>
      </c>
    </row>
    <row r="9030" spans="1:3" ht="15">
      <c r="A9030" s="84" t="s">
        <v>280</v>
      </c>
      <c r="B9030" s="83" t="s">
        <v>2895</v>
      </c>
      <c r="C9030" s="91" t="s">
        <v>1093</v>
      </c>
    </row>
    <row r="9031" spans="1:3" ht="15">
      <c r="A9031" s="84" t="s">
        <v>280</v>
      </c>
      <c r="B9031" s="83" t="s">
        <v>3600</v>
      </c>
      <c r="C9031" s="91" t="s">
        <v>1093</v>
      </c>
    </row>
    <row r="9032" spans="1:3" ht="15">
      <c r="A9032" s="84" t="s">
        <v>279</v>
      </c>
      <c r="B9032" s="83" t="s">
        <v>3588</v>
      </c>
      <c r="C9032" s="91" t="s">
        <v>1092</v>
      </c>
    </row>
    <row r="9033" spans="1:3" ht="15">
      <c r="A9033" s="84" t="s">
        <v>279</v>
      </c>
      <c r="B9033" s="83" t="s">
        <v>3120</v>
      </c>
      <c r="C9033" s="91" t="s">
        <v>1092</v>
      </c>
    </row>
    <row r="9034" spans="1:3" ht="15">
      <c r="A9034" s="84" t="s">
        <v>279</v>
      </c>
      <c r="B9034" s="83" t="s">
        <v>2678</v>
      </c>
      <c r="C9034" s="91" t="s">
        <v>1092</v>
      </c>
    </row>
    <row r="9035" spans="1:3" ht="15">
      <c r="A9035" s="84" t="s">
        <v>279</v>
      </c>
      <c r="B9035" s="83" t="s">
        <v>3589</v>
      </c>
      <c r="C9035" s="91" t="s">
        <v>1092</v>
      </c>
    </row>
    <row r="9036" spans="1:3" ht="15">
      <c r="A9036" s="84" t="s">
        <v>279</v>
      </c>
      <c r="B9036" s="83" t="s">
        <v>3590</v>
      </c>
      <c r="C9036" s="91" t="s">
        <v>1092</v>
      </c>
    </row>
    <row r="9037" spans="1:3" ht="15">
      <c r="A9037" s="84" t="s">
        <v>279</v>
      </c>
      <c r="B9037" s="83" t="s">
        <v>3591</v>
      </c>
      <c r="C9037" s="91" t="s">
        <v>1092</v>
      </c>
    </row>
    <row r="9038" spans="1:3" ht="15">
      <c r="A9038" s="84" t="s">
        <v>279</v>
      </c>
      <c r="B9038" s="83" t="s">
        <v>3592</v>
      </c>
      <c r="C9038" s="91" t="s">
        <v>1092</v>
      </c>
    </row>
    <row r="9039" spans="1:3" ht="15">
      <c r="A9039" s="84" t="s">
        <v>279</v>
      </c>
      <c r="B9039" s="83" t="s">
        <v>3336</v>
      </c>
      <c r="C9039" s="91" t="s">
        <v>1092</v>
      </c>
    </row>
    <row r="9040" spans="1:3" ht="15">
      <c r="A9040" s="84" t="s">
        <v>279</v>
      </c>
      <c r="B9040" s="83" t="s">
        <v>3258</v>
      </c>
      <c r="C9040" s="91" t="s">
        <v>1092</v>
      </c>
    </row>
    <row r="9041" spans="1:3" ht="15">
      <c r="A9041" s="84" t="s">
        <v>279</v>
      </c>
      <c r="B9041" s="83" t="s">
        <v>2972</v>
      </c>
      <c r="C9041" s="91" t="s">
        <v>1092</v>
      </c>
    </row>
    <row r="9042" spans="1:3" ht="15">
      <c r="A9042" s="84" t="s">
        <v>279</v>
      </c>
      <c r="B9042" s="83" t="s">
        <v>586</v>
      </c>
      <c r="C9042" s="91" t="s">
        <v>1092</v>
      </c>
    </row>
    <row r="9043" spans="1:3" ht="15">
      <c r="A9043" s="84" t="s">
        <v>279</v>
      </c>
      <c r="B9043" s="83" t="s">
        <v>3593</v>
      </c>
      <c r="C9043" s="91" t="s">
        <v>1092</v>
      </c>
    </row>
    <row r="9044" spans="1:3" ht="15">
      <c r="A9044" s="84" t="s">
        <v>279</v>
      </c>
      <c r="B9044" s="83" t="s">
        <v>3594</v>
      </c>
      <c r="C9044" s="91" t="s">
        <v>1092</v>
      </c>
    </row>
    <row r="9045" spans="1:3" ht="15">
      <c r="A9045" s="84" t="s">
        <v>279</v>
      </c>
      <c r="B9045" s="83" t="s">
        <v>2766</v>
      </c>
      <c r="C9045" s="91" t="s">
        <v>1092</v>
      </c>
    </row>
    <row r="9046" spans="1:3" ht="15">
      <c r="A9046" s="84" t="s">
        <v>279</v>
      </c>
      <c r="B9046" s="83" t="s">
        <v>3119</v>
      </c>
      <c r="C9046" s="91" t="s">
        <v>1092</v>
      </c>
    </row>
    <row r="9047" spans="1:3" ht="15">
      <c r="A9047" s="84" t="s">
        <v>279</v>
      </c>
      <c r="B9047" s="83" t="s">
        <v>3114</v>
      </c>
      <c r="C9047" s="91" t="s">
        <v>1092</v>
      </c>
    </row>
    <row r="9048" spans="1:3" ht="15">
      <c r="A9048" s="84" t="s">
        <v>279</v>
      </c>
      <c r="B9048" s="83" t="s">
        <v>3499</v>
      </c>
      <c r="C9048" s="91" t="s">
        <v>1092</v>
      </c>
    </row>
    <row r="9049" spans="1:3" ht="15">
      <c r="A9049" s="84" t="s">
        <v>279</v>
      </c>
      <c r="B9049" s="83" t="s">
        <v>3500</v>
      </c>
      <c r="C9049" s="91" t="s">
        <v>1092</v>
      </c>
    </row>
    <row r="9050" spans="1:3" ht="15">
      <c r="A9050" s="84" t="s">
        <v>279</v>
      </c>
      <c r="B9050" s="83" t="s">
        <v>3502</v>
      </c>
      <c r="C9050" s="91" t="s">
        <v>1092</v>
      </c>
    </row>
    <row r="9051" spans="1:3" ht="15">
      <c r="A9051" s="84" t="s">
        <v>279</v>
      </c>
      <c r="B9051" s="83" t="s">
        <v>3595</v>
      </c>
      <c r="C9051" s="91" t="s">
        <v>1092</v>
      </c>
    </row>
    <row r="9052" spans="1:3" ht="15">
      <c r="A9052" s="84" t="s">
        <v>279</v>
      </c>
      <c r="B9052" s="83" t="s">
        <v>3596</v>
      </c>
      <c r="C9052" s="91" t="s">
        <v>1092</v>
      </c>
    </row>
    <row r="9053" spans="1:3" ht="15">
      <c r="A9053" s="84" t="s">
        <v>279</v>
      </c>
      <c r="B9053" s="83" t="s">
        <v>3597</v>
      </c>
      <c r="C9053" s="91" t="s">
        <v>1092</v>
      </c>
    </row>
    <row r="9054" spans="1:3" ht="15">
      <c r="A9054" s="84" t="s">
        <v>279</v>
      </c>
      <c r="B9054" s="83" t="s">
        <v>2917</v>
      </c>
      <c r="C9054" s="91" t="s">
        <v>1092</v>
      </c>
    </row>
    <row r="9055" spans="1:3" ht="15">
      <c r="A9055" s="84" t="s">
        <v>279</v>
      </c>
      <c r="B9055" s="83" t="s">
        <v>2861</v>
      </c>
      <c r="C9055" s="91" t="s">
        <v>1092</v>
      </c>
    </row>
    <row r="9056" spans="1:3" ht="15">
      <c r="A9056" s="84" t="s">
        <v>279</v>
      </c>
      <c r="B9056" s="83" t="s">
        <v>3598</v>
      </c>
      <c r="C9056" s="91" t="s">
        <v>1092</v>
      </c>
    </row>
    <row r="9057" spans="1:3" ht="15">
      <c r="A9057" s="84" t="s">
        <v>279</v>
      </c>
      <c r="B9057" s="83" t="s">
        <v>3599</v>
      </c>
      <c r="C9057" s="91" t="s">
        <v>1092</v>
      </c>
    </row>
    <row r="9058" spans="1:3" ht="15">
      <c r="A9058" s="84" t="s">
        <v>279</v>
      </c>
      <c r="B9058" s="83" t="s">
        <v>2895</v>
      </c>
      <c r="C9058" s="91" t="s">
        <v>1092</v>
      </c>
    </row>
    <row r="9059" spans="1:3" ht="15">
      <c r="A9059" s="84" t="s">
        <v>279</v>
      </c>
      <c r="B9059" s="83" t="s">
        <v>3600</v>
      </c>
      <c r="C9059" s="91" t="s">
        <v>1092</v>
      </c>
    </row>
    <row r="9060" spans="1:3" ht="15">
      <c r="A9060" s="84" t="s">
        <v>279</v>
      </c>
      <c r="B9060" s="83" t="s">
        <v>3601</v>
      </c>
      <c r="C9060" s="91" t="s">
        <v>1091</v>
      </c>
    </row>
    <row r="9061" spans="1:3" ht="15">
      <c r="A9061" s="84" t="s">
        <v>279</v>
      </c>
      <c r="B9061" s="83" t="s">
        <v>3263</v>
      </c>
      <c r="C9061" s="91" t="s">
        <v>1091</v>
      </c>
    </row>
    <row r="9062" spans="1:3" ht="15">
      <c r="A9062" s="84" t="s">
        <v>279</v>
      </c>
      <c r="B9062" s="83" t="s">
        <v>2678</v>
      </c>
      <c r="C9062" s="91" t="s">
        <v>1091</v>
      </c>
    </row>
    <row r="9063" spans="1:3" ht="15">
      <c r="A9063" s="84" t="s">
        <v>279</v>
      </c>
      <c r="B9063" s="83" t="s">
        <v>3589</v>
      </c>
      <c r="C9063" s="91" t="s">
        <v>1091</v>
      </c>
    </row>
    <row r="9064" spans="1:3" ht="15">
      <c r="A9064" s="84" t="s">
        <v>279</v>
      </c>
      <c r="B9064" s="83" t="s">
        <v>3590</v>
      </c>
      <c r="C9064" s="91" t="s">
        <v>1091</v>
      </c>
    </row>
    <row r="9065" spans="1:3" ht="15">
      <c r="A9065" s="84" t="s">
        <v>279</v>
      </c>
      <c r="B9065" s="83" t="s">
        <v>3591</v>
      </c>
      <c r="C9065" s="91" t="s">
        <v>1091</v>
      </c>
    </row>
    <row r="9066" spans="1:3" ht="15">
      <c r="A9066" s="84" t="s">
        <v>279</v>
      </c>
      <c r="B9066" s="83" t="s">
        <v>3592</v>
      </c>
      <c r="C9066" s="91" t="s">
        <v>1091</v>
      </c>
    </row>
    <row r="9067" spans="1:3" ht="15">
      <c r="A9067" s="84" t="s">
        <v>279</v>
      </c>
      <c r="B9067" s="83" t="s">
        <v>3336</v>
      </c>
      <c r="C9067" s="91" t="s">
        <v>1091</v>
      </c>
    </row>
    <row r="9068" spans="1:3" ht="15">
      <c r="A9068" s="84" t="s">
        <v>279</v>
      </c>
      <c r="B9068" s="83" t="s">
        <v>3258</v>
      </c>
      <c r="C9068" s="91" t="s">
        <v>1091</v>
      </c>
    </row>
    <row r="9069" spans="1:3" ht="15">
      <c r="A9069" s="84" t="s">
        <v>279</v>
      </c>
      <c r="B9069" s="83" t="s">
        <v>2972</v>
      </c>
      <c r="C9069" s="91" t="s">
        <v>1091</v>
      </c>
    </row>
    <row r="9070" spans="1:3" ht="15">
      <c r="A9070" s="84" t="s">
        <v>279</v>
      </c>
      <c r="B9070" s="83" t="s">
        <v>586</v>
      </c>
      <c r="C9070" s="91" t="s">
        <v>1091</v>
      </c>
    </row>
    <row r="9071" spans="1:3" ht="15">
      <c r="A9071" s="84" t="s">
        <v>279</v>
      </c>
      <c r="B9071" s="83" t="s">
        <v>3593</v>
      </c>
      <c r="C9071" s="91" t="s">
        <v>1091</v>
      </c>
    </row>
    <row r="9072" spans="1:3" ht="15">
      <c r="A9072" s="84" t="s">
        <v>279</v>
      </c>
      <c r="B9072" s="83" t="s">
        <v>3594</v>
      </c>
      <c r="C9072" s="91" t="s">
        <v>1091</v>
      </c>
    </row>
    <row r="9073" spans="1:3" ht="15">
      <c r="A9073" s="84" t="s">
        <v>279</v>
      </c>
      <c r="B9073" s="83" t="s">
        <v>2766</v>
      </c>
      <c r="C9073" s="91" t="s">
        <v>1091</v>
      </c>
    </row>
    <row r="9074" spans="1:3" ht="15">
      <c r="A9074" s="84" t="s">
        <v>279</v>
      </c>
      <c r="B9074" s="83" t="s">
        <v>3119</v>
      </c>
      <c r="C9074" s="91" t="s">
        <v>1091</v>
      </c>
    </row>
    <row r="9075" spans="1:3" ht="15">
      <c r="A9075" s="84" t="s">
        <v>279</v>
      </c>
      <c r="B9075" s="83" t="s">
        <v>3114</v>
      </c>
      <c r="C9075" s="91" t="s">
        <v>1091</v>
      </c>
    </row>
    <row r="9076" spans="1:3" ht="15">
      <c r="A9076" s="84" t="s">
        <v>279</v>
      </c>
      <c r="B9076" s="83" t="s">
        <v>3499</v>
      </c>
      <c r="C9076" s="91" t="s">
        <v>1091</v>
      </c>
    </row>
    <row r="9077" spans="1:3" ht="15">
      <c r="A9077" s="84" t="s">
        <v>279</v>
      </c>
      <c r="B9077" s="83" t="s">
        <v>3500</v>
      </c>
      <c r="C9077" s="91" t="s">
        <v>1091</v>
      </c>
    </row>
    <row r="9078" spans="1:3" ht="15">
      <c r="A9078" s="84" t="s">
        <v>279</v>
      </c>
      <c r="B9078" s="83" t="s">
        <v>3502</v>
      </c>
      <c r="C9078" s="91" t="s">
        <v>1091</v>
      </c>
    </row>
    <row r="9079" spans="1:3" ht="15">
      <c r="A9079" s="84" t="s">
        <v>279</v>
      </c>
      <c r="B9079" s="83" t="s">
        <v>3595</v>
      </c>
      <c r="C9079" s="91" t="s">
        <v>1091</v>
      </c>
    </row>
    <row r="9080" spans="1:3" ht="15">
      <c r="A9080" s="84" t="s">
        <v>279</v>
      </c>
      <c r="B9080" s="83" t="s">
        <v>3596</v>
      </c>
      <c r="C9080" s="91" t="s">
        <v>1091</v>
      </c>
    </row>
    <row r="9081" spans="1:3" ht="15">
      <c r="A9081" s="84" t="s">
        <v>279</v>
      </c>
      <c r="B9081" s="83" t="s">
        <v>3597</v>
      </c>
      <c r="C9081" s="91" t="s">
        <v>1091</v>
      </c>
    </row>
    <row r="9082" spans="1:3" ht="15">
      <c r="A9082" s="84" t="s">
        <v>279</v>
      </c>
      <c r="B9082" s="83" t="s">
        <v>2917</v>
      </c>
      <c r="C9082" s="91" t="s">
        <v>1091</v>
      </c>
    </row>
    <row r="9083" spans="1:3" ht="15">
      <c r="A9083" s="84" t="s">
        <v>279</v>
      </c>
      <c r="B9083" s="83" t="s">
        <v>2861</v>
      </c>
      <c r="C9083" s="91" t="s">
        <v>1091</v>
      </c>
    </row>
    <row r="9084" spans="1:3" ht="15">
      <c r="A9084" s="84" t="s">
        <v>279</v>
      </c>
      <c r="B9084" s="83" t="s">
        <v>3598</v>
      </c>
      <c r="C9084" s="91" t="s">
        <v>1091</v>
      </c>
    </row>
    <row r="9085" spans="1:3" ht="15">
      <c r="A9085" s="84" t="s">
        <v>279</v>
      </c>
      <c r="B9085" s="83" t="s">
        <v>3599</v>
      </c>
      <c r="C9085" s="91" t="s">
        <v>1091</v>
      </c>
    </row>
    <row r="9086" spans="1:3" ht="15">
      <c r="A9086" s="84" t="s">
        <v>279</v>
      </c>
      <c r="B9086" s="83" t="s">
        <v>2895</v>
      </c>
      <c r="C9086" s="91" t="s">
        <v>1091</v>
      </c>
    </row>
    <row r="9087" spans="1:3" ht="15">
      <c r="A9087" s="84" t="s">
        <v>279</v>
      </c>
      <c r="B9087" s="83" t="s">
        <v>3600</v>
      </c>
      <c r="C9087" s="91" t="s">
        <v>1091</v>
      </c>
    </row>
    <row r="9088" spans="1:3" ht="15">
      <c r="A9088" s="84" t="s">
        <v>278</v>
      </c>
      <c r="B9088" s="83" t="s">
        <v>3602</v>
      </c>
      <c r="C9088" s="91" t="s">
        <v>1090</v>
      </c>
    </row>
    <row r="9089" spans="1:3" ht="15">
      <c r="A9089" s="84" t="s">
        <v>278</v>
      </c>
      <c r="B9089" s="83" t="s">
        <v>3406</v>
      </c>
      <c r="C9089" s="91" t="s">
        <v>1090</v>
      </c>
    </row>
    <row r="9090" spans="1:3" ht="15">
      <c r="A9090" s="84" t="s">
        <v>278</v>
      </c>
      <c r="B9090" s="83" t="s">
        <v>2729</v>
      </c>
      <c r="C9090" s="91" t="s">
        <v>1090</v>
      </c>
    </row>
    <row r="9091" spans="1:3" ht="15">
      <c r="A9091" s="84" t="s">
        <v>278</v>
      </c>
      <c r="B9091" s="83" t="s">
        <v>3603</v>
      </c>
      <c r="C9091" s="91" t="s">
        <v>1090</v>
      </c>
    </row>
    <row r="9092" spans="1:3" ht="15">
      <c r="A9092" s="84" t="s">
        <v>278</v>
      </c>
      <c r="B9092" s="83" t="s">
        <v>3354</v>
      </c>
      <c r="C9092" s="91" t="s">
        <v>1090</v>
      </c>
    </row>
    <row r="9093" spans="1:3" ht="15">
      <c r="A9093" s="84" t="s">
        <v>278</v>
      </c>
      <c r="B9093" s="83" t="s">
        <v>3604</v>
      </c>
      <c r="C9093" s="91" t="s">
        <v>1090</v>
      </c>
    </row>
    <row r="9094" spans="1:3" ht="15">
      <c r="A9094" s="84" t="s">
        <v>278</v>
      </c>
      <c r="B9094" s="83" t="s">
        <v>3605</v>
      </c>
      <c r="C9094" s="91" t="s">
        <v>1090</v>
      </c>
    </row>
    <row r="9095" spans="1:3" ht="15">
      <c r="A9095" s="84" t="s">
        <v>278</v>
      </c>
      <c r="B9095" s="83" t="s">
        <v>3606</v>
      </c>
      <c r="C9095" s="91" t="s">
        <v>1090</v>
      </c>
    </row>
    <row r="9096" spans="1:3" ht="15">
      <c r="A9096" s="84" t="s">
        <v>278</v>
      </c>
      <c r="B9096" s="83" t="s">
        <v>2678</v>
      </c>
      <c r="C9096" s="91" t="s">
        <v>1090</v>
      </c>
    </row>
    <row r="9097" spans="1:3" ht="15">
      <c r="A9097" s="84" t="s">
        <v>278</v>
      </c>
      <c r="B9097" s="83" t="s">
        <v>3116</v>
      </c>
      <c r="C9097" s="91" t="s">
        <v>1090</v>
      </c>
    </row>
    <row r="9098" spans="1:3" ht="15">
      <c r="A9098" s="84" t="s">
        <v>278</v>
      </c>
      <c r="B9098" s="83" t="s">
        <v>2917</v>
      </c>
      <c r="C9098" s="91" t="s">
        <v>1090</v>
      </c>
    </row>
    <row r="9099" spans="1:3" ht="15">
      <c r="A9099" s="84" t="s">
        <v>278</v>
      </c>
      <c r="B9099" s="83" t="s">
        <v>3119</v>
      </c>
      <c r="C9099" s="91" t="s">
        <v>1090</v>
      </c>
    </row>
    <row r="9100" spans="1:3" ht="15">
      <c r="A9100" s="84" t="s">
        <v>278</v>
      </c>
      <c r="B9100" s="83" t="s">
        <v>3607</v>
      </c>
      <c r="C9100" s="91" t="s">
        <v>1090</v>
      </c>
    </row>
    <row r="9101" spans="1:3" ht="15">
      <c r="A9101" s="84" t="s">
        <v>278</v>
      </c>
      <c r="B9101" s="83" t="s">
        <v>3608</v>
      </c>
      <c r="C9101" s="91" t="s">
        <v>1090</v>
      </c>
    </row>
    <row r="9102" spans="1:3" ht="15">
      <c r="A9102" s="84" t="s">
        <v>278</v>
      </c>
      <c r="B9102" s="83" t="s">
        <v>3609</v>
      </c>
      <c r="C9102" s="91" t="s">
        <v>1090</v>
      </c>
    </row>
    <row r="9103" spans="1:3" ht="15">
      <c r="A9103" s="84" t="s">
        <v>278</v>
      </c>
      <c r="B9103" s="83" t="s">
        <v>3336</v>
      </c>
      <c r="C9103" s="91" t="s">
        <v>1090</v>
      </c>
    </row>
    <row r="9104" spans="1:3" ht="15">
      <c r="A9104" s="84" t="s">
        <v>278</v>
      </c>
      <c r="B9104" s="83" t="s">
        <v>3407</v>
      </c>
      <c r="C9104" s="91" t="s">
        <v>1090</v>
      </c>
    </row>
    <row r="9105" spans="1:3" ht="15">
      <c r="A9105" s="84" t="s">
        <v>278</v>
      </c>
      <c r="B9105" s="83" t="s">
        <v>3399</v>
      </c>
      <c r="C9105" s="91" t="s">
        <v>1090</v>
      </c>
    </row>
    <row r="9106" spans="1:3" ht="15">
      <c r="A9106" s="84" t="s">
        <v>278</v>
      </c>
      <c r="B9106" s="83" t="s">
        <v>3610</v>
      </c>
      <c r="C9106" s="91" t="s">
        <v>1090</v>
      </c>
    </row>
    <row r="9107" spans="1:3" ht="15">
      <c r="A9107" s="84" t="s">
        <v>278</v>
      </c>
      <c r="B9107" s="83" t="s">
        <v>2569</v>
      </c>
      <c r="C9107" s="91" t="s">
        <v>1090</v>
      </c>
    </row>
    <row r="9108" spans="1:3" ht="15">
      <c r="A9108" s="84" t="s">
        <v>278</v>
      </c>
      <c r="B9108" s="83" t="s">
        <v>3611</v>
      </c>
      <c r="C9108" s="91" t="s">
        <v>1090</v>
      </c>
    </row>
    <row r="9109" spans="1:3" ht="15">
      <c r="A9109" s="84" t="s">
        <v>278</v>
      </c>
      <c r="B9109" s="83" t="s">
        <v>3612</v>
      </c>
      <c r="C9109" s="91" t="s">
        <v>1090</v>
      </c>
    </row>
    <row r="9110" spans="1:3" ht="15">
      <c r="A9110" s="84" t="s">
        <v>278</v>
      </c>
      <c r="B9110" s="83" t="s">
        <v>586</v>
      </c>
      <c r="C9110" s="91" t="s">
        <v>1090</v>
      </c>
    </row>
    <row r="9111" spans="1:3" ht="15">
      <c r="A9111" s="84" t="s">
        <v>278</v>
      </c>
      <c r="B9111" s="83" t="s">
        <v>3499</v>
      </c>
      <c r="C9111" s="91" t="s">
        <v>1090</v>
      </c>
    </row>
    <row r="9112" spans="1:3" ht="15">
      <c r="A9112" s="84" t="s">
        <v>277</v>
      </c>
      <c r="B9112" s="83" t="s">
        <v>3602</v>
      </c>
      <c r="C9112" s="91" t="s">
        <v>1089</v>
      </c>
    </row>
    <row r="9113" spans="1:3" ht="15">
      <c r="A9113" s="84" t="s">
        <v>277</v>
      </c>
      <c r="B9113" s="83" t="s">
        <v>3406</v>
      </c>
      <c r="C9113" s="91" t="s">
        <v>1089</v>
      </c>
    </row>
    <row r="9114" spans="1:3" ht="15">
      <c r="A9114" s="84" t="s">
        <v>277</v>
      </c>
      <c r="B9114" s="83" t="s">
        <v>2729</v>
      </c>
      <c r="C9114" s="91" t="s">
        <v>1089</v>
      </c>
    </row>
    <row r="9115" spans="1:3" ht="15">
      <c r="A9115" s="84" t="s">
        <v>277</v>
      </c>
      <c r="B9115" s="83" t="s">
        <v>3603</v>
      </c>
      <c r="C9115" s="91" t="s">
        <v>1089</v>
      </c>
    </row>
    <row r="9116" spans="1:3" ht="15">
      <c r="A9116" s="84" t="s">
        <v>277</v>
      </c>
      <c r="B9116" s="83" t="s">
        <v>3354</v>
      </c>
      <c r="C9116" s="91" t="s">
        <v>1089</v>
      </c>
    </row>
    <row r="9117" spans="1:3" ht="15">
      <c r="A9117" s="84" t="s">
        <v>277</v>
      </c>
      <c r="B9117" s="83" t="s">
        <v>3604</v>
      </c>
      <c r="C9117" s="91" t="s">
        <v>1089</v>
      </c>
    </row>
    <row r="9118" spans="1:3" ht="15">
      <c r="A9118" s="84" t="s">
        <v>277</v>
      </c>
      <c r="B9118" s="83" t="s">
        <v>3605</v>
      </c>
      <c r="C9118" s="91" t="s">
        <v>1089</v>
      </c>
    </row>
    <row r="9119" spans="1:3" ht="15">
      <c r="A9119" s="84" t="s">
        <v>277</v>
      </c>
      <c r="B9119" s="83" t="s">
        <v>3606</v>
      </c>
      <c r="C9119" s="91" t="s">
        <v>1089</v>
      </c>
    </row>
    <row r="9120" spans="1:3" ht="15">
      <c r="A9120" s="84" t="s">
        <v>277</v>
      </c>
      <c r="B9120" s="83" t="s">
        <v>2678</v>
      </c>
      <c r="C9120" s="91" t="s">
        <v>1089</v>
      </c>
    </row>
    <row r="9121" spans="1:3" ht="15">
      <c r="A9121" s="84" t="s">
        <v>277</v>
      </c>
      <c r="B9121" s="83" t="s">
        <v>3116</v>
      </c>
      <c r="C9121" s="91" t="s">
        <v>1089</v>
      </c>
    </row>
    <row r="9122" spans="1:3" ht="15">
      <c r="A9122" s="84" t="s">
        <v>277</v>
      </c>
      <c r="B9122" s="83" t="s">
        <v>2917</v>
      </c>
      <c r="C9122" s="91" t="s">
        <v>1089</v>
      </c>
    </row>
    <row r="9123" spans="1:3" ht="15">
      <c r="A9123" s="84" t="s">
        <v>277</v>
      </c>
      <c r="B9123" s="83" t="s">
        <v>3119</v>
      </c>
      <c r="C9123" s="91" t="s">
        <v>1089</v>
      </c>
    </row>
    <row r="9124" spans="1:3" ht="15">
      <c r="A9124" s="84" t="s">
        <v>277</v>
      </c>
      <c r="B9124" s="83" t="s">
        <v>3607</v>
      </c>
      <c r="C9124" s="91" t="s">
        <v>1089</v>
      </c>
    </row>
    <row r="9125" spans="1:3" ht="15">
      <c r="A9125" s="84" t="s">
        <v>277</v>
      </c>
      <c r="B9125" s="83" t="s">
        <v>3608</v>
      </c>
      <c r="C9125" s="91" t="s">
        <v>1089</v>
      </c>
    </row>
    <row r="9126" spans="1:3" ht="15">
      <c r="A9126" s="84" t="s">
        <v>277</v>
      </c>
      <c r="B9126" s="83" t="s">
        <v>3609</v>
      </c>
      <c r="C9126" s="91" t="s">
        <v>1089</v>
      </c>
    </row>
    <row r="9127" spans="1:3" ht="15">
      <c r="A9127" s="84" t="s">
        <v>277</v>
      </c>
      <c r="B9127" s="83" t="s">
        <v>3336</v>
      </c>
      <c r="C9127" s="91" t="s">
        <v>1089</v>
      </c>
    </row>
    <row r="9128" spans="1:3" ht="15">
      <c r="A9128" s="84" t="s">
        <v>277</v>
      </c>
      <c r="B9128" s="83" t="s">
        <v>3407</v>
      </c>
      <c r="C9128" s="91" t="s">
        <v>1089</v>
      </c>
    </row>
    <row r="9129" spans="1:3" ht="15">
      <c r="A9129" s="84" t="s">
        <v>277</v>
      </c>
      <c r="B9129" s="83" t="s">
        <v>3399</v>
      </c>
      <c r="C9129" s="91" t="s">
        <v>1089</v>
      </c>
    </row>
    <row r="9130" spans="1:3" ht="15">
      <c r="A9130" s="84" t="s">
        <v>277</v>
      </c>
      <c r="B9130" s="83" t="s">
        <v>3610</v>
      </c>
      <c r="C9130" s="91" t="s">
        <v>1089</v>
      </c>
    </row>
    <row r="9131" spans="1:3" ht="15">
      <c r="A9131" s="84" t="s">
        <v>277</v>
      </c>
      <c r="B9131" s="83" t="s">
        <v>2569</v>
      </c>
      <c r="C9131" s="91" t="s">
        <v>1089</v>
      </c>
    </row>
    <row r="9132" spans="1:3" ht="15">
      <c r="A9132" s="84" t="s">
        <v>277</v>
      </c>
      <c r="B9132" s="83" t="s">
        <v>3611</v>
      </c>
      <c r="C9132" s="91" t="s">
        <v>1089</v>
      </c>
    </row>
    <row r="9133" spans="1:3" ht="15">
      <c r="A9133" s="84" t="s">
        <v>277</v>
      </c>
      <c r="B9133" s="83" t="s">
        <v>3612</v>
      </c>
      <c r="C9133" s="91" t="s">
        <v>1089</v>
      </c>
    </row>
    <row r="9134" spans="1:3" ht="15">
      <c r="A9134" s="84" t="s">
        <v>277</v>
      </c>
      <c r="B9134" s="83" t="s">
        <v>586</v>
      </c>
      <c r="C9134" s="91" t="s">
        <v>1089</v>
      </c>
    </row>
    <row r="9135" spans="1:3" ht="15">
      <c r="A9135" s="84" t="s">
        <v>277</v>
      </c>
      <c r="B9135" s="83" t="s">
        <v>3499</v>
      </c>
      <c r="C9135" s="91" t="s">
        <v>1089</v>
      </c>
    </row>
    <row r="9136" spans="1:3" ht="15">
      <c r="A9136" s="84" t="s">
        <v>276</v>
      </c>
      <c r="B9136" s="83" t="s">
        <v>3602</v>
      </c>
      <c r="C9136" s="91" t="s">
        <v>1088</v>
      </c>
    </row>
    <row r="9137" spans="1:3" ht="15">
      <c r="A9137" s="84" t="s">
        <v>276</v>
      </c>
      <c r="B9137" s="83" t="s">
        <v>3406</v>
      </c>
      <c r="C9137" s="91" t="s">
        <v>1088</v>
      </c>
    </row>
    <row r="9138" spans="1:3" ht="15">
      <c r="A9138" s="84" t="s">
        <v>276</v>
      </c>
      <c r="B9138" s="83" t="s">
        <v>2729</v>
      </c>
      <c r="C9138" s="91" t="s">
        <v>1088</v>
      </c>
    </row>
    <row r="9139" spans="1:3" ht="15">
      <c r="A9139" s="84" t="s">
        <v>276</v>
      </c>
      <c r="B9139" s="83" t="s">
        <v>3603</v>
      </c>
      <c r="C9139" s="91" t="s">
        <v>1088</v>
      </c>
    </row>
    <row r="9140" spans="1:3" ht="15">
      <c r="A9140" s="84" t="s">
        <v>276</v>
      </c>
      <c r="B9140" s="83" t="s">
        <v>3354</v>
      </c>
      <c r="C9140" s="91" t="s">
        <v>1088</v>
      </c>
    </row>
    <row r="9141" spans="1:3" ht="15">
      <c r="A9141" s="84" t="s">
        <v>276</v>
      </c>
      <c r="B9141" s="83" t="s">
        <v>3604</v>
      </c>
      <c r="C9141" s="91" t="s">
        <v>1088</v>
      </c>
    </row>
    <row r="9142" spans="1:3" ht="15">
      <c r="A9142" s="84" t="s">
        <v>276</v>
      </c>
      <c r="B9142" s="83" t="s">
        <v>3605</v>
      </c>
      <c r="C9142" s="91" t="s">
        <v>1088</v>
      </c>
    </row>
    <row r="9143" spans="1:3" ht="15">
      <c r="A9143" s="84" t="s">
        <v>276</v>
      </c>
      <c r="B9143" s="83" t="s">
        <v>3606</v>
      </c>
      <c r="C9143" s="91" t="s">
        <v>1088</v>
      </c>
    </row>
    <row r="9144" spans="1:3" ht="15">
      <c r="A9144" s="84" t="s">
        <v>276</v>
      </c>
      <c r="B9144" s="83" t="s">
        <v>2678</v>
      </c>
      <c r="C9144" s="91" t="s">
        <v>1088</v>
      </c>
    </row>
    <row r="9145" spans="1:3" ht="15">
      <c r="A9145" s="84" t="s">
        <v>276</v>
      </c>
      <c r="B9145" s="83" t="s">
        <v>3116</v>
      </c>
      <c r="C9145" s="91" t="s">
        <v>1088</v>
      </c>
    </row>
    <row r="9146" spans="1:3" ht="15">
      <c r="A9146" s="84" t="s">
        <v>276</v>
      </c>
      <c r="B9146" s="83" t="s">
        <v>2917</v>
      </c>
      <c r="C9146" s="91" t="s">
        <v>1088</v>
      </c>
    </row>
    <row r="9147" spans="1:3" ht="15">
      <c r="A9147" s="84" t="s">
        <v>276</v>
      </c>
      <c r="B9147" s="83" t="s">
        <v>3119</v>
      </c>
      <c r="C9147" s="91" t="s">
        <v>1088</v>
      </c>
    </row>
    <row r="9148" spans="1:3" ht="15">
      <c r="A9148" s="84" t="s">
        <v>276</v>
      </c>
      <c r="B9148" s="83" t="s">
        <v>3607</v>
      </c>
      <c r="C9148" s="91" t="s">
        <v>1088</v>
      </c>
    </row>
    <row r="9149" spans="1:3" ht="15">
      <c r="A9149" s="84" t="s">
        <v>276</v>
      </c>
      <c r="B9149" s="83" t="s">
        <v>3608</v>
      </c>
      <c r="C9149" s="91" t="s">
        <v>1088</v>
      </c>
    </row>
    <row r="9150" spans="1:3" ht="15">
      <c r="A9150" s="84" t="s">
        <v>276</v>
      </c>
      <c r="B9150" s="83" t="s">
        <v>3609</v>
      </c>
      <c r="C9150" s="91" t="s">
        <v>1088</v>
      </c>
    </row>
    <row r="9151" spans="1:3" ht="15">
      <c r="A9151" s="84" t="s">
        <v>276</v>
      </c>
      <c r="B9151" s="83" t="s">
        <v>3336</v>
      </c>
      <c r="C9151" s="91" t="s">
        <v>1088</v>
      </c>
    </row>
    <row r="9152" spans="1:3" ht="15">
      <c r="A9152" s="84" t="s">
        <v>276</v>
      </c>
      <c r="B9152" s="83" t="s">
        <v>3407</v>
      </c>
      <c r="C9152" s="91" t="s">
        <v>1088</v>
      </c>
    </row>
    <row r="9153" spans="1:3" ht="15">
      <c r="A9153" s="84" t="s">
        <v>276</v>
      </c>
      <c r="B9153" s="83" t="s">
        <v>3399</v>
      </c>
      <c r="C9153" s="91" t="s">
        <v>1088</v>
      </c>
    </row>
    <row r="9154" spans="1:3" ht="15">
      <c r="A9154" s="84" t="s">
        <v>276</v>
      </c>
      <c r="B9154" s="83" t="s">
        <v>3610</v>
      </c>
      <c r="C9154" s="91" t="s">
        <v>1088</v>
      </c>
    </row>
    <row r="9155" spans="1:3" ht="15">
      <c r="A9155" s="84" t="s">
        <v>276</v>
      </c>
      <c r="B9155" s="83" t="s">
        <v>2569</v>
      </c>
      <c r="C9155" s="91" t="s">
        <v>1088</v>
      </c>
    </row>
    <row r="9156" spans="1:3" ht="15">
      <c r="A9156" s="84" t="s">
        <v>276</v>
      </c>
      <c r="B9156" s="83" t="s">
        <v>3611</v>
      </c>
      <c r="C9156" s="91" t="s">
        <v>1088</v>
      </c>
    </row>
    <row r="9157" spans="1:3" ht="15">
      <c r="A9157" s="84" t="s">
        <v>276</v>
      </c>
      <c r="B9157" s="83" t="s">
        <v>3612</v>
      </c>
      <c r="C9157" s="91" t="s">
        <v>1088</v>
      </c>
    </row>
    <row r="9158" spans="1:3" ht="15">
      <c r="A9158" s="84" t="s">
        <v>276</v>
      </c>
      <c r="B9158" s="83" t="s">
        <v>586</v>
      </c>
      <c r="C9158" s="91" t="s">
        <v>1088</v>
      </c>
    </row>
    <row r="9159" spans="1:3" ht="15">
      <c r="A9159" s="84" t="s">
        <v>276</v>
      </c>
      <c r="B9159" s="83" t="s">
        <v>3499</v>
      </c>
      <c r="C9159" s="91" t="s">
        <v>1088</v>
      </c>
    </row>
    <row r="9160" spans="1:3" ht="15">
      <c r="A9160" s="84" t="s">
        <v>275</v>
      </c>
      <c r="B9160" s="83" t="s">
        <v>3373</v>
      </c>
      <c r="C9160" s="91" t="s">
        <v>1087</v>
      </c>
    </row>
    <row r="9161" spans="1:3" ht="15">
      <c r="A9161" s="84" t="s">
        <v>275</v>
      </c>
      <c r="B9161" s="83" t="s">
        <v>2861</v>
      </c>
      <c r="C9161" s="91" t="s">
        <v>1087</v>
      </c>
    </row>
    <row r="9162" spans="1:3" ht="15">
      <c r="A9162" s="84" t="s">
        <v>275</v>
      </c>
      <c r="B9162" s="83" t="s">
        <v>2582</v>
      </c>
      <c r="C9162" s="91" t="s">
        <v>1087</v>
      </c>
    </row>
    <row r="9163" spans="1:3" ht="15">
      <c r="A9163" s="84" t="s">
        <v>275</v>
      </c>
      <c r="B9163" s="83" t="s">
        <v>3374</v>
      </c>
      <c r="C9163" s="91" t="s">
        <v>1087</v>
      </c>
    </row>
    <row r="9164" spans="1:3" ht="15">
      <c r="A9164" s="84" t="s">
        <v>275</v>
      </c>
      <c r="B9164" s="83" t="s">
        <v>2736</v>
      </c>
      <c r="C9164" s="91" t="s">
        <v>1087</v>
      </c>
    </row>
    <row r="9165" spans="1:3" ht="15">
      <c r="A9165" s="84" t="s">
        <v>275</v>
      </c>
      <c r="B9165" s="83" t="s">
        <v>3242</v>
      </c>
      <c r="C9165" s="91" t="s">
        <v>1087</v>
      </c>
    </row>
    <row r="9166" spans="1:3" ht="15">
      <c r="A9166" s="84" t="s">
        <v>275</v>
      </c>
      <c r="B9166" s="83" t="s">
        <v>3375</v>
      </c>
      <c r="C9166" s="91" t="s">
        <v>1087</v>
      </c>
    </row>
    <row r="9167" spans="1:3" ht="15">
      <c r="A9167" s="84" t="s">
        <v>275</v>
      </c>
      <c r="B9167" s="83" t="s">
        <v>2648</v>
      </c>
      <c r="C9167" s="91" t="s">
        <v>1087</v>
      </c>
    </row>
    <row r="9168" spans="1:3" ht="15">
      <c r="A9168" s="84" t="s">
        <v>275</v>
      </c>
      <c r="B9168" s="83" t="s">
        <v>2831</v>
      </c>
      <c r="C9168" s="91" t="s">
        <v>1087</v>
      </c>
    </row>
    <row r="9169" spans="1:3" ht="15">
      <c r="A9169" s="84" t="s">
        <v>275</v>
      </c>
      <c r="B9169" s="83" t="s">
        <v>2636</v>
      </c>
      <c r="C9169" s="91" t="s">
        <v>1087</v>
      </c>
    </row>
    <row r="9170" spans="1:3" ht="15">
      <c r="A9170" s="84" t="s">
        <v>275</v>
      </c>
      <c r="B9170" s="83" t="s">
        <v>2863</v>
      </c>
      <c r="C9170" s="91" t="s">
        <v>1087</v>
      </c>
    </row>
    <row r="9171" spans="1:3" ht="15">
      <c r="A9171" s="84" t="s">
        <v>275</v>
      </c>
      <c r="B9171" s="83" t="s">
        <v>2607</v>
      </c>
      <c r="C9171" s="91" t="s">
        <v>1087</v>
      </c>
    </row>
    <row r="9172" spans="1:3" ht="15">
      <c r="A9172" s="84" t="s">
        <v>275</v>
      </c>
      <c r="B9172" s="83" t="s">
        <v>3376</v>
      </c>
      <c r="C9172" s="91" t="s">
        <v>1087</v>
      </c>
    </row>
    <row r="9173" spans="1:3" ht="15">
      <c r="A9173" s="84" t="s">
        <v>275</v>
      </c>
      <c r="B9173" s="83" t="s">
        <v>3377</v>
      </c>
      <c r="C9173" s="91" t="s">
        <v>1087</v>
      </c>
    </row>
    <row r="9174" spans="1:3" ht="15">
      <c r="A9174" s="84" t="s">
        <v>275</v>
      </c>
      <c r="B9174" s="83" t="s">
        <v>2720</v>
      </c>
      <c r="C9174" s="91" t="s">
        <v>1087</v>
      </c>
    </row>
    <row r="9175" spans="1:3" ht="15">
      <c r="A9175" s="84" t="s">
        <v>275</v>
      </c>
      <c r="B9175" s="83" t="s">
        <v>3378</v>
      </c>
      <c r="C9175" s="91" t="s">
        <v>1087</v>
      </c>
    </row>
    <row r="9176" spans="1:3" ht="15">
      <c r="A9176" s="84" t="s">
        <v>275</v>
      </c>
      <c r="B9176" s="83" t="s">
        <v>3184</v>
      </c>
      <c r="C9176" s="91" t="s">
        <v>1087</v>
      </c>
    </row>
    <row r="9177" spans="1:3" ht="15">
      <c r="A9177" s="84" t="s">
        <v>275</v>
      </c>
      <c r="B9177" s="83" t="s">
        <v>2581</v>
      </c>
      <c r="C9177" s="91" t="s">
        <v>1087</v>
      </c>
    </row>
    <row r="9178" spans="1:3" ht="15">
      <c r="A9178" s="84" t="s">
        <v>275</v>
      </c>
      <c r="B9178" s="83" t="s">
        <v>3379</v>
      </c>
      <c r="C9178" s="91" t="s">
        <v>1087</v>
      </c>
    </row>
    <row r="9179" spans="1:3" ht="15">
      <c r="A9179" s="84" t="s">
        <v>275</v>
      </c>
      <c r="B9179" s="83" t="s">
        <v>3380</v>
      </c>
      <c r="C9179" s="91" t="s">
        <v>1087</v>
      </c>
    </row>
    <row r="9180" spans="1:3" ht="15">
      <c r="A9180" s="84" t="s">
        <v>275</v>
      </c>
      <c r="B9180" s="83" t="s">
        <v>3381</v>
      </c>
      <c r="C9180" s="91" t="s">
        <v>1087</v>
      </c>
    </row>
    <row r="9181" spans="1:3" ht="15">
      <c r="A9181" s="84" t="s">
        <v>275</v>
      </c>
      <c r="B9181" s="83" t="s">
        <v>3281</v>
      </c>
      <c r="C9181" s="91" t="s">
        <v>1087</v>
      </c>
    </row>
    <row r="9182" spans="1:3" ht="15">
      <c r="A9182" s="84" t="s">
        <v>275</v>
      </c>
      <c r="B9182" s="83" t="s">
        <v>1597</v>
      </c>
      <c r="C9182" s="91" t="s">
        <v>1087</v>
      </c>
    </row>
    <row r="9183" spans="1:3" ht="15">
      <c r="A9183" s="84" t="s">
        <v>275</v>
      </c>
      <c r="B9183" s="83" t="s">
        <v>3382</v>
      </c>
      <c r="C9183" s="91" t="s">
        <v>1087</v>
      </c>
    </row>
    <row r="9184" spans="1:3" ht="15">
      <c r="A9184" s="84" t="s">
        <v>275</v>
      </c>
      <c r="B9184" s="83" t="s">
        <v>3383</v>
      </c>
      <c r="C9184" s="91" t="s">
        <v>1087</v>
      </c>
    </row>
    <row r="9185" spans="1:3" ht="15">
      <c r="A9185" s="84" t="s">
        <v>275</v>
      </c>
      <c r="B9185" s="83" t="s">
        <v>3384</v>
      </c>
      <c r="C9185" s="91" t="s">
        <v>1087</v>
      </c>
    </row>
    <row r="9186" spans="1:3" ht="15">
      <c r="A9186" s="84" t="s">
        <v>275</v>
      </c>
      <c r="B9186" s="83" t="s">
        <v>3385</v>
      </c>
      <c r="C9186" s="91" t="s">
        <v>1087</v>
      </c>
    </row>
    <row r="9187" spans="1:3" ht="15">
      <c r="A9187" s="84" t="s">
        <v>275</v>
      </c>
      <c r="B9187" s="83" t="s">
        <v>586</v>
      </c>
      <c r="C9187" s="91" t="s">
        <v>1087</v>
      </c>
    </row>
    <row r="9188" spans="1:3" ht="15">
      <c r="A9188" s="84" t="s">
        <v>275</v>
      </c>
      <c r="B9188" s="83" t="s">
        <v>3386</v>
      </c>
      <c r="C9188" s="91" t="s">
        <v>1087</v>
      </c>
    </row>
    <row r="9189" spans="1:3" ht="15">
      <c r="A9189" s="84" t="s">
        <v>275</v>
      </c>
      <c r="B9189" s="83" t="s">
        <v>3298</v>
      </c>
      <c r="C9189" s="91" t="s">
        <v>1087</v>
      </c>
    </row>
    <row r="9190" spans="1:3" ht="15">
      <c r="A9190" s="84" t="s">
        <v>275</v>
      </c>
      <c r="B9190" s="83" t="s">
        <v>2873</v>
      </c>
      <c r="C9190" s="91" t="s">
        <v>1087</v>
      </c>
    </row>
    <row r="9191" spans="1:3" ht="15">
      <c r="A9191" s="84" t="s">
        <v>275</v>
      </c>
      <c r="B9191" s="83" t="s">
        <v>3387</v>
      </c>
      <c r="C9191" s="91" t="s">
        <v>1087</v>
      </c>
    </row>
    <row r="9192" spans="1:3" ht="15">
      <c r="A9192" s="84" t="s">
        <v>274</v>
      </c>
      <c r="B9192" s="83" t="s">
        <v>3373</v>
      </c>
      <c r="C9192" s="91" t="s">
        <v>1086</v>
      </c>
    </row>
    <row r="9193" spans="1:3" ht="15">
      <c r="A9193" s="84" t="s">
        <v>274</v>
      </c>
      <c r="B9193" s="83" t="s">
        <v>2861</v>
      </c>
      <c r="C9193" s="91" t="s">
        <v>1086</v>
      </c>
    </row>
    <row r="9194" spans="1:3" ht="15">
      <c r="A9194" s="84" t="s">
        <v>274</v>
      </c>
      <c r="B9194" s="83" t="s">
        <v>2582</v>
      </c>
      <c r="C9194" s="91" t="s">
        <v>1086</v>
      </c>
    </row>
    <row r="9195" spans="1:3" ht="15">
      <c r="A9195" s="84" t="s">
        <v>274</v>
      </c>
      <c r="B9195" s="83" t="s">
        <v>3374</v>
      </c>
      <c r="C9195" s="91" t="s">
        <v>1086</v>
      </c>
    </row>
    <row r="9196" spans="1:3" ht="15">
      <c r="A9196" s="84" t="s">
        <v>274</v>
      </c>
      <c r="B9196" s="83" t="s">
        <v>2736</v>
      </c>
      <c r="C9196" s="91" t="s">
        <v>1086</v>
      </c>
    </row>
    <row r="9197" spans="1:3" ht="15">
      <c r="A9197" s="84" t="s">
        <v>274</v>
      </c>
      <c r="B9197" s="83" t="s">
        <v>3242</v>
      </c>
      <c r="C9197" s="91" t="s">
        <v>1086</v>
      </c>
    </row>
    <row r="9198" spans="1:3" ht="15">
      <c r="A9198" s="84" t="s">
        <v>274</v>
      </c>
      <c r="B9198" s="83" t="s">
        <v>3375</v>
      </c>
      <c r="C9198" s="91" t="s">
        <v>1086</v>
      </c>
    </row>
    <row r="9199" spans="1:3" ht="15">
      <c r="A9199" s="84" t="s">
        <v>274</v>
      </c>
      <c r="B9199" s="83" t="s">
        <v>2648</v>
      </c>
      <c r="C9199" s="91" t="s">
        <v>1086</v>
      </c>
    </row>
    <row r="9200" spans="1:3" ht="15">
      <c r="A9200" s="84" t="s">
        <v>274</v>
      </c>
      <c r="B9200" s="83" t="s">
        <v>2831</v>
      </c>
      <c r="C9200" s="91" t="s">
        <v>1086</v>
      </c>
    </row>
    <row r="9201" spans="1:3" ht="15">
      <c r="A9201" s="84" t="s">
        <v>274</v>
      </c>
      <c r="B9201" s="83" t="s">
        <v>2636</v>
      </c>
      <c r="C9201" s="91" t="s">
        <v>1086</v>
      </c>
    </row>
    <row r="9202" spans="1:3" ht="15">
      <c r="A9202" s="84" t="s">
        <v>274</v>
      </c>
      <c r="B9202" s="83" t="s">
        <v>2863</v>
      </c>
      <c r="C9202" s="91" t="s">
        <v>1086</v>
      </c>
    </row>
    <row r="9203" spans="1:3" ht="15">
      <c r="A9203" s="84" t="s">
        <v>274</v>
      </c>
      <c r="B9203" s="83" t="s">
        <v>2607</v>
      </c>
      <c r="C9203" s="91" t="s">
        <v>1086</v>
      </c>
    </row>
    <row r="9204" spans="1:3" ht="15">
      <c r="A9204" s="84" t="s">
        <v>274</v>
      </c>
      <c r="B9204" s="83" t="s">
        <v>3376</v>
      </c>
      <c r="C9204" s="91" t="s">
        <v>1086</v>
      </c>
    </row>
    <row r="9205" spans="1:3" ht="15">
      <c r="A9205" s="84" t="s">
        <v>274</v>
      </c>
      <c r="B9205" s="83" t="s">
        <v>3377</v>
      </c>
      <c r="C9205" s="91" t="s">
        <v>1086</v>
      </c>
    </row>
    <row r="9206" spans="1:3" ht="15">
      <c r="A9206" s="84" t="s">
        <v>274</v>
      </c>
      <c r="B9206" s="83" t="s">
        <v>2720</v>
      </c>
      <c r="C9206" s="91" t="s">
        <v>1086</v>
      </c>
    </row>
    <row r="9207" spans="1:3" ht="15">
      <c r="A9207" s="84" t="s">
        <v>274</v>
      </c>
      <c r="B9207" s="83" t="s">
        <v>3378</v>
      </c>
      <c r="C9207" s="91" t="s">
        <v>1086</v>
      </c>
    </row>
    <row r="9208" spans="1:3" ht="15">
      <c r="A9208" s="84" t="s">
        <v>274</v>
      </c>
      <c r="B9208" s="83" t="s">
        <v>3184</v>
      </c>
      <c r="C9208" s="91" t="s">
        <v>1086</v>
      </c>
    </row>
    <row r="9209" spans="1:3" ht="15">
      <c r="A9209" s="84" t="s">
        <v>274</v>
      </c>
      <c r="B9209" s="83" t="s">
        <v>2581</v>
      </c>
      <c r="C9209" s="91" t="s">
        <v>1086</v>
      </c>
    </row>
    <row r="9210" spans="1:3" ht="15">
      <c r="A9210" s="84" t="s">
        <v>274</v>
      </c>
      <c r="B9210" s="83" t="s">
        <v>3379</v>
      </c>
      <c r="C9210" s="91" t="s">
        <v>1086</v>
      </c>
    </row>
    <row r="9211" spans="1:3" ht="15">
      <c r="A9211" s="84" t="s">
        <v>274</v>
      </c>
      <c r="B9211" s="83" t="s">
        <v>3380</v>
      </c>
      <c r="C9211" s="91" t="s">
        <v>1086</v>
      </c>
    </row>
    <row r="9212" spans="1:3" ht="15">
      <c r="A9212" s="84" t="s">
        <v>274</v>
      </c>
      <c r="B9212" s="83" t="s">
        <v>3381</v>
      </c>
      <c r="C9212" s="91" t="s">
        <v>1086</v>
      </c>
    </row>
    <row r="9213" spans="1:3" ht="15">
      <c r="A9213" s="84" t="s">
        <v>274</v>
      </c>
      <c r="B9213" s="83" t="s">
        <v>3281</v>
      </c>
      <c r="C9213" s="91" t="s">
        <v>1086</v>
      </c>
    </row>
    <row r="9214" spans="1:3" ht="15">
      <c r="A9214" s="84" t="s">
        <v>274</v>
      </c>
      <c r="B9214" s="83" t="s">
        <v>1597</v>
      </c>
      <c r="C9214" s="91" t="s">
        <v>1086</v>
      </c>
    </row>
    <row r="9215" spans="1:3" ht="15">
      <c r="A9215" s="84" t="s">
        <v>274</v>
      </c>
      <c r="B9215" s="83" t="s">
        <v>3382</v>
      </c>
      <c r="C9215" s="91" t="s">
        <v>1086</v>
      </c>
    </row>
    <row r="9216" spans="1:3" ht="15">
      <c r="A9216" s="84" t="s">
        <v>274</v>
      </c>
      <c r="B9216" s="83" t="s">
        <v>3383</v>
      </c>
      <c r="C9216" s="91" t="s">
        <v>1086</v>
      </c>
    </row>
    <row r="9217" spans="1:3" ht="15">
      <c r="A9217" s="84" t="s">
        <v>274</v>
      </c>
      <c r="B9217" s="83" t="s">
        <v>3384</v>
      </c>
      <c r="C9217" s="91" t="s">
        <v>1086</v>
      </c>
    </row>
    <row r="9218" spans="1:3" ht="15">
      <c r="A9218" s="84" t="s">
        <v>274</v>
      </c>
      <c r="B9218" s="83" t="s">
        <v>3385</v>
      </c>
      <c r="C9218" s="91" t="s">
        <v>1086</v>
      </c>
    </row>
    <row r="9219" spans="1:3" ht="15">
      <c r="A9219" s="84" t="s">
        <v>274</v>
      </c>
      <c r="B9219" s="83" t="s">
        <v>586</v>
      </c>
      <c r="C9219" s="91" t="s">
        <v>1086</v>
      </c>
    </row>
    <row r="9220" spans="1:3" ht="15">
      <c r="A9220" s="84" t="s">
        <v>274</v>
      </c>
      <c r="B9220" s="83" t="s">
        <v>3386</v>
      </c>
      <c r="C9220" s="91" t="s">
        <v>1086</v>
      </c>
    </row>
    <row r="9221" spans="1:3" ht="15">
      <c r="A9221" s="84" t="s">
        <v>274</v>
      </c>
      <c r="B9221" s="83" t="s">
        <v>3298</v>
      </c>
      <c r="C9221" s="91" t="s">
        <v>1086</v>
      </c>
    </row>
    <row r="9222" spans="1:3" ht="15">
      <c r="A9222" s="84" t="s">
        <v>274</v>
      </c>
      <c r="B9222" s="83" t="s">
        <v>2873</v>
      </c>
      <c r="C9222" s="91" t="s">
        <v>1086</v>
      </c>
    </row>
    <row r="9223" spans="1:3" ht="15">
      <c r="A9223" s="84" t="s">
        <v>274</v>
      </c>
      <c r="B9223" s="83" t="s">
        <v>3387</v>
      </c>
      <c r="C9223" s="91" t="s">
        <v>1086</v>
      </c>
    </row>
    <row r="9224" spans="1:3" ht="15">
      <c r="A9224" s="84" t="s">
        <v>273</v>
      </c>
      <c r="B9224" s="83" t="s">
        <v>3613</v>
      </c>
      <c r="C9224" s="91" t="s">
        <v>1085</v>
      </c>
    </row>
    <row r="9225" spans="1:3" ht="15">
      <c r="A9225" s="84" t="s">
        <v>273</v>
      </c>
      <c r="B9225" s="83" t="s">
        <v>3122</v>
      </c>
      <c r="C9225" s="91" t="s">
        <v>1085</v>
      </c>
    </row>
    <row r="9226" spans="1:3" ht="15">
      <c r="A9226" s="84" t="s">
        <v>273</v>
      </c>
      <c r="B9226" s="83" t="s">
        <v>3071</v>
      </c>
      <c r="C9226" s="91" t="s">
        <v>1085</v>
      </c>
    </row>
    <row r="9227" spans="1:3" ht="15">
      <c r="A9227" s="84" t="s">
        <v>273</v>
      </c>
      <c r="B9227" s="83" t="s">
        <v>2568</v>
      </c>
      <c r="C9227" s="91" t="s">
        <v>1085</v>
      </c>
    </row>
    <row r="9228" spans="1:3" ht="15">
      <c r="A9228" s="84" t="s">
        <v>273</v>
      </c>
      <c r="B9228" s="83" t="s">
        <v>3123</v>
      </c>
      <c r="C9228" s="91" t="s">
        <v>1085</v>
      </c>
    </row>
    <row r="9229" spans="1:3" ht="15">
      <c r="A9229" s="84" t="s">
        <v>273</v>
      </c>
      <c r="B9229" s="83" t="s">
        <v>3124</v>
      </c>
      <c r="C9229" s="91" t="s">
        <v>1085</v>
      </c>
    </row>
    <row r="9230" spans="1:3" ht="15">
      <c r="A9230" s="84" t="s">
        <v>273</v>
      </c>
      <c r="B9230" s="83" t="s">
        <v>2589</v>
      </c>
      <c r="C9230" s="91" t="s">
        <v>1085</v>
      </c>
    </row>
    <row r="9231" spans="1:3" ht="15">
      <c r="A9231" s="84" t="s">
        <v>273</v>
      </c>
      <c r="B9231" s="83" t="s">
        <v>3203</v>
      </c>
      <c r="C9231" s="91" t="s">
        <v>1085</v>
      </c>
    </row>
    <row r="9232" spans="1:3" ht="15">
      <c r="A9232" s="84" t="s">
        <v>273</v>
      </c>
      <c r="B9232" s="83" t="s">
        <v>3125</v>
      </c>
      <c r="C9232" s="91" t="s">
        <v>1085</v>
      </c>
    </row>
    <row r="9233" spans="1:3" ht="15">
      <c r="A9233" s="84" t="s">
        <v>273</v>
      </c>
      <c r="B9233" s="83" t="s">
        <v>3126</v>
      </c>
      <c r="C9233" s="91" t="s">
        <v>1085</v>
      </c>
    </row>
    <row r="9234" spans="1:3" ht="15">
      <c r="A9234" s="84" t="s">
        <v>273</v>
      </c>
      <c r="B9234" s="83" t="s">
        <v>3127</v>
      </c>
      <c r="C9234" s="91" t="s">
        <v>1085</v>
      </c>
    </row>
    <row r="9235" spans="1:3" ht="15">
      <c r="A9235" s="84" t="s">
        <v>273</v>
      </c>
      <c r="B9235" s="83" t="s">
        <v>3072</v>
      </c>
      <c r="C9235" s="91" t="s">
        <v>1085</v>
      </c>
    </row>
    <row r="9236" spans="1:3" ht="15">
      <c r="A9236" s="84" t="s">
        <v>273</v>
      </c>
      <c r="B9236" s="83" t="s">
        <v>2647</v>
      </c>
      <c r="C9236" s="91" t="s">
        <v>1085</v>
      </c>
    </row>
    <row r="9237" spans="1:3" ht="15">
      <c r="A9237" s="84" t="s">
        <v>273</v>
      </c>
      <c r="B9237" s="83" t="s">
        <v>3128</v>
      </c>
      <c r="C9237" s="91" t="s">
        <v>1085</v>
      </c>
    </row>
    <row r="9238" spans="1:3" ht="15">
      <c r="A9238" s="84" t="s">
        <v>273</v>
      </c>
      <c r="B9238" s="83" t="s">
        <v>2775</v>
      </c>
      <c r="C9238" s="91" t="s">
        <v>1085</v>
      </c>
    </row>
    <row r="9239" spans="1:3" ht="15">
      <c r="A9239" s="84" t="s">
        <v>273</v>
      </c>
      <c r="B9239" s="83" t="s">
        <v>3129</v>
      </c>
      <c r="C9239" s="91" t="s">
        <v>1085</v>
      </c>
    </row>
    <row r="9240" spans="1:3" ht="15">
      <c r="A9240" s="84" t="s">
        <v>273</v>
      </c>
      <c r="B9240" s="83" t="s">
        <v>3614</v>
      </c>
      <c r="C9240" s="91" t="s">
        <v>1085</v>
      </c>
    </row>
    <row r="9241" spans="1:3" ht="15">
      <c r="A9241" s="84" t="s">
        <v>273</v>
      </c>
      <c r="B9241" s="83" t="s">
        <v>3615</v>
      </c>
      <c r="C9241" s="91" t="s">
        <v>1085</v>
      </c>
    </row>
    <row r="9242" spans="1:3" ht="15">
      <c r="A9242" s="84" t="s">
        <v>273</v>
      </c>
      <c r="B9242" s="83" t="s">
        <v>2577</v>
      </c>
      <c r="C9242" s="91" t="s">
        <v>1085</v>
      </c>
    </row>
    <row r="9243" spans="1:3" ht="15">
      <c r="A9243" s="84" t="s">
        <v>273</v>
      </c>
      <c r="B9243" s="83" t="s">
        <v>3616</v>
      </c>
      <c r="C9243" s="91" t="s">
        <v>1085</v>
      </c>
    </row>
    <row r="9244" spans="1:3" ht="15">
      <c r="A9244" s="84" t="s">
        <v>273</v>
      </c>
      <c r="B9244" s="83" t="s">
        <v>3133</v>
      </c>
      <c r="C9244" s="91" t="s">
        <v>1085</v>
      </c>
    </row>
    <row r="9245" spans="1:3" ht="15">
      <c r="A9245" s="84" t="s">
        <v>273</v>
      </c>
      <c r="B9245" s="83" t="s">
        <v>2720</v>
      </c>
      <c r="C9245" s="91" t="s">
        <v>1085</v>
      </c>
    </row>
    <row r="9246" spans="1:3" ht="15">
      <c r="A9246" s="84" t="s">
        <v>273</v>
      </c>
      <c r="B9246" s="83" t="s">
        <v>3134</v>
      </c>
      <c r="C9246" s="91" t="s">
        <v>1085</v>
      </c>
    </row>
    <row r="9247" spans="1:3" ht="15">
      <c r="A9247" s="84" t="s">
        <v>273</v>
      </c>
      <c r="B9247" s="83" t="s">
        <v>2671</v>
      </c>
      <c r="C9247" s="91" t="s">
        <v>1085</v>
      </c>
    </row>
    <row r="9248" spans="1:3" ht="15">
      <c r="A9248" s="84" t="s">
        <v>273</v>
      </c>
      <c r="B9248" s="83" t="s">
        <v>3135</v>
      </c>
      <c r="C9248" s="91" t="s">
        <v>1085</v>
      </c>
    </row>
    <row r="9249" spans="1:3" ht="15">
      <c r="A9249" s="84" t="s">
        <v>273</v>
      </c>
      <c r="B9249" s="83" t="s">
        <v>2652</v>
      </c>
      <c r="C9249" s="91" t="s">
        <v>1085</v>
      </c>
    </row>
    <row r="9250" spans="1:3" ht="15">
      <c r="A9250" s="84" t="s">
        <v>273</v>
      </c>
      <c r="B9250" s="83" t="s">
        <v>3136</v>
      </c>
      <c r="C9250" s="91" t="s">
        <v>1085</v>
      </c>
    </row>
    <row r="9251" spans="1:3" ht="15">
      <c r="A9251" s="84" t="s">
        <v>273</v>
      </c>
      <c r="B9251" s="83" t="s">
        <v>3311</v>
      </c>
      <c r="C9251" s="91" t="s">
        <v>1085</v>
      </c>
    </row>
    <row r="9252" spans="1:3" ht="15">
      <c r="A9252" s="84" t="s">
        <v>273</v>
      </c>
      <c r="B9252" s="83" t="s">
        <v>3617</v>
      </c>
      <c r="C9252" s="91" t="s">
        <v>1085</v>
      </c>
    </row>
    <row r="9253" spans="1:3" ht="15">
      <c r="A9253" s="84" t="s">
        <v>273</v>
      </c>
      <c r="B9253" s="83" t="s">
        <v>3618</v>
      </c>
      <c r="C9253" s="91" t="s">
        <v>1085</v>
      </c>
    </row>
    <row r="9254" spans="1:3" ht="15">
      <c r="A9254" s="84" t="s">
        <v>273</v>
      </c>
      <c r="B9254" s="83" t="s">
        <v>3138</v>
      </c>
      <c r="C9254" s="91" t="s">
        <v>1085</v>
      </c>
    </row>
    <row r="9255" spans="1:3" ht="15">
      <c r="A9255" s="84" t="s">
        <v>273</v>
      </c>
      <c r="B9255" s="83" t="s">
        <v>2844</v>
      </c>
      <c r="C9255" s="91" t="s">
        <v>1085</v>
      </c>
    </row>
    <row r="9256" spans="1:3" ht="15">
      <c r="A9256" s="84" t="s">
        <v>273</v>
      </c>
      <c r="B9256" s="83" t="s">
        <v>3199</v>
      </c>
      <c r="C9256" s="91" t="s">
        <v>1085</v>
      </c>
    </row>
    <row r="9257" spans="1:3" ht="15">
      <c r="A9257" s="84" t="s">
        <v>273</v>
      </c>
      <c r="B9257" s="83" t="s">
        <v>3421</v>
      </c>
      <c r="C9257" s="91" t="s">
        <v>1085</v>
      </c>
    </row>
    <row r="9258" spans="1:3" ht="15">
      <c r="A9258" s="84" t="s">
        <v>273</v>
      </c>
      <c r="B9258" s="83" t="s">
        <v>3619</v>
      </c>
      <c r="C9258" s="91" t="s">
        <v>1085</v>
      </c>
    </row>
    <row r="9259" spans="1:3" ht="15">
      <c r="A9259" s="84" t="s">
        <v>273</v>
      </c>
      <c r="B9259" s="83" t="s">
        <v>65</v>
      </c>
      <c r="C9259" s="91" t="s">
        <v>1085</v>
      </c>
    </row>
    <row r="9260" spans="1:3" ht="15">
      <c r="A9260" s="84" t="s">
        <v>273</v>
      </c>
      <c r="B9260" s="83" t="s">
        <v>3140</v>
      </c>
      <c r="C9260" s="91" t="s">
        <v>1085</v>
      </c>
    </row>
    <row r="9261" spans="1:3" ht="15">
      <c r="A9261" s="84" t="s">
        <v>273</v>
      </c>
      <c r="B9261" s="83" t="s">
        <v>3141</v>
      </c>
      <c r="C9261" s="91" t="s">
        <v>1085</v>
      </c>
    </row>
    <row r="9262" spans="1:3" ht="15">
      <c r="A9262" s="84" t="s">
        <v>273</v>
      </c>
      <c r="B9262" s="83" t="s">
        <v>3142</v>
      </c>
      <c r="C9262" s="91" t="s">
        <v>1085</v>
      </c>
    </row>
    <row r="9263" spans="1:3" ht="15">
      <c r="A9263" s="84" t="s">
        <v>272</v>
      </c>
      <c r="B9263" s="83" t="s">
        <v>3613</v>
      </c>
      <c r="C9263" s="91" t="s">
        <v>1084</v>
      </c>
    </row>
    <row r="9264" spans="1:3" ht="15">
      <c r="A9264" s="84" t="s">
        <v>272</v>
      </c>
      <c r="B9264" s="83" t="s">
        <v>3122</v>
      </c>
      <c r="C9264" s="91" t="s">
        <v>1084</v>
      </c>
    </row>
    <row r="9265" spans="1:3" ht="15">
      <c r="A9265" s="84" t="s">
        <v>272</v>
      </c>
      <c r="B9265" s="83" t="s">
        <v>3071</v>
      </c>
      <c r="C9265" s="91" t="s">
        <v>1084</v>
      </c>
    </row>
    <row r="9266" spans="1:3" ht="15">
      <c r="A9266" s="84" t="s">
        <v>272</v>
      </c>
      <c r="B9266" s="83" t="s">
        <v>2568</v>
      </c>
      <c r="C9266" s="91" t="s">
        <v>1084</v>
      </c>
    </row>
    <row r="9267" spans="1:3" ht="15">
      <c r="A9267" s="84" t="s">
        <v>272</v>
      </c>
      <c r="B9267" s="83" t="s">
        <v>3123</v>
      </c>
      <c r="C9267" s="91" t="s">
        <v>1084</v>
      </c>
    </row>
    <row r="9268" spans="1:3" ht="15">
      <c r="A9268" s="84" t="s">
        <v>272</v>
      </c>
      <c r="B9268" s="83" t="s">
        <v>3124</v>
      </c>
      <c r="C9268" s="91" t="s">
        <v>1084</v>
      </c>
    </row>
    <row r="9269" spans="1:3" ht="15">
      <c r="A9269" s="84" t="s">
        <v>272</v>
      </c>
      <c r="B9269" s="83" t="s">
        <v>2589</v>
      </c>
      <c r="C9269" s="91" t="s">
        <v>1084</v>
      </c>
    </row>
    <row r="9270" spans="1:3" ht="15">
      <c r="A9270" s="84" t="s">
        <v>272</v>
      </c>
      <c r="B9270" s="83" t="s">
        <v>3203</v>
      </c>
      <c r="C9270" s="91" t="s">
        <v>1084</v>
      </c>
    </row>
    <row r="9271" spans="1:3" ht="15">
      <c r="A9271" s="84" t="s">
        <v>272</v>
      </c>
      <c r="B9271" s="83" t="s">
        <v>3125</v>
      </c>
      <c r="C9271" s="91" t="s">
        <v>1084</v>
      </c>
    </row>
    <row r="9272" spans="1:3" ht="15">
      <c r="A9272" s="84" t="s">
        <v>272</v>
      </c>
      <c r="B9272" s="83" t="s">
        <v>3126</v>
      </c>
      <c r="C9272" s="91" t="s">
        <v>1084</v>
      </c>
    </row>
    <row r="9273" spans="1:3" ht="15">
      <c r="A9273" s="84" t="s">
        <v>272</v>
      </c>
      <c r="B9273" s="83" t="s">
        <v>3127</v>
      </c>
      <c r="C9273" s="91" t="s">
        <v>1084</v>
      </c>
    </row>
    <row r="9274" spans="1:3" ht="15">
      <c r="A9274" s="84" t="s">
        <v>272</v>
      </c>
      <c r="B9274" s="83" t="s">
        <v>3072</v>
      </c>
      <c r="C9274" s="91" t="s">
        <v>1084</v>
      </c>
    </row>
    <row r="9275" spans="1:3" ht="15">
      <c r="A9275" s="84" t="s">
        <v>272</v>
      </c>
      <c r="B9275" s="83" t="s">
        <v>2647</v>
      </c>
      <c r="C9275" s="91" t="s">
        <v>1084</v>
      </c>
    </row>
    <row r="9276" spans="1:3" ht="15">
      <c r="A9276" s="84" t="s">
        <v>272</v>
      </c>
      <c r="B9276" s="83" t="s">
        <v>3128</v>
      </c>
      <c r="C9276" s="91" t="s">
        <v>1084</v>
      </c>
    </row>
    <row r="9277" spans="1:3" ht="15">
      <c r="A9277" s="84" t="s">
        <v>272</v>
      </c>
      <c r="B9277" s="83" t="s">
        <v>2775</v>
      </c>
      <c r="C9277" s="91" t="s">
        <v>1084</v>
      </c>
    </row>
    <row r="9278" spans="1:3" ht="15">
      <c r="A9278" s="84" t="s">
        <v>272</v>
      </c>
      <c r="B9278" s="83" t="s">
        <v>3129</v>
      </c>
      <c r="C9278" s="91" t="s">
        <v>1084</v>
      </c>
    </row>
    <row r="9279" spans="1:3" ht="15">
      <c r="A9279" s="84" t="s">
        <v>272</v>
      </c>
      <c r="B9279" s="83" t="s">
        <v>3614</v>
      </c>
      <c r="C9279" s="91" t="s">
        <v>1084</v>
      </c>
    </row>
    <row r="9280" spans="1:3" ht="15">
      <c r="A9280" s="84" t="s">
        <v>272</v>
      </c>
      <c r="B9280" s="83" t="s">
        <v>3615</v>
      </c>
      <c r="C9280" s="91" t="s">
        <v>1084</v>
      </c>
    </row>
    <row r="9281" spans="1:3" ht="15">
      <c r="A9281" s="84" t="s">
        <v>272</v>
      </c>
      <c r="B9281" s="83" t="s">
        <v>2577</v>
      </c>
      <c r="C9281" s="91" t="s">
        <v>1084</v>
      </c>
    </row>
    <row r="9282" spans="1:3" ht="15">
      <c r="A9282" s="84" t="s">
        <v>272</v>
      </c>
      <c r="B9282" s="83" t="s">
        <v>3616</v>
      </c>
      <c r="C9282" s="91" t="s">
        <v>1084</v>
      </c>
    </row>
    <row r="9283" spans="1:3" ht="15">
      <c r="A9283" s="84" t="s">
        <v>272</v>
      </c>
      <c r="B9283" s="83" t="s">
        <v>3133</v>
      </c>
      <c r="C9283" s="91" t="s">
        <v>1084</v>
      </c>
    </row>
    <row r="9284" spans="1:3" ht="15">
      <c r="A9284" s="84" t="s">
        <v>272</v>
      </c>
      <c r="B9284" s="83" t="s">
        <v>2720</v>
      </c>
      <c r="C9284" s="91" t="s">
        <v>1084</v>
      </c>
    </row>
    <row r="9285" spans="1:3" ht="15">
      <c r="A9285" s="84" t="s">
        <v>272</v>
      </c>
      <c r="B9285" s="83" t="s">
        <v>3134</v>
      </c>
      <c r="C9285" s="91" t="s">
        <v>1084</v>
      </c>
    </row>
    <row r="9286" spans="1:3" ht="15">
      <c r="A9286" s="84" t="s">
        <v>272</v>
      </c>
      <c r="B9286" s="83" t="s">
        <v>2671</v>
      </c>
      <c r="C9286" s="91" t="s">
        <v>1084</v>
      </c>
    </row>
    <row r="9287" spans="1:3" ht="15">
      <c r="A9287" s="84" t="s">
        <v>272</v>
      </c>
      <c r="B9287" s="83" t="s">
        <v>3135</v>
      </c>
      <c r="C9287" s="91" t="s">
        <v>1084</v>
      </c>
    </row>
    <row r="9288" spans="1:3" ht="15">
      <c r="A9288" s="84" t="s">
        <v>272</v>
      </c>
      <c r="B9288" s="83" t="s">
        <v>2652</v>
      </c>
      <c r="C9288" s="91" t="s">
        <v>1084</v>
      </c>
    </row>
    <row r="9289" spans="1:3" ht="15">
      <c r="A9289" s="84" t="s">
        <v>272</v>
      </c>
      <c r="B9289" s="83" t="s">
        <v>3136</v>
      </c>
      <c r="C9289" s="91" t="s">
        <v>1084</v>
      </c>
    </row>
    <row r="9290" spans="1:3" ht="15">
      <c r="A9290" s="84" t="s">
        <v>272</v>
      </c>
      <c r="B9290" s="83" t="s">
        <v>3311</v>
      </c>
      <c r="C9290" s="91" t="s">
        <v>1084</v>
      </c>
    </row>
    <row r="9291" spans="1:3" ht="15">
      <c r="A9291" s="84" t="s">
        <v>272</v>
      </c>
      <c r="B9291" s="83" t="s">
        <v>3617</v>
      </c>
      <c r="C9291" s="91" t="s">
        <v>1084</v>
      </c>
    </row>
    <row r="9292" spans="1:3" ht="15">
      <c r="A9292" s="84" t="s">
        <v>272</v>
      </c>
      <c r="B9292" s="83" t="s">
        <v>3618</v>
      </c>
      <c r="C9292" s="91" t="s">
        <v>1084</v>
      </c>
    </row>
    <row r="9293" spans="1:3" ht="15">
      <c r="A9293" s="84" t="s">
        <v>272</v>
      </c>
      <c r="B9293" s="83" t="s">
        <v>3138</v>
      </c>
      <c r="C9293" s="91" t="s">
        <v>1084</v>
      </c>
    </row>
    <row r="9294" spans="1:3" ht="15">
      <c r="A9294" s="84" t="s">
        <v>272</v>
      </c>
      <c r="B9294" s="83" t="s">
        <v>2844</v>
      </c>
      <c r="C9294" s="91" t="s">
        <v>1084</v>
      </c>
    </row>
    <row r="9295" spans="1:3" ht="15">
      <c r="A9295" s="84" t="s">
        <v>272</v>
      </c>
      <c r="B9295" s="83" t="s">
        <v>3199</v>
      </c>
      <c r="C9295" s="91" t="s">
        <v>1084</v>
      </c>
    </row>
    <row r="9296" spans="1:3" ht="15">
      <c r="A9296" s="84" t="s">
        <v>272</v>
      </c>
      <c r="B9296" s="83" t="s">
        <v>3421</v>
      </c>
      <c r="C9296" s="91" t="s">
        <v>1084</v>
      </c>
    </row>
    <row r="9297" spans="1:3" ht="15">
      <c r="A9297" s="84" t="s">
        <v>272</v>
      </c>
      <c r="B9297" s="83" t="s">
        <v>3619</v>
      </c>
      <c r="C9297" s="91" t="s">
        <v>1084</v>
      </c>
    </row>
    <row r="9298" spans="1:3" ht="15">
      <c r="A9298" s="84" t="s">
        <v>272</v>
      </c>
      <c r="B9298" s="83" t="s">
        <v>65</v>
      </c>
      <c r="C9298" s="91" t="s">
        <v>1084</v>
      </c>
    </row>
    <row r="9299" spans="1:3" ht="15">
      <c r="A9299" s="84" t="s">
        <v>272</v>
      </c>
      <c r="B9299" s="83" t="s">
        <v>3140</v>
      </c>
      <c r="C9299" s="91" t="s">
        <v>1084</v>
      </c>
    </row>
    <row r="9300" spans="1:3" ht="15">
      <c r="A9300" s="84" t="s">
        <v>272</v>
      </c>
      <c r="B9300" s="83" t="s">
        <v>3141</v>
      </c>
      <c r="C9300" s="91" t="s">
        <v>1084</v>
      </c>
    </row>
    <row r="9301" spans="1:3" ht="15">
      <c r="A9301" s="84" t="s">
        <v>272</v>
      </c>
      <c r="B9301" s="83" t="s">
        <v>3142</v>
      </c>
      <c r="C9301" s="91" t="s">
        <v>1084</v>
      </c>
    </row>
    <row r="9302" spans="1:3" ht="15">
      <c r="A9302" s="84" t="s">
        <v>271</v>
      </c>
      <c r="B9302" s="83" t="s">
        <v>3436</v>
      </c>
      <c r="C9302" s="91" t="s">
        <v>1083</v>
      </c>
    </row>
    <row r="9303" spans="1:3" ht="15">
      <c r="A9303" s="84" t="s">
        <v>271</v>
      </c>
      <c r="B9303" s="83" t="s">
        <v>2682</v>
      </c>
      <c r="C9303" s="91" t="s">
        <v>1083</v>
      </c>
    </row>
    <row r="9304" spans="1:3" ht="15">
      <c r="A9304" s="84" t="s">
        <v>271</v>
      </c>
      <c r="B9304" s="83" t="s">
        <v>2582</v>
      </c>
      <c r="C9304" s="91" t="s">
        <v>1083</v>
      </c>
    </row>
    <row r="9305" spans="1:3" ht="15">
      <c r="A9305" s="84" t="s">
        <v>271</v>
      </c>
      <c r="B9305" s="83" t="s">
        <v>3437</v>
      </c>
      <c r="C9305" s="91" t="s">
        <v>1083</v>
      </c>
    </row>
    <row r="9306" spans="1:3" ht="15">
      <c r="A9306" s="84" t="s">
        <v>271</v>
      </c>
      <c r="B9306" s="83" t="s">
        <v>3438</v>
      </c>
      <c r="C9306" s="91" t="s">
        <v>1083</v>
      </c>
    </row>
    <row r="9307" spans="1:3" ht="15">
      <c r="A9307" s="84" t="s">
        <v>271</v>
      </c>
      <c r="B9307" s="83" t="s">
        <v>2685</v>
      </c>
      <c r="C9307" s="91" t="s">
        <v>1083</v>
      </c>
    </row>
    <row r="9308" spans="1:3" ht="15">
      <c r="A9308" s="84" t="s">
        <v>271</v>
      </c>
      <c r="B9308" s="83">
        <v>106</v>
      </c>
      <c r="C9308" s="91" t="s">
        <v>1083</v>
      </c>
    </row>
    <row r="9309" spans="1:3" ht="15">
      <c r="A9309" s="84" t="s">
        <v>271</v>
      </c>
      <c r="B9309" s="83" t="s">
        <v>2687</v>
      </c>
      <c r="C9309" s="91" t="s">
        <v>1083</v>
      </c>
    </row>
    <row r="9310" spans="1:3" ht="15">
      <c r="A9310" s="84" t="s">
        <v>271</v>
      </c>
      <c r="B9310" s="83" t="s">
        <v>2688</v>
      </c>
      <c r="C9310" s="91" t="s">
        <v>1083</v>
      </c>
    </row>
    <row r="9311" spans="1:3" ht="15">
      <c r="A9311" s="84" t="s">
        <v>271</v>
      </c>
      <c r="B9311" s="83" t="s">
        <v>3439</v>
      </c>
      <c r="C9311" s="91" t="s">
        <v>1083</v>
      </c>
    </row>
    <row r="9312" spans="1:3" ht="15">
      <c r="A9312" s="84" t="s">
        <v>271</v>
      </c>
      <c r="B9312" s="83" t="s">
        <v>3440</v>
      </c>
      <c r="C9312" s="91" t="s">
        <v>1083</v>
      </c>
    </row>
    <row r="9313" spans="1:3" ht="15">
      <c r="A9313" s="84" t="s">
        <v>271</v>
      </c>
      <c r="B9313" s="83" t="s">
        <v>3213</v>
      </c>
      <c r="C9313" s="91" t="s">
        <v>1083</v>
      </c>
    </row>
    <row r="9314" spans="1:3" ht="15">
      <c r="A9314" s="84" t="s">
        <v>271</v>
      </c>
      <c r="B9314" s="83" t="s">
        <v>3194</v>
      </c>
      <c r="C9314" s="91" t="s">
        <v>1083</v>
      </c>
    </row>
    <row r="9315" spans="1:3" ht="15">
      <c r="A9315" s="84" t="s">
        <v>271</v>
      </c>
      <c r="B9315" s="83" t="s">
        <v>3214</v>
      </c>
      <c r="C9315" s="91" t="s">
        <v>1083</v>
      </c>
    </row>
    <row r="9316" spans="1:3" ht="15">
      <c r="A9316" s="84" t="s">
        <v>271</v>
      </c>
      <c r="B9316" s="83" t="s">
        <v>3441</v>
      </c>
      <c r="C9316" s="91" t="s">
        <v>1083</v>
      </c>
    </row>
    <row r="9317" spans="1:3" ht="15">
      <c r="A9317" s="84" t="s">
        <v>271</v>
      </c>
      <c r="B9317" s="83" t="s">
        <v>3412</v>
      </c>
      <c r="C9317" s="91" t="s">
        <v>1083</v>
      </c>
    </row>
    <row r="9318" spans="1:3" ht="15">
      <c r="A9318" s="84" t="s">
        <v>271</v>
      </c>
      <c r="B9318" s="83" t="s">
        <v>3199</v>
      </c>
      <c r="C9318" s="91" t="s">
        <v>1083</v>
      </c>
    </row>
    <row r="9319" spans="1:3" ht="15">
      <c r="A9319" s="84" t="s">
        <v>271</v>
      </c>
      <c r="B9319" s="83" t="s">
        <v>3442</v>
      </c>
      <c r="C9319" s="91" t="s">
        <v>1083</v>
      </c>
    </row>
    <row r="9320" spans="1:3" ht="15">
      <c r="A9320" s="84" t="s">
        <v>271</v>
      </c>
      <c r="B9320" s="83" t="s">
        <v>3223</v>
      </c>
      <c r="C9320" s="91" t="s">
        <v>1083</v>
      </c>
    </row>
    <row r="9321" spans="1:3" ht="15">
      <c r="A9321" s="84" t="s">
        <v>271</v>
      </c>
      <c r="B9321" s="83" t="s">
        <v>3443</v>
      </c>
      <c r="C9321" s="91" t="s">
        <v>1083</v>
      </c>
    </row>
    <row r="9322" spans="1:3" ht="15">
      <c r="A9322" s="84" t="s">
        <v>271</v>
      </c>
      <c r="B9322" s="83" t="s">
        <v>3444</v>
      </c>
      <c r="C9322" s="91" t="s">
        <v>1083</v>
      </c>
    </row>
    <row r="9323" spans="1:3" ht="15">
      <c r="A9323" s="84" t="s">
        <v>271</v>
      </c>
      <c r="B9323" s="83" t="s">
        <v>381</v>
      </c>
      <c r="C9323" s="91" t="s">
        <v>1083</v>
      </c>
    </row>
    <row r="9324" spans="1:3" ht="15">
      <c r="A9324" s="84" t="s">
        <v>271</v>
      </c>
      <c r="B9324" s="83" t="s">
        <v>3445</v>
      </c>
      <c r="C9324" s="91" t="s">
        <v>1083</v>
      </c>
    </row>
    <row r="9325" spans="1:3" ht="15">
      <c r="A9325" s="84" t="s">
        <v>271</v>
      </c>
      <c r="B9325" s="83" t="s">
        <v>383</v>
      </c>
      <c r="C9325" s="91" t="s">
        <v>1083</v>
      </c>
    </row>
    <row r="9326" spans="1:3" ht="15">
      <c r="A9326" s="84" t="s">
        <v>271</v>
      </c>
      <c r="B9326" s="83" t="s">
        <v>430</v>
      </c>
      <c r="C9326" s="91" t="s">
        <v>1083</v>
      </c>
    </row>
    <row r="9327" spans="1:3" ht="15">
      <c r="A9327" s="84" t="s">
        <v>271</v>
      </c>
      <c r="B9327" s="83" t="s">
        <v>3446</v>
      </c>
      <c r="C9327" s="91" t="s">
        <v>1083</v>
      </c>
    </row>
    <row r="9328" spans="1:3" ht="15">
      <c r="A9328" s="84" t="s">
        <v>271</v>
      </c>
      <c r="B9328" s="83" t="s">
        <v>3447</v>
      </c>
      <c r="C9328" s="91" t="s">
        <v>1083</v>
      </c>
    </row>
    <row r="9329" spans="1:3" ht="15">
      <c r="A9329" s="84" t="s">
        <v>270</v>
      </c>
      <c r="B9329" s="83" t="s">
        <v>3620</v>
      </c>
      <c r="C9329" s="91" t="s">
        <v>1082</v>
      </c>
    </row>
    <row r="9330" spans="1:3" ht="15">
      <c r="A9330" s="84" t="s">
        <v>270</v>
      </c>
      <c r="B9330" s="83" t="s">
        <v>2578</v>
      </c>
      <c r="C9330" s="91" t="s">
        <v>1082</v>
      </c>
    </row>
    <row r="9331" spans="1:3" ht="15">
      <c r="A9331" s="84" t="s">
        <v>270</v>
      </c>
      <c r="B9331" s="83" t="s">
        <v>2991</v>
      </c>
      <c r="C9331" s="91" t="s">
        <v>1082</v>
      </c>
    </row>
    <row r="9332" spans="1:3" ht="15">
      <c r="A9332" s="84" t="s">
        <v>270</v>
      </c>
      <c r="B9332" s="83" t="s">
        <v>2992</v>
      </c>
      <c r="C9332" s="91" t="s">
        <v>1082</v>
      </c>
    </row>
    <row r="9333" spans="1:3" ht="15">
      <c r="A9333" s="84" t="s">
        <v>270</v>
      </c>
      <c r="B9333" s="83" t="s">
        <v>3621</v>
      </c>
      <c r="C9333" s="91" t="s">
        <v>1082</v>
      </c>
    </row>
    <row r="9334" spans="1:3" ht="15">
      <c r="A9334" s="84" t="s">
        <v>270</v>
      </c>
      <c r="B9334" s="83" t="s">
        <v>3210</v>
      </c>
      <c r="C9334" s="91" t="s">
        <v>1082</v>
      </c>
    </row>
    <row r="9335" spans="1:3" ht="15">
      <c r="A9335" s="84" t="s">
        <v>270</v>
      </c>
      <c r="B9335" s="83">
        <v>19</v>
      </c>
      <c r="C9335" s="91" t="s">
        <v>1082</v>
      </c>
    </row>
    <row r="9336" spans="1:3" ht="15">
      <c r="A9336" s="84" t="s">
        <v>270</v>
      </c>
      <c r="B9336" s="83" t="s">
        <v>2994</v>
      </c>
      <c r="C9336" s="91" t="s">
        <v>1082</v>
      </c>
    </row>
    <row r="9337" spans="1:3" ht="15">
      <c r="A9337" s="84" t="s">
        <v>270</v>
      </c>
      <c r="B9337" s="83" t="s">
        <v>2995</v>
      </c>
      <c r="C9337" s="91" t="s">
        <v>1082</v>
      </c>
    </row>
    <row r="9338" spans="1:3" ht="15">
      <c r="A9338" s="84" t="s">
        <v>270</v>
      </c>
      <c r="B9338" s="83" t="s">
        <v>2846</v>
      </c>
      <c r="C9338" s="91" t="s">
        <v>1082</v>
      </c>
    </row>
    <row r="9339" spans="1:3" ht="15">
      <c r="A9339" s="84" t="s">
        <v>270</v>
      </c>
      <c r="B9339" s="83" t="s">
        <v>2996</v>
      </c>
      <c r="C9339" s="91" t="s">
        <v>1082</v>
      </c>
    </row>
    <row r="9340" spans="1:3" ht="15">
      <c r="A9340" s="84" t="s">
        <v>270</v>
      </c>
      <c r="B9340" s="83" t="s">
        <v>2997</v>
      </c>
      <c r="C9340" s="91" t="s">
        <v>1082</v>
      </c>
    </row>
    <row r="9341" spans="1:3" ht="15">
      <c r="A9341" s="84" t="s">
        <v>270</v>
      </c>
      <c r="B9341" s="83" t="s">
        <v>2998</v>
      </c>
      <c r="C9341" s="91" t="s">
        <v>1082</v>
      </c>
    </row>
    <row r="9342" spans="1:3" ht="15">
      <c r="A9342" s="84" t="s">
        <v>270</v>
      </c>
      <c r="B9342" s="83" t="s">
        <v>2999</v>
      </c>
      <c r="C9342" s="91" t="s">
        <v>1082</v>
      </c>
    </row>
    <row r="9343" spans="1:3" ht="15">
      <c r="A9343" s="84" t="s">
        <v>270</v>
      </c>
      <c r="B9343" s="83" t="s">
        <v>3000</v>
      </c>
      <c r="C9343" s="91" t="s">
        <v>1082</v>
      </c>
    </row>
    <row r="9344" spans="1:3" ht="15">
      <c r="A9344" s="84" t="s">
        <v>270</v>
      </c>
      <c r="B9344" s="83" t="s">
        <v>2934</v>
      </c>
      <c r="C9344" s="91" t="s">
        <v>1082</v>
      </c>
    </row>
    <row r="9345" spans="1:3" ht="15">
      <c r="A9345" s="84" t="s">
        <v>270</v>
      </c>
      <c r="B9345" s="83" t="s">
        <v>3001</v>
      </c>
      <c r="C9345" s="91" t="s">
        <v>1082</v>
      </c>
    </row>
    <row r="9346" spans="1:3" ht="15">
      <c r="A9346" s="84" t="s">
        <v>270</v>
      </c>
      <c r="B9346" s="83" t="s">
        <v>3002</v>
      </c>
      <c r="C9346" s="91" t="s">
        <v>1082</v>
      </c>
    </row>
    <row r="9347" spans="1:3" ht="15">
      <c r="A9347" s="84" t="s">
        <v>270</v>
      </c>
      <c r="B9347" s="83" t="s">
        <v>3003</v>
      </c>
      <c r="C9347" s="91" t="s">
        <v>1082</v>
      </c>
    </row>
    <row r="9348" spans="1:3" ht="15">
      <c r="A9348" s="84" t="s">
        <v>270</v>
      </c>
      <c r="B9348" s="83" t="s">
        <v>3004</v>
      </c>
      <c r="C9348" s="91" t="s">
        <v>1082</v>
      </c>
    </row>
    <row r="9349" spans="1:3" ht="15">
      <c r="A9349" s="84" t="s">
        <v>270</v>
      </c>
      <c r="B9349" s="83" t="s">
        <v>3005</v>
      </c>
      <c r="C9349" s="91" t="s">
        <v>1082</v>
      </c>
    </row>
    <row r="9350" spans="1:3" ht="15">
      <c r="A9350" s="84" t="s">
        <v>270</v>
      </c>
      <c r="B9350" s="83" t="s">
        <v>3622</v>
      </c>
      <c r="C9350" s="91" t="s">
        <v>1082</v>
      </c>
    </row>
    <row r="9351" spans="1:3" ht="15">
      <c r="A9351" s="84" t="s">
        <v>270</v>
      </c>
      <c r="B9351" s="83" t="s">
        <v>3006</v>
      </c>
      <c r="C9351" s="91" t="s">
        <v>1082</v>
      </c>
    </row>
    <row r="9352" spans="1:3" ht="15">
      <c r="A9352" s="84" t="s">
        <v>270</v>
      </c>
      <c r="B9352" s="83" t="s">
        <v>3007</v>
      </c>
      <c r="C9352" s="91" t="s">
        <v>1082</v>
      </c>
    </row>
    <row r="9353" spans="1:3" ht="15">
      <c r="A9353" s="84" t="s">
        <v>270</v>
      </c>
      <c r="B9353" s="83" t="s">
        <v>3008</v>
      </c>
      <c r="C9353" s="91" t="s">
        <v>1082</v>
      </c>
    </row>
    <row r="9354" spans="1:3" ht="15">
      <c r="A9354" s="84" t="s">
        <v>270</v>
      </c>
      <c r="B9354" s="83" t="s">
        <v>3199</v>
      </c>
      <c r="C9354" s="91" t="s">
        <v>1082</v>
      </c>
    </row>
    <row r="9355" spans="1:3" ht="15">
      <c r="A9355" s="84" t="s">
        <v>270</v>
      </c>
      <c r="B9355" s="83" t="s">
        <v>3234</v>
      </c>
      <c r="C9355" s="91" t="s">
        <v>1082</v>
      </c>
    </row>
    <row r="9356" spans="1:3" ht="15">
      <c r="A9356" s="84" t="s">
        <v>270</v>
      </c>
      <c r="B9356" s="83" t="s">
        <v>3623</v>
      </c>
      <c r="C9356" s="91" t="s">
        <v>1082</v>
      </c>
    </row>
    <row r="9357" spans="1:3" ht="15">
      <c r="A9357" s="84" t="s">
        <v>270</v>
      </c>
      <c r="B9357" s="83" t="s">
        <v>3119</v>
      </c>
      <c r="C9357" s="91" t="s">
        <v>1082</v>
      </c>
    </row>
    <row r="9358" spans="1:3" ht="15">
      <c r="A9358" s="84" t="s">
        <v>270</v>
      </c>
      <c r="B9358" s="83" t="s">
        <v>3624</v>
      </c>
      <c r="C9358" s="91" t="s">
        <v>1082</v>
      </c>
    </row>
    <row r="9359" spans="1:3" ht="15">
      <c r="A9359" s="84" t="s">
        <v>270</v>
      </c>
      <c r="B9359" s="83" t="s">
        <v>3625</v>
      </c>
      <c r="C9359" s="91" t="s">
        <v>1082</v>
      </c>
    </row>
    <row r="9360" spans="1:3" ht="15">
      <c r="A9360" s="84" t="s">
        <v>270</v>
      </c>
      <c r="B9360" s="83" t="s">
        <v>3626</v>
      </c>
      <c r="C9360" s="91" t="s">
        <v>1082</v>
      </c>
    </row>
    <row r="9361" spans="1:3" ht="15">
      <c r="A9361" s="84" t="s">
        <v>270</v>
      </c>
      <c r="B9361" s="83" t="s">
        <v>3255</v>
      </c>
      <c r="C9361" s="91" t="s">
        <v>1082</v>
      </c>
    </row>
    <row r="9362" spans="1:3" ht="15">
      <c r="A9362" s="84" t="s">
        <v>268</v>
      </c>
      <c r="B9362" s="83" t="s">
        <v>3627</v>
      </c>
      <c r="C9362" s="91" t="s">
        <v>1080</v>
      </c>
    </row>
    <row r="9363" spans="1:3" ht="15">
      <c r="A9363" s="84" t="s">
        <v>268</v>
      </c>
      <c r="B9363" s="83" t="s">
        <v>2568</v>
      </c>
      <c r="C9363" s="91" t="s">
        <v>1080</v>
      </c>
    </row>
    <row r="9364" spans="1:3" ht="15">
      <c r="A9364" s="84" t="s">
        <v>268</v>
      </c>
      <c r="B9364" s="83" t="s">
        <v>2667</v>
      </c>
      <c r="C9364" s="91" t="s">
        <v>1080</v>
      </c>
    </row>
    <row r="9365" spans="1:3" ht="15">
      <c r="A9365" s="84" t="s">
        <v>268</v>
      </c>
      <c r="B9365" s="83" t="s">
        <v>2652</v>
      </c>
      <c r="C9365" s="91" t="s">
        <v>1080</v>
      </c>
    </row>
    <row r="9366" spans="1:3" ht="15">
      <c r="A9366" s="84" t="s">
        <v>268</v>
      </c>
      <c r="B9366" s="83" t="s">
        <v>2577</v>
      </c>
      <c r="C9366" s="91" t="s">
        <v>1080</v>
      </c>
    </row>
    <row r="9367" spans="1:3" ht="15">
      <c r="A9367" s="84" t="s">
        <v>268</v>
      </c>
      <c r="B9367" s="83" t="s">
        <v>2680</v>
      </c>
      <c r="C9367" s="91" t="s">
        <v>1080</v>
      </c>
    </row>
    <row r="9368" spans="1:3" ht="15">
      <c r="A9368" s="84" t="s">
        <v>268</v>
      </c>
      <c r="B9368" s="83" t="s">
        <v>2578</v>
      </c>
      <c r="C9368" s="91" t="s">
        <v>1080</v>
      </c>
    </row>
    <row r="9369" spans="1:3" ht="15">
      <c r="A9369" s="84" t="s">
        <v>268</v>
      </c>
      <c r="B9369" s="83" t="s">
        <v>3628</v>
      </c>
      <c r="C9369" s="91" t="s">
        <v>1080</v>
      </c>
    </row>
    <row r="9370" spans="1:3" ht="15">
      <c r="A9370" s="84" t="s">
        <v>268</v>
      </c>
      <c r="B9370" s="83" t="s">
        <v>2719</v>
      </c>
      <c r="C9370" s="91" t="s">
        <v>1080</v>
      </c>
    </row>
    <row r="9371" spans="1:3" ht="15">
      <c r="A9371" s="84" t="s">
        <v>268</v>
      </c>
      <c r="B9371" s="83" t="s">
        <v>3629</v>
      </c>
      <c r="C9371" s="91" t="s">
        <v>1080</v>
      </c>
    </row>
    <row r="9372" spans="1:3" ht="15">
      <c r="A9372" s="84" t="s">
        <v>268</v>
      </c>
      <c r="B9372" s="83" t="s">
        <v>2582</v>
      </c>
      <c r="C9372" s="91" t="s">
        <v>1080</v>
      </c>
    </row>
    <row r="9373" spans="1:3" ht="15">
      <c r="A9373" s="84" t="s">
        <v>268</v>
      </c>
      <c r="B9373" s="83" t="s">
        <v>3630</v>
      </c>
      <c r="C9373" s="91" t="s">
        <v>1080</v>
      </c>
    </row>
    <row r="9374" spans="1:3" ht="15">
      <c r="A9374" s="84" t="s">
        <v>268</v>
      </c>
      <c r="B9374" s="83" t="s">
        <v>2589</v>
      </c>
      <c r="C9374" s="91" t="s">
        <v>1080</v>
      </c>
    </row>
    <row r="9375" spans="1:3" ht="15">
      <c r="A9375" s="84" t="s">
        <v>268</v>
      </c>
      <c r="B9375" s="83" t="s">
        <v>3631</v>
      </c>
      <c r="C9375" s="91" t="s">
        <v>1080</v>
      </c>
    </row>
    <row r="9376" spans="1:3" ht="15">
      <c r="A9376" s="84" t="s">
        <v>268</v>
      </c>
      <c r="B9376" s="83" t="s">
        <v>2580</v>
      </c>
      <c r="C9376" s="91" t="s">
        <v>1080</v>
      </c>
    </row>
    <row r="9377" spans="1:3" ht="15">
      <c r="A9377" s="84" t="s">
        <v>268</v>
      </c>
      <c r="B9377" s="83" t="s">
        <v>3632</v>
      </c>
      <c r="C9377" s="91" t="s">
        <v>1080</v>
      </c>
    </row>
    <row r="9378" spans="1:3" ht="15">
      <c r="A9378" s="84" t="s">
        <v>268</v>
      </c>
      <c r="B9378" s="83" t="s">
        <v>2767</v>
      </c>
      <c r="C9378" s="91" t="s">
        <v>1080</v>
      </c>
    </row>
    <row r="9379" spans="1:3" ht="15">
      <c r="A9379" s="84" t="s">
        <v>268</v>
      </c>
      <c r="B9379" s="83" t="s">
        <v>3633</v>
      </c>
      <c r="C9379" s="91" t="s">
        <v>1080</v>
      </c>
    </row>
    <row r="9380" spans="1:3" ht="15">
      <c r="A9380" s="84" t="s">
        <v>268</v>
      </c>
      <c r="B9380" s="83" t="s">
        <v>3634</v>
      </c>
      <c r="C9380" s="91" t="s">
        <v>1080</v>
      </c>
    </row>
    <row r="9381" spans="1:3" ht="15">
      <c r="A9381" s="84" t="s">
        <v>268</v>
      </c>
      <c r="B9381" s="83" t="s">
        <v>3528</v>
      </c>
      <c r="C9381" s="91" t="s">
        <v>1080</v>
      </c>
    </row>
    <row r="9382" spans="1:3" ht="15">
      <c r="A9382" s="84" t="s">
        <v>268</v>
      </c>
      <c r="B9382" s="83" t="s">
        <v>2648</v>
      </c>
      <c r="C9382" s="91" t="s">
        <v>1080</v>
      </c>
    </row>
    <row r="9383" spans="1:3" ht="15">
      <c r="A9383" s="84" t="s">
        <v>268</v>
      </c>
      <c r="B9383" s="83" t="s">
        <v>2831</v>
      </c>
      <c r="C9383" s="91" t="s">
        <v>1080</v>
      </c>
    </row>
    <row r="9384" spans="1:3" ht="15">
      <c r="A9384" s="84" t="s">
        <v>268</v>
      </c>
      <c r="B9384" s="83" t="s">
        <v>3635</v>
      </c>
      <c r="C9384" s="91" t="s">
        <v>1080</v>
      </c>
    </row>
    <row r="9385" spans="1:3" ht="15">
      <c r="A9385" s="84" t="s">
        <v>268</v>
      </c>
      <c r="B9385" s="83" t="s">
        <v>3636</v>
      </c>
      <c r="C9385" s="91" t="s">
        <v>1080</v>
      </c>
    </row>
    <row r="9386" spans="1:3" ht="15">
      <c r="A9386" s="84" t="s">
        <v>268</v>
      </c>
      <c r="B9386" s="83" t="s">
        <v>3637</v>
      </c>
      <c r="C9386" s="91" t="s">
        <v>1080</v>
      </c>
    </row>
    <row r="9387" spans="1:3" ht="15">
      <c r="A9387" s="84" t="s">
        <v>268</v>
      </c>
      <c r="B9387" s="83" t="s">
        <v>3421</v>
      </c>
      <c r="C9387" s="91" t="s">
        <v>1080</v>
      </c>
    </row>
    <row r="9388" spans="1:3" ht="15">
      <c r="A9388" s="84" t="s">
        <v>268</v>
      </c>
      <c r="B9388" s="83" t="s">
        <v>3638</v>
      </c>
      <c r="C9388" s="91" t="s">
        <v>1080</v>
      </c>
    </row>
    <row r="9389" spans="1:3" ht="15">
      <c r="A9389" s="84" t="s">
        <v>268</v>
      </c>
      <c r="B9389" s="83" t="s">
        <v>3199</v>
      </c>
      <c r="C9389" s="91" t="s">
        <v>1080</v>
      </c>
    </row>
    <row r="9390" spans="1:3" ht="15">
      <c r="A9390" s="84" t="s">
        <v>268</v>
      </c>
      <c r="B9390" s="83" t="s">
        <v>3639</v>
      </c>
      <c r="C9390" s="91" t="s">
        <v>1080</v>
      </c>
    </row>
    <row r="9391" spans="1:3" ht="15">
      <c r="A9391" s="84" t="s">
        <v>268</v>
      </c>
      <c r="B9391" s="83" t="s">
        <v>3640</v>
      </c>
      <c r="C9391" s="91" t="s">
        <v>1080</v>
      </c>
    </row>
    <row r="9392" spans="1:3" ht="15">
      <c r="A9392" s="84" t="s">
        <v>267</v>
      </c>
      <c r="B9392" s="83" t="s">
        <v>3436</v>
      </c>
      <c r="C9392" s="91" t="s">
        <v>1079</v>
      </c>
    </row>
    <row r="9393" spans="1:3" ht="15">
      <c r="A9393" s="84" t="s">
        <v>267</v>
      </c>
      <c r="B9393" s="83" t="s">
        <v>2682</v>
      </c>
      <c r="C9393" s="91" t="s">
        <v>1079</v>
      </c>
    </row>
    <row r="9394" spans="1:3" ht="15">
      <c r="A9394" s="84" t="s">
        <v>267</v>
      </c>
      <c r="B9394" s="83" t="s">
        <v>2582</v>
      </c>
      <c r="C9394" s="91" t="s">
        <v>1079</v>
      </c>
    </row>
    <row r="9395" spans="1:3" ht="15">
      <c r="A9395" s="84" t="s">
        <v>267</v>
      </c>
      <c r="B9395" s="83" t="s">
        <v>3437</v>
      </c>
      <c r="C9395" s="91" t="s">
        <v>1079</v>
      </c>
    </row>
    <row r="9396" spans="1:3" ht="15">
      <c r="A9396" s="84" t="s">
        <v>267</v>
      </c>
      <c r="B9396" s="83" t="s">
        <v>3438</v>
      </c>
      <c r="C9396" s="91" t="s">
        <v>1079</v>
      </c>
    </row>
    <row r="9397" spans="1:3" ht="15">
      <c r="A9397" s="84" t="s">
        <v>267</v>
      </c>
      <c r="B9397" s="83" t="s">
        <v>2685</v>
      </c>
      <c r="C9397" s="91" t="s">
        <v>1079</v>
      </c>
    </row>
    <row r="9398" spans="1:3" ht="15">
      <c r="A9398" s="84" t="s">
        <v>267</v>
      </c>
      <c r="B9398" s="83">
        <v>106</v>
      </c>
      <c r="C9398" s="91" t="s">
        <v>1079</v>
      </c>
    </row>
    <row r="9399" spans="1:3" ht="15">
      <c r="A9399" s="84" t="s">
        <v>267</v>
      </c>
      <c r="B9399" s="83" t="s">
        <v>2687</v>
      </c>
      <c r="C9399" s="91" t="s">
        <v>1079</v>
      </c>
    </row>
    <row r="9400" spans="1:3" ht="15">
      <c r="A9400" s="84" t="s">
        <v>267</v>
      </c>
      <c r="B9400" s="83" t="s">
        <v>2688</v>
      </c>
      <c r="C9400" s="91" t="s">
        <v>1079</v>
      </c>
    </row>
    <row r="9401" spans="1:3" ht="15">
      <c r="A9401" s="84" t="s">
        <v>267</v>
      </c>
      <c r="B9401" s="83" t="s">
        <v>3439</v>
      </c>
      <c r="C9401" s="91" t="s">
        <v>1079</v>
      </c>
    </row>
    <row r="9402" spans="1:3" ht="15">
      <c r="A9402" s="84" t="s">
        <v>267</v>
      </c>
      <c r="B9402" s="83" t="s">
        <v>3440</v>
      </c>
      <c r="C9402" s="91" t="s">
        <v>1079</v>
      </c>
    </row>
    <row r="9403" spans="1:3" ht="15">
      <c r="A9403" s="84" t="s">
        <v>267</v>
      </c>
      <c r="B9403" s="83" t="s">
        <v>3213</v>
      </c>
      <c r="C9403" s="91" t="s">
        <v>1079</v>
      </c>
    </row>
    <row r="9404" spans="1:3" ht="15">
      <c r="A9404" s="84" t="s">
        <v>267</v>
      </c>
      <c r="B9404" s="83" t="s">
        <v>3194</v>
      </c>
      <c r="C9404" s="91" t="s">
        <v>1079</v>
      </c>
    </row>
    <row r="9405" spans="1:3" ht="15">
      <c r="A9405" s="84" t="s">
        <v>267</v>
      </c>
      <c r="B9405" s="83" t="s">
        <v>3214</v>
      </c>
      <c r="C9405" s="91" t="s">
        <v>1079</v>
      </c>
    </row>
    <row r="9406" spans="1:3" ht="15">
      <c r="A9406" s="84" t="s">
        <v>267</v>
      </c>
      <c r="B9406" s="83" t="s">
        <v>3441</v>
      </c>
      <c r="C9406" s="91" t="s">
        <v>1079</v>
      </c>
    </row>
    <row r="9407" spans="1:3" ht="15">
      <c r="A9407" s="84" t="s">
        <v>267</v>
      </c>
      <c r="B9407" s="83" t="s">
        <v>3412</v>
      </c>
      <c r="C9407" s="91" t="s">
        <v>1079</v>
      </c>
    </row>
    <row r="9408" spans="1:3" ht="15">
      <c r="A9408" s="84" t="s">
        <v>267</v>
      </c>
      <c r="B9408" s="83" t="s">
        <v>3199</v>
      </c>
      <c r="C9408" s="91" t="s">
        <v>1079</v>
      </c>
    </row>
    <row r="9409" spans="1:3" ht="15">
      <c r="A9409" s="84" t="s">
        <v>267</v>
      </c>
      <c r="B9409" s="83" t="s">
        <v>3442</v>
      </c>
      <c r="C9409" s="91" t="s">
        <v>1079</v>
      </c>
    </row>
    <row r="9410" spans="1:3" ht="15">
      <c r="A9410" s="84" t="s">
        <v>267</v>
      </c>
      <c r="B9410" s="83" t="s">
        <v>3223</v>
      </c>
      <c r="C9410" s="91" t="s">
        <v>1079</v>
      </c>
    </row>
    <row r="9411" spans="1:3" ht="15">
      <c r="A9411" s="84" t="s">
        <v>267</v>
      </c>
      <c r="B9411" s="83" t="s">
        <v>3443</v>
      </c>
      <c r="C9411" s="91" t="s">
        <v>1079</v>
      </c>
    </row>
    <row r="9412" spans="1:3" ht="15">
      <c r="A9412" s="84" t="s">
        <v>267</v>
      </c>
      <c r="B9412" s="83" t="s">
        <v>3444</v>
      </c>
      <c r="C9412" s="91" t="s">
        <v>1079</v>
      </c>
    </row>
    <row r="9413" spans="1:3" ht="15">
      <c r="A9413" s="84" t="s">
        <v>267</v>
      </c>
      <c r="B9413" s="83" t="s">
        <v>381</v>
      </c>
      <c r="C9413" s="91" t="s">
        <v>1079</v>
      </c>
    </row>
    <row r="9414" spans="1:3" ht="15">
      <c r="A9414" s="84" t="s">
        <v>267</v>
      </c>
      <c r="B9414" s="83" t="s">
        <v>3445</v>
      </c>
      <c r="C9414" s="91" t="s">
        <v>1079</v>
      </c>
    </row>
    <row r="9415" spans="1:3" ht="15">
      <c r="A9415" s="84" t="s">
        <v>267</v>
      </c>
      <c r="B9415" s="83" t="s">
        <v>383</v>
      </c>
      <c r="C9415" s="91" t="s">
        <v>1079</v>
      </c>
    </row>
    <row r="9416" spans="1:3" ht="15">
      <c r="A9416" s="84" t="s">
        <v>267</v>
      </c>
      <c r="B9416" s="83" t="s">
        <v>430</v>
      </c>
      <c r="C9416" s="91" t="s">
        <v>1079</v>
      </c>
    </row>
    <row r="9417" spans="1:3" ht="15">
      <c r="A9417" s="84" t="s">
        <v>267</v>
      </c>
      <c r="B9417" s="83" t="s">
        <v>3446</v>
      </c>
      <c r="C9417" s="91" t="s">
        <v>1079</v>
      </c>
    </row>
    <row r="9418" spans="1:3" ht="15">
      <c r="A9418" s="84" t="s">
        <v>267</v>
      </c>
      <c r="B9418" s="83" t="s">
        <v>3447</v>
      </c>
      <c r="C9418" s="91" t="s">
        <v>1079</v>
      </c>
    </row>
    <row r="9419" spans="1:3" ht="15">
      <c r="A9419" s="84" t="s">
        <v>266</v>
      </c>
      <c r="B9419" s="83" t="s">
        <v>3267</v>
      </c>
      <c r="C9419" s="91" t="s">
        <v>1078</v>
      </c>
    </row>
    <row r="9420" spans="1:3" ht="15">
      <c r="A9420" s="84" t="s">
        <v>266</v>
      </c>
      <c r="B9420" s="83" t="s">
        <v>2581</v>
      </c>
      <c r="C9420" s="91" t="s">
        <v>1078</v>
      </c>
    </row>
    <row r="9421" spans="1:3" ht="15">
      <c r="A9421" s="84" t="s">
        <v>266</v>
      </c>
      <c r="B9421" s="83" t="s">
        <v>2586</v>
      </c>
      <c r="C9421" s="91" t="s">
        <v>1078</v>
      </c>
    </row>
    <row r="9422" spans="1:3" ht="15">
      <c r="A9422" s="84" t="s">
        <v>266</v>
      </c>
      <c r="B9422" s="83" t="s">
        <v>2595</v>
      </c>
      <c r="C9422" s="91" t="s">
        <v>1078</v>
      </c>
    </row>
    <row r="9423" spans="1:3" ht="15">
      <c r="A9423" s="84" t="s">
        <v>266</v>
      </c>
      <c r="B9423" s="83" t="s">
        <v>2568</v>
      </c>
      <c r="C9423" s="91" t="s">
        <v>1078</v>
      </c>
    </row>
    <row r="9424" spans="1:3" ht="15">
      <c r="A9424" s="84" t="s">
        <v>266</v>
      </c>
      <c r="B9424" s="83" t="s">
        <v>2592</v>
      </c>
      <c r="C9424" s="91" t="s">
        <v>1078</v>
      </c>
    </row>
    <row r="9425" spans="1:3" ht="15">
      <c r="A9425" s="84" t="s">
        <v>266</v>
      </c>
      <c r="B9425" s="83" t="s">
        <v>3213</v>
      </c>
      <c r="C9425" s="91" t="s">
        <v>1078</v>
      </c>
    </row>
    <row r="9426" spans="1:3" ht="15">
      <c r="A9426" s="84" t="s">
        <v>266</v>
      </c>
      <c r="B9426" s="83" t="s">
        <v>2576</v>
      </c>
      <c r="C9426" s="91" t="s">
        <v>1078</v>
      </c>
    </row>
    <row r="9427" spans="1:3" ht="15">
      <c r="A9427" s="84" t="s">
        <v>266</v>
      </c>
      <c r="B9427" s="83" t="s">
        <v>3229</v>
      </c>
      <c r="C9427" s="91" t="s">
        <v>1078</v>
      </c>
    </row>
    <row r="9428" spans="1:3" ht="15">
      <c r="A9428" s="84" t="s">
        <v>266</v>
      </c>
      <c r="B9428" s="83" t="s">
        <v>3230</v>
      </c>
      <c r="C9428" s="91" t="s">
        <v>1078</v>
      </c>
    </row>
    <row r="9429" spans="1:3" ht="15">
      <c r="A9429" s="84" t="s">
        <v>266</v>
      </c>
      <c r="B9429" s="83" t="s">
        <v>2598</v>
      </c>
      <c r="C9429" s="91" t="s">
        <v>1078</v>
      </c>
    </row>
    <row r="9430" spans="1:3" ht="15">
      <c r="A9430" s="84" t="s">
        <v>266</v>
      </c>
      <c r="B9430" s="83" t="s">
        <v>3231</v>
      </c>
      <c r="C9430" s="91" t="s">
        <v>1078</v>
      </c>
    </row>
    <row r="9431" spans="1:3" ht="15">
      <c r="A9431" s="84" t="s">
        <v>266</v>
      </c>
      <c r="B9431" s="83" t="s">
        <v>3232</v>
      </c>
      <c r="C9431" s="91" t="s">
        <v>1078</v>
      </c>
    </row>
    <row r="9432" spans="1:3" ht="15">
      <c r="A9432" s="84" t="s">
        <v>266</v>
      </c>
      <c r="B9432" s="83" t="s">
        <v>3233</v>
      </c>
      <c r="C9432" s="91" t="s">
        <v>1078</v>
      </c>
    </row>
    <row r="9433" spans="1:3" ht="15">
      <c r="A9433" s="84" t="s">
        <v>266</v>
      </c>
      <c r="B9433" s="83" t="s">
        <v>3211</v>
      </c>
      <c r="C9433" s="91" t="s">
        <v>1078</v>
      </c>
    </row>
    <row r="9434" spans="1:3" ht="15">
      <c r="A9434" s="84" t="s">
        <v>266</v>
      </c>
      <c r="B9434" s="83" t="s">
        <v>3199</v>
      </c>
      <c r="C9434" s="91" t="s">
        <v>1078</v>
      </c>
    </row>
    <row r="9435" spans="1:3" ht="15">
      <c r="A9435" s="84" t="s">
        <v>266</v>
      </c>
      <c r="B9435" s="83" t="s">
        <v>3218</v>
      </c>
      <c r="C9435" s="91" t="s">
        <v>1078</v>
      </c>
    </row>
    <row r="9436" spans="1:3" ht="15">
      <c r="A9436" s="84" t="s">
        <v>266</v>
      </c>
      <c r="B9436" s="83" t="s">
        <v>3234</v>
      </c>
      <c r="C9436" s="91" t="s">
        <v>1078</v>
      </c>
    </row>
    <row r="9437" spans="1:3" ht="15">
      <c r="A9437" s="84" t="s">
        <v>266</v>
      </c>
      <c r="B9437" s="83" t="s">
        <v>3235</v>
      </c>
      <c r="C9437" s="91" t="s">
        <v>1078</v>
      </c>
    </row>
    <row r="9438" spans="1:3" ht="15">
      <c r="A9438" s="84" t="s">
        <v>266</v>
      </c>
      <c r="B9438" s="83" t="s">
        <v>3236</v>
      </c>
      <c r="C9438" s="91" t="s">
        <v>1078</v>
      </c>
    </row>
    <row r="9439" spans="1:3" ht="15">
      <c r="A9439" s="84" t="s">
        <v>266</v>
      </c>
      <c r="B9439" s="83" t="s">
        <v>3237</v>
      </c>
      <c r="C9439" s="91" t="s">
        <v>1078</v>
      </c>
    </row>
    <row r="9440" spans="1:3" ht="15">
      <c r="A9440" s="84" t="s">
        <v>266</v>
      </c>
      <c r="B9440" s="83" t="s">
        <v>3238</v>
      </c>
      <c r="C9440" s="91" t="s">
        <v>1078</v>
      </c>
    </row>
    <row r="9441" spans="1:3" ht="15">
      <c r="A9441" s="84" t="s">
        <v>266</v>
      </c>
      <c r="B9441" s="83" t="s">
        <v>3239</v>
      </c>
      <c r="C9441" s="91" t="s">
        <v>1078</v>
      </c>
    </row>
    <row r="9442" spans="1:3" ht="15">
      <c r="A9442" s="84" t="s">
        <v>266</v>
      </c>
      <c r="B9442" s="83" t="s">
        <v>3240</v>
      </c>
      <c r="C9442" s="91" t="s">
        <v>1078</v>
      </c>
    </row>
    <row r="9443" spans="1:3" ht="15">
      <c r="A9443" s="84" t="s">
        <v>266</v>
      </c>
      <c r="B9443" s="83" t="s">
        <v>3241</v>
      </c>
      <c r="C9443" s="91" t="s">
        <v>1078</v>
      </c>
    </row>
    <row r="9444" spans="1:3" ht="15">
      <c r="A9444" s="84" t="s">
        <v>266</v>
      </c>
      <c r="B9444" s="83" t="s">
        <v>3242</v>
      </c>
      <c r="C9444" s="91" t="s">
        <v>1078</v>
      </c>
    </row>
    <row r="9445" spans="1:3" ht="15">
      <c r="A9445" s="84" t="s">
        <v>266</v>
      </c>
      <c r="B9445" s="83" t="s">
        <v>2767</v>
      </c>
      <c r="C9445" s="91" t="s">
        <v>1078</v>
      </c>
    </row>
    <row r="9446" spans="1:3" ht="15">
      <c r="A9446" s="84" t="s">
        <v>266</v>
      </c>
      <c r="B9446" s="83" t="s">
        <v>3243</v>
      </c>
      <c r="C9446" s="91" t="s">
        <v>1078</v>
      </c>
    </row>
    <row r="9447" spans="1:3" ht="15">
      <c r="A9447" s="84" t="s">
        <v>266</v>
      </c>
      <c r="B9447" s="83" t="s">
        <v>3244</v>
      </c>
      <c r="C9447" s="91" t="s">
        <v>1078</v>
      </c>
    </row>
    <row r="9448" spans="1:3" ht="15">
      <c r="A9448" s="84" t="s">
        <v>266</v>
      </c>
      <c r="B9448" s="83" t="s">
        <v>3223</v>
      </c>
      <c r="C9448" s="91" t="s">
        <v>1078</v>
      </c>
    </row>
    <row r="9449" spans="1:3" ht="15">
      <c r="A9449" s="84" t="s">
        <v>389</v>
      </c>
      <c r="B9449" s="83" t="s">
        <v>3203</v>
      </c>
      <c r="C9449" s="91" t="s">
        <v>1289</v>
      </c>
    </row>
    <row r="9450" spans="1:3" ht="15">
      <c r="A9450" s="84" t="s">
        <v>389</v>
      </c>
      <c r="B9450" s="83">
        <v>19</v>
      </c>
      <c r="C9450" s="91" t="s">
        <v>1289</v>
      </c>
    </row>
    <row r="9451" spans="1:3" ht="15">
      <c r="A9451" s="84" t="s">
        <v>389</v>
      </c>
      <c r="B9451" s="83" t="s">
        <v>2630</v>
      </c>
      <c r="C9451" s="91" t="s">
        <v>1289</v>
      </c>
    </row>
    <row r="9452" spans="1:3" ht="15">
      <c r="A9452" s="84" t="s">
        <v>389</v>
      </c>
      <c r="B9452" s="83" t="s">
        <v>2664</v>
      </c>
      <c r="C9452" s="91" t="s">
        <v>1289</v>
      </c>
    </row>
    <row r="9453" spans="1:3" ht="15">
      <c r="A9453" s="84" t="s">
        <v>389</v>
      </c>
      <c r="B9453" s="83" t="s">
        <v>2591</v>
      </c>
      <c r="C9453" s="91" t="s">
        <v>1289</v>
      </c>
    </row>
    <row r="9454" spans="1:3" ht="15">
      <c r="A9454" s="84" t="s">
        <v>389</v>
      </c>
      <c r="B9454" s="83" t="s">
        <v>3028</v>
      </c>
      <c r="C9454" s="91" t="s">
        <v>1289</v>
      </c>
    </row>
    <row r="9455" spans="1:3" ht="15">
      <c r="A9455" s="84" t="s">
        <v>389</v>
      </c>
      <c r="B9455" s="83" t="s">
        <v>3029</v>
      </c>
      <c r="C9455" s="91" t="s">
        <v>1289</v>
      </c>
    </row>
    <row r="9456" spans="1:3" ht="15">
      <c r="A9456" s="84" t="s">
        <v>389</v>
      </c>
      <c r="B9456" s="83" t="s">
        <v>3379</v>
      </c>
      <c r="C9456" s="91" t="s">
        <v>1289</v>
      </c>
    </row>
    <row r="9457" spans="1:3" ht="15">
      <c r="A9457" s="84" t="s">
        <v>389</v>
      </c>
      <c r="B9457" s="83" t="s">
        <v>2752</v>
      </c>
      <c r="C9457" s="91" t="s">
        <v>1289</v>
      </c>
    </row>
    <row r="9458" spans="1:3" ht="15">
      <c r="A9458" s="84" t="s">
        <v>389</v>
      </c>
      <c r="B9458" s="83" t="s">
        <v>3340</v>
      </c>
      <c r="C9458" s="91" t="s">
        <v>1289</v>
      </c>
    </row>
    <row r="9459" spans="1:3" ht="15">
      <c r="A9459" s="84" t="s">
        <v>389</v>
      </c>
      <c r="B9459" s="83" t="s">
        <v>3198</v>
      </c>
      <c r="C9459" s="91" t="s">
        <v>1289</v>
      </c>
    </row>
    <row r="9460" spans="1:3" ht="15">
      <c r="A9460" s="84" t="s">
        <v>389</v>
      </c>
      <c r="B9460" s="83" t="s">
        <v>3214</v>
      </c>
      <c r="C9460" s="91" t="s">
        <v>1289</v>
      </c>
    </row>
    <row r="9461" spans="1:3" ht="15">
      <c r="A9461" s="84" t="s">
        <v>389</v>
      </c>
      <c r="B9461" s="83" t="s">
        <v>3411</v>
      </c>
      <c r="C9461" s="91" t="s">
        <v>1289</v>
      </c>
    </row>
    <row r="9462" spans="1:3" ht="15">
      <c r="A9462" s="84" t="s">
        <v>389</v>
      </c>
      <c r="B9462" s="83" t="s">
        <v>3223</v>
      </c>
      <c r="C9462" s="91" t="s">
        <v>1289</v>
      </c>
    </row>
    <row r="9463" spans="1:3" ht="15">
      <c r="A9463" s="84" t="s">
        <v>389</v>
      </c>
      <c r="B9463" s="83" t="s">
        <v>3211</v>
      </c>
      <c r="C9463" s="91" t="s">
        <v>1289</v>
      </c>
    </row>
    <row r="9464" spans="1:3" ht="15">
      <c r="A9464" s="84" t="s">
        <v>389</v>
      </c>
      <c r="B9464" s="83" t="s">
        <v>3415</v>
      </c>
      <c r="C9464" s="91" t="s">
        <v>1289</v>
      </c>
    </row>
    <row r="9465" spans="1:3" ht="15">
      <c r="A9465" s="84" t="s">
        <v>389</v>
      </c>
      <c r="B9465" s="83" t="s">
        <v>3532</v>
      </c>
      <c r="C9465" s="91" t="s">
        <v>1289</v>
      </c>
    </row>
    <row r="9466" spans="1:3" ht="15">
      <c r="A9466" s="84" t="s">
        <v>389</v>
      </c>
      <c r="B9466" s="83" t="s">
        <v>3417</v>
      </c>
      <c r="C9466" s="91" t="s">
        <v>1289</v>
      </c>
    </row>
    <row r="9467" spans="1:3" ht="15">
      <c r="A9467" s="84" t="s">
        <v>389</v>
      </c>
      <c r="B9467" s="83" t="s">
        <v>3418</v>
      </c>
      <c r="C9467" s="91" t="s">
        <v>1289</v>
      </c>
    </row>
    <row r="9468" spans="1:3" ht="15">
      <c r="A9468" s="84" t="s">
        <v>389</v>
      </c>
      <c r="B9468" s="83" t="s">
        <v>3412</v>
      </c>
      <c r="C9468" s="91" t="s">
        <v>1289</v>
      </c>
    </row>
    <row r="9469" spans="1:3" ht="15">
      <c r="A9469" s="84" t="s">
        <v>389</v>
      </c>
      <c r="B9469" s="83" t="s">
        <v>3413</v>
      </c>
      <c r="C9469" s="91" t="s">
        <v>1289</v>
      </c>
    </row>
    <row r="9470" spans="1:3" ht="15">
      <c r="A9470" s="84" t="s">
        <v>389</v>
      </c>
      <c r="B9470" s="83" t="s">
        <v>3215</v>
      </c>
      <c r="C9470" s="91" t="s">
        <v>1289</v>
      </c>
    </row>
    <row r="9471" spans="1:3" ht="15">
      <c r="A9471" s="84" t="s">
        <v>389</v>
      </c>
      <c r="B9471" s="83" t="s">
        <v>3219</v>
      </c>
      <c r="C9471" s="91" t="s">
        <v>1289</v>
      </c>
    </row>
    <row r="9472" spans="1:3" ht="15">
      <c r="A9472" s="84" t="s">
        <v>389</v>
      </c>
      <c r="B9472" s="83" t="s">
        <v>3221</v>
      </c>
      <c r="C9472" s="91" t="s">
        <v>1289</v>
      </c>
    </row>
    <row r="9473" spans="1:3" ht="15">
      <c r="A9473" s="84" t="s">
        <v>389</v>
      </c>
      <c r="B9473" s="83" t="s">
        <v>3254</v>
      </c>
      <c r="C9473" s="91" t="s">
        <v>1289</v>
      </c>
    </row>
    <row r="9474" spans="1:3" ht="15">
      <c r="A9474" s="84" t="s">
        <v>389</v>
      </c>
      <c r="B9474" s="83" t="s">
        <v>3420</v>
      </c>
      <c r="C9474" s="91" t="s">
        <v>1289</v>
      </c>
    </row>
    <row r="9475" spans="1:3" ht="15">
      <c r="A9475" s="84" t="s">
        <v>389</v>
      </c>
      <c r="B9475" s="83" t="s">
        <v>3421</v>
      </c>
      <c r="C9475" s="91" t="s">
        <v>1289</v>
      </c>
    </row>
    <row r="9476" spans="1:3" ht="15">
      <c r="A9476" s="84" t="s">
        <v>389</v>
      </c>
      <c r="B9476" s="83" t="s">
        <v>3199</v>
      </c>
      <c r="C9476" s="91" t="s">
        <v>1289</v>
      </c>
    </row>
    <row r="9477" spans="1:3" ht="15">
      <c r="A9477" s="84" t="s">
        <v>389</v>
      </c>
      <c r="B9477" s="83" t="s">
        <v>3393</v>
      </c>
      <c r="C9477" s="91" t="s">
        <v>1289</v>
      </c>
    </row>
    <row r="9478" spans="1:3" ht="15">
      <c r="A9478" s="84" t="s">
        <v>389</v>
      </c>
      <c r="B9478" s="83" t="s">
        <v>3328</v>
      </c>
      <c r="C9478" s="91" t="s">
        <v>1288</v>
      </c>
    </row>
    <row r="9479" spans="1:3" ht="15">
      <c r="A9479" s="84" t="s">
        <v>389</v>
      </c>
      <c r="B9479" s="83" t="s">
        <v>3225</v>
      </c>
      <c r="C9479" s="91" t="s">
        <v>1288</v>
      </c>
    </row>
    <row r="9480" spans="1:3" ht="15">
      <c r="A9480" s="84" t="s">
        <v>389</v>
      </c>
      <c r="B9480" s="83" t="s">
        <v>2648</v>
      </c>
      <c r="C9480" s="91" t="s">
        <v>1288</v>
      </c>
    </row>
    <row r="9481" spans="1:3" ht="15">
      <c r="A9481" s="84" t="s">
        <v>389</v>
      </c>
      <c r="B9481" s="83" t="s">
        <v>3408</v>
      </c>
      <c r="C9481" s="91" t="s">
        <v>1288</v>
      </c>
    </row>
    <row r="9482" spans="1:3" ht="15">
      <c r="A9482" s="84" t="s">
        <v>389</v>
      </c>
      <c r="B9482" s="83" t="s">
        <v>2582</v>
      </c>
      <c r="C9482" s="91" t="s">
        <v>1288</v>
      </c>
    </row>
    <row r="9483" spans="1:3" ht="15">
      <c r="A9483" s="84" t="s">
        <v>389</v>
      </c>
      <c r="B9483" s="83" t="s">
        <v>2589</v>
      </c>
      <c r="C9483" s="91" t="s">
        <v>1288</v>
      </c>
    </row>
    <row r="9484" spans="1:3" ht="15">
      <c r="A9484" s="84" t="s">
        <v>389</v>
      </c>
      <c r="B9484" s="83" t="s">
        <v>3409</v>
      </c>
      <c r="C9484" s="91" t="s">
        <v>1288</v>
      </c>
    </row>
    <row r="9485" spans="1:3" ht="15">
      <c r="A9485" s="84" t="s">
        <v>389</v>
      </c>
      <c r="B9485" s="83" t="s">
        <v>3203</v>
      </c>
      <c r="C9485" s="91" t="s">
        <v>1288</v>
      </c>
    </row>
    <row r="9486" spans="1:3" ht="15">
      <c r="A9486" s="84" t="s">
        <v>389</v>
      </c>
      <c r="B9486" s="83" t="s">
        <v>3410</v>
      </c>
      <c r="C9486" s="91" t="s">
        <v>1288</v>
      </c>
    </row>
    <row r="9487" spans="1:3" ht="15">
      <c r="A9487" s="84" t="s">
        <v>389</v>
      </c>
      <c r="B9487" s="83" t="s">
        <v>3198</v>
      </c>
      <c r="C9487" s="91" t="s">
        <v>1288</v>
      </c>
    </row>
    <row r="9488" spans="1:3" ht="15">
      <c r="A9488" s="84" t="s">
        <v>389</v>
      </c>
      <c r="B9488" s="83" t="s">
        <v>3214</v>
      </c>
      <c r="C9488" s="91" t="s">
        <v>1288</v>
      </c>
    </row>
    <row r="9489" spans="1:3" ht="15">
      <c r="A9489" s="84" t="s">
        <v>389</v>
      </c>
      <c r="B9489" s="83" t="s">
        <v>3411</v>
      </c>
      <c r="C9489" s="91" t="s">
        <v>1288</v>
      </c>
    </row>
    <row r="9490" spans="1:3" ht="15">
      <c r="A9490" s="84" t="s">
        <v>389</v>
      </c>
      <c r="B9490" s="83" t="s">
        <v>3412</v>
      </c>
      <c r="C9490" s="91" t="s">
        <v>1288</v>
      </c>
    </row>
    <row r="9491" spans="1:3" ht="15">
      <c r="A9491" s="84" t="s">
        <v>389</v>
      </c>
      <c r="B9491" s="83" t="s">
        <v>3413</v>
      </c>
      <c r="C9491" s="91" t="s">
        <v>1288</v>
      </c>
    </row>
    <row r="9492" spans="1:3" ht="15">
      <c r="A9492" s="84" t="s">
        <v>389</v>
      </c>
      <c r="B9492" s="83" t="s">
        <v>3215</v>
      </c>
      <c r="C9492" s="91" t="s">
        <v>1288</v>
      </c>
    </row>
    <row r="9493" spans="1:3" ht="15">
      <c r="A9493" s="84" t="s">
        <v>389</v>
      </c>
      <c r="B9493" s="83" t="s">
        <v>3414</v>
      </c>
      <c r="C9493" s="91" t="s">
        <v>1288</v>
      </c>
    </row>
    <row r="9494" spans="1:3" ht="15">
      <c r="A9494" s="84" t="s">
        <v>389</v>
      </c>
      <c r="B9494" s="83" t="s">
        <v>3415</v>
      </c>
      <c r="C9494" s="91" t="s">
        <v>1288</v>
      </c>
    </row>
    <row r="9495" spans="1:3" ht="15">
      <c r="A9495" s="84" t="s">
        <v>389</v>
      </c>
      <c r="B9495" s="83" t="s">
        <v>3416</v>
      </c>
      <c r="C9495" s="91" t="s">
        <v>1288</v>
      </c>
    </row>
    <row r="9496" spans="1:3" ht="15">
      <c r="A9496" s="84" t="s">
        <v>389</v>
      </c>
      <c r="B9496" s="83" t="s">
        <v>3417</v>
      </c>
      <c r="C9496" s="91" t="s">
        <v>1288</v>
      </c>
    </row>
    <row r="9497" spans="1:3" ht="15">
      <c r="A9497" s="84" t="s">
        <v>389</v>
      </c>
      <c r="B9497" s="83" t="s">
        <v>3418</v>
      </c>
      <c r="C9497" s="91" t="s">
        <v>1288</v>
      </c>
    </row>
    <row r="9498" spans="1:3" ht="15">
      <c r="A9498" s="84" t="s">
        <v>389</v>
      </c>
      <c r="B9498" s="83" t="s">
        <v>3419</v>
      </c>
      <c r="C9498" s="91" t="s">
        <v>1288</v>
      </c>
    </row>
    <row r="9499" spans="1:3" ht="15">
      <c r="A9499" s="84" t="s">
        <v>389</v>
      </c>
      <c r="B9499" s="83" t="s">
        <v>3221</v>
      </c>
      <c r="C9499" s="91" t="s">
        <v>1288</v>
      </c>
    </row>
    <row r="9500" spans="1:3" ht="15">
      <c r="A9500" s="84" t="s">
        <v>389</v>
      </c>
      <c r="B9500" s="83" t="s">
        <v>3254</v>
      </c>
      <c r="C9500" s="91" t="s">
        <v>1288</v>
      </c>
    </row>
    <row r="9501" spans="1:3" ht="15">
      <c r="A9501" s="84" t="s">
        <v>389</v>
      </c>
      <c r="B9501" s="83" t="s">
        <v>3420</v>
      </c>
      <c r="C9501" s="91" t="s">
        <v>1288</v>
      </c>
    </row>
    <row r="9502" spans="1:3" ht="15">
      <c r="A9502" s="84" t="s">
        <v>389</v>
      </c>
      <c r="B9502" s="83" t="s">
        <v>3421</v>
      </c>
      <c r="C9502" s="91" t="s">
        <v>1288</v>
      </c>
    </row>
    <row r="9503" spans="1:3" ht="15">
      <c r="A9503" s="84" t="s">
        <v>389</v>
      </c>
      <c r="B9503" s="83" t="s">
        <v>586</v>
      </c>
      <c r="C9503" s="91" t="s">
        <v>1288</v>
      </c>
    </row>
    <row r="9504" spans="1:3" ht="15">
      <c r="A9504" s="84" t="s">
        <v>389</v>
      </c>
      <c r="B9504" s="83" t="s">
        <v>3393</v>
      </c>
      <c r="C9504" s="91" t="s">
        <v>1288</v>
      </c>
    </row>
    <row r="9505" spans="1:3" ht="15">
      <c r="A9505" s="84" t="s">
        <v>389</v>
      </c>
      <c r="B9505" s="83" t="s">
        <v>3422</v>
      </c>
      <c r="C9505" s="91" t="s">
        <v>1288</v>
      </c>
    </row>
    <row r="9506" spans="1:3" ht="15">
      <c r="A9506" s="84" t="s">
        <v>389</v>
      </c>
      <c r="B9506" s="83" t="s">
        <v>3423</v>
      </c>
      <c r="C9506" s="91" t="s">
        <v>1287</v>
      </c>
    </row>
    <row r="9507" spans="1:3" ht="15">
      <c r="A9507" s="84" t="s">
        <v>389</v>
      </c>
      <c r="B9507" s="83" t="s">
        <v>3203</v>
      </c>
      <c r="C9507" s="91" t="s">
        <v>1287</v>
      </c>
    </row>
    <row r="9508" spans="1:3" ht="15">
      <c r="A9508" s="84" t="s">
        <v>389</v>
      </c>
      <c r="B9508" s="83">
        <v>19</v>
      </c>
      <c r="C9508" s="91" t="s">
        <v>1287</v>
      </c>
    </row>
    <row r="9509" spans="1:3" ht="15">
      <c r="A9509" s="84" t="s">
        <v>389</v>
      </c>
      <c r="B9509" s="83" t="s">
        <v>2697</v>
      </c>
      <c r="C9509" s="91" t="s">
        <v>1287</v>
      </c>
    </row>
    <row r="9510" spans="1:3" ht="15">
      <c r="A9510" s="84" t="s">
        <v>389</v>
      </c>
      <c r="B9510" s="83" t="s">
        <v>2590</v>
      </c>
      <c r="C9510" s="91" t="s">
        <v>1287</v>
      </c>
    </row>
    <row r="9511" spans="1:3" ht="15">
      <c r="A9511" s="84" t="s">
        <v>389</v>
      </c>
      <c r="B9511" s="83" t="s">
        <v>3424</v>
      </c>
      <c r="C9511" s="91" t="s">
        <v>1287</v>
      </c>
    </row>
    <row r="9512" spans="1:3" ht="15">
      <c r="A9512" s="84" t="s">
        <v>389</v>
      </c>
      <c r="B9512" s="83" t="s">
        <v>3198</v>
      </c>
      <c r="C9512" s="91" t="s">
        <v>1287</v>
      </c>
    </row>
    <row r="9513" spans="1:3" ht="15">
      <c r="A9513" s="84" t="s">
        <v>389</v>
      </c>
      <c r="B9513" s="83" t="s">
        <v>3411</v>
      </c>
      <c r="C9513" s="91" t="s">
        <v>1287</v>
      </c>
    </row>
    <row r="9514" spans="1:3" ht="15">
      <c r="A9514" s="84" t="s">
        <v>389</v>
      </c>
      <c r="B9514" s="83" t="s">
        <v>3223</v>
      </c>
      <c r="C9514" s="91" t="s">
        <v>1287</v>
      </c>
    </row>
    <row r="9515" spans="1:3" ht="15">
      <c r="A9515" s="84" t="s">
        <v>389</v>
      </c>
      <c r="B9515" s="83" t="s">
        <v>3412</v>
      </c>
      <c r="C9515" s="91" t="s">
        <v>1287</v>
      </c>
    </row>
    <row r="9516" spans="1:3" ht="15">
      <c r="A9516" s="84" t="s">
        <v>389</v>
      </c>
      <c r="B9516" s="83" t="s">
        <v>3413</v>
      </c>
      <c r="C9516" s="91" t="s">
        <v>1287</v>
      </c>
    </row>
    <row r="9517" spans="1:3" ht="15">
      <c r="A9517" s="84" t="s">
        <v>389</v>
      </c>
      <c r="B9517" s="83" t="s">
        <v>3215</v>
      </c>
      <c r="C9517" s="91" t="s">
        <v>1287</v>
      </c>
    </row>
    <row r="9518" spans="1:3" ht="15">
      <c r="A9518" s="84" t="s">
        <v>389</v>
      </c>
      <c r="B9518" s="83" t="s">
        <v>3414</v>
      </c>
      <c r="C9518" s="91" t="s">
        <v>1287</v>
      </c>
    </row>
    <row r="9519" spans="1:3" ht="15">
      <c r="A9519" s="84" t="s">
        <v>389</v>
      </c>
      <c r="B9519" s="83" t="s">
        <v>3415</v>
      </c>
      <c r="C9519" s="91" t="s">
        <v>1287</v>
      </c>
    </row>
    <row r="9520" spans="1:3" ht="15">
      <c r="A9520" s="84" t="s">
        <v>389</v>
      </c>
      <c r="B9520" s="83" t="s">
        <v>3416</v>
      </c>
      <c r="C9520" s="91" t="s">
        <v>1287</v>
      </c>
    </row>
    <row r="9521" spans="1:3" ht="15">
      <c r="A9521" s="84" t="s">
        <v>389</v>
      </c>
      <c r="B9521" s="83" t="s">
        <v>3425</v>
      </c>
      <c r="C9521" s="91" t="s">
        <v>1287</v>
      </c>
    </row>
    <row r="9522" spans="1:3" ht="15">
      <c r="A9522" s="84" t="s">
        <v>389</v>
      </c>
      <c r="B9522" s="83" t="s">
        <v>3418</v>
      </c>
      <c r="C9522" s="91" t="s">
        <v>1287</v>
      </c>
    </row>
    <row r="9523" spans="1:3" ht="15">
      <c r="A9523" s="84" t="s">
        <v>389</v>
      </c>
      <c r="B9523" s="83" t="s">
        <v>3219</v>
      </c>
      <c r="C9523" s="91" t="s">
        <v>1287</v>
      </c>
    </row>
    <row r="9524" spans="1:3" ht="15">
      <c r="A9524" s="84" t="s">
        <v>389</v>
      </c>
      <c r="B9524" s="83" t="s">
        <v>3221</v>
      </c>
      <c r="C9524" s="91" t="s">
        <v>1287</v>
      </c>
    </row>
    <row r="9525" spans="1:3" ht="15">
      <c r="A9525" s="84" t="s">
        <v>389</v>
      </c>
      <c r="B9525" s="83" t="s">
        <v>3254</v>
      </c>
      <c r="C9525" s="91" t="s">
        <v>1287</v>
      </c>
    </row>
    <row r="9526" spans="1:3" ht="15">
      <c r="A9526" s="84" t="s">
        <v>389</v>
      </c>
      <c r="B9526" s="83" t="s">
        <v>3421</v>
      </c>
      <c r="C9526" s="91" t="s">
        <v>1287</v>
      </c>
    </row>
    <row r="9527" spans="1:3" ht="15">
      <c r="A9527" s="84" t="s">
        <v>389</v>
      </c>
      <c r="B9527" s="83" t="s">
        <v>3199</v>
      </c>
      <c r="C9527" s="91" t="s">
        <v>1287</v>
      </c>
    </row>
    <row r="9528" spans="1:3" ht="15">
      <c r="A9528" s="84" t="s">
        <v>389</v>
      </c>
      <c r="B9528" s="83" t="s">
        <v>3393</v>
      </c>
      <c r="C9528" s="91" t="s">
        <v>1287</v>
      </c>
    </row>
    <row r="9529" spans="1:3" ht="15">
      <c r="A9529" s="84" t="s">
        <v>389</v>
      </c>
      <c r="B9529" s="83" t="s">
        <v>3426</v>
      </c>
      <c r="C9529" s="91" t="s">
        <v>1287</v>
      </c>
    </row>
    <row r="9530" spans="1:3" ht="15">
      <c r="A9530" s="84" t="s">
        <v>389</v>
      </c>
      <c r="B9530" s="83" t="s">
        <v>3420</v>
      </c>
      <c r="C9530" s="91" t="s">
        <v>1287</v>
      </c>
    </row>
    <row r="9531" spans="1:3" ht="15">
      <c r="A9531" s="84" t="s">
        <v>389</v>
      </c>
      <c r="B9531" s="83" t="s">
        <v>3427</v>
      </c>
      <c r="C9531" s="91" t="s">
        <v>1286</v>
      </c>
    </row>
    <row r="9532" spans="1:3" ht="15">
      <c r="A9532" s="84" t="s">
        <v>389</v>
      </c>
      <c r="B9532" s="83" t="s">
        <v>2582</v>
      </c>
      <c r="C9532" s="91" t="s">
        <v>1286</v>
      </c>
    </row>
    <row r="9533" spans="1:3" ht="15">
      <c r="A9533" s="84" t="s">
        <v>389</v>
      </c>
      <c r="B9533" s="83" t="s">
        <v>3424</v>
      </c>
      <c r="C9533" s="91" t="s">
        <v>1286</v>
      </c>
    </row>
    <row r="9534" spans="1:3" ht="15">
      <c r="A9534" s="84" t="s">
        <v>389</v>
      </c>
      <c r="B9534" s="83" t="s">
        <v>2874</v>
      </c>
      <c r="C9534" s="91" t="s">
        <v>1286</v>
      </c>
    </row>
    <row r="9535" spans="1:3" ht="15">
      <c r="A9535" s="84" t="s">
        <v>389</v>
      </c>
      <c r="B9535" s="83" t="s">
        <v>3428</v>
      </c>
      <c r="C9535" s="91" t="s">
        <v>1286</v>
      </c>
    </row>
    <row r="9536" spans="1:3" ht="15">
      <c r="A9536" s="84" t="s">
        <v>389</v>
      </c>
      <c r="B9536" s="83" t="s">
        <v>2968</v>
      </c>
      <c r="C9536" s="91" t="s">
        <v>1286</v>
      </c>
    </row>
    <row r="9537" spans="1:3" ht="15">
      <c r="A9537" s="84" t="s">
        <v>389</v>
      </c>
      <c r="B9537" s="83" t="s">
        <v>3203</v>
      </c>
      <c r="C9537" s="91" t="s">
        <v>1286</v>
      </c>
    </row>
    <row r="9538" spans="1:3" ht="15">
      <c r="A9538" s="84" t="s">
        <v>389</v>
      </c>
      <c r="B9538" s="83">
        <v>19</v>
      </c>
      <c r="C9538" s="91" t="s">
        <v>1286</v>
      </c>
    </row>
    <row r="9539" spans="1:3" ht="15">
      <c r="A9539" s="84" t="s">
        <v>389</v>
      </c>
      <c r="B9539" s="83" t="s">
        <v>3198</v>
      </c>
      <c r="C9539" s="91" t="s">
        <v>1286</v>
      </c>
    </row>
    <row r="9540" spans="1:3" ht="15">
      <c r="A9540" s="84" t="s">
        <v>389</v>
      </c>
      <c r="B9540" s="83" t="s">
        <v>3411</v>
      </c>
      <c r="C9540" s="91" t="s">
        <v>1286</v>
      </c>
    </row>
    <row r="9541" spans="1:3" ht="15">
      <c r="A9541" s="84" t="s">
        <v>389</v>
      </c>
      <c r="B9541" s="83" t="s">
        <v>3223</v>
      </c>
      <c r="C9541" s="91" t="s">
        <v>1286</v>
      </c>
    </row>
    <row r="9542" spans="1:3" ht="15">
      <c r="A9542" s="84" t="s">
        <v>389</v>
      </c>
      <c r="B9542" s="83" t="s">
        <v>3414</v>
      </c>
      <c r="C9542" s="91" t="s">
        <v>1286</v>
      </c>
    </row>
    <row r="9543" spans="1:3" ht="15">
      <c r="A9543" s="84" t="s">
        <v>389</v>
      </c>
      <c r="B9543" s="83" t="s">
        <v>3412</v>
      </c>
      <c r="C9543" s="91" t="s">
        <v>1286</v>
      </c>
    </row>
    <row r="9544" spans="1:3" ht="15">
      <c r="A9544" s="84" t="s">
        <v>389</v>
      </c>
      <c r="B9544" s="83" t="s">
        <v>3429</v>
      </c>
      <c r="C9544" s="91" t="s">
        <v>1286</v>
      </c>
    </row>
    <row r="9545" spans="1:3" ht="15">
      <c r="A9545" s="84" t="s">
        <v>389</v>
      </c>
      <c r="B9545" s="83" t="s">
        <v>3215</v>
      </c>
      <c r="C9545" s="91" t="s">
        <v>1286</v>
      </c>
    </row>
    <row r="9546" spans="1:3" ht="15">
      <c r="A9546" s="84" t="s">
        <v>389</v>
      </c>
      <c r="B9546" s="83" t="s">
        <v>3415</v>
      </c>
      <c r="C9546" s="91" t="s">
        <v>1286</v>
      </c>
    </row>
    <row r="9547" spans="1:3" ht="15">
      <c r="A9547" s="84" t="s">
        <v>389</v>
      </c>
      <c r="B9547" s="83" t="s">
        <v>3416</v>
      </c>
      <c r="C9547" s="91" t="s">
        <v>1286</v>
      </c>
    </row>
    <row r="9548" spans="1:3" ht="15">
      <c r="A9548" s="84" t="s">
        <v>389</v>
      </c>
      <c r="B9548" s="83" t="s">
        <v>3417</v>
      </c>
      <c r="C9548" s="91" t="s">
        <v>1286</v>
      </c>
    </row>
    <row r="9549" spans="1:3" ht="15">
      <c r="A9549" s="84" t="s">
        <v>389</v>
      </c>
      <c r="B9549" s="83" t="s">
        <v>3418</v>
      </c>
      <c r="C9549" s="91" t="s">
        <v>1286</v>
      </c>
    </row>
    <row r="9550" spans="1:3" ht="15">
      <c r="A9550" s="84" t="s">
        <v>389</v>
      </c>
      <c r="B9550" s="83" t="s">
        <v>3219</v>
      </c>
      <c r="C9550" s="91" t="s">
        <v>1286</v>
      </c>
    </row>
    <row r="9551" spans="1:3" ht="15">
      <c r="A9551" s="84" t="s">
        <v>389</v>
      </c>
      <c r="B9551" s="83" t="s">
        <v>3430</v>
      </c>
      <c r="C9551" s="91" t="s">
        <v>1286</v>
      </c>
    </row>
    <row r="9552" spans="1:3" ht="15">
      <c r="A9552" s="84" t="s">
        <v>389</v>
      </c>
      <c r="B9552" s="83" t="s">
        <v>3254</v>
      </c>
      <c r="C9552" s="91" t="s">
        <v>1286</v>
      </c>
    </row>
    <row r="9553" spans="1:3" ht="15">
      <c r="A9553" s="84" t="s">
        <v>389</v>
      </c>
      <c r="B9553" s="83" t="s">
        <v>3420</v>
      </c>
      <c r="C9553" s="91" t="s">
        <v>1286</v>
      </c>
    </row>
    <row r="9554" spans="1:3" ht="15">
      <c r="A9554" s="84" t="s">
        <v>389</v>
      </c>
      <c r="B9554" s="83" t="s">
        <v>3421</v>
      </c>
      <c r="C9554" s="91" t="s">
        <v>1286</v>
      </c>
    </row>
    <row r="9555" spans="1:3" ht="15">
      <c r="A9555" s="84" t="s">
        <v>389</v>
      </c>
      <c r="B9555" s="83" t="s">
        <v>3199</v>
      </c>
      <c r="C9555" s="91" t="s">
        <v>1286</v>
      </c>
    </row>
    <row r="9556" spans="1:3" ht="15">
      <c r="A9556" s="84" t="s">
        <v>389</v>
      </c>
      <c r="B9556" s="83" t="s">
        <v>3393</v>
      </c>
      <c r="C9556" s="91" t="s">
        <v>1286</v>
      </c>
    </row>
    <row r="9557" spans="1:3" ht="15">
      <c r="A9557" s="84" t="s">
        <v>389</v>
      </c>
      <c r="B9557" s="83" t="s">
        <v>3422</v>
      </c>
      <c r="C9557" s="91" t="s">
        <v>1286</v>
      </c>
    </row>
    <row r="9558" spans="1:3" ht="15">
      <c r="A9558" s="84" t="s">
        <v>265</v>
      </c>
      <c r="B9558" s="83" t="s">
        <v>3427</v>
      </c>
      <c r="C9558" s="91" t="s">
        <v>1075</v>
      </c>
    </row>
    <row r="9559" spans="1:3" ht="15">
      <c r="A9559" s="84" t="s">
        <v>265</v>
      </c>
      <c r="B9559" s="83" t="s">
        <v>2582</v>
      </c>
      <c r="C9559" s="91" t="s">
        <v>1075</v>
      </c>
    </row>
    <row r="9560" spans="1:3" ht="15">
      <c r="A9560" s="84" t="s">
        <v>265</v>
      </c>
      <c r="B9560" s="83" t="s">
        <v>3424</v>
      </c>
      <c r="C9560" s="91" t="s">
        <v>1075</v>
      </c>
    </row>
    <row r="9561" spans="1:3" ht="15">
      <c r="A9561" s="84" t="s">
        <v>265</v>
      </c>
      <c r="B9561" s="83" t="s">
        <v>2874</v>
      </c>
      <c r="C9561" s="91" t="s">
        <v>1075</v>
      </c>
    </row>
    <row r="9562" spans="1:3" ht="15">
      <c r="A9562" s="84" t="s">
        <v>265</v>
      </c>
      <c r="B9562" s="83" t="s">
        <v>3428</v>
      </c>
      <c r="C9562" s="91" t="s">
        <v>1075</v>
      </c>
    </row>
    <row r="9563" spans="1:3" ht="15">
      <c r="A9563" s="84" t="s">
        <v>265</v>
      </c>
      <c r="B9563" s="83" t="s">
        <v>2968</v>
      </c>
      <c r="C9563" s="91" t="s">
        <v>1075</v>
      </c>
    </row>
    <row r="9564" spans="1:3" ht="15">
      <c r="A9564" s="84" t="s">
        <v>265</v>
      </c>
      <c r="B9564" s="83" t="s">
        <v>3203</v>
      </c>
      <c r="C9564" s="91" t="s">
        <v>1075</v>
      </c>
    </row>
    <row r="9565" spans="1:3" ht="15">
      <c r="A9565" s="84" t="s">
        <v>265</v>
      </c>
      <c r="B9565" s="83">
        <v>19</v>
      </c>
      <c r="C9565" s="91" t="s">
        <v>1075</v>
      </c>
    </row>
    <row r="9566" spans="1:3" ht="15">
      <c r="A9566" s="84" t="s">
        <v>265</v>
      </c>
      <c r="B9566" s="83" t="s">
        <v>3198</v>
      </c>
      <c r="C9566" s="91" t="s">
        <v>1075</v>
      </c>
    </row>
    <row r="9567" spans="1:3" ht="15">
      <c r="A9567" s="84" t="s">
        <v>265</v>
      </c>
      <c r="B9567" s="83" t="s">
        <v>3411</v>
      </c>
      <c r="C9567" s="91" t="s">
        <v>1075</v>
      </c>
    </row>
    <row r="9568" spans="1:3" ht="15">
      <c r="A9568" s="84" t="s">
        <v>265</v>
      </c>
      <c r="B9568" s="83" t="s">
        <v>3223</v>
      </c>
      <c r="C9568" s="91" t="s">
        <v>1075</v>
      </c>
    </row>
    <row r="9569" spans="1:3" ht="15">
      <c r="A9569" s="84" t="s">
        <v>265</v>
      </c>
      <c r="B9569" s="83" t="s">
        <v>3414</v>
      </c>
      <c r="C9569" s="91" t="s">
        <v>1075</v>
      </c>
    </row>
    <row r="9570" spans="1:3" ht="15">
      <c r="A9570" s="84" t="s">
        <v>265</v>
      </c>
      <c r="B9570" s="83" t="s">
        <v>3412</v>
      </c>
      <c r="C9570" s="91" t="s">
        <v>1075</v>
      </c>
    </row>
    <row r="9571" spans="1:3" ht="15">
      <c r="A9571" s="84" t="s">
        <v>265</v>
      </c>
      <c r="B9571" s="83" t="s">
        <v>3429</v>
      </c>
      <c r="C9571" s="91" t="s">
        <v>1075</v>
      </c>
    </row>
    <row r="9572" spans="1:3" ht="15">
      <c r="A9572" s="84" t="s">
        <v>265</v>
      </c>
      <c r="B9572" s="83" t="s">
        <v>3215</v>
      </c>
      <c r="C9572" s="91" t="s">
        <v>1075</v>
      </c>
    </row>
    <row r="9573" spans="1:3" ht="15">
      <c r="A9573" s="84" t="s">
        <v>265</v>
      </c>
      <c r="B9573" s="83" t="s">
        <v>3415</v>
      </c>
      <c r="C9573" s="91" t="s">
        <v>1075</v>
      </c>
    </row>
    <row r="9574" spans="1:3" ht="15">
      <c r="A9574" s="84" t="s">
        <v>265</v>
      </c>
      <c r="B9574" s="83" t="s">
        <v>3416</v>
      </c>
      <c r="C9574" s="91" t="s">
        <v>1075</v>
      </c>
    </row>
    <row r="9575" spans="1:3" ht="15">
      <c r="A9575" s="84" t="s">
        <v>265</v>
      </c>
      <c r="B9575" s="83" t="s">
        <v>3417</v>
      </c>
      <c r="C9575" s="91" t="s">
        <v>1075</v>
      </c>
    </row>
    <row r="9576" spans="1:3" ht="15">
      <c r="A9576" s="84" t="s">
        <v>265</v>
      </c>
      <c r="B9576" s="83" t="s">
        <v>3418</v>
      </c>
      <c r="C9576" s="91" t="s">
        <v>1075</v>
      </c>
    </row>
    <row r="9577" spans="1:3" ht="15">
      <c r="A9577" s="84" t="s">
        <v>265</v>
      </c>
      <c r="B9577" s="83" t="s">
        <v>3219</v>
      </c>
      <c r="C9577" s="91" t="s">
        <v>1075</v>
      </c>
    </row>
    <row r="9578" spans="1:3" ht="15">
      <c r="A9578" s="84" t="s">
        <v>265</v>
      </c>
      <c r="B9578" s="83" t="s">
        <v>3430</v>
      </c>
      <c r="C9578" s="91" t="s">
        <v>1075</v>
      </c>
    </row>
    <row r="9579" spans="1:3" ht="15">
      <c r="A9579" s="84" t="s">
        <v>265</v>
      </c>
      <c r="B9579" s="83" t="s">
        <v>3254</v>
      </c>
      <c r="C9579" s="91" t="s">
        <v>1075</v>
      </c>
    </row>
    <row r="9580" spans="1:3" ht="15">
      <c r="A9580" s="84" t="s">
        <v>265</v>
      </c>
      <c r="B9580" s="83" t="s">
        <v>3420</v>
      </c>
      <c r="C9580" s="91" t="s">
        <v>1075</v>
      </c>
    </row>
    <row r="9581" spans="1:3" ht="15">
      <c r="A9581" s="84" t="s">
        <v>265</v>
      </c>
      <c r="B9581" s="83" t="s">
        <v>3421</v>
      </c>
      <c r="C9581" s="91" t="s">
        <v>1075</v>
      </c>
    </row>
    <row r="9582" spans="1:3" ht="15">
      <c r="A9582" s="84" t="s">
        <v>265</v>
      </c>
      <c r="B9582" s="83" t="s">
        <v>3199</v>
      </c>
      <c r="C9582" s="91" t="s">
        <v>1075</v>
      </c>
    </row>
    <row r="9583" spans="1:3" ht="15">
      <c r="A9583" s="84" t="s">
        <v>265</v>
      </c>
      <c r="B9583" s="83" t="s">
        <v>3393</v>
      </c>
      <c r="C9583" s="91" t="s">
        <v>1075</v>
      </c>
    </row>
    <row r="9584" spans="1:3" ht="15">
      <c r="A9584" s="84" t="s">
        <v>265</v>
      </c>
      <c r="B9584" s="83" t="s">
        <v>3422</v>
      </c>
      <c r="C9584" s="91" t="s">
        <v>1075</v>
      </c>
    </row>
    <row r="9585" spans="1:3" ht="15">
      <c r="A9585" s="84" t="s">
        <v>265</v>
      </c>
      <c r="B9585" s="83" t="s">
        <v>3267</v>
      </c>
      <c r="C9585" s="91" t="s">
        <v>1077</v>
      </c>
    </row>
    <row r="9586" spans="1:3" ht="15">
      <c r="A9586" s="84" t="s">
        <v>265</v>
      </c>
      <c r="B9586" s="83" t="s">
        <v>2581</v>
      </c>
      <c r="C9586" s="91" t="s">
        <v>1077</v>
      </c>
    </row>
    <row r="9587" spans="1:3" ht="15">
      <c r="A9587" s="84" t="s">
        <v>265</v>
      </c>
      <c r="B9587" s="83" t="s">
        <v>2586</v>
      </c>
      <c r="C9587" s="91" t="s">
        <v>1077</v>
      </c>
    </row>
    <row r="9588" spans="1:3" ht="15">
      <c r="A9588" s="84" t="s">
        <v>265</v>
      </c>
      <c r="B9588" s="83" t="s">
        <v>2595</v>
      </c>
      <c r="C9588" s="91" t="s">
        <v>1077</v>
      </c>
    </row>
    <row r="9589" spans="1:3" ht="15">
      <c r="A9589" s="84" t="s">
        <v>265</v>
      </c>
      <c r="B9589" s="83" t="s">
        <v>2568</v>
      </c>
      <c r="C9589" s="91" t="s">
        <v>1077</v>
      </c>
    </row>
    <row r="9590" spans="1:3" ht="15">
      <c r="A9590" s="84" t="s">
        <v>265</v>
      </c>
      <c r="B9590" s="83" t="s">
        <v>2592</v>
      </c>
      <c r="C9590" s="91" t="s">
        <v>1077</v>
      </c>
    </row>
    <row r="9591" spans="1:3" ht="15">
      <c r="A9591" s="84" t="s">
        <v>265</v>
      </c>
      <c r="B9591" s="83" t="s">
        <v>3213</v>
      </c>
      <c r="C9591" s="91" t="s">
        <v>1077</v>
      </c>
    </row>
    <row r="9592" spans="1:3" ht="15">
      <c r="A9592" s="84" t="s">
        <v>265</v>
      </c>
      <c r="B9592" s="83" t="s">
        <v>2576</v>
      </c>
      <c r="C9592" s="91" t="s">
        <v>1077</v>
      </c>
    </row>
    <row r="9593" spans="1:3" ht="15">
      <c r="A9593" s="84" t="s">
        <v>265</v>
      </c>
      <c r="B9593" s="83" t="s">
        <v>3229</v>
      </c>
      <c r="C9593" s="91" t="s">
        <v>1077</v>
      </c>
    </row>
    <row r="9594" spans="1:3" ht="15">
      <c r="A9594" s="84" t="s">
        <v>265</v>
      </c>
      <c r="B9594" s="83" t="s">
        <v>3230</v>
      </c>
      <c r="C9594" s="91" t="s">
        <v>1077</v>
      </c>
    </row>
    <row r="9595" spans="1:3" ht="15">
      <c r="A9595" s="84" t="s">
        <v>265</v>
      </c>
      <c r="B9595" s="83" t="s">
        <v>2598</v>
      </c>
      <c r="C9595" s="91" t="s">
        <v>1077</v>
      </c>
    </row>
    <row r="9596" spans="1:3" ht="15">
      <c r="A9596" s="84" t="s">
        <v>265</v>
      </c>
      <c r="B9596" s="83" t="s">
        <v>3231</v>
      </c>
      <c r="C9596" s="91" t="s">
        <v>1077</v>
      </c>
    </row>
    <row r="9597" spans="1:3" ht="15">
      <c r="A9597" s="84" t="s">
        <v>265</v>
      </c>
      <c r="B9597" s="83" t="s">
        <v>3232</v>
      </c>
      <c r="C9597" s="91" t="s">
        <v>1077</v>
      </c>
    </row>
    <row r="9598" spans="1:3" ht="15">
      <c r="A9598" s="84" t="s">
        <v>265</v>
      </c>
      <c r="B9598" s="83" t="s">
        <v>3233</v>
      </c>
      <c r="C9598" s="91" t="s">
        <v>1077</v>
      </c>
    </row>
    <row r="9599" spans="1:3" ht="15">
      <c r="A9599" s="84" t="s">
        <v>265</v>
      </c>
      <c r="B9599" s="83" t="s">
        <v>3211</v>
      </c>
      <c r="C9599" s="91" t="s">
        <v>1077</v>
      </c>
    </row>
    <row r="9600" spans="1:3" ht="15">
      <c r="A9600" s="84" t="s">
        <v>265</v>
      </c>
      <c r="B9600" s="83" t="s">
        <v>3199</v>
      </c>
      <c r="C9600" s="91" t="s">
        <v>1077</v>
      </c>
    </row>
    <row r="9601" spans="1:3" ht="15">
      <c r="A9601" s="84" t="s">
        <v>265</v>
      </c>
      <c r="B9601" s="83" t="s">
        <v>3218</v>
      </c>
      <c r="C9601" s="91" t="s">
        <v>1077</v>
      </c>
    </row>
    <row r="9602" spans="1:3" ht="15">
      <c r="A9602" s="84" t="s">
        <v>265</v>
      </c>
      <c r="B9602" s="83" t="s">
        <v>3234</v>
      </c>
      <c r="C9602" s="91" t="s">
        <v>1077</v>
      </c>
    </row>
    <row r="9603" spans="1:3" ht="15">
      <c r="A9603" s="84" t="s">
        <v>265</v>
      </c>
      <c r="B9603" s="83" t="s">
        <v>3235</v>
      </c>
      <c r="C9603" s="91" t="s">
        <v>1077</v>
      </c>
    </row>
    <row r="9604" spans="1:3" ht="15">
      <c r="A9604" s="84" t="s">
        <v>265</v>
      </c>
      <c r="B9604" s="83" t="s">
        <v>3236</v>
      </c>
      <c r="C9604" s="91" t="s">
        <v>1077</v>
      </c>
    </row>
    <row r="9605" spans="1:3" ht="15">
      <c r="A9605" s="84" t="s">
        <v>265</v>
      </c>
      <c r="B9605" s="83" t="s">
        <v>3237</v>
      </c>
      <c r="C9605" s="91" t="s">
        <v>1077</v>
      </c>
    </row>
    <row r="9606" spans="1:3" ht="15">
      <c r="A9606" s="84" t="s">
        <v>265</v>
      </c>
      <c r="B9606" s="83" t="s">
        <v>3238</v>
      </c>
      <c r="C9606" s="91" t="s">
        <v>1077</v>
      </c>
    </row>
    <row r="9607" spans="1:3" ht="15">
      <c r="A9607" s="84" t="s">
        <v>265</v>
      </c>
      <c r="B9607" s="83" t="s">
        <v>3239</v>
      </c>
      <c r="C9607" s="91" t="s">
        <v>1077</v>
      </c>
    </row>
    <row r="9608" spans="1:3" ht="15">
      <c r="A9608" s="84" t="s">
        <v>265</v>
      </c>
      <c r="B9608" s="83" t="s">
        <v>3240</v>
      </c>
      <c r="C9608" s="91" t="s">
        <v>1077</v>
      </c>
    </row>
    <row r="9609" spans="1:3" ht="15">
      <c r="A9609" s="84" t="s">
        <v>265</v>
      </c>
      <c r="B9609" s="83" t="s">
        <v>3241</v>
      </c>
      <c r="C9609" s="91" t="s">
        <v>1077</v>
      </c>
    </row>
    <row r="9610" spans="1:3" ht="15">
      <c r="A9610" s="84" t="s">
        <v>265</v>
      </c>
      <c r="B9610" s="83" t="s">
        <v>3242</v>
      </c>
      <c r="C9610" s="91" t="s">
        <v>1077</v>
      </c>
    </row>
    <row r="9611" spans="1:3" ht="15">
      <c r="A9611" s="84" t="s">
        <v>265</v>
      </c>
      <c r="B9611" s="83" t="s">
        <v>2767</v>
      </c>
      <c r="C9611" s="91" t="s">
        <v>1077</v>
      </c>
    </row>
    <row r="9612" spans="1:3" ht="15">
      <c r="A9612" s="84" t="s">
        <v>265</v>
      </c>
      <c r="B9612" s="83" t="s">
        <v>3243</v>
      </c>
      <c r="C9612" s="91" t="s">
        <v>1077</v>
      </c>
    </row>
    <row r="9613" spans="1:3" ht="15">
      <c r="A9613" s="84" t="s">
        <v>265</v>
      </c>
      <c r="B9613" s="83" t="s">
        <v>3244</v>
      </c>
      <c r="C9613" s="91" t="s">
        <v>1077</v>
      </c>
    </row>
    <row r="9614" spans="1:3" ht="15">
      <c r="A9614" s="84" t="s">
        <v>265</v>
      </c>
      <c r="B9614" s="83" t="s">
        <v>3223</v>
      </c>
      <c r="C9614" s="91" t="s">
        <v>1077</v>
      </c>
    </row>
    <row r="9615" spans="1:3" ht="15">
      <c r="A9615" s="84" t="s">
        <v>265</v>
      </c>
      <c r="B9615" s="83" t="s">
        <v>3620</v>
      </c>
      <c r="C9615" s="91" t="s">
        <v>1076</v>
      </c>
    </row>
    <row r="9616" spans="1:3" ht="15">
      <c r="A9616" s="84" t="s">
        <v>265</v>
      </c>
      <c r="B9616" s="83" t="s">
        <v>2578</v>
      </c>
      <c r="C9616" s="91" t="s">
        <v>1076</v>
      </c>
    </row>
    <row r="9617" spans="1:3" ht="15">
      <c r="A9617" s="84" t="s">
        <v>265</v>
      </c>
      <c r="B9617" s="83" t="s">
        <v>2991</v>
      </c>
      <c r="C9617" s="91" t="s">
        <v>1076</v>
      </c>
    </row>
    <row r="9618" spans="1:3" ht="15">
      <c r="A9618" s="84" t="s">
        <v>265</v>
      </c>
      <c r="B9618" s="83" t="s">
        <v>2992</v>
      </c>
      <c r="C9618" s="91" t="s">
        <v>1076</v>
      </c>
    </row>
    <row r="9619" spans="1:3" ht="15">
      <c r="A9619" s="84" t="s">
        <v>265</v>
      </c>
      <c r="B9619" s="83" t="s">
        <v>3621</v>
      </c>
      <c r="C9619" s="91" t="s">
        <v>1076</v>
      </c>
    </row>
    <row r="9620" spans="1:3" ht="15">
      <c r="A9620" s="84" t="s">
        <v>265</v>
      </c>
      <c r="B9620" s="83" t="s">
        <v>3210</v>
      </c>
      <c r="C9620" s="91" t="s">
        <v>1076</v>
      </c>
    </row>
    <row r="9621" spans="1:3" ht="15">
      <c r="A9621" s="84" t="s">
        <v>265</v>
      </c>
      <c r="B9621" s="83">
        <v>19</v>
      </c>
      <c r="C9621" s="91" t="s">
        <v>1076</v>
      </c>
    </row>
    <row r="9622" spans="1:3" ht="15">
      <c r="A9622" s="84" t="s">
        <v>265</v>
      </c>
      <c r="B9622" s="83" t="s">
        <v>2994</v>
      </c>
      <c r="C9622" s="91" t="s">
        <v>1076</v>
      </c>
    </row>
    <row r="9623" spans="1:3" ht="15">
      <c r="A9623" s="84" t="s">
        <v>265</v>
      </c>
      <c r="B9623" s="83" t="s">
        <v>2995</v>
      </c>
      <c r="C9623" s="91" t="s">
        <v>1076</v>
      </c>
    </row>
    <row r="9624" spans="1:3" ht="15">
      <c r="A9624" s="84" t="s">
        <v>265</v>
      </c>
      <c r="B9624" s="83" t="s">
        <v>2846</v>
      </c>
      <c r="C9624" s="91" t="s">
        <v>1076</v>
      </c>
    </row>
    <row r="9625" spans="1:3" ht="15">
      <c r="A9625" s="84" t="s">
        <v>265</v>
      </c>
      <c r="B9625" s="83" t="s">
        <v>2996</v>
      </c>
      <c r="C9625" s="91" t="s">
        <v>1076</v>
      </c>
    </row>
    <row r="9626" spans="1:3" ht="15">
      <c r="A9626" s="84" t="s">
        <v>265</v>
      </c>
      <c r="B9626" s="83" t="s">
        <v>2997</v>
      </c>
      <c r="C9626" s="91" t="s">
        <v>1076</v>
      </c>
    </row>
    <row r="9627" spans="1:3" ht="15">
      <c r="A9627" s="84" t="s">
        <v>265</v>
      </c>
      <c r="B9627" s="83" t="s">
        <v>2998</v>
      </c>
      <c r="C9627" s="91" t="s">
        <v>1076</v>
      </c>
    </row>
    <row r="9628" spans="1:3" ht="15">
      <c r="A9628" s="84" t="s">
        <v>265</v>
      </c>
      <c r="B9628" s="83" t="s">
        <v>2999</v>
      </c>
      <c r="C9628" s="91" t="s">
        <v>1076</v>
      </c>
    </row>
    <row r="9629" spans="1:3" ht="15">
      <c r="A9629" s="84" t="s">
        <v>265</v>
      </c>
      <c r="B9629" s="83" t="s">
        <v>3000</v>
      </c>
      <c r="C9629" s="91" t="s">
        <v>1076</v>
      </c>
    </row>
    <row r="9630" spans="1:3" ht="15">
      <c r="A9630" s="84" t="s">
        <v>265</v>
      </c>
      <c r="B9630" s="83" t="s">
        <v>2934</v>
      </c>
      <c r="C9630" s="91" t="s">
        <v>1076</v>
      </c>
    </row>
    <row r="9631" spans="1:3" ht="15">
      <c r="A9631" s="84" t="s">
        <v>265</v>
      </c>
      <c r="B9631" s="83" t="s">
        <v>3001</v>
      </c>
      <c r="C9631" s="91" t="s">
        <v>1076</v>
      </c>
    </row>
    <row r="9632" spans="1:3" ht="15">
      <c r="A9632" s="84" t="s">
        <v>265</v>
      </c>
      <c r="B9632" s="83" t="s">
        <v>3002</v>
      </c>
      <c r="C9632" s="91" t="s">
        <v>1076</v>
      </c>
    </row>
    <row r="9633" spans="1:3" ht="15">
      <c r="A9633" s="84" t="s">
        <v>265</v>
      </c>
      <c r="B9633" s="83" t="s">
        <v>3003</v>
      </c>
      <c r="C9633" s="91" t="s">
        <v>1076</v>
      </c>
    </row>
    <row r="9634" spans="1:3" ht="15">
      <c r="A9634" s="84" t="s">
        <v>265</v>
      </c>
      <c r="B9634" s="83" t="s">
        <v>3004</v>
      </c>
      <c r="C9634" s="91" t="s">
        <v>1076</v>
      </c>
    </row>
    <row r="9635" spans="1:3" ht="15">
      <c r="A9635" s="84" t="s">
        <v>265</v>
      </c>
      <c r="B9635" s="83" t="s">
        <v>3005</v>
      </c>
      <c r="C9635" s="91" t="s">
        <v>1076</v>
      </c>
    </row>
    <row r="9636" spans="1:3" ht="15">
      <c r="A9636" s="84" t="s">
        <v>265</v>
      </c>
      <c r="B9636" s="83" t="s">
        <v>3622</v>
      </c>
      <c r="C9636" s="91" t="s">
        <v>1076</v>
      </c>
    </row>
    <row r="9637" spans="1:3" ht="15">
      <c r="A9637" s="84" t="s">
        <v>265</v>
      </c>
      <c r="B9637" s="83" t="s">
        <v>3006</v>
      </c>
      <c r="C9637" s="91" t="s">
        <v>1076</v>
      </c>
    </row>
    <row r="9638" spans="1:3" ht="15">
      <c r="A9638" s="84" t="s">
        <v>265</v>
      </c>
      <c r="B9638" s="83" t="s">
        <v>3007</v>
      </c>
      <c r="C9638" s="91" t="s">
        <v>1076</v>
      </c>
    </row>
    <row r="9639" spans="1:3" ht="15">
      <c r="A9639" s="84" t="s">
        <v>265</v>
      </c>
      <c r="B9639" s="83" t="s">
        <v>3008</v>
      </c>
      <c r="C9639" s="91" t="s">
        <v>1076</v>
      </c>
    </row>
    <row r="9640" spans="1:3" ht="15">
      <c r="A9640" s="84" t="s">
        <v>265</v>
      </c>
      <c r="B9640" s="83" t="s">
        <v>3199</v>
      </c>
      <c r="C9640" s="91" t="s">
        <v>1076</v>
      </c>
    </row>
    <row r="9641" spans="1:3" ht="15">
      <c r="A9641" s="84" t="s">
        <v>265</v>
      </c>
      <c r="B9641" s="83" t="s">
        <v>3234</v>
      </c>
      <c r="C9641" s="91" t="s">
        <v>1076</v>
      </c>
    </row>
    <row r="9642" spans="1:3" ht="15">
      <c r="A9642" s="84" t="s">
        <v>265</v>
      </c>
      <c r="B9642" s="83" t="s">
        <v>3623</v>
      </c>
      <c r="C9642" s="91" t="s">
        <v>1076</v>
      </c>
    </row>
    <row r="9643" spans="1:3" ht="15">
      <c r="A9643" s="84" t="s">
        <v>265</v>
      </c>
      <c r="B9643" s="83" t="s">
        <v>3119</v>
      </c>
      <c r="C9643" s="91" t="s">
        <v>1076</v>
      </c>
    </row>
    <row r="9644" spans="1:3" ht="15">
      <c r="A9644" s="84" t="s">
        <v>265</v>
      </c>
      <c r="B9644" s="83" t="s">
        <v>3624</v>
      </c>
      <c r="C9644" s="91" t="s">
        <v>1076</v>
      </c>
    </row>
    <row r="9645" spans="1:3" ht="15">
      <c r="A9645" s="84" t="s">
        <v>265</v>
      </c>
      <c r="B9645" s="83" t="s">
        <v>3625</v>
      </c>
      <c r="C9645" s="91" t="s">
        <v>1076</v>
      </c>
    </row>
    <row r="9646" spans="1:3" ht="15">
      <c r="A9646" s="84" t="s">
        <v>265</v>
      </c>
      <c r="B9646" s="83" t="s">
        <v>3626</v>
      </c>
      <c r="C9646" s="91" t="s">
        <v>1076</v>
      </c>
    </row>
    <row r="9647" spans="1:3" ht="15">
      <c r="A9647" s="84" t="s">
        <v>265</v>
      </c>
      <c r="B9647" s="83" t="s">
        <v>3255</v>
      </c>
      <c r="C9647" s="91" t="s">
        <v>1076</v>
      </c>
    </row>
    <row r="9648" spans="1:3" ht="15">
      <c r="A9648" s="84" t="s">
        <v>265</v>
      </c>
      <c r="B9648" s="83" t="s">
        <v>3202</v>
      </c>
      <c r="C9648" s="91" t="s">
        <v>1074</v>
      </c>
    </row>
    <row r="9649" spans="1:3" ht="15">
      <c r="A9649" s="84" t="s">
        <v>265</v>
      </c>
      <c r="B9649" s="83">
        <v>7</v>
      </c>
      <c r="C9649" s="91" t="s">
        <v>1074</v>
      </c>
    </row>
    <row r="9650" spans="1:3" ht="15">
      <c r="A9650" s="84" t="s">
        <v>265</v>
      </c>
      <c r="B9650" s="83" t="s">
        <v>2650</v>
      </c>
      <c r="C9650" s="91" t="s">
        <v>1074</v>
      </c>
    </row>
    <row r="9651" spans="1:3" ht="15">
      <c r="A9651" s="84" t="s">
        <v>265</v>
      </c>
      <c r="B9651" s="83" t="s">
        <v>2693</v>
      </c>
      <c r="C9651" s="91" t="s">
        <v>1074</v>
      </c>
    </row>
    <row r="9652" spans="1:3" ht="15">
      <c r="A9652" s="84" t="s">
        <v>265</v>
      </c>
      <c r="B9652" s="83" t="s">
        <v>2576</v>
      </c>
      <c r="C9652" s="91" t="s">
        <v>1074</v>
      </c>
    </row>
    <row r="9653" spans="1:3" ht="15">
      <c r="A9653" s="84" t="s">
        <v>265</v>
      </c>
      <c r="B9653" s="83" t="s">
        <v>3203</v>
      </c>
      <c r="C9653" s="91" t="s">
        <v>1074</v>
      </c>
    </row>
    <row r="9654" spans="1:3" ht="15">
      <c r="A9654" s="84" t="s">
        <v>265</v>
      </c>
      <c r="B9654" s="83">
        <v>19</v>
      </c>
      <c r="C9654" s="91" t="s">
        <v>1074</v>
      </c>
    </row>
    <row r="9655" spans="1:3" ht="15">
      <c r="A9655" s="84" t="s">
        <v>265</v>
      </c>
      <c r="B9655" s="83" t="s">
        <v>2582</v>
      </c>
      <c r="C9655" s="91" t="s">
        <v>1074</v>
      </c>
    </row>
    <row r="9656" spans="1:3" ht="15">
      <c r="A9656" s="84" t="s">
        <v>265</v>
      </c>
      <c r="B9656" s="83" t="s">
        <v>3204</v>
      </c>
      <c r="C9656" s="91" t="s">
        <v>1074</v>
      </c>
    </row>
    <row r="9657" spans="1:3" ht="15">
      <c r="A9657" s="84" t="s">
        <v>265</v>
      </c>
      <c r="B9657" s="83">
        <v>1719</v>
      </c>
      <c r="C9657" s="91" t="s">
        <v>1074</v>
      </c>
    </row>
    <row r="9658" spans="1:3" ht="15">
      <c r="A9658" s="84" t="s">
        <v>265</v>
      </c>
      <c r="B9658" s="83" t="s">
        <v>3205</v>
      </c>
      <c r="C9658" s="91" t="s">
        <v>1074</v>
      </c>
    </row>
    <row r="9659" spans="1:3" ht="15">
      <c r="A9659" s="84" t="s">
        <v>265</v>
      </c>
      <c r="B9659" s="83" t="s">
        <v>586</v>
      </c>
      <c r="C9659" s="91" t="s">
        <v>1074</v>
      </c>
    </row>
    <row r="9660" spans="1:3" ht="15">
      <c r="A9660" s="84" t="s">
        <v>265</v>
      </c>
      <c r="B9660" s="83" t="s">
        <v>2742</v>
      </c>
      <c r="C9660" s="91" t="s">
        <v>1074</v>
      </c>
    </row>
    <row r="9661" spans="1:3" ht="15">
      <c r="A9661" s="84" t="s">
        <v>265</v>
      </c>
      <c r="B9661" s="83" t="s">
        <v>3641</v>
      </c>
      <c r="C9661" s="91" t="s">
        <v>1073</v>
      </c>
    </row>
    <row r="9662" spans="1:3" ht="15">
      <c r="A9662" s="84" t="s">
        <v>265</v>
      </c>
      <c r="B9662" s="83" t="s">
        <v>2952</v>
      </c>
      <c r="C9662" s="91" t="s">
        <v>1073</v>
      </c>
    </row>
    <row r="9663" spans="1:3" ht="15">
      <c r="A9663" s="84" t="s">
        <v>265</v>
      </c>
      <c r="B9663" s="83" t="s">
        <v>3313</v>
      </c>
      <c r="C9663" s="91" t="s">
        <v>1073</v>
      </c>
    </row>
    <row r="9664" spans="1:3" ht="15">
      <c r="A9664" s="84" t="s">
        <v>265</v>
      </c>
      <c r="B9664" s="83" t="s">
        <v>586</v>
      </c>
      <c r="C9664" s="91" t="s">
        <v>1073</v>
      </c>
    </row>
    <row r="9665" spans="1:3" ht="15">
      <c r="A9665" s="84" t="s">
        <v>265</v>
      </c>
      <c r="B9665" s="83" t="s">
        <v>3319</v>
      </c>
      <c r="C9665" s="91" t="s">
        <v>1073</v>
      </c>
    </row>
    <row r="9666" spans="1:3" ht="15">
      <c r="A9666" s="84" t="s">
        <v>265</v>
      </c>
      <c r="B9666" s="83" t="s">
        <v>2719</v>
      </c>
      <c r="C9666" s="91" t="s">
        <v>1073</v>
      </c>
    </row>
    <row r="9667" spans="1:3" ht="15">
      <c r="A9667" s="84" t="s">
        <v>265</v>
      </c>
      <c r="B9667" s="83" t="s">
        <v>2653</v>
      </c>
      <c r="C9667" s="91" t="s">
        <v>1073</v>
      </c>
    </row>
    <row r="9668" spans="1:3" ht="15">
      <c r="A9668" s="84" t="s">
        <v>265</v>
      </c>
      <c r="B9668" s="83" t="s">
        <v>2665</v>
      </c>
      <c r="C9668" s="91" t="s">
        <v>1073</v>
      </c>
    </row>
    <row r="9669" spans="1:3" ht="15">
      <c r="A9669" s="84" t="s">
        <v>265</v>
      </c>
      <c r="B9669" s="83" t="s">
        <v>2590</v>
      </c>
      <c r="C9669" s="91" t="s">
        <v>1073</v>
      </c>
    </row>
    <row r="9670" spans="1:3" ht="15">
      <c r="A9670" s="84" t="s">
        <v>265</v>
      </c>
      <c r="B9670" s="83" t="s">
        <v>2953</v>
      </c>
      <c r="C9670" s="91" t="s">
        <v>1073</v>
      </c>
    </row>
    <row r="9671" spans="1:3" ht="15">
      <c r="A9671" s="84" t="s">
        <v>265</v>
      </c>
      <c r="B9671" s="83" t="s">
        <v>2591</v>
      </c>
      <c r="C9671" s="91" t="s">
        <v>1073</v>
      </c>
    </row>
    <row r="9672" spans="1:3" ht="15">
      <c r="A9672" s="84" t="s">
        <v>265</v>
      </c>
      <c r="B9672" s="83" t="s">
        <v>2582</v>
      </c>
      <c r="C9672" s="91" t="s">
        <v>1073</v>
      </c>
    </row>
    <row r="9673" spans="1:3" ht="15">
      <c r="A9673" s="84" t="s">
        <v>265</v>
      </c>
      <c r="B9673" s="83" t="s">
        <v>2578</v>
      </c>
      <c r="C9673" s="91" t="s">
        <v>1073</v>
      </c>
    </row>
    <row r="9674" spans="1:3" ht="15">
      <c r="A9674" s="84" t="s">
        <v>265</v>
      </c>
      <c r="B9674" s="83" t="s">
        <v>2954</v>
      </c>
      <c r="C9674" s="91" t="s">
        <v>1073</v>
      </c>
    </row>
    <row r="9675" spans="1:3" ht="15">
      <c r="A9675" s="84" t="s">
        <v>265</v>
      </c>
      <c r="B9675" s="83" t="s">
        <v>2955</v>
      </c>
      <c r="C9675" s="91" t="s">
        <v>1073</v>
      </c>
    </row>
    <row r="9676" spans="1:3" ht="15">
      <c r="A9676" s="84" t="s">
        <v>265</v>
      </c>
      <c r="B9676" s="83" t="s">
        <v>2956</v>
      </c>
      <c r="C9676" s="91" t="s">
        <v>1073</v>
      </c>
    </row>
    <row r="9677" spans="1:3" ht="15">
      <c r="A9677" s="84" t="s">
        <v>265</v>
      </c>
      <c r="B9677" s="83" t="s">
        <v>2568</v>
      </c>
      <c r="C9677" s="91" t="s">
        <v>1073</v>
      </c>
    </row>
    <row r="9678" spans="1:3" ht="15">
      <c r="A9678" s="84" t="s">
        <v>265</v>
      </c>
      <c r="B9678" s="83" t="s">
        <v>2894</v>
      </c>
      <c r="C9678" s="91" t="s">
        <v>1073</v>
      </c>
    </row>
    <row r="9679" spans="1:3" ht="15">
      <c r="A9679" s="84" t="s">
        <v>265</v>
      </c>
      <c r="B9679" s="83" t="s">
        <v>2957</v>
      </c>
      <c r="C9679" s="91" t="s">
        <v>1073</v>
      </c>
    </row>
    <row r="9680" spans="1:3" ht="15">
      <c r="A9680" s="84" t="s">
        <v>265</v>
      </c>
      <c r="B9680" s="83" t="s">
        <v>3203</v>
      </c>
      <c r="C9680" s="91" t="s">
        <v>1073</v>
      </c>
    </row>
    <row r="9681" spans="1:3" ht="15">
      <c r="A9681" s="84" t="s">
        <v>265</v>
      </c>
      <c r="B9681" s="83" t="s">
        <v>2958</v>
      </c>
      <c r="C9681" s="91" t="s">
        <v>1073</v>
      </c>
    </row>
    <row r="9682" spans="1:3" ht="15">
      <c r="A9682" s="84" t="s">
        <v>265</v>
      </c>
      <c r="B9682" s="83" t="s">
        <v>2959</v>
      </c>
      <c r="C9682" s="91" t="s">
        <v>1073</v>
      </c>
    </row>
    <row r="9683" spans="1:3" ht="15">
      <c r="A9683" s="84" t="s">
        <v>265</v>
      </c>
      <c r="B9683" s="83" t="s">
        <v>3642</v>
      </c>
      <c r="C9683" s="91" t="s">
        <v>1073</v>
      </c>
    </row>
    <row r="9684" spans="1:3" ht="15">
      <c r="A9684" s="84" t="s">
        <v>265</v>
      </c>
      <c r="B9684" s="83" t="s">
        <v>2961</v>
      </c>
      <c r="C9684" s="91" t="s">
        <v>1073</v>
      </c>
    </row>
    <row r="9685" spans="1:3" ht="15">
      <c r="A9685" s="84" t="s">
        <v>265</v>
      </c>
      <c r="B9685" s="83" t="s">
        <v>2777</v>
      </c>
      <c r="C9685" s="91" t="s">
        <v>1073</v>
      </c>
    </row>
    <row r="9686" spans="1:3" ht="15">
      <c r="A9686" s="84" t="s">
        <v>265</v>
      </c>
      <c r="B9686" s="83" t="s">
        <v>3643</v>
      </c>
      <c r="C9686" s="91" t="s">
        <v>1073</v>
      </c>
    </row>
    <row r="9687" spans="1:3" ht="15">
      <c r="A9687" s="84" t="s">
        <v>265</v>
      </c>
      <c r="B9687" s="83" t="s">
        <v>2963</v>
      </c>
      <c r="C9687" s="91" t="s">
        <v>1073</v>
      </c>
    </row>
    <row r="9688" spans="1:3" ht="15">
      <c r="A9688" s="84" t="s">
        <v>263</v>
      </c>
      <c r="B9688" s="83" t="s">
        <v>3267</v>
      </c>
      <c r="C9688" s="91" t="s">
        <v>1071</v>
      </c>
    </row>
    <row r="9689" spans="1:3" ht="15">
      <c r="A9689" s="84" t="s">
        <v>263</v>
      </c>
      <c r="B9689" s="83" t="s">
        <v>2581</v>
      </c>
      <c r="C9689" s="91" t="s">
        <v>1071</v>
      </c>
    </row>
    <row r="9690" spans="1:3" ht="15">
      <c r="A9690" s="84" t="s">
        <v>263</v>
      </c>
      <c r="B9690" s="83" t="s">
        <v>2586</v>
      </c>
      <c r="C9690" s="91" t="s">
        <v>1071</v>
      </c>
    </row>
    <row r="9691" spans="1:3" ht="15">
      <c r="A9691" s="84" t="s">
        <v>263</v>
      </c>
      <c r="B9691" s="83" t="s">
        <v>2595</v>
      </c>
      <c r="C9691" s="91" t="s">
        <v>1071</v>
      </c>
    </row>
    <row r="9692" spans="1:3" ht="15">
      <c r="A9692" s="84" t="s">
        <v>263</v>
      </c>
      <c r="B9692" s="83" t="s">
        <v>2568</v>
      </c>
      <c r="C9692" s="91" t="s">
        <v>1071</v>
      </c>
    </row>
    <row r="9693" spans="1:3" ht="15">
      <c r="A9693" s="84" t="s">
        <v>263</v>
      </c>
      <c r="B9693" s="83" t="s">
        <v>2592</v>
      </c>
      <c r="C9693" s="91" t="s">
        <v>1071</v>
      </c>
    </row>
    <row r="9694" spans="1:3" ht="15">
      <c r="A9694" s="84" t="s">
        <v>263</v>
      </c>
      <c r="B9694" s="83" t="s">
        <v>3213</v>
      </c>
      <c r="C9694" s="91" t="s">
        <v>1071</v>
      </c>
    </row>
    <row r="9695" spans="1:3" ht="15">
      <c r="A9695" s="84" t="s">
        <v>263</v>
      </c>
      <c r="B9695" s="83" t="s">
        <v>2576</v>
      </c>
      <c r="C9695" s="91" t="s">
        <v>1071</v>
      </c>
    </row>
    <row r="9696" spans="1:3" ht="15">
      <c r="A9696" s="84" t="s">
        <v>263</v>
      </c>
      <c r="B9696" s="83" t="s">
        <v>3229</v>
      </c>
      <c r="C9696" s="91" t="s">
        <v>1071</v>
      </c>
    </row>
    <row r="9697" spans="1:3" ht="15">
      <c r="A9697" s="84" t="s">
        <v>263</v>
      </c>
      <c r="B9697" s="83" t="s">
        <v>3230</v>
      </c>
      <c r="C9697" s="91" t="s">
        <v>1071</v>
      </c>
    </row>
    <row r="9698" spans="1:3" ht="15">
      <c r="A9698" s="84" t="s">
        <v>263</v>
      </c>
      <c r="B9698" s="83" t="s">
        <v>2598</v>
      </c>
      <c r="C9698" s="91" t="s">
        <v>1071</v>
      </c>
    </row>
    <row r="9699" spans="1:3" ht="15">
      <c r="A9699" s="84" t="s">
        <v>263</v>
      </c>
      <c r="B9699" s="83" t="s">
        <v>3231</v>
      </c>
      <c r="C9699" s="91" t="s">
        <v>1071</v>
      </c>
    </row>
    <row r="9700" spans="1:3" ht="15">
      <c r="A9700" s="84" t="s">
        <v>263</v>
      </c>
      <c r="B9700" s="83" t="s">
        <v>3232</v>
      </c>
      <c r="C9700" s="91" t="s">
        <v>1071</v>
      </c>
    </row>
    <row r="9701" spans="1:3" ht="15">
      <c r="A9701" s="84" t="s">
        <v>263</v>
      </c>
      <c r="B9701" s="83" t="s">
        <v>3233</v>
      </c>
      <c r="C9701" s="91" t="s">
        <v>1071</v>
      </c>
    </row>
    <row r="9702" spans="1:3" ht="15">
      <c r="A9702" s="84" t="s">
        <v>263</v>
      </c>
      <c r="B9702" s="83" t="s">
        <v>3211</v>
      </c>
      <c r="C9702" s="91" t="s">
        <v>1071</v>
      </c>
    </row>
    <row r="9703" spans="1:3" ht="15">
      <c r="A9703" s="84" t="s">
        <v>263</v>
      </c>
      <c r="B9703" s="83" t="s">
        <v>3199</v>
      </c>
      <c r="C9703" s="91" t="s">
        <v>1071</v>
      </c>
    </row>
    <row r="9704" spans="1:3" ht="15">
      <c r="A9704" s="84" t="s">
        <v>263</v>
      </c>
      <c r="B9704" s="83" t="s">
        <v>3218</v>
      </c>
      <c r="C9704" s="91" t="s">
        <v>1071</v>
      </c>
    </row>
    <row r="9705" spans="1:3" ht="15">
      <c r="A9705" s="84" t="s">
        <v>263</v>
      </c>
      <c r="B9705" s="83" t="s">
        <v>3234</v>
      </c>
      <c r="C9705" s="91" t="s">
        <v>1071</v>
      </c>
    </row>
    <row r="9706" spans="1:3" ht="15">
      <c r="A9706" s="84" t="s">
        <v>263</v>
      </c>
      <c r="B9706" s="83" t="s">
        <v>3235</v>
      </c>
      <c r="C9706" s="91" t="s">
        <v>1071</v>
      </c>
    </row>
    <row r="9707" spans="1:3" ht="15">
      <c r="A9707" s="84" t="s">
        <v>263</v>
      </c>
      <c r="B9707" s="83" t="s">
        <v>3236</v>
      </c>
      <c r="C9707" s="91" t="s">
        <v>1071</v>
      </c>
    </row>
    <row r="9708" spans="1:3" ht="15">
      <c r="A9708" s="84" t="s">
        <v>263</v>
      </c>
      <c r="B9708" s="83" t="s">
        <v>3237</v>
      </c>
      <c r="C9708" s="91" t="s">
        <v>1071</v>
      </c>
    </row>
    <row r="9709" spans="1:3" ht="15">
      <c r="A9709" s="84" t="s">
        <v>263</v>
      </c>
      <c r="B9709" s="83" t="s">
        <v>3238</v>
      </c>
      <c r="C9709" s="91" t="s">
        <v>1071</v>
      </c>
    </row>
    <row r="9710" spans="1:3" ht="15">
      <c r="A9710" s="84" t="s">
        <v>263</v>
      </c>
      <c r="B9710" s="83" t="s">
        <v>3239</v>
      </c>
      <c r="C9710" s="91" t="s">
        <v>1071</v>
      </c>
    </row>
    <row r="9711" spans="1:3" ht="15">
      <c r="A9711" s="84" t="s">
        <v>263</v>
      </c>
      <c r="B9711" s="83" t="s">
        <v>3240</v>
      </c>
      <c r="C9711" s="91" t="s">
        <v>1071</v>
      </c>
    </row>
    <row r="9712" spans="1:3" ht="15">
      <c r="A9712" s="84" t="s">
        <v>263</v>
      </c>
      <c r="B9712" s="83" t="s">
        <v>3241</v>
      </c>
      <c r="C9712" s="91" t="s">
        <v>1071</v>
      </c>
    </row>
    <row r="9713" spans="1:3" ht="15">
      <c r="A9713" s="84" t="s">
        <v>263</v>
      </c>
      <c r="B9713" s="83" t="s">
        <v>3242</v>
      </c>
      <c r="C9713" s="91" t="s">
        <v>1071</v>
      </c>
    </row>
    <row r="9714" spans="1:3" ht="15">
      <c r="A9714" s="84" t="s">
        <v>263</v>
      </c>
      <c r="B9714" s="83" t="s">
        <v>2767</v>
      </c>
      <c r="C9714" s="91" t="s">
        <v>1071</v>
      </c>
    </row>
    <row r="9715" spans="1:3" ht="15">
      <c r="A9715" s="84" t="s">
        <v>263</v>
      </c>
      <c r="B9715" s="83" t="s">
        <v>3243</v>
      </c>
      <c r="C9715" s="91" t="s">
        <v>1071</v>
      </c>
    </row>
    <row r="9716" spans="1:3" ht="15">
      <c r="A9716" s="84" t="s">
        <v>263</v>
      </c>
      <c r="B9716" s="83" t="s">
        <v>3244</v>
      </c>
      <c r="C9716" s="91" t="s">
        <v>1071</v>
      </c>
    </row>
    <row r="9717" spans="1:3" ht="15">
      <c r="A9717" s="84" t="s">
        <v>263</v>
      </c>
      <c r="B9717" s="83" t="s">
        <v>3223</v>
      </c>
      <c r="C9717" s="91" t="s">
        <v>1071</v>
      </c>
    </row>
    <row r="9718" spans="1:3" ht="15">
      <c r="A9718" s="84" t="s">
        <v>262</v>
      </c>
      <c r="B9718" s="83" t="s">
        <v>3203</v>
      </c>
      <c r="C9718" s="91" t="s">
        <v>1070</v>
      </c>
    </row>
    <row r="9719" spans="1:3" ht="15">
      <c r="A9719" s="84" t="s">
        <v>262</v>
      </c>
      <c r="B9719" s="83" t="s">
        <v>3644</v>
      </c>
      <c r="C9719" s="91" t="s">
        <v>1070</v>
      </c>
    </row>
    <row r="9720" spans="1:3" ht="15">
      <c r="A9720" s="84" t="s">
        <v>262</v>
      </c>
      <c r="B9720" s="83" t="s">
        <v>3645</v>
      </c>
      <c r="C9720" s="91" t="s">
        <v>1070</v>
      </c>
    </row>
    <row r="9721" spans="1:3" ht="15">
      <c r="A9721" s="84" t="s">
        <v>262</v>
      </c>
      <c r="B9721" s="83" t="s">
        <v>3449</v>
      </c>
      <c r="C9721" s="91" t="s">
        <v>1070</v>
      </c>
    </row>
    <row r="9722" spans="1:3" ht="15">
      <c r="A9722" s="84" t="s">
        <v>262</v>
      </c>
      <c r="B9722" s="83" t="s">
        <v>3646</v>
      </c>
      <c r="C9722" s="91" t="s">
        <v>1070</v>
      </c>
    </row>
    <row r="9723" spans="1:3" ht="15">
      <c r="A9723" s="84" t="s">
        <v>262</v>
      </c>
      <c r="B9723" s="83" t="s">
        <v>2568</v>
      </c>
      <c r="C9723" s="91" t="s">
        <v>1070</v>
      </c>
    </row>
    <row r="9724" spans="1:3" ht="15">
      <c r="A9724" s="84" t="s">
        <v>262</v>
      </c>
      <c r="B9724" s="83" t="s">
        <v>3647</v>
      </c>
      <c r="C9724" s="91" t="s">
        <v>1070</v>
      </c>
    </row>
    <row r="9725" spans="1:3" ht="15">
      <c r="A9725" s="84" t="s">
        <v>262</v>
      </c>
      <c r="B9725" s="83" t="s">
        <v>3648</v>
      </c>
      <c r="C9725" s="91" t="s">
        <v>1070</v>
      </c>
    </row>
    <row r="9726" spans="1:3" ht="15">
      <c r="A9726" s="84" t="s">
        <v>262</v>
      </c>
      <c r="B9726" s="83" t="s">
        <v>3649</v>
      </c>
      <c r="C9726" s="91" t="s">
        <v>1070</v>
      </c>
    </row>
    <row r="9727" spans="1:3" ht="15">
      <c r="A9727" s="84" t="s">
        <v>262</v>
      </c>
      <c r="B9727" s="83" t="s">
        <v>3335</v>
      </c>
      <c r="C9727" s="91" t="s">
        <v>1070</v>
      </c>
    </row>
    <row r="9728" spans="1:3" ht="15">
      <c r="A9728" s="84" t="s">
        <v>262</v>
      </c>
      <c r="B9728" s="83" t="s">
        <v>586</v>
      </c>
      <c r="C9728" s="91" t="s">
        <v>1070</v>
      </c>
    </row>
    <row r="9729" spans="1:3" ht="15">
      <c r="A9729" s="84" t="s">
        <v>262</v>
      </c>
      <c r="B9729" s="83" t="s">
        <v>3650</v>
      </c>
      <c r="C9729" s="91" t="s">
        <v>1070</v>
      </c>
    </row>
    <row r="9730" spans="1:3" ht="15">
      <c r="A9730" s="84" t="s">
        <v>261</v>
      </c>
      <c r="B9730" s="83" t="s">
        <v>3267</v>
      </c>
      <c r="C9730" s="91" t="s">
        <v>1069</v>
      </c>
    </row>
    <row r="9731" spans="1:3" ht="15">
      <c r="A9731" s="84" t="s">
        <v>261</v>
      </c>
      <c r="B9731" s="83" t="s">
        <v>2581</v>
      </c>
      <c r="C9731" s="91" t="s">
        <v>1069</v>
      </c>
    </row>
    <row r="9732" spans="1:3" ht="15">
      <c r="A9732" s="84" t="s">
        <v>261</v>
      </c>
      <c r="B9732" s="83" t="s">
        <v>2586</v>
      </c>
      <c r="C9732" s="91" t="s">
        <v>1069</v>
      </c>
    </row>
    <row r="9733" spans="1:3" ht="15">
      <c r="A9733" s="84" t="s">
        <v>261</v>
      </c>
      <c r="B9733" s="83" t="s">
        <v>2595</v>
      </c>
      <c r="C9733" s="91" t="s">
        <v>1069</v>
      </c>
    </row>
    <row r="9734" spans="1:3" ht="15">
      <c r="A9734" s="84" t="s">
        <v>261</v>
      </c>
      <c r="B9734" s="83" t="s">
        <v>2568</v>
      </c>
      <c r="C9734" s="91" t="s">
        <v>1069</v>
      </c>
    </row>
    <row r="9735" spans="1:3" ht="15">
      <c r="A9735" s="84" t="s">
        <v>261</v>
      </c>
      <c r="B9735" s="83" t="s">
        <v>2592</v>
      </c>
      <c r="C9735" s="91" t="s">
        <v>1069</v>
      </c>
    </row>
    <row r="9736" spans="1:3" ht="15">
      <c r="A9736" s="84" t="s">
        <v>261</v>
      </c>
      <c r="B9736" s="83" t="s">
        <v>3213</v>
      </c>
      <c r="C9736" s="91" t="s">
        <v>1069</v>
      </c>
    </row>
    <row r="9737" spans="1:3" ht="15">
      <c r="A9737" s="84" t="s">
        <v>261</v>
      </c>
      <c r="B9737" s="83" t="s">
        <v>2576</v>
      </c>
      <c r="C9737" s="91" t="s">
        <v>1069</v>
      </c>
    </row>
    <row r="9738" spans="1:3" ht="15">
      <c r="A9738" s="84" t="s">
        <v>261</v>
      </c>
      <c r="B9738" s="83" t="s">
        <v>3229</v>
      </c>
      <c r="C9738" s="91" t="s">
        <v>1069</v>
      </c>
    </row>
    <row r="9739" spans="1:3" ht="15">
      <c r="A9739" s="84" t="s">
        <v>261</v>
      </c>
      <c r="B9739" s="83" t="s">
        <v>3230</v>
      </c>
      <c r="C9739" s="91" t="s">
        <v>1069</v>
      </c>
    </row>
    <row r="9740" spans="1:3" ht="15">
      <c r="A9740" s="84" t="s">
        <v>261</v>
      </c>
      <c r="B9740" s="83" t="s">
        <v>2598</v>
      </c>
      <c r="C9740" s="91" t="s">
        <v>1069</v>
      </c>
    </row>
    <row r="9741" spans="1:3" ht="15">
      <c r="A9741" s="84" t="s">
        <v>261</v>
      </c>
      <c r="B9741" s="83" t="s">
        <v>3231</v>
      </c>
      <c r="C9741" s="91" t="s">
        <v>1069</v>
      </c>
    </row>
    <row r="9742" spans="1:3" ht="15">
      <c r="A9742" s="84" t="s">
        <v>261</v>
      </c>
      <c r="B9742" s="83" t="s">
        <v>3232</v>
      </c>
      <c r="C9742" s="91" t="s">
        <v>1069</v>
      </c>
    </row>
    <row r="9743" spans="1:3" ht="15">
      <c r="A9743" s="84" t="s">
        <v>261</v>
      </c>
      <c r="B9743" s="83" t="s">
        <v>3233</v>
      </c>
      <c r="C9743" s="91" t="s">
        <v>1069</v>
      </c>
    </row>
    <row r="9744" spans="1:3" ht="15">
      <c r="A9744" s="84" t="s">
        <v>261</v>
      </c>
      <c r="B9744" s="83" t="s">
        <v>3211</v>
      </c>
      <c r="C9744" s="91" t="s">
        <v>1069</v>
      </c>
    </row>
    <row r="9745" spans="1:3" ht="15">
      <c r="A9745" s="84" t="s">
        <v>261</v>
      </c>
      <c r="B9745" s="83" t="s">
        <v>3199</v>
      </c>
      <c r="C9745" s="91" t="s">
        <v>1069</v>
      </c>
    </row>
    <row r="9746" spans="1:3" ht="15">
      <c r="A9746" s="84" t="s">
        <v>261</v>
      </c>
      <c r="B9746" s="83" t="s">
        <v>3218</v>
      </c>
      <c r="C9746" s="91" t="s">
        <v>1069</v>
      </c>
    </row>
    <row r="9747" spans="1:3" ht="15">
      <c r="A9747" s="84" t="s">
        <v>261</v>
      </c>
      <c r="B9747" s="83" t="s">
        <v>3234</v>
      </c>
      <c r="C9747" s="91" t="s">
        <v>1069</v>
      </c>
    </row>
    <row r="9748" spans="1:3" ht="15">
      <c r="A9748" s="84" t="s">
        <v>261</v>
      </c>
      <c r="B9748" s="83" t="s">
        <v>3235</v>
      </c>
      <c r="C9748" s="91" t="s">
        <v>1069</v>
      </c>
    </row>
    <row r="9749" spans="1:3" ht="15">
      <c r="A9749" s="84" t="s">
        <v>261</v>
      </c>
      <c r="B9749" s="83" t="s">
        <v>3236</v>
      </c>
      <c r="C9749" s="91" t="s">
        <v>1069</v>
      </c>
    </row>
    <row r="9750" spans="1:3" ht="15">
      <c r="A9750" s="84" t="s">
        <v>261</v>
      </c>
      <c r="B9750" s="83" t="s">
        <v>3237</v>
      </c>
      <c r="C9750" s="91" t="s">
        <v>1069</v>
      </c>
    </row>
    <row r="9751" spans="1:3" ht="15">
      <c r="A9751" s="84" t="s">
        <v>261</v>
      </c>
      <c r="B9751" s="83" t="s">
        <v>3238</v>
      </c>
      <c r="C9751" s="91" t="s">
        <v>1069</v>
      </c>
    </row>
    <row r="9752" spans="1:3" ht="15">
      <c r="A9752" s="84" t="s">
        <v>261</v>
      </c>
      <c r="B9752" s="83" t="s">
        <v>3239</v>
      </c>
      <c r="C9752" s="91" t="s">
        <v>1069</v>
      </c>
    </row>
    <row r="9753" spans="1:3" ht="15">
      <c r="A9753" s="84" t="s">
        <v>261</v>
      </c>
      <c r="B9753" s="83" t="s">
        <v>3240</v>
      </c>
      <c r="C9753" s="91" t="s">
        <v>1069</v>
      </c>
    </row>
    <row r="9754" spans="1:3" ht="15">
      <c r="A9754" s="84" t="s">
        <v>261</v>
      </c>
      <c r="B9754" s="83" t="s">
        <v>3241</v>
      </c>
      <c r="C9754" s="91" t="s">
        <v>1069</v>
      </c>
    </row>
    <row r="9755" spans="1:3" ht="15">
      <c r="A9755" s="84" t="s">
        <v>261</v>
      </c>
      <c r="B9755" s="83" t="s">
        <v>3242</v>
      </c>
      <c r="C9755" s="91" t="s">
        <v>1069</v>
      </c>
    </row>
    <row r="9756" spans="1:3" ht="15">
      <c r="A9756" s="84" t="s">
        <v>261</v>
      </c>
      <c r="B9756" s="83" t="s">
        <v>2767</v>
      </c>
      <c r="C9756" s="91" t="s">
        <v>1069</v>
      </c>
    </row>
    <row r="9757" spans="1:3" ht="15">
      <c r="A9757" s="84" t="s">
        <v>261</v>
      </c>
      <c r="B9757" s="83" t="s">
        <v>3243</v>
      </c>
      <c r="C9757" s="91" t="s">
        <v>1069</v>
      </c>
    </row>
    <row r="9758" spans="1:3" ht="15">
      <c r="A9758" s="84" t="s">
        <v>261</v>
      </c>
      <c r="B9758" s="83" t="s">
        <v>3244</v>
      </c>
      <c r="C9758" s="91" t="s">
        <v>1069</v>
      </c>
    </row>
    <row r="9759" spans="1:3" ht="15">
      <c r="A9759" s="84" t="s">
        <v>261</v>
      </c>
      <c r="B9759" s="83" t="s">
        <v>3223</v>
      </c>
      <c r="C9759" s="91" t="s">
        <v>1069</v>
      </c>
    </row>
    <row r="9760" spans="1:3" ht="15">
      <c r="A9760" s="84" t="s">
        <v>269</v>
      </c>
      <c r="B9760" s="83" t="s">
        <v>3620</v>
      </c>
      <c r="C9760" s="91" t="s">
        <v>1081</v>
      </c>
    </row>
    <row r="9761" spans="1:3" ht="15">
      <c r="A9761" s="84" t="s">
        <v>269</v>
      </c>
      <c r="B9761" s="83" t="s">
        <v>2578</v>
      </c>
      <c r="C9761" s="91" t="s">
        <v>1081</v>
      </c>
    </row>
    <row r="9762" spans="1:3" ht="15">
      <c r="A9762" s="84" t="s">
        <v>269</v>
      </c>
      <c r="B9762" s="83" t="s">
        <v>2991</v>
      </c>
      <c r="C9762" s="91" t="s">
        <v>1081</v>
      </c>
    </row>
    <row r="9763" spans="1:3" ht="15">
      <c r="A9763" s="84" t="s">
        <v>269</v>
      </c>
      <c r="B9763" s="83" t="s">
        <v>2992</v>
      </c>
      <c r="C9763" s="91" t="s">
        <v>1081</v>
      </c>
    </row>
    <row r="9764" spans="1:3" ht="15">
      <c r="A9764" s="84" t="s">
        <v>269</v>
      </c>
      <c r="B9764" s="83" t="s">
        <v>3621</v>
      </c>
      <c r="C9764" s="91" t="s">
        <v>1081</v>
      </c>
    </row>
    <row r="9765" spans="1:3" ht="15">
      <c r="A9765" s="84" t="s">
        <v>269</v>
      </c>
      <c r="B9765" s="83" t="s">
        <v>3210</v>
      </c>
      <c r="C9765" s="91" t="s">
        <v>1081</v>
      </c>
    </row>
    <row r="9766" spans="1:3" ht="15">
      <c r="A9766" s="84" t="s">
        <v>269</v>
      </c>
      <c r="B9766" s="83">
        <v>19</v>
      </c>
      <c r="C9766" s="91" t="s">
        <v>1081</v>
      </c>
    </row>
    <row r="9767" spans="1:3" ht="15">
      <c r="A9767" s="84" t="s">
        <v>269</v>
      </c>
      <c r="B9767" s="83" t="s">
        <v>2994</v>
      </c>
      <c r="C9767" s="91" t="s">
        <v>1081</v>
      </c>
    </row>
    <row r="9768" spans="1:3" ht="15">
      <c r="A9768" s="84" t="s">
        <v>269</v>
      </c>
      <c r="B9768" s="83" t="s">
        <v>2995</v>
      </c>
      <c r="C9768" s="91" t="s">
        <v>1081</v>
      </c>
    </row>
    <row r="9769" spans="1:3" ht="15">
      <c r="A9769" s="84" t="s">
        <v>269</v>
      </c>
      <c r="B9769" s="83" t="s">
        <v>2846</v>
      </c>
      <c r="C9769" s="91" t="s">
        <v>1081</v>
      </c>
    </row>
    <row r="9770" spans="1:3" ht="15">
      <c r="A9770" s="84" t="s">
        <v>269</v>
      </c>
      <c r="B9770" s="83" t="s">
        <v>2996</v>
      </c>
      <c r="C9770" s="91" t="s">
        <v>1081</v>
      </c>
    </row>
    <row r="9771" spans="1:3" ht="15">
      <c r="A9771" s="84" t="s">
        <v>269</v>
      </c>
      <c r="B9771" s="83" t="s">
        <v>2997</v>
      </c>
      <c r="C9771" s="91" t="s">
        <v>1081</v>
      </c>
    </row>
    <row r="9772" spans="1:3" ht="15">
      <c r="A9772" s="84" t="s">
        <v>269</v>
      </c>
      <c r="B9772" s="83" t="s">
        <v>2998</v>
      </c>
      <c r="C9772" s="91" t="s">
        <v>1081</v>
      </c>
    </row>
    <row r="9773" spans="1:3" ht="15">
      <c r="A9773" s="84" t="s">
        <v>269</v>
      </c>
      <c r="B9773" s="83" t="s">
        <v>2999</v>
      </c>
      <c r="C9773" s="91" t="s">
        <v>1081</v>
      </c>
    </row>
    <row r="9774" spans="1:3" ht="15">
      <c r="A9774" s="84" t="s">
        <v>269</v>
      </c>
      <c r="B9774" s="83" t="s">
        <v>3000</v>
      </c>
      <c r="C9774" s="91" t="s">
        <v>1081</v>
      </c>
    </row>
    <row r="9775" spans="1:3" ht="15">
      <c r="A9775" s="84" t="s">
        <v>269</v>
      </c>
      <c r="B9775" s="83" t="s">
        <v>2934</v>
      </c>
      <c r="C9775" s="91" t="s">
        <v>1081</v>
      </c>
    </row>
    <row r="9776" spans="1:3" ht="15">
      <c r="A9776" s="84" t="s">
        <v>269</v>
      </c>
      <c r="B9776" s="83" t="s">
        <v>3001</v>
      </c>
      <c r="C9776" s="91" t="s">
        <v>1081</v>
      </c>
    </row>
    <row r="9777" spans="1:3" ht="15">
      <c r="A9777" s="84" t="s">
        <v>269</v>
      </c>
      <c r="B9777" s="83" t="s">
        <v>3002</v>
      </c>
      <c r="C9777" s="91" t="s">
        <v>1081</v>
      </c>
    </row>
    <row r="9778" spans="1:3" ht="15">
      <c r="A9778" s="84" t="s">
        <v>269</v>
      </c>
      <c r="B9778" s="83" t="s">
        <v>3003</v>
      </c>
      <c r="C9778" s="91" t="s">
        <v>1081</v>
      </c>
    </row>
    <row r="9779" spans="1:3" ht="15">
      <c r="A9779" s="84" t="s">
        <v>269</v>
      </c>
      <c r="B9779" s="83" t="s">
        <v>3004</v>
      </c>
      <c r="C9779" s="91" t="s">
        <v>1081</v>
      </c>
    </row>
    <row r="9780" spans="1:3" ht="15">
      <c r="A9780" s="84" t="s">
        <v>269</v>
      </c>
      <c r="B9780" s="83" t="s">
        <v>3005</v>
      </c>
      <c r="C9780" s="91" t="s">
        <v>1081</v>
      </c>
    </row>
    <row r="9781" spans="1:3" ht="15">
      <c r="A9781" s="84" t="s">
        <v>269</v>
      </c>
      <c r="B9781" s="83" t="s">
        <v>3622</v>
      </c>
      <c r="C9781" s="91" t="s">
        <v>1081</v>
      </c>
    </row>
    <row r="9782" spans="1:3" ht="15">
      <c r="A9782" s="84" t="s">
        <v>269</v>
      </c>
      <c r="B9782" s="83" t="s">
        <v>3006</v>
      </c>
      <c r="C9782" s="91" t="s">
        <v>1081</v>
      </c>
    </row>
    <row r="9783" spans="1:3" ht="15">
      <c r="A9783" s="84" t="s">
        <v>269</v>
      </c>
      <c r="B9783" s="83" t="s">
        <v>3007</v>
      </c>
      <c r="C9783" s="91" t="s">
        <v>1081</v>
      </c>
    </row>
    <row r="9784" spans="1:3" ht="15">
      <c r="A9784" s="84" t="s">
        <v>269</v>
      </c>
      <c r="B9784" s="83" t="s">
        <v>3008</v>
      </c>
      <c r="C9784" s="91" t="s">
        <v>1081</v>
      </c>
    </row>
    <row r="9785" spans="1:3" ht="15">
      <c r="A9785" s="84" t="s">
        <v>269</v>
      </c>
      <c r="B9785" s="83" t="s">
        <v>3199</v>
      </c>
      <c r="C9785" s="91" t="s">
        <v>1081</v>
      </c>
    </row>
    <row r="9786" spans="1:3" ht="15">
      <c r="A9786" s="84" t="s">
        <v>269</v>
      </c>
      <c r="B9786" s="83" t="s">
        <v>3234</v>
      </c>
      <c r="C9786" s="91" t="s">
        <v>1081</v>
      </c>
    </row>
    <row r="9787" spans="1:3" ht="15">
      <c r="A9787" s="84" t="s">
        <v>269</v>
      </c>
      <c r="B9787" s="83" t="s">
        <v>3623</v>
      </c>
      <c r="C9787" s="91" t="s">
        <v>1081</v>
      </c>
    </row>
    <row r="9788" spans="1:3" ht="15">
      <c r="A9788" s="84" t="s">
        <v>269</v>
      </c>
      <c r="B9788" s="83" t="s">
        <v>3119</v>
      </c>
      <c r="C9788" s="91" t="s">
        <v>1081</v>
      </c>
    </row>
    <row r="9789" spans="1:3" ht="15">
      <c r="A9789" s="84" t="s">
        <v>269</v>
      </c>
      <c r="B9789" s="83" t="s">
        <v>3624</v>
      </c>
      <c r="C9789" s="91" t="s">
        <v>1081</v>
      </c>
    </row>
    <row r="9790" spans="1:3" ht="15">
      <c r="A9790" s="84" t="s">
        <v>269</v>
      </c>
      <c r="B9790" s="83" t="s">
        <v>3625</v>
      </c>
      <c r="C9790" s="91" t="s">
        <v>1081</v>
      </c>
    </row>
    <row r="9791" spans="1:3" ht="15">
      <c r="A9791" s="84" t="s">
        <v>269</v>
      </c>
      <c r="B9791" s="83" t="s">
        <v>3626</v>
      </c>
      <c r="C9791" s="91" t="s">
        <v>1081</v>
      </c>
    </row>
    <row r="9792" spans="1:3" ht="15">
      <c r="A9792" s="84" t="s">
        <v>269</v>
      </c>
      <c r="B9792" s="83" t="s">
        <v>3255</v>
      </c>
      <c r="C9792" s="91" t="s">
        <v>1081</v>
      </c>
    </row>
    <row r="9793" spans="1:3" ht="15">
      <c r="A9793" s="84" t="s">
        <v>260</v>
      </c>
      <c r="B9793" s="83" t="s">
        <v>3620</v>
      </c>
      <c r="C9793" s="91" t="s">
        <v>1068</v>
      </c>
    </row>
    <row r="9794" spans="1:3" ht="15">
      <c r="A9794" s="84" t="s">
        <v>260</v>
      </c>
      <c r="B9794" s="83" t="s">
        <v>2578</v>
      </c>
      <c r="C9794" s="91" t="s">
        <v>1068</v>
      </c>
    </row>
    <row r="9795" spans="1:3" ht="15">
      <c r="A9795" s="84" t="s">
        <v>260</v>
      </c>
      <c r="B9795" s="83" t="s">
        <v>2991</v>
      </c>
      <c r="C9795" s="91" t="s">
        <v>1068</v>
      </c>
    </row>
    <row r="9796" spans="1:3" ht="15">
      <c r="A9796" s="84" t="s">
        <v>260</v>
      </c>
      <c r="B9796" s="83" t="s">
        <v>2992</v>
      </c>
      <c r="C9796" s="91" t="s">
        <v>1068</v>
      </c>
    </row>
    <row r="9797" spans="1:3" ht="15">
      <c r="A9797" s="84" t="s">
        <v>260</v>
      </c>
      <c r="B9797" s="83" t="s">
        <v>3621</v>
      </c>
      <c r="C9797" s="91" t="s">
        <v>1068</v>
      </c>
    </row>
    <row r="9798" spans="1:3" ht="15">
      <c r="A9798" s="84" t="s">
        <v>260</v>
      </c>
      <c r="B9798" s="83" t="s">
        <v>3210</v>
      </c>
      <c r="C9798" s="91" t="s">
        <v>1068</v>
      </c>
    </row>
    <row r="9799" spans="1:3" ht="15">
      <c r="A9799" s="84" t="s">
        <v>260</v>
      </c>
      <c r="B9799" s="83">
        <v>19</v>
      </c>
      <c r="C9799" s="91" t="s">
        <v>1068</v>
      </c>
    </row>
    <row r="9800" spans="1:3" ht="15">
      <c r="A9800" s="84" t="s">
        <v>260</v>
      </c>
      <c r="B9800" s="83" t="s">
        <v>2994</v>
      </c>
      <c r="C9800" s="91" t="s">
        <v>1068</v>
      </c>
    </row>
    <row r="9801" spans="1:3" ht="15">
      <c r="A9801" s="84" t="s">
        <v>260</v>
      </c>
      <c r="B9801" s="83" t="s">
        <v>2995</v>
      </c>
      <c r="C9801" s="91" t="s">
        <v>1068</v>
      </c>
    </row>
    <row r="9802" spans="1:3" ht="15">
      <c r="A9802" s="84" t="s">
        <v>260</v>
      </c>
      <c r="B9802" s="83" t="s">
        <v>2846</v>
      </c>
      <c r="C9802" s="91" t="s">
        <v>1068</v>
      </c>
    </row>
    <row r="9803" spans="1:3" ht="15">
      <c r="A9803" s="84" t="s">
        <v>260</v>
      </c>
      <c r="B9803" s="83" t="s">
        <v>2996</v>
      </c>
      <c r="C9803" s="91" t="s">
        <v>1068</v>
      </c>
    </row>
    <row r="9804" spans="1:3" ht="15">
      <c r="A9804" s="84" t="s">
        <v>260</v>
      </c>
      <c r="B9804" s="83" t="s">
        <v>2997</v>
      </c>
      <c r="C9804" s="91" t="s">
        <v>1068</v>
      </c>
    </row>
    <row r="9805" spans="1:3" ht="15">
      <c r="A9805" s="84" t="s">
        <v>260</v>
      </c>
      <c r="B9805" s="83" t="s">
        <v>2998</v>
      </c>
      <c r="C9805" s="91" t="s">
        <v>1068</v>
      </c>
    </row>
    <row r="9806" spans="1:3" ht="15">
      <c r="A9806" s="84" t="s">
        <v>260</v>
      </c>
      <c r="B9806" s="83" t="s">
        <v>2999</v>
      </c>
      <c r="C9806" s="91" t="s">
        <v>1068</v>
      </c>
    </row>
    <row r="9807" spans="1:3" ht="15">
      <c r="A9807" s="84" t="s">
        <v>260</v>
      </c>
      <c r="B9807" s="83" t="s">
        <v>3000</v>
      </c>
      <c r="C9807" s="91" t="s">
        <v>1068</v>
      </c>
    </row>
    <row r="9808" spans="1:3" ht="15">
      <c r="A9808" s="84" t="s">
        <v>260</v>
      </c>
      <c r="B9808" s="83" t="s">
        <v>2934</v>
      </c>
      <c r="C9808" s="91" t="s">
        <v>1068</v>
      </c>
    </row>
    <row r="9809" spans="1:3" ht="15">
      <c r="A9809" s="84" t="s">
        <v>260</v>
      </c>
      <c r="B9809" s="83" t="s">
        <v>3001</v>
      </c>
      <c r="C9809" s="91" t="s">
        <v>1068</v>
      </c>
    </row>
    <row r="9810" spans="1:3" ht="15">
      <c r="A9810" s="84" t="s">
        <v>260</v>
      </c>
      <c r="B9810" s="83" t="s">
        <v>3002</v>
      </c>
      <c r="C9810" s="91" t="s">
        <v>1068</v>
      </c>
    </row>
    <row r="9811" spans="1:3" ht="15">
      <c r="A9811" s="84" t="s">
        <v>260</v>
      </c>
      <c r="B9811" s="83" t="s">
        <v>3003</v>
      </c>
      <c r="C9811" s="91" t="s">
        <v>1068</v>
      </c>
    </row>
    <row r="9812" spans="1:3" ht="15">
      <c r="A9812" s="84" t="s">
        <v>260</v>
      </c>
      <c r="B9812" s="83" t="s">
        <v>3004</v>
      </c>
      <c r="C9812" s="91" t="s">
        <v>1068</v>
      </c>
    </row>
    <row r="9813" spans="1:3" ht="15">
      <c r="A9813" s="84" t="s">
        <v>260</v>
      </c>
      <c r="B9813" s="83" t="s">
        <v>3005</v>
      </c>
      <c r="C9813" s="91" t="s">
        <v>1068</v>
      </c>
    </row>
    <row r="9814" spans="1:3" ht="15">
      <c r="A9814" s="84" t="s">
        <v>260</v>
      </c>
      <c r="B9814" s="83" t="s">
        <v>3622</v>
      </c>
      <c r="C9814" s="91" t="s">
        <v>1068</v>
      </c>
    </row>
    <row r="9815" spans="1:3" ht="15">
      <c r="A9815" s="84" t="s">
        <v>260</v>
      </c>
      <c r="B9815" s="83" t="s">
        <v>3006</v>
      </c>
      <c r="C9815" s="91" t="s">
        <v>1068</v>
      </c>
    </row>
    <row r="9816" spans="1:3" ht="15">
      <c r="A9816" s="84" t="s">
        <v>260</v>
      </c>
      <c r="B9816" s="83" t="s">
        <v>3007</v>
      </c>
      <c r="C9816" s="91" t="s">
        <v>1068</v>
      </c>
    </row>
    <row r="9817" spans="1:3" ht="15">
      <c r="A9817" s="84" t="s">
        <v>260</v>
      </c>
      <c r="B9817" s="83" t="s">
        <v>3008</v>
      </c>
      <c r="C9817" s="91" t="s">
        <v>1068</v>
      </c>
    </row>
    <row r="9818" spans="1:3" ht="15">
      <c r="A9818" s="84" t="s">
        <v>260</v>
      </c>
      <c r="B9818" s="83" t="s">
        <v>3199</v>
      </c>
      <c r="C9818" s="91" t="s">
        <v>1068</v>
      </c>
    </row>
    <row r="9819" spans="1:3" ht="15">
      <c r="A9819" s="84" t="s">
        <v>260</v>
      </c>
      <c r="B9819" s="83" t="s">
        <v>3234</v>
      </c>
      <c r="C9819" s="91" t="s">
        <v>1068</v>
      </c>
    </row>
    <row r="9820" spans="1:3" ht="15">
      <c r="A9820" s="84" t="s">
        <v>260</v>
      </c>
      <c r="B9820" s="83" t="s">
        <v>3623</v>
      </c>
      <c r="C9820" s="91" t="s">
        <v>1068</v>
      </c>
    </row>
    <row r="9821" spans="1:3" ht="15">
      <c r="A9821" s="84" t="s">
        <v>260</v>
      </c>
      <c r="B9821" s="83" t="s">
        <v>3119</v>
      </c>
      <c r="C9821" s="91" t="s">
        <v>1068</v>
      </c>
    </row>
    <row r="9822" spans="1:3" ht="15">
      <c r="A9822" s="84" t="s">
        <v>260</v>
      </c>
      <c r="B9822" s="83" t="s">
        <v>3624</v>
      </c>
      <c r="C9822" s="91" t="s">
        <v>1068</v>
      </c>
    </row>
    <row r="9823" spans="1:3" ht="15">
      <c r="A9823" s="84" t="s">
        <v>260</v>
      </c>
      <c r="B9823" s="83" t="s">
        <v>3625</v>
      </c>
      <c r="C9823" s="91" t="s">
        <v>1068</v>
      </c>
    </row>
    <row r="9824" spans="1:3" ht="15">
      <c r="A9824" s="84" t="s">
        <v>260</v>
      </c>
      <c r="B9824" s="83" t="s">
        <v>3626</v>
      </c>
      <c r="C9824" s="91" t="s">
        <v>1068</v>
      </c>
    </row>
    <row r="9825" spans="1:3" ht="15">
      <c r="A9825" s="84" t="s">
        <v>260</v>
      </c>
      <c r="B9825" s="83" t="s">
        <v>3255</v>
      </c>
      <c r="C9825" s="91" t="s">
        <v>1068</v>
      </c>
    </row>
    <row r="9826" spans="1:3" ht="15">
      <c r="A9826" s="84" t="s">
        <v>259</v>
      </c>
      <c r="B9826" s="83" t="s">
        <v>3431</v>
      </c>
      <c r="C9826" s="91" t="s">
        <v>1067</v>
      </c>
    </row>
    <row r="9827" spans="1:3" ht="15">
      <c r="A9827" s="84" t="s">
        <v>259</v>
      </c>
      <c r="B9827" s="83" t="s">
        <v>3210</v>
      </c>
      <c r="C9827" s="91" t="s">
        <v>1067</v>
      </c>
    </row>
    <row r="9828" spans="1:3" ht="15">
      <c r="A9828" s="84" t="s">
        <v>259</v>
      </c>
      <c r="B9828" s="83">
        <v>19</v>
      </c>
      <c r="C9828" s="91" t="s">
        <v>1067</v>
      </c>
    </row>
    <row r="9829" spans="1:3" ht="15">
      <c r="A9829" s="84" t="s">
        <v>259</v>
      </c>
      <c r="B9829" s="83" t="s">
        <v>2591</v>
      </c>
      <c r="C9829" s="91" t="s">
        <v>1067</v>
      </c>
    </row>
    <row r="9830" spans="1:3" ht="15">
      <c r="A9830" s="84" t="s">
        <v>259</v>
      </c>
      <c r="B9830" s="83" t="s">
        <v>2718</v>
      </c>
      <c r="C9830" s="91" t="s">
        <v>1067</v>
      </c>
    </row>
    <row r="9831" spans="1:3" ht="15">
      <c r="A9831" s="84" t="s">
        <v>259</v>
      </c>
      <c r="B9831" s="83" t="s">
        <v>3432</v>
      </c>
      <c r="C9831" s="91" t="s">
        <v>1067</v>
      </c>
    </row>
    <row r="9832" spans="1:3" ht="15">
      <c r="A9832" s="84" t="s">
        <v>259</v>
      </c>
      <c r="B9832" s="83" t="s">
        <v>2647</v>
      </c>
      <c r="C9832" s="91" t="s">
        <v>1067</v>
      </c>
    </row>
    <row r="9833" spans="1:3" ht="15">
      <c r="A9833" s="84" t="s">
        <v>259</v>
      </c>
      <c r="B9833" s="83" t="s">
        <v>2910</v>
      </c>
      <c r="C9833" s="91" t="s">
        <v>1067</v>
      </c>
    </row>
    <row r="9834" spans="1:3" ht="15">
      <c r="A9834" s="84" t="s">
        <v>259</v>
      </c>
      <c r="B9834" s="83" t="s">
        <v>2911</v>
      </c>
      <c r="C9834" s="91" t="s">
        <v>1067</v>
      </c>
    </row>
    <row r="9835" spans="1:3" ht="15">
      <c r="A9835" s="84" t="s">
        <v>259</v>
      </c>
      <c r="B9835" s="83" t="s">
        <v>2590</v>
      </c>
      <c r="C9835" s="91" t="s">
        <v>1067</v>
      </c>
    </row>
    <row r="9836" spans="1:3" ht="15">
      <c r="A9836" s="84" t="s">
        <v>259</v>
      </c>
      <c r="B9836" s="83" t="s">
        <v>2607</v>
      </c>
      <c r="C9836" s="91" t="s">
        <v>1067</v>
      </c>
    </row>
    <row r="9837" spans="1:3" ht="15">
      <c r="A9837" s="84" t="s">
        <v>259</v>
      </c>
      <c r="B9837" s="83" t="s">
        <v>2912</v>
      </c>
      <c r="C9837" s="91" t="s">
        <v>1067</v>
      </c>
    </row>
    <row r="9838" spans="1:3" ht="15">
      <c r="A9838" s="84" t="s">
        <v>259</v>
      </c>
      <c r="B9838" s="83" t="s">
        <v>3227</v>
      </c>
      <c r="C9838" s="91" t="s">
        <v>1067</v>
      </c>
    </row>
    <row r="9839" spans="1:3" ht="15">
      <c r="A9839" s="84" t="s">
        <v>259</v>
      </c>
      <c r="B9839" s="83" t="s">
        <v>3225</v>
      </c>
      <c r="C9839" s="91" t="s">
        <v>1067</v>
      </c>
    </row>
    <row r="9840" spans="1:3" ht="15">
      <c r="A9840" s="84" t="s">
        <v>259</v>
      </c>
      <c r="B9840" s="83" t="s">
        <v>3327</v>
      </c>
      <c r="C9840" s="91" t="s">
        <v>1067</v>
      </c>
    </row>
    <row r="9841" spans="1:3" ht="15">
      <c r="A9841" s="84" t="s">
        <v>259</v>
      </c>
      <c r="B9841" s="83" t="s">
        <v>3199</v>
      </c>
      <c r="C9841" s="91" t="s">
        <v>1067</v>
      </c>
    </row>
    <row r="9842" spans="1:3" ht="15">
      <c r="A9842" s="84" t="s">
        <v>259</v>
      </c>
      <c r="B9842" s="83" t="s">
        <v>3313</v>
      </c>
      <c r="C9842" s="91" t="s">
        <v>1067</v>
      </c>
    </row>
    <row r="9843" spans="1:3" ht="15">
      <c r="A9843" s="84" t="s">
        <v>259</v>
      </c>
      <c r="B9843" s="83" t="s">
        <v>3424</v>
      </c>
      <c r="C9843" s="91" t="s">
        <v>1067</v>
      </c>
    </row>
    <row r="9844" spans="1:3" ht="15">
      <c r="A9844" s="84" t="s">
        <v>259</v>
      </c>
      <c r="B9844" s="83" t="s">
        <v>586</v>
      </c>
      <c r="C9844" s="91" t="s">
        <v>1067</v>
      </c>
    </row>
    <row r="9845" spans="1:3" ht="15">
      <c r="A9845" s="84" t="s">
        <v>258</v>
      </c>
      <c r="B9845" s="83" t="s">
        <v>3226</v>
      </c>
      <c r="C9845" s="91" t="s">
        <v>1066</v>
      </c>
    </row>
    <row r="9846" spans="1:3" ht="15">
      <c r="A9846" s="84" t="s">
        <v>258</v>
      </c>
      <c r="B9846" s="83" t="s">
        <v>3227</v>
      </c>
      <c r="C9846" s="91" t="s">
        <v>1066</v>
      </c>
    </row>
    <row r="9847" spans="1:3" ht="15">
      <c r="A9847" s="84" t="s">
        <v>258</v>
      </c>
      <c r="B9847" s="83" t="s">
        <v>2607</v>
      </c>
      <c r="C9847" s="91" t="s">
        <v>1066</v>
      </c>
    </row>
    <row r="9848" spans="1:3" ht="15">
      <c r="A9848" s="84" t="s">
        <v>258</v>
      </c>
      <c r="B9848" s="83" t="s">
        <v>2698</v>
      </c>
      <c r="C9848" s="91" t="s">
        <v>1066</v>
      </c>
    </row>
    <row r="9849" spans="1:3" ht="15">
      <c r="A9849" s="84" t="s">
        <v>258</v>
      </c>
      <c r="B9849" s="83" t="s">
        <v>2699</v>
      </c>
      <c r="C9849" s="91" t="s">
        <v>1066</v>
      </c>
    </row>
    <row r="9850" spans="1:3" ht="15">
      <c r="A9850" s="84" t="s">
        <v>258</v>
      </c>
      <c r="B9850" s="83" t="s">
        <v>3228</v>
      </c>
      <c r="C9850" s="91" t="s">
        <v>1066</v>
      </c>
    </row>
    <row r="9851" spans="1:3" ht="15">
      <c r="A9851" s="84" t="s">
        <v>258</v>
      </c>
      <c r="B9851" s="83" t="s">
        <v>2581</v>
      </c>
      <c r="C9851" s="91" t="s">
        <v>1066</v>
      </c>
    </row>
    <row r="9852" spans="1:3" ht="15">
      <c r="A9852" s="84" t="s">
        <v>258</v>
      </c>
      <c r="B9852" s="83" t="s">
        <v>2586</v>
      </c>
      <c r="C9852" s="91" t="s">
        <v>1066</v>
      </c>
    </row>
    <row r="9853" spans="1:3" ht="15">
      <c r="A9853" s="84" t="s">
        <v>258</v>
      </c>
      <c r="B9853" s="83" t="s">
        <v>2595</v>
      </c>
      <c r="C9853" s="91" t="s">
        <v>1066</v>
      </c>
    </row>
    <row r="9854" spans="1:3" ht="15">
      <c r="A9854" s="84" t="s">
        <v>258</v>
      </c>
      <c r="B9854" s="83" t="s">
        <v>2568</v>
      </c>
      <c r="C9854" s="91" t="s">
        <v>1066</v>
      </c>
    </row>
    <row r="9855" spans="1:3" ht="15">
      <c r="A9855" s="84" t="s">
        <v>258</v>
      </c>
      <c r="B9855" s="83" t="s">
        <v>2592</v>
      </c>
      <c r="C9855" s="91" t="s">
        <v>1066</v>
      </c>
    </row>
    <row r="9856" spans="1:3" ht="15">
      <c r="A9856" s="84" t="s">
        <v>258</v>
      </c>
      <c r="B9856" s="83" t="s">
        <v>3213</v>
      </c>
      <c r="C9856" s="91" t="s">
        <v>1066</v>
      </c>
    </row>
    <row r="9857" spans="1:3" ht="15">
      <c r="A9857" s="84" t="s">
        <v>258</v>
      </c>
      <c r="B9857" s="83" t="s">
        <v>2576</v>
      </c>
      <c r="C9857" s="91" t="s">
        <v>1066</v>
      </c>
    </row>
    <row r="9858" spans="1:3" ht="15">
      <c r="A9858" s="84" t="s">
        <v>258</v>
      </c>
      <c r="B9858" s="83" t="s">
        <v>3229</v>
      </c>
      <c r="C9858" s="91" t="s">
        <v>1066</v>
      </c>
    </row>
    <row r="9859" spans="1:3" ht="15">
      <c r="A9859" s="84" t="s">
        <v>258</v>
      </c>
      <c r="B9859" s="83" t="s">
        <v>3230</v>
      </c>
      <c r="C9859" s="91" t="s">
        <v>1066</v>
      </c>
    </row>
    <row r="9860" spans="1:3" ht="15">
      <c r="A9860" s="84" t="s">
        <v>258</v>
      </c>
      <c r="B9860" s="83" t="s">
        <v>2598</v>
      </c>
      <c r="C9860" s="91" t="s">
        <v>1066</v>
      </c>
    </row>
    <row r="9861" spans="1:3" ht="15">
      <c r="A9861" s="84" t="s">
        <v>258</v>
      </c>
      <c r="B9861" s="83" t="s">
        <v>3231</v>
      </c>
      <c r="C9861" s="91" t="s">
        <v>1066</v>
      </c>
    </row>
    <row r="9862" spans="1:3" ht="15">
      <c r="A9862" s="84" t="s">
        <v>258</v>
      </c>
      <c r="B9862" s="83" t="s">
        <v>3232</v>
      </c>
      <c r="C9862" s="91" t="s">
        <v>1066</v>
      </c>
    </row>
    <row r="9863" spans="1:3" ht="15">
      <c r="A9863" s="84" t="s">
        <v>258</v>
      </c>
      <c r="B9863" s="83" t="s">
        <v>3233</v>
      </c>
      <c r="C9863" s="91" t="s">
        <v>1066</v>
      </c>
    </row>
    <row r="9864" spans="1:3" ht="15">
      <c r="A9864" s="84" t="s">
        <v>258</v>
      </c>
      <c r="B9864" s="83" t="s">
        <v>3211</v>
      </c>
      <c r="C9864" s="91" t="s">
        <v>1066</v>
      </c>
    </row>
    <row r="9865" spans="1:3" ht="15">
      <c r="A9865" s="84" t="s">
        <v>258</v>
      </c>
      <c r="B9865" s="83" t="s">
        <v>3199</v>
      </c>
      <c r="C9865" s="91" t="s">
        <v>1066</v>
      </c>
    </row>
    <row r="9866" spans="1:3" ht="15">
      <c r="A9866" s="84" t="s">
        <v>258</v>
      </c>
      <c r="B9866" s="83" t="s">
        <v>3218</v>
      </c>
      <c r="C9866" s="91" t="s">
        <v>1066</v>
      </c>
    </row>
    <row r="9867" spans="1:3" ht="15">
      <c r="A9867" s="84" t="s">
        <v>258</v>
      </c>
      <c r="B9867" s="83" t="s">
        <v>3234</v>
      </c>
      <c r="C9867" s="91" t="s">
        <v>1066</v>
      </c>
    </row>
    <row r="9868" spans="1:3" ht="15">
      <c r="A9868" s="84" t="s">
        <v>258</v>
      </c>
      <c r="B9868" s="83" t="s">
        <v>3235</v>
      </c>
      <c r="C9868" s="91" t="s">
        <v>1066</v>
      </c>
    </row>
    <row r="9869" spans="1:3" ht="15">
      <c r="A9869" s="84" t="s">
        <v>258</v>
      </c>
      <c r="B9869" s="83" t="s">
        <v>3236</v>
      </c>
      <c r="C9869" s="91" t="s">
        <v>1066</v>
      </c>
    </row>
    <row r="9870" spans="1:3" ht="15">
      <c r="A9870" s="84" t="s">
        <v>258</v>
      </c>
      <c r="B9870" s="83" t="s">
        <v>3237</v>
      </c>
      <c r="C9870" s="91" t="s">
        <v>1066</v>
      </c>
    </row>
    <row r="9871" spans="1:3" ht="15">
      <c r="A9871" s="84" t="s">
        <v>258</v>
      </c>
      <c r="B9871" s="83" t="s">
        <v>3238</v>
      </c>
      <c r="C9871" s="91" t="s">
        <v>1066</v>
      </c>
    </row>
    <row r="9872" spans="1:3" ht="15">
      <c r="A9872" s="84" t="s">
        <v>258</v>
      </c>
      <c r="B9872" s="83" t="s">
        <v>3239</v>
      </c>
      <c r="C9872" s="91" t="s">
        <v>1066</v>
      </c>
    </row>
    <row r="9873" spans="1:3" ht="15">
      <c r="A9873" s="84" t="s">
        <v>258</v>
      </c>
      <c r="B9873" s="83" t="s">
        <v>3240</v>
      </c>
      <c r="C9873" s="91" t="s">
        <v>1066</v>
      </c>
    </row>
    <row r="9874" spans="1:3" ht="15">
      <c r="A9874" s="84" t="s">
        <v>258</v>
      </c>
      <c r="B9874" s="83" t="s">
        <v>3241</v>
      </c>
      <c r="C9874" s="91" t="s">
        <v>1066</v>
      </c>
    </row>
    <row r="9875" spans="1:3" ht="15">
      <c r="A9875" s="84" t="s">
        <v>258</v>
      </c>
      <c r="B9875" s="83" t="s">
        <v>3242</v>
      </c>
      <c r="C9875" s="91" t="s">
        <v>1066</v>
      </c>
    </row>
    <row r="9876" spans="1:3" ht="15">
      <c r="A9876" s="84" t="s">
        <v>258</v>
      </c>
      <c r="B9876" s="83" t="s">
        <v>2767</v>
      </c>
      <c r="C9876" s="91" t="s">
        <v>1066</v>
      </c>
    </row>
    <row r="9877" spans="1:3" ht="15">
      <c r="A9877" s="84" t="s">
        <v>258</v>
      </c>
      <c r="B9877" s="83" t="s">
        <v>3243</v>
      </c>
      <c r="C9877" s="91" t="s">
        <v>1066</v>
      </c>
    </row>
    <row r="9878" spans="1:3" ht="15">
      <c r="A9878" s="84" t="s">
        <v>258</v>
      </c>
      <c r="B9878" s="83" t="s">
        <v>3244</v>
      </c>
      <c r="C9878" s="91" t="s">
        <v>1066</v>
      </c>
    </row>
    <row r="9879" spans="1:3" ht="15">
      <c r="A9879" s="84" t="s">
        <v>423</v>
      </c>
      <c r="B9879" s="83" t="s">
        <v>3267</v>
      </c>
      <c r="C9879" s="91" t="s">
        <v>1429</v>
      </c>
    </row>
    <row r="9880" spans="1:3" ht="15">
      <c r="A9880" s="84" t="s">
        <v>423</v>
      </c>
      <c r="B9880" s="83" t="s">
        <v>2581</v>
      </c>
      <c r="C9880" s="91" t="s">
        <v>1429</v>
      </c>
    </row>
    <row r="9881" spans="1:3" ht="15">
      <c r="A9881" s="84" t="s">
        <v>423</v>
      </c>
      <c r="B9881" s="83" t="s">
        <v>2586</v>
      </c>
      <c r="C9881" s="91" t="s">
        <v>1429</v>
      </c>
    </row>
    <row r="9882" spans="1:3" ht="15">
      <c r="A9882" s="84" t="s">
        <v>423</v>
      </c>
      <c r="B9882" s="83" t="s">
        <v>2595</v>
      </c>
      <c r="C9882" s="91" t="s">
        <v>1429</v>
      </c>
    </row>
    <row r="9883" spans="1:3" ht="15">
      <c r="A9883" s="84" t="s">
        <v>423</v>
      </c>
      <c r="B9883" s="83" t="s">
        <v>2568</v>
      </c>
      <c r="C9883" s="91" t="s">
        <v>1429</v>
      </c>
    </row>
    <row r="9884" spans="1:3" ht="15">
      <c r="A9884" s="84" t="s">
        <v>423</v>
      </c>
      <c r="B9884" s="83" t="s">
        <v>2592</v>
      </c>
      <c r="C9884" s="91" t="s">
        <v>1429</v>
      </c>
    </row>
    <row r="9885" spans="1:3" ht="15">
      <c r="A9885" s="84" t="s">
        <v>423</v>
      </c>
      <c r="B9885" s="83" t="s">
        <v>3213</v>
      </c>
      <c r="C9885" s="91" t="s">
        <v>1429</v>
      </c>
    </row>
    <row r="9886" spans="1:3" ht="15">
      <c r="A9886" s="84" t="s">
        <v>423</v>
      </c>
      <c r="B9886" s="83" t="s">
        <v>2576</v>
      </c>
      <c r="C9886" s="91" t="s">
        <v>1429</v>
      </c>
    </row>
    <row r="9887" spans="1:3" ht="15">
      <c r="A9887" s="84" t="s">
        <v>423</v>
      </c>
      <c r="B9887" s="83" t="s">
        <v>3229</v>
      </c>
      <c r="C9887" s="91" t="s">
        <v>1429</v>
      </c>
    </row>
    <row r="9888" spans="1:3" ht="15">
      <c r="A9888" s="84" t="s">
        <v>423</v>
      </c>
      <c r="B9888" s="83" t="s">
        <v>3230</v>
      </c>
      <c r="C9888" s="91" t="s">
        <v>1429</v>
      </c>
    </row>
    <row r="9889" spans="1:3" ht="15">
      <c r="A9889" s="84" t="s">
        <v>423</v>
      </c>
      <c r="B9889" s="83" t="s">
        <v>2598</v>
      </c>
      <c r="C9889" s="91" t="s">
        <v>1429</v>
      </c>
    </row>
    <row r="9890" spans="1:3" ht="15">
      <c r="A9890" s="84" t="s">
        <v>423</v>
      </c>
      <c r="B9890" s="83" t="s">
        <v>3231</v>
      </c>
      <c r="C9890" s="91" t="s">
        <v>1429</v>
      </c>
    </row>
    <row r="9891" spans="1:3" ht="15">
      <c r="A9891" s="84" t="s">
        <v>423</v>
      </c>
      <c r="B9891" s="83" t="s">
        <v>3232</v>
      </c>
      <c r="C9891" s="91" t="s">
        <v>1429</v>
      </c>
    </row>
    <row r="9892" spans="1:3" ht="15">
      <c r="A9892" s="84" t="s">
        <v>423</v>
      </c>
      <c r="B9892" s="83" t="s">
        <v>3233</v>
      </c>
      <c r="C9892" s="91" t="s">
        <v>1429</v>
      </c>
    </row>
    <row r="9893" spans="1:3" ht="15">
      <c r="A9893" s="84" t="s">
        <v>423</v>
      </c>
      <c r="B9893" s="83" t="s">
        <v>3211</v>
      </c>
      <c r="C9893" s="91" t="s">
        <v>1429</v>
      </c>
    </row>
    <row r="9894" spans="1:3" ht="15">
      <c r="A9894" s="84" t="s">
        <v>423</v>
      </c>
      <c r="B9894" s="83" t="s">
        <v>3199</v>
      </c>
      <c r="C9894" s="91" t="s">
        <v>1429</v>
      </c>
    </row>
    <row r="9895" spans="1:3" ht="15">
      <c r="A9895" s="84" t="s">
        <v>423</v>
      </c>
      <c r="B9895" s="83" t="s">
        <v>3218</v>
      </c>
      <c r="C9895" s="91" t="s">
        <v>1429</v>
      </c>
    </row>
    <row r="9896" spans="1:3" ht="15">
      <c r="A9896" s="84" t="s">
        <v>423</v>
      </c>
      <c r="B9896" s="83" t="s">
        <v>3234</v>
      </c>
      <c r="C9896" s="91" t="s">
        <v>1429</v>
      </c>
    </row>
    <row r="9897" spans="1:3" ht="15">
      <c r="A9897" s="84" t="s">
        <v>423</v>
      </c>
      <c r="B9897" s="83" t="s">
        <v>3235</v>
      </c>
      <c r="C9897" s="91" t="s">
        <v>1429</v>
      </c>
    </row>
    <row r="9898" spans="1:3" ht="15">
      <c r="A9898" s="84" t="s">
        <v>423</v>
      </c>
      <c r="B9898" s="83" t="s">
        <v>3236</v>
      </c>
      <c r="C9898" s="91" t="s">
        <v>1429</v>
      </c>
    </row>
    <row r="9899" spans="1:3" ht="15">
      <c r="A9899" s="84" t="s">
        <v>423</v>
      </c>
      <c r="B9899" s="83" t="s">
        <v>3237</v>
      </c>
      <c r="C9899" s="91" t="s">
        <v>1429</v>
      </c>
    </row>
    <row r="9900" spans="1:3" ht="15">
      <c r="A9900" s="84" t="s">
        <v>423</v>
      </c>
      <c r="B9900" s="83" t="s">
        <v>3238</v>
      </c>
      <c r="C9900" s="91" t="s">
        <v>1429</v>
      </c>
    </row>
    <row r="9901" spans="1:3" ht="15">
      <c r="A9901" s="84" t="s">
        <v>423</v>
      </c>
      <c r="B9901" s="83" t="s">
        <v>3239</v>
      </c>
      <c r="C9901" s="91" t="s">
        <v>1429</v>
      </c>
    </row>
    <row r="9902" spans="1:3" ht="15">
      <c r="A9902" s="84" t="s">
        <v>423</v>
      </c>
      <c r="B9902" s="83" t="s">
        <v>3240</v>
      </c>
      <c r="C9902" s="91" t="s">
        <v>1429</v>
      </c>
    </row>
    <row r="9903" spans="1:3" ht="15">
      <c r="A9903" s="84" t="s">
        <v>423</v>
      </c>
      <c r="B9903" s="83" t="s">
        <v>3241</v>
      </c>
      <c r="C9903" s="91" t="s">
        <v>1429</v>
      </c>
    </row>
    <row r="9904" spans="1:3" ht="15">
      <c r="A9904" s="84" t="s">
        <v>423</v>
      </c>
      <c r="B9904" s="83" t="s">
        <v>3242</v>
      </c>
      <c r="C9904" s="91" t="s">
        <v>1429</v>
      </c>
    </row>
    <row r="9905" spans="1:3" ht="15">
      <c r="A9905" s="84" t="s">
        <v>423</v>
      </c>
      <c r="B9905" s="83" t="s">
        <v>2767</v>
      </c>
      <c r="C9905" s="91" t="s">
        <v>1429</v>
      </c>
    </row>
    <row r="9906" spans="1:3" ht="15">
      <c r="A9906" s="84" t="s">
        <v>423</v>
      </c>
      <c r="B9906" s="83" t="s">
        <v>3243</v>
      </c>
      <c r="C9906" s="91" t="s">
        <v>1429</v>
      </c>
    </row>
    <row r="9907" spans="1:3" ht="15">
      <c r="A9907" s="84" t="s">
        <v>423</v>
      </c>
      <c r="B9907" s="83" t="s">
        <v>3244</v>
      </c>
      <c r="C9907" s="91" t="s">
        <v>1429</v>
      </c>
    </row>
    <row r="9908" spans="1:3" ht="15">
      <c r="A9908" s="84" t="s">
        <v>423</v>
      </c>
      <c r="B9908" s="83" t="s">
        <v>3223</v>
      </c>
      <c r="C9908" s="91" t="s">
        <v>1429</v>
      </c>
    </row>
    <row r="9909" spans="1:3" ht="15">
      <c r="A9909" s="84" t="s">
        <v>423</v>
      </c>
      <c r="B9909" s="83" t="s">
        <v>3267</v>
      </c>
      <c r="C9909" s="91" t="s">
        <v>1428</v>
      </c>
    </row>
    <row r="9910" spans="1:3" ht="15">
      <c r="A9910" s="84" t="s">
        <v>423</v>
      </c>
      <c r="B9910" s="83" t="s">
        <v>2581</v>
      </c>
      <c r="C9910" s="91" t="s">
        <v>1428</v>
      </c>
    </row>
    <row r="9911" spans="1:3" ht="15">
      <c r="A9911" s="84" t="s">
        <v>423</v>
      </c>
      <c r="B9911" s="83" t="s">
        <v>2586</v>
      </c>
      <c r="C9911" s="91" t="s">
        <v>1428</v>
      </c>
    </row>
    <row r="9912" spans="1:3" ht="15">
      <c r="A9912" s="84" t="s">
        <v>423</v>
      </c>
      <c r="B9912" s="83" t="s">
        <v>2595</v>
      </c>
      <c r="C9912" s="91" t="s">
        <v>1428</v>
      </c>
    </row>
    <row r="9913" spans="1:3" ht="15">
      <c r="A9913" s="84" t="s">
        <v>423</v>
      </c>
      <c r="B9913" s="83" t="s">
        <v>2568</v>
      </c>
      <c r="C9913" s="91" t="s">
        <v>1428</v>
      </c>
    </row>
    <row r="9914" spans="1:3" ht="15">
      <c r="A9914" s="84" t="s">
        <v>423</v>
      </c>
      <c r="B9914" s="83" t="s">
        <v>2592</v>
      </c>
      <c r="C9914" s="91" t="s">
        <v>1428</v>
      </c>
    </row>
    <row r="9915" spans="1:3" ht="15">
      <c r="A9915" s="84" t="s">
        <v>423</v>
      </c>
      <c r="B9915" s="83" t="s">
        <v>3213</v>
      </c>
      <c r="C9915" s="91" t="s">
        <v>1428</v>
      </c>
    </row>
    <row r="9916" spans="1:3" ht="15">
      <c r="A9916" s="84" t="s">
        <v>423</v>
      </c>
      <c r="B9916" s="83" t="s">
        <v>2576</v>
      </c>
      <c r="C9916" s="91" t="s">
        <v>1428</v>
      </c>
    </row>
    <row r="9917" spans="1:3" ht="15">
      <c r="A9917" s="84" t="s">
        <v>423</v>
      </c>
      <c r="B9917" s="83" t="s">
        <v>3229</v>
      </c>
      <c r="C9917" s="91" t="s">
        <v>1428</v>
      </c>
    </row>
    <row r="9918" spans="1:3" ht="15">
      <c r="A9918" s="84" t="s">
        <v>423</v>
      </c>
      <c r="B9918" s="83" t="s">
        <v>3230</v>
      </c>
      <c r="C9918" s="91" t="s">
        <v>1428</v>
      </c>
    </row>
    <row r="9919" spans="1:3" ht="15">
      <c r="A9919" s="84" t="s">
        <v>423</v>
      </c>
      <c r="B9919" s="83" t="s">
        <v>2598</v>
      </c>
      <c r="C9919" s="91" t="s">
        <v>1428</v>
      </c>
    </row>
    <row r="9920" spans="1:3" ht="15">
      <c r="A9920" s="84" t="s">
        <v>423</v>
      </c>
      <c r="B9920" s="83" t="s">
        <v>3231</v>
      </c>
      <c r="C9920" s="91" t="s">
        <v>1428</v>
      </c>
    </row>
    <row r="9921" spans="1:3" ht="15">
      <c r="A9921" s="84" t="s">
        <v>423</v>
      </c>
      <c r="B9921" s="83" t="s">
        <v>3232</v>
      </c>
      <c r="C9921" s="91" t="s">
        <v>1428</v>
      </c>
    </row>
    <row r="9922" spans="1:3" ht="15">
      <c r="A9922" s="84" t="s">
        <v>423</v>
      </c>
      <c r="B9922" s="83" t="s">
        <v>3233</v>
      </c>
      <c r="C9922" s="91" t="s">
        <v>1428</v>
      </c>
    </row>
    <row r="9923" spans="1:3" ht="15">
      <c r="A9923" s="84" t="s">
        <v>423</v>
      </c>
      <c r="B9923" s="83" t="s">
        <v>3211</v>
      </c>
      <c r="C9923" s="91" t="s">
        <v>1428</v>
      </c>
    </row>
    <row r="9924" spans="1:3" ht="15">
      <c r="A9924" s="84" t="s">
        <v>423</v>
      </c>
      <c r="B9924" s="83" t="s">
        <v>3199</v>
      </c>
      <c r="C9924" s="91" t="s">
        <v>1428</v>
      </c>
    </row>
    <row r="9925" spans="1:3" ht="15">
      <c r="A9925" s="84" t="s">
        <v>423</v>
      </c>
      <c r="B9925" s="83" t="s">
        <v>3218</v>
      </c>
      <c r="C9925" s="91" t="s">
        <v>1428</v>
      </c>
    </row>
    <row r="9926" spans="1:3" ht="15">
      <c r="A9926" s="84" t="s">
        <v>423</v>
      </c>
      <c r="B9926" s="83" t="s">
        <v>3234</v>
      </c>
      <c r="C9926" s="91" t="s">
        <v>1428</v>
      </c>
    </row>
    <row r="9927" spans="1:3" ht="15">
      <c r="A9927" s="84" t="s">
        <v>423</v>
      </c>
      <c r="B9927" s="83" t="s">
        <v>3235</v>
      </c>
      <c r="C9927" s="91" t="s">
        <v>1428</v>
      </c>
    </row>
    <row r="9928" spans="1:3" ht="15">
      <c r="A9928" s="84" t="s">
        <v>423</v>
      </c>
      <c r="B9928" s="83" t="s">
        <v>3236</v>
      </c>
      <c r="C9928" s="91" t="s">
        <v>1428</v>
      </c>
    </row>
    <row r="9929" spans="1:3" ht="15">
      <c r="A9929" s="84" t="s">
        <v>423</v>
      </c>
      <c r="B9929" s="83" t="s">
        <v>3237</v>
      </c>
      <c r="C9929" s="91" t="s">
        <v>1428</v>
      </c>
    </row>
    <row r="9930" spans="1:3" ht="15">
      <c r="A9930" s="84" t="s">
        <v>423</v>
      </c>
      <c r="B9930" s="83" t="s">
        <v>3238</v>
      </c>
      <c r="C9930" s="91" t="s">
        <v>1428</v>
      </c>
    </row>
    <row r="9931" spans="1:3" ht="15">
      <c r="A9931" s="84" t="s">
        <v>423</v>
      </c>
      <c r="B9931" s="83" t="s">
        <v>3239</v>
      </c>
      <c r="C9931" s="91" t="s">
        <v>1428</v>
      </c>
    </row>
    <row r="9932" spans="1:3" ht="15">
      <c r="A9932" s="84" t="s">
        <v>423</v>
      </c>
      <c r="B9932" s="83" t="s">
        <v>3240</v>
      </c>
      <c r="C9932" s="91" t="s">
        <v>1428</v>
      </c>
    </row>
    <row r="9933" spans="1:3" ht="15">
      <c r="A9933" s="84" t="s">
        <v>423</v>
      </c>
      <c r="B9933" s="83" t="s">
        <v>3241</v>
      </c>
      <c r="C9933" s="91" t="s">
        <v>1428</v>
      </c>
    </row>
    <row r="9934" spans="1:3" ht="15">
      <c r="A9934" s="84" t="s">
        <v>423</v>
      </c>
      <c r="B9934" s="83" t="s">
        <v>3242</v>
      </c>
      <c r="C9934" s="91" t="s">
        <v>1428</v>
      </c>
    </row>
    <row r="9935" spans="1:3" ht="15">
      <c r="A9935" s="84" t="s">
        <v>423</v>
      </c>
      <c r="B9935" s="83" t="s">
        <v>2767</v>
      </c>
      <c r="C9935" s="91" t="s">
        <v>1428</v>
      </c>
    </row>
    <row r="9936" spans="1:3" ht="15">
      <c r="A9936" s="84" t="s">
        <v>423</v>
      </c>
      <c r="B9936" s="83" t="s">
        <v>3243</v>
      </c>
      <c r="C9936" s="91" t="s">
        <v>1428</v>
      </c>
    </row>
    <row r="9937" spans="1:3" ht="15">
      <c r="A9937" s="84" t="s">
        <v>423</v>
      </c>
      <c r="B9937" s="83" t="s">
        <v>3244</v>
      </c>
      <c r="C9937" s="91" t="s">
        <v>1428</v>
      </c>
    </row>
    <row r="9938" spans="1:3" ht="15">
      <c r="A9938" s="84" t="s">
        <v>423</v>
      </c>
      <c r="B9938" s="83" t="s">
        <v>3223</v>
      </c>
      <c r="C9938" s="91" t="s">
        <v>1428</v>
      </c>
    </row>
    <row r="9939" spans="1:3" ht="15">
      <c r="A9939" s="84" t="s">
        <v>423</v>
      </c>
      <c r="B9939" s="83" t="s">
        <v>3226</v>
      </c>
      <c r="C9939" s="91" t="s">
        <v>1427</v>
      </c>
    </row>
    <row r="9940" spans="1:3" ht="15">
      <c r="A9940" s="84" t="s">
        <v>423</v>
      </c>
      <c r="B9940" s="83" t="s">
        <v>3227</v>
      </c>
      <c r="C9940" s="91" t="s">
        <v>1427</v>
      </c>
    </row>
    <row r="9941" spans="1:3" ht="15">
      <c r="A9941" s="84" t="s">
        <v>423</v>
      </c>
      <c r="B9941" s="83" t="s">
        <v>2607</v>
      </c>
      <c r="C9941" s="91" t="s">
        <v>1427</v>
      </c>
    </row>
    <row r="9942" spans="1:3" ht="15">
      <c r="A9942" s="84" t="s">
        <v>423</v>
      </c>
      <c r="B9942" s="83" t="s">
        <v>2698</v>
      </c>
      <c r="C9942" s="91" t="s">
        <v>1427</v>
      </c>
    </row>
    <row r="9943" spans="1:3" ht="15">
      <c r="A9943" s="84" t="s">
        <v>423</v>
      </c>
      <c r="B9943" s="83" t="s">
        <v>2699</v>
      </c>
      <c r="C9943" s="91" t="s">
        <v>1427</v>
      </c>
    </row>
    <row r="9944" spans="1:3" ht="15">
      <c r="A9944" s="84" t="s">
        <v>423</v>
      </c>
      <c r="B9944" s="83" t="s">
        <v>3228</v>
      </c>
      <c r="C9944" s="91" t="s">
        <v>1427</v>
      </c>
    </row>
    <row r="9945" spans="1:3" ht="15">
      <c r="A9945" s="84" t="s">
        <v>423</v>
      </c>
      <c r="B9945" s="83" t="s">
        <v>2581</v>
      </c>
      <c r="C9945" s="91" t="s">
        <v>1427</v>
      </c>
    </row>
    <row r="9946" spans="1:3" ht="15">
      <c r="A9946" s="84" t="s">
        <v>423</v>
      </c>
      <c r="B9946" s="83" t="s">
        <v>2586</v>
      </c>
      <c r="C9946" s="91" t="s">
        <v>1427</v>
      </c>
    </row>
    <row r="9947" spans="1:3" ht="15">
      <c r="A9947" s="84" t="s">
        <v>423</v>
      </c>
      <c r="B9947" s="83" t="s">
        <v>2595</v>
      </c>
      <c r="C9947" s="91" t="s">
        <v>1427</v>
      </c>
    </row>
    <row r="9948" spans="1:3" ht="15">
      <c r="A9948" s="84" t="s">
        <v>423</v>
      </c>
      <c r="B9948" s="83" t="s">
        <v>2568</v>
      </c>
      <c r="C9948" s="91" t="s">
        <v>1427</v>
      </c>
    </row>
    <row r="9949" spans="1:3" ht="15">
      <c r="A9949" s="84" t="s">
        <v>423</v>
      </c>
      <c r="B9949" s="83" t="s">
        <v>2592</v>
      </c>
      <c r="C9949" s="91" t="s">
        <v>1427</v>
      </c>
    </row>
    <row r="9950" spans="1:3" ht="15">
      <c r="A9950" s="84" t="s">
        <v>423</v>
      </c>
      <c r="B9950" s="83" t="s">
        <v>3213</v>
      </c>
      <c r="C9950" s="91" t="s">
        <v>1427</v>
      </c>
    </row>
    <row r="9951" spans="1:3" ht="15">
      <c r="A9951" s="84" t="s">
        <v>423</v>
      </c>
      <c r="B9951" s="83" t="s">
        <v>2576</v>
      </c>
      <c r="C9951" s="91" t="s">
        <v>1427</v>
      </c>
    </row>
    <row r="9952" spans="1:3" ht="15">
      <c r="A9952" s="84" t="s">
        <v>423</v>
      </c>
      <c r="B9952" s="83" t="s">
        <v>3229</v>
      </c>
      <c r="C9952" s="91" t="s">
        <v>1427</v>
      </c>
    </row>
    <row r="9953" spans="1:3" ht="15">
      <c r="A9953" s="84" t="s">
        <v>423</v>
      </c>
      <c r="B9953" s="83" t="s">
        <v>3230</v>
      </c>
      <c r="C9953" s="91" t="s">
        <v>1427</v>
      </c>
    </row>
    <row r="9954" spans="1:3" ht="15">
      <c r="A9954" s="84" t="s">
        <v>423</v>
      </c>
      <c r="B9954" s="83" t="s">
        <v>2598</v>
      </c>
      <c r="C9954" s="91" t="s">
        <v>1427</v>
      </c>
    </row>
    <row r="9955" spans="1:3" ht="15">
      <c r="A9955" s="84" t="s">
        <v>423</v>
      </c>
      <c r="B9955" s="83" t="s">
        <v>3231</v>
      </c>
      <c r="C9955" s="91" t="s">
        <v>1427</v>
      </c>
    </row>
    <row r="9956" spans="1:3" ht="15">
      <c r="A9956" s="84" t="s">
        <v>423</v>
      </c>
      <c r="B9956" s="83" t="s">
        <v>3232</v>
      </c>
      <c r="C9956" s="91" t="s">
        <v>1427</v>
      </c>
    </row>
    <row r="9957" spans="1:3" ht="15">
      <c r="A9957" s="84" t="s">
        <v>423</v>
      </c>
      <c r="B9957" s="83" t="s">
        <v>3233</v>
      </c>
      <c r="C9957" s="91" t="s">
        <v>1427</v>
      </c>
    </row>
    <row r="9958" spans="1:3" ht="15">
      <c r="A9958" s="84" t="s">
        <v>423</v>
      </c>
      <c r="B9958" s="83" t="s">
        <v>3211</v>
      </c>
      <c r="C9958" s="91" t="s">
        <v>1427</v>
      </c>
    </row>
    <row r="9959" spans="1:3" ht="15">
      <c r="A9959" s="84" t="s">
        <v>423</v>
      </c>
      <c r="B9959" s="83" t="s">
        <v>3199</v>
      </c>
      <c r="C9959" s="91" t="s">
        <v>1427</v>
      </c>
    </row>
    <row r="9960" spans="1:3" ht="15">
      <c r="A9960" s="84" t="s">
        <v>423</v>
      </c>
      <c r="B9960" s="83" t="s">
        <v>3218</v>
      </c>
      <c r="C9960" s="91" t="s">
        <v>1427</v>
      </c>
    </row>
    <row r="9961" spans="1:3" ht="15">
      <c r="A9961" s="84" t="s">
        <v>423</v>
      </c>
      <c r="B9961" s="83" t="s">
        <v>3234</v>
      </c>
      <c r="C9961" s="91" t="s">
        <v>1427</v>
      </c>
    </row>
    <row r="9962" spans="1:3" ht="15">
      <c r="A9962" s="84" t="s">
        <v>423</v>
      </c>
      <c r="B9962" s="83" t="s">
        <v>3235</v>
      </c>
      <c r="C9962" s="91" t="s">
        <v>1427</v>
      </c>
    </row>
    <row r="9963" spans="1:3" ht="15">
      <c r="A9963" s="84" t="s">
        <v>423</v>
      </c>
      <c r="B9963" s="83" t="s">
        <v>3236</v>
      </c>
      <c r="C9963" s="91" t="s">
        <v>1427</v>
      </c>
    </row>
    <row r="9964" spans="1:3" ht="15">
      <c r="A9964" s="84" t="s">
        <v>423</v>
      </c>
      <c r="B9964" s="83" t="s">
        <v>3237</v>
      </c>
      <c r="C9964" s="91" t="s">
        <v>1427</v>
      </c>
    </row>
    <row r="9965" spans="1:3" ht="15">
      <c r="A9965" s="84" t="s">
        <v>423</v>
      </c>
      <c r="B9965" s="83" t="s">
        <v>3238</v>
      </c>
      <c r="C9965" s="91" t="s">
        <v>1427</v>
      </c>
    </row>
    <row r="9966" spans="1:3" ht="15">
      <c r="A9966" s="84" t="s">
        <v>423</v>
      </c>
      <c r="B9966" s="83" t="s">
        <v>3239</v>
      </c>
      <c r="C9966" s="91" t="s">
        <v>1427</v>
      </c>
    </row>
    <row r="9967" spans="1:3" ht="15">
      <c r="A9967" s="84" t="s">
        <v>423</v>
      </c>
      <c r="B9967" s="83" t="s">
        <v>3240</v>
      </c>
      <c r="C9967" s="91" t="s">
        <v>1427</v>
      </c>
    </row>
    <row r="9968" spans="1:3" ht="15">
      <c r="A9968" s="84" t="s">
        <v>423</v>
      </c>
      <c r="B9968" s="83" t="s">
        <v>3241</v>
      </c>
      <c r="C9968" s="91" t="s">
        <v>1427</v>
      </c>
    </row>
    <row r="9969" spans="1:3" ht="15">
      <c r="A9969" s="84" t="s">
        <v>423</v>
      </c>
      <c r="B9969" s="83" t="s">
        <v>3242</v>
      </c>
      <c r="C9969" s="91" t="s">
        <v>1427</v>
      </c>
    </row>
    <row r="9970" spans="1:3" ht="15">
      <c r="A9970" s="84" t="s">
        <v>423</v>
      </c>
      <c r="B9970" s="83" t="s">
        <v>2767</v>
      </c>
      <c r="C9970" s="91" t="s">
        <v>1427</v>
      </c>
    </row>
    <row r="9971" spans="1:3" ht="15">
      <c r="A9971" s="84" t="s">
        <v>423</v>
      </c>
      <c r="B9971" s="83" t="s">
        <v>3243</v>
      </c>
      <c r="C9971" s="91" t="s">
        <v>1427</v>
      </c>
    </row>
    <row r="9972" spans="1:3" ht="15">
      <c r="A9972" s="84" t="s">
        <v>423</v>
      </c>
      <c r="B9972" s="83" t="s">
        <v>3395</v>
      </c>
      <c r="C9972" s="91" t="s">
        <v>1427</v>
      </c>
    </row>
    <row r="9973" spans="1:3" ht="15">
      <c r="A9973" s="84" t="s">
        <v>423</v>
      </c>
      <c r="B9973" s="83" t="s">
        <v>3228</v>
      </c>
      <c r="C9973" s="91" t="s">
        <v>1426</v>
      </c>
    </row>
    <row r="9974" spans="1:3" ht="15">
      <c r="A9974" s="84" t="s">
        <v>423</v>
      </c>
      <c r="B9974" s="83" t="s">
        <v>2581</v>
      </c>
      <c r="C9974" s="91" t="s">
        <v>1426</v>
      </c>
    </row>
    <row r="9975" spans="1:3" ht="15">
      <c r="A9975" s="84" t="s">
        <v>423</v>
      </c>
      <c r="B9975" s="83" t="s">
        <v>2586</v>
      </c>
      <c r="C9975" s="91" t="s">
        <v>1426</v>
      </c>
    </row>
    <row r="9976" spans="1:3" ht="15">
      <c r="A9976" s="84" t="s">
        <v>423</v>
      </c>
      <c r="B9976" s="83" t="s">
        <v>2595</v>
      </c>
      <c r="C9976" s="91" t="s">
        <v>1426</v>
      </c>
    </row>
    <row r="9977" spans="1:3" ht="15">
      <c r="A9977" s="84" t="s">
        <v>423</v>
      </c>
      <c r="B9977" s="83" t="s">
        <v>2568</v>
      </c>
      <c r="C9977" s="91" t="s">
        <v>1426</v>
      </c>
    </row>
    <row r="9978" spans="1:3" ht="15">
      <c r="A9978" s="84" t="s">
        <v>423</v>
      </c>
      <c r="B9978" s="83" t="s">
        <v>2592</v>
      </c>
      <c r="C9978" s="91" t="s">
        <v>1426</v>
      </c>
    </row>
    <row r="9979" spans="1:3" ht="15">
      <c r="A9979" s="84" t="s">
        <v>423</v>
      </c>
      <c r="B9979" s="83" t="s">
        <v>3213</v>
      </c>
      <c r="C9979" s="91" t="s">
        <v>1426</v>
      </c>
    </row>
    <row r="9980" spans="1:3" ht="15">
      <c r="A9980" s="84" t="s">
        <v>423</v>
      </c>
      <c r="B9980" s="83" t="s">
        <v>2576</v>
      </c>
      <c r="C9980" s="91" t="s">
        <v>1426</v>
      </c>
    </row>
    <row r="9981" spans="1:3" ht="15">
      <c r="A9981" s="84" t="s">
        <v>423</v>
      </c>
      <c r="B9981" s="83" t="s">
        <v>3229</v>
      </c>
      <c r="C9981" s="91" t="s">
        <v>1426</v>
      </c>
    </row>
    <row r="9982" spans="1:3" ht="15">
      <c r="A9982" s="84" t="s">
        <v>423</v>
      </c>
      <c r="B9982" s="83" t="s">
        <v>3230</v>
      </c>
      <c r="C9982" s="91" t="s">
        <v>1426</v>
      </c>
    </row>
    <row r="9983" spans="1:3" ht="15">
      <c r="A9983" s="84" t="s">
        <v>423</v>
      </c>
      <c r="B9983" s="83" t="s">
        <v>2598</v>
      </c>
      <c r="C9983" s="91" t="s">
        <v>1426</v>
      </c>
    </row>
    <row r="9984" spans="1:3" ht="15">
      <c r="A9984" s="84" t="s">
        <v>423</v>
      </c>
      <c r="B9984" s="83" t="s">
        <v>3231</v>
      </c>
      <c r="C9984" s="91" t="s">
        <v>1426</v>
      </c>
    </row>
    <row r="9985" spans="1:3" ht="15">
      <c r="A9985" s="84" t="s">
        <v>423</v>
      </c>
      <c r="B9985" s="83" t="s">
        <v>3232</v>
      </c>
      <c r="C9985" s="91" t="s">
        <v>1426</v>
      </c>
    </row>
    <row r="9986" spans="1:3" ht="15">
      <c r="A9986" s="84" t="s">
        <v>423</v>
      </c>
      <c r="B9986" s="83" t="s">
        <v>3233</v>
      </c>
      <c r="C9986" s="91" t="s">
        <v>1426</v>
      </c>
    </row>
    <row r="9987" spans="1:3" ht="15">
      <c r="A9987" s="84" t="s">
        <v>423</v>
      </c>
      <c r="B9987" s="83" t="s">
        <v>3211</v>
      </c>
      <c r="C9987" s="91" t="s">
        <v>1426</v>
      </c>
    </row>
    <row r="9988" spans="1:3" ht="15">
      <c r="A9988" s="84" t="s">
        <v>423</v>
      </c>
      <c r="B9988" s="83" t="s">
        <v>3199</v>
      </c>
      <c r="C9988" s="91" t="s">
        <v>1426</v>
      </c>
    </row>
    <row r="9989" spans="1:3" ht="15">
      <c r="A9989" s="84" t="s">
        <v>423</v>
      </c>
      <c r="B9989" s="83" t="s">
        <v>3218</v>
      </c>
      <c r="C9989" s="91" t="s">
        <v>1426</v>
      </c>
    </row>
    <row r="9990" spans="1:3" ht="15">
      <c r="A9990" s="84" t="s">
        <v>423</v>
      </c>
      <c r="B9990" s="83" t="s">
        <v>3234</v>
      </c>
      <c r="C9990" s="91" t="s">
        <v>1426</v>
      </c>
    </row>
    <row r="9991" spans="1:3" ht="15">
      <c r="A9991" s="84" t="s">
        <v>423</v>
      </c>
      <c r="B9991" s="83" t="s">
        <v>3235</v>
      </c>
      <c r="C9991" s="91" t="s">
        <v>1426</v>
      </c>
    </row>
    <row r="9992" spans="1:3" ht="15">
      <c r="A9992" s="84" t="s">
        <v>423</v>
      </c>
      <c r="B9992" s="83" t="s">
        <v>3236</v>
      </c>
      <c r="C9992" s="91" t="s">
        <v>1426</v>
      </c>
    </row>
    <row r="9993" spans="1:3" ht="15">
      <c r="A9993" s="84" t="s">
        <v>423</v>
      </c>
      <c r="B9993" s="83" t="s">
        <v>3237</v>
      </c>
      <c r="C9993" s="91" t="s">
        <v>1426</v>
      </c>
    </row>
    <row r="9994" spans="1:3" ht="15">
      <c r="A9994" s="84" t="s">
        <v>423</v>
      </c>
      <c r="B9994" s="83" t="s">
        <v>3238</v>
      </c>
      <c r="C9994" s="91" t="s">
        <v>1426</v>
      </c>
    </row>
    <row r="9995" spans="1:3" ht="15">
      <c r="A9995" s="84" t="s">
        <v>423</v>
      </c>
      <c r="B9995" s="83" t="s">
        <v>3239</v>
      </c>
      <c r="C9995" s="91" t="s">
        <v>1426</v>
      </c>
    </row>
    <row r="9996" spans="1:3" ht="15">
      <c r="A9996" s="84" t="s">
        <v>423</v>
      </c>
      <c r="B9996" s="83" t="s">
        <v>3240</v>
      </c>
      <c r="C9996" s="91" t="s">
        <v>1426</v>
      </c>
    </row>
    <row r="9997" spans="1:3" ht="15">
      <c r="A9997" s="84" t="s">
        <v>423</v>
      </c>
      <c r="B9997" s="83" t="s">
        <v>3241</v>
      </c>
      <c r="C9997" s="91" t="s">
        <v>1426</v>
      </c>
    </row>
    <row r="9998" spans="1:3" ht="15">
      <c r="A9998" s="84" t="s">
        <v>423</v>
      </c>
      <c r="B9998" s="83" t="s">
        <v>3242</v>
      </c>
      <c r="C9998" s="91" t="s">
        <v>1426</v>
      </c>
    </row>
    <row r="9999" spans="1:3" ht="15">
      <c r="A9999" s="84" t="s">
        <v>423</v>
      </c>
      <c r="B9999" s="83" t="s">
        <v>2767</v>
      </c>
      <c r="C9999" s="91" t="s">
        <v>1426</v>
      </c>
    </row>
    <row r="10000" spans="1:3" ht="15">
      <c r="A10000" s="84" t="s">
        <v>423</v>
      </c>
      <c r="B10000" s="83" t="s">
        <v>3243</v>
      </c>
      <c r="C10000" s="91" t="s">
        <v>1426</v>
      </c>
    </row>
    <row r="10001" spans="1:3" ht="15">
      <c r="A10001" s="84" t="s">
        <v>423</v>
      </c>
      <c r="B10001" s="83" t="s">
        <v>3244</v>
      </c>
      <c r="C10001" s="91" t="s">
        <v>1426</v>
      </c>
    </row>
    <row r="10002" spans="1:3" ht="15">
      <c r="A10002" s="84" t="s">
        <v>423</v>
      </c>
      <c r="B10002" s="83" t="s">
        <v>3223</v>
      </c>
      <c r="C10002" s="91" t="s">
        <v>1426</v>
      </c>
    </row>
    <row r="10003" spans="1:3" ht="15">
      <c r="A10003" s="84" t="s">
        <v>423</v>
      </c>
      <c r="B10003" s="83" t="s">
        <v>3266</v>
      </c>
      <c r="C10003" s="91" t="s">
        <v>1426</v>
      </c>
    </row>
    <row r="10004" spans="1:3" ht="15">
      <c r="A10004" s="84" t="s">
        <v>423</v>
      </c>
      <c r="B10004" s="83" t="s">
        <v>3226</v>
      </c>
      <c r="C10004" s="91" t="s">
        <v>1425</v>
      </c>
    </row>
    <row r="10005" spans="1:3" ht="15">
      <c r="A10005" s="84" t="s">
        <v>423</v>
      </c>
      <c r="B10005" s="83" t="s">
        <v>3227</v>
      </c>
      <c r="C10005" s="91" t="s">
        <v>1425</v>
      </c>
    </row>
    <row r="10006" spans="1:3" ht="15">
      <c r="A10006" s="84" t="s">
        <v>423</v>
      </c>
      <c r="B10006" s="83" t="s">
        <v>2607</v>
      </c>
      <c r="C10006" s="91" t="s">
        <v>1425</v>
      </c>
    </row>
    <row r="10007" spans="1:3" ht="15">
      <c r="A10007" s="84" t="s">
        <v>423</v>
      </c>
      <c r="B10007" s="83" t="s">
        <v>2698</v>
      </c>
      <c r="C10007" s="91" t="s">
        <v>1425</v>
      </c>
    </row>
    <row r="10008" spans="1:3" ht="15">
      <c r="A10008" s="84" t="s">
        <v>423</v>
      </c>
      <c r="B10008" s="83" t="s">
        <v>2699</v>
      </c>
      <c r="C10008" s="91" t="s">
        <v>1425</v>
      </c>
    </row>
    <row r="10009" spans="1:3" ht="15">
      <c r="A10009" s="84" t="s">
        <v>423</v>
      </c>
      <c r="B10009" s="83" t="s">
        <v>3228</v>
      </c>
      <c r="C10009" s="91" t="s">
        <v>1425</v>
      </c>
    </row>
    <row r="10010" spans="1:3" ht="15">
      <c r="A10010" s="84" t="s">
        <v>423</v>
      </c>
      <c r="B10010" s="83" t="s">
        <v>2581</v>
      </c>
      <c r="C10010" s="91" t="s">
        <v>1425</v>
      </c>
    </row>
    <row r="10011" spans="1:3" ht="15">
      <c r="A10011" s="84" t="s">
        <v>423</v>
      </c>
      <c r="B10011" s="83" t="s">
        <v>2586</v>
      </c>
      <c r="C10011" s="91" t="s">
        <v>1425</v>
      </c>
    </row>
    <row r="10012" spans="1:3" ht="15">
      <c r="A10012" s="84" t="s">
        <v>423</v>
      </c>
      <c r="B10012" s="83" t="s">
        <v>2595</v>
      </c>
      <c r="C10012" s="91" t="s">
        <v>1425</v>
      </c>
    </row>
    <row r="10013" spans="1:3" ht="15">
      <c r="A10013" s="84" t="s">
        <v>423</v>
      </c>
      <c r="B10013" s="83" t="s">
        <v>2568</v>
      </c>
      <c r="C10013" s="91" t="s">
        <v>1425</v>
      </c>
    </row>
    <row r="10014" spans="1:3" ht="15">
      <c r="A10014" s="84" t="s">
        <v>423</v>
      </c>
      <c r="B10014" s="83" t="s">
        <v>2592</v>
      </c>
      <c r="C10014" s="91" t="s">
        <v>1425</v>
      </c>
    </row>
    <row r="10015" spans="1:3" ht="15">
      <c r="A10015" s="84" t="s">
        <v>423</v>
      </c>
      <c r="B10015" s="83" t="s">
        <v>3213</v>
      </c>
      <c r="C10015" s="91" t="s">
        <v>1425</v>
      </c>
    </row>
    <row r="10016" spans="1:3" ht="15">
      <c r="A10016" s="84" t="s">
        <v>423</v>
      </c>
      <c r="B10016" s="83" t="s">
        <v>2576</v>
      </c>
      <c r="C10016" s="91" t="s">
        <v>1425</v>
      </c>
    </row>
    <row r="10017" spans="1:3" ht="15">
      <c r="A10017" s="84" t="s">
        <v>423</v>
      </c>
      <c r="B10017" s="83" t="s">
        <v>3229</v>
      </c>
      <c r="C10017" s="91" t="s">
        <v>1425</v>
      </c>
    </row>
    <row r="10018" spans="1:3" ht="15">
      <c r="A10018" s="84" t="s">
        <v>423</v>
      </c>
      <c r="B10018" s="83" t="s">
        <v>3230</v>
      </c>
      <c r="C10018" s="91" t="s">
        <v>1425</v>
      </c>
    </row>
    <row r="10019" spans="1:3" ht="15">
      <c r="A10019" s="84" t="s">
        <v>423</v>
      </c>
      <c r="B10019" s="83" t="s">
        <v>2598</v>
      </c>
      <c r="C10019" s="91" t="s">
        <v>1425</v>
      </c>
    </row>
    <row r="10020" spans="1:3" ht="15">
      <c r="A10020" s="84" t="s">
        <v>423</v>
      </c>
      <c r="B10020" s="83" t="s">
        <v>3231</v>
      </c>
      <c r="C10020" s="91" t="s">
        <v>1425</v>
      </c>
    </row>
    <row r="10021" spans="1:3" ht="15">
      <c r="A10021" s="84" t="s">
        <v>423</v>
      </c>
      <c r="B10021" s="83" t="s">
        <v>3232</v>
      </c>
      <c r="C10021" s="91" t="s">
        <v>1425</v>
      </c>
    </row>
    <row r="10022" spans="1:3" ht="15">
      <c r="A10022" s="84" t="s">
        <v>423</v>
      </c>
      <c r="B10022" s="83" t="s">
        <v>3233</v>
      </c>
      <c r="C10022" s="91" t="s">
        <v>1425</v>
      </c>
    </row>
    <row r="10023" spans="1:3" ht="15">
      <c r="A10023" s="84" t="s">
        <v>423</v>
      </c>
      <c r="B10023" s="83" t="s">
        <v>3211</v>
      </c>
      <c r="C10023" s="91" t="s">
        <v>1425</v>
      </c>
    </row>
    <row r="10024" spans="1:3" ht="15">
      <c r="A10024" s="84" t="s">
        <v>423</v>
      </c>
      <c r="B10024" s="83" t="s">
        <v>3199</v>
      </c>
      <c r="C10024" s="91" t="s">
        <v>1425</v>
      </c>
    </row>
    <row r="10025" spans="1:3" ht="15">
      <c r="A10025" s="84" t="s">
        <v>423</v>
      </c>
      <c r="B10025" s="83" t="s">
        <v>3218</v>
      </c>
      <c r="C10025" s="91" t="s">
        <v>1425</v>
      </c>
    </row>
    <row r="10026" spans="1:3" ht="15">
      <c r="A10026" s="84" t="s">
        <v>423</v>
      </c>
      <c r="B10026" s="83" t="s">
        <v>3234</v>
      </c>
      <c r="C10026" s="91" t="s">
        <v>1425</v>
      </c>
    </row>
    <row r="10027" spans="1:3" ht="15">
      <c r="A10027" s="84" t="s">
        <v>423</v>
      </c>
      <c r="B10027" s="83" t="s">
        <v>3235</v>
      </c>
      <c r="C10027" s="91" t="s">
        <v>1425</v>
      </c>
    </row>
    <row r="10028" spans="1:3" ht="15">
      <c r="A10028" s="84" t="s">
        <v>423</v>
      </c>
      <c r="B10028" s="83" t="s">
        <v>3236</v>
      </c>
      <c r="C10028" s="91" t="s">
        <v>1425</v>
      </c>
    </row>
    <row r="10029" spans="1:3" ht="15">
      <c r="A10029" s="84" t="s">
        <v>423</v>
      </c>
      <c r="B10029" s="83" t="s">
        <v>3237</v>
      </c>
      <c r="C10029" s="91" t="s">
        <v>1425</v>
      </c>
    </row>
    <row r="10030" spans="1:3" ht="15">
      <c r="A10030" s="84" t="s">
        <v>423</v>
      </c>
      <c r="B10030" s="83" t="s">
        <v>3238</v>
      </c>
      <c r="C10030" s="91" t="s">
        <v>1425</v>
      </c>
    </row>
    <row r="10031" spans="1:3" ht="15">
      <c r="A10031" s="84" t="s">
        <v>423</v>
      </c>
      <c r="B10031" s="83" t="s">
        <v>3239</v>
      </c>
      <c r="C10031" s="91" t="s">
        <v>1425</v>
      </c>
    </row>
    <row r="10032" spans="1:3" ht="15">
      <c r="A10032" s="84" t="s">
        <v>423</v>
      </c>
      <c r="B10032" s="83" t="s">
        <v>3240</v>
      </c>
      <c r="C10032" s="91" t="s">
        <v>1425</v>
      </c>
    </row>
    <row r="10033" spans="1:3" ht="15">
      <c r="A10033" s="84" t="s">
        <v>423</v>
      </c>
      <c r="B10033" s="83" t="s">
        <v>3241</v>
      </c>
      <c r="C10033" s="91" t="s">
        <v>1425</v>
      </c>
    </row>
    <row r="10034" spans="1:3" ht="15">
      <c r="A10034" s="84" t="s">
        <v>423</v>
      </c>
      <c r="B10034" s="83" t="s">
        <v>3242</v>
      </c>
      <c r="C10034" s="91" t="s">
        <v>1425</v>
      </c>
    </row>
    <row r="10035" spans="1:3" ht="15">
      <c r="A10035" s="84" t="s">
        <v>423</v>
      </c>
      <c r="B10035" s="83" t="s">
        <v>2767</v>
      </c>
      <c r="C10035" s="91" t="s">
        <v>1425</v>
      </c>
    </row>
    <row r="10036" spans="1:3" ht="15">
      <c r="A10036" s="84" t="s">
        <v>423</v>
      </c>
      <c r="B10036" s="83" t="s">
        <v>3243</v>
      </c>
      <c r="C10036" s="91" t="s">
        <v>1425</v>
      </c>
    </row>
    <row r="10037" spans="1:3" ht="15">
      <c r="A10037" s="84" t="s">
        <v>423</v>
      </c>
      <c r="B10037" s="83" t="s">
        <v>3244</v>
      </c>
      <c r="C10037" s="91" t="s">
        <v>1425</v>
      </c>
    </row>
    <row r="10038" spans="1:3" ht="15">
      <c r="A10038" s="84" t="s">
        <v>257</v>
      </c>
      <c r="B10038" s="83" t="s">
        <v>3226</v>
      </c>
      <c r="C10038" s="91" t="s">
        <v>1065</v>
      </c>
    </row>
    <row r="10039" spans="1:3" ht="15">
      <c r="A10039" s="84" t="s">
        <v>257</v>
      </c>
      <c r="B10039" s="83" t="s">
        <v>3227</v>
      </c>
      <c r="C10039" s="91" t="s">
        <v>1065</v>
      </c>
    </row>
    <row r="10040" spans="1:3" ht="15">
      <c r="A10040" s="84" t="s">
        <v>257</v>
      </c>
      <c r="B10040" s="83" t="s">
        <v>2607</v>
      </c>
      <c r="C10040" s="91" t="s">
        <v>1065</v>
      </c>
    </row>
    <row r="10041" spans="1:3" ht="15">
      <c r="A10041" s="84" t="s">
        <v>257</v>
      </c>
      <c r="B10041" s="83" t="s">
        <v>2698</v>
      </c>
      <c r="C10041" s="91" t="s">
        <v>1065</v>
      </c>
    </row>
    <row r="10042" spans="1:3" ht="15">
      <c r="A10042" s="84" t="s">
        <v>257</v>
      </c>
      <c r="B10042" s="83" t="s">
        <v>2699</v>
      </c>
      <c r="C10042" s="91" t="s">
        <v>1065</v>
      </c>
    </row>
    <row r="10043" spans="1:3" ht="15">
      <c r="A10043" s="84" t="s">
        <v>257</v>
      </c>
      <c r="B10043" s="83" t="s">
        <v>3228</v>
      </c>
      <c r="C10043" s="91" t="s">
        <v>1065</v>
      </c>
    </row>
    <row r="10044" spans="1:3" ht="15">
      <c r="A10044" s="84" t="s">
        <v>257</v>
      </c>
      <c r="B10044" s="83" t="s">
        <v>2581</v>
      </c>
      <c r="C10044" s="91" t="s">
        <v>1065</v>
      </c>
    </row>
    <row r="10045" spans="1:3" ht="15">
      <c r="A10045" s="84" t="s">
        <v>257</v>
      </c>
      <c r="B10045" s="83" t="s">
        <v>2586</v>
      </c>
      <c r="C10045" s="91" t="s">
        <v>1065</v>
      </c>
    </row>
    <row r="10046" spans="1:3" ht="15">
      <c r="A10046" s="84" t="s">
        <v>257</v>
      </c>
      <c r="B10046" s="83" t="s">
        <v>2595</v>
      </c>
      <c r="C10046" s="91" t="s">
        <v>1065</v>
      </c>
    </row>
    <row r="10047" spans="1:3" ht="15">
      <c r="A10047" s="84" t="s">
        <v>257</v>
      </c>
      <c r="B10047" s="83" t="s">
        <v>2568</v>
      </c>
      <c r="C10047" s="91" t="s">
        <v>1065</v>
      </c>
    </row>
    <row r="10048" spans="1:3" ht="15">
      <c r="A10048" s="84" t="s">
        <v>257</v>
      </c>
      <c r="B10048" s="83" t="s">
        <v>2592</v>
      </c>
      <c r="C10048" s="91" t="s">
        <v>1065</v>
      </c>
    </row>
    <row r="10049" spans="1:3" ht="15">
      <c r="A10049" s="84" t="s">
        <v>257</v>
      </c>
      <c r="B10049" s="83" t="s">
        <v>3213</v>
      </c>
      <c r="C10049" s="91" t="s">
        <v>1065</v>
      </c>
    </row>
    <row r="10050" spans="1:3" ht="15">
      <c r="A10050" s="84" t="s">
        <v>257</v>
      </c>
      <c r="B10050" s="83" t="s">
        <v>2576</v>
      </c>
      <c r="C10050" s="91" t="s">
        <v>1065</v>
      </c>
    </row>
    <row r="10051" spans="1:3" ht="15">
      <c r="A10051" s="84" t="s">
        <v>257</v>
      </c>
      <c r="B10051" s="83" t="s">
        <v>3229</v>
      </c>
      <c r="C10051" s="91" t="s">
        <v>1065</v>
      </c>
    </row>
    <row r="10052" spans="1:3" ht="15">
      <c r="A10052" s="84" t="s">
        <v>257</v>
      </c>
      <c r="B10052" s="83" t="s">
        <v>3230</v>
      </c>
      <c r="C10052" s="91" t="s">
        <v>1065</v>
      </c>
    </row>
    <row r="10053" spans="1:3" ht="15">
      <c r="A10053" s="84" t="s">
        <v>257</v>
      </c>
      <c r="B10053" s="83" t="s">
        <v>2598</v>
      </c>
      <c r="C10053" s="91" t="s">
        <v>1065</v>
      </c>
    </row>
    <row r="10054" spans="1:3" ht="15">
      <c r="A10054" s="84" t="s">
        <v>257</v>
      </c>
      <c r="B10054" s="83" t="s">
        <v>3231</v>
      </c>
      <c r="C10054" s="91" t="s">
        <v>1065</v>
      </c>
    </row>
    <row r="10055" spans="1:3" ht="15">
      <c r="A10055" s="84" t="s">
        <v>257</v>
      </c>
      <c r="B10055" s="83" t="s">
        <v>3232</v>
      </c>
      <c r="C10055" s="91" t="s">
        <v>1065</v>
      </c>
    </row>
    <row r="10056" spans="1:3" ht="15">
      <c r="A10056" s="84" t="s">
        <v>257</v>
      </c>
      <c r="B10056" s="83" t="s">
        <v>3233</v>
      </c>
      <c r="C10056" s="91" t="s">
        <v>1065</v>
      </c>
    </row>
    <row r="10057" spans="1:3" ht="15">
      <c r="A10057" s="84" t="s">
        <v>257</v>
      </c>
      <c r="B10057" s="83" t="s">
        <v>3211</v>
      </c>
      <c r="C10057" s="91" t="s">
        <v>1065</v>
      </c>
    </row>
    <row r="10058" spans="1:3" ht="15">
      <c r="A10058" s="84" t="s">
        <v>257</v>
      </c>
      <c r="B10058" s="83" t="s">
        <v>3199</v>
      </c>
      <c r="C10058" s="91" t="s">
        <v>1065</v>
      </c>
    </row>
    <row r="10059" spans="1:3" ht="15">
      <c r="A10059" s="84" t="s">
        <v>257</v>
      </c>
      <c r="B10059" s="83" t="s">
        <v>3218</v>
      </c>
      <c r="C10059" s="91" t="s">
        <v>1065</v>
      </c>
    </row>
    <row r="10060" spans="1:3" ht="15">
      <c r="A10060" s="84" t="s">
        <v>257</v>
      </c>
      <c r="B10060" s="83" t="s">
        <v>3234</v>
      </c>
      <c r="C10060" s="91" t="s">
        <v>1065</v>
      </c>
    </row>
    <row r="10061" spans="1:3" ht="15">
      <c r="A10061" s="84" t="s">
        <v>257</v>
      </c>
      <c r="B10061" s="83" t="s">
        <v>3235</v>
      </c>
      <c r="C10061" s="91" t="s">
        <v>1065</v>
      </c>
    </row>
    <row r="10062" spans="1:3" ht="15">
      <c r="A10062" s="84" t="s">
        <v>257</v>
      </c>
      <c r="B10062" s="83" t="s">
        <v>3236</v>
      </c>
      <c r="C10062" s="91" t="s">
        <v>1065</v>
      </c>
    </row>
    <row r="10063" spans="1:3" ht="15">
      <c r="A10063" s="84" t="s">
        <v>257</v>
      </c>
      <c r="B10063" s="83" t="s">
        <v>3237</v>
      </c>
      <c r="C10063" s="91" t="s">
        <v>1065</v>
      </c>
    </row>
    <row r="10064" spans="1:3" ht="15">
      <c r="A10064" s="84" t="s">
        <v>257</v>
      </c>
      <c r="B10064" s="83" t="s">
        <v>3238</v>
      </c>
      <c r="C10064" s="91" t="s">
        <v>1065</v>
      </c>
    </row>
    <row r="10065" spans="1:3" ht="15">
      <c r="A10065" s="84" t="s">
        <v>257</v>
      </c>
      <c r="B10065" s="83" t="s">
        <v>3239</v>
      </c>
      <c r="C10065" s="91" t="s">
        <v>1065</v>
      </c>
    </row>
    <row r="10066" spans="1:3" ht="15">
      <c r="A10066" s="84" t="s">
        <v>257</v>
      </c>
      <c r="B10066" s="83" t="s">
        <v>3240</v>
      </c>
      <c r="C10066" s="91" t="s">
        <v>1065</v>
      </c>
    </row>
    <row r="10067" spans="1:3" ht="15">
      <c r="A10067" s="84" t="s">
        <v>257</v>
      </c>
      <c r="B10067" s="83" t="s">
        <v>3241</v>
      </c>
      <c r="C10067" s="91" t="s">
        <v>1065</v>
      </c>
    </row>
    <row r="10068" spans="1:3" ht="15">
      <c r="A10068" s="84" t="s">
        <v>257</v>
      </c>
      <c r="B10068" s="83" t="s">
        <v>3242</v>
      </c>
      <c r="C10068" s="91" t="s">
        <v>1065</v>
      </c>
    </row>
    <row r="10069" spans="1:3" ht="15">
      <c r="A10069" s="84" t="s">
        <v>257</v>
      </c>
      <c r="B10069" s="83" t="s">
        <v>2767</v>
      </c>
      <c r="C10069" s="91" t="s">
        <v>1065</v>
      </c>
    </row>
    <row r="10070" spans="1:3" ht="15">
      <c r="A10070" s="84" t="s">
        <v>257</v>
      </c>
      <c r="B10070" s="83" t="s">
        <v>3243</v>
      </c>
      <c r="C10070" s="91" t="s">
        <v>1065</v>
      </c>
    </row>
    <row r="10071" spans="1:3" ht="15">
      <c r="A10071" s="84" t="s">
        <v>257</v>
      </c>
      <c r="B10071" s="83" t="s">
        <v>3244</v>
      </c>
      <c r="C10071" s="91" t="s">
        <v>1065</v>
      </c>
    </row>
    <row r="10072" spans="1:3" ht="15">
      <c r="A10072" s="84" t="s">
        <v>256</v>
      </c>
      <c r="B10072" s="83" t="s">
        <v>3396</v>
      </c>
      <c r="C10072" s="91" t="s">
        <v>1064</v>
      </c>
    </row>
    <row r="10073" spans="1:3" ht="15">
      <c r="A10073" s="84" t="s">
        <v>256</v>
      </c>
      <c r="B10073" s="83">
        <v>5</v>
      </c>
      <c r="C10073" s="91" t="s">
        <v>1064</v>
      </c>
    </row>
    <row r="10074" spans="1:3" ht="15">
      <c r="A10074" s="84" t="s">
        <v>256</v>
      </c>
      <c r="B10074" s="83" t="s">
        <v>3397</v>
      </c>
      <c r="C10074" s="91" t="s">
        <v>1064</v>
      </c>
    </row>
    <row r="10075" spans="1:3" ht="15">
      <c r="A10075" s="84" t="s">
        <v>256</v>
      </c>
      <c r="B10075" s="83" t="s">
        <v>3398</v>
      </c>
      <c r="C10075" s="91" t="s">
        <v>1064</v>
      </c>
    </row>
    <row r="10076" spans="1:3" ht="15">
      <c r="A10076" s="84" t="s">
        <v>256</v>
      </c>
      <c r="B10076" s="83" t="s">
        <v>2796</v>
      </c>
      <c r="C10076" s="91" t="s">
        <v>1064</v>
      </c>
    </row>
    <row r="10077" spans="1:3" ht="15">
      <c r="A10077" s="84" t="s">
        <v>256</v>
      </c>
      <c r="B10077" s="83" t="s">
        <v>3203</v>
      </c>
      <c r="C10077" s="91" t="s">
        <v>1064</v>
      </c>
    </row>
    <row r="10078" spans="1:3" ht="15">
      <c r="A10078" s="84" t="s">
        <v>256</v>
      </c>
      <c r="B10078" s="83">
        <v>19</v>
      </c>
      <c r="C10078" s="91" t="s">
        <v>1064</v>
      </c>
    </row>
    <row r="10079" spans="1:3" ht="15">
      <c r="A10079" s="84" t="s">
        <v>256</v>
      </c>
      <c r="B10079" s="83" t="s">
        <v>2873</v>
      </c>
      <c r="C10079" s="91" t="s">
        <v>1064</v>
      </c>
    </row>
    <row r="10080" spans="1:3" ht="15">
      <c r="A10080" s="84" t="s">
        <v>256</v>
      </c>
      <c r="B10080" s="83" t="s">
        <v>3382</v>
      </c>
      <c r="C10080" s="91" t="s">
        <v>1064</v>
      </c>
    </row>
    <row r="10081" spans="1:3" ht="15">
      <c r="A10081" s="84" t="s">
        <v>256</v>
      </c>
      <c r="B10081" s="83" t="s">
        <v>3399</v>
      </c>
      <c r="C10081" s="91" t="s">
        <v>1064</v>
      </c>
    </row>
    <row r="10082" spans="1:3" ht="15">
      <c r="A10082" s="84" t="s">
        <v>256</v>
      </c>
      <c r="B10082" s="83" t="s">
        <v>3386</v>
      </c>
      <c r="C10082" s="91" t="s">
        <v>1064</v>
      </c>
    </row>
    <row r="10083" spans="1:3" ht="15">
      <c r="A10083" s="84" t="s">
        <v>256</v>
      </c>
      <c r="B10083" s="83" t="s">
        <v>3400</v>
      </c>
      <c r="C10083" s="91" t="s">
        <v>1064</v>
      </c>
    </row>
    <row r="10084" spans="1:3" ht="15">
      <c r="A10084" s="84" t="s">
        <v>256</v>
      </c>
      <c r="B10084" s="83" t="s">
        <v>3354</v>
      </c>
      <c r="C10084" s="91" t="s">
        <v>1064</v>
      </c>
    </row>
    <row r="10085" spans="1:3" ht="15">
      <c r="A10085" s="84" t="s">
        <v>256</v>
      </c>
      <c r="B10085" s="83" t="s">
        <v>3313</v>
      </c>
      <c r="C10085" s="91" t="s">
        <v>1064</v>
      </c>
    </row>
    <row r="10086" spans="1:3" ht="15">
      <c r="A10086" s="84" t="s">
        <v>256</v>
      </c>
      <c r="B10086" s="83" t="s">
        <v>2766</v>
      </c>
      <c r="C10086" s="91" t="s">
        <v>1064</v>
      </c>
    </row>
    <row r="10087" spans="1:3" ht="15">
      <c r="A10087" s="84" t="s">
        <v>256</v>
      </c>
      <c r="B10087" s="83" t="s">
        <v>3119</v>
      </c>
      <c r="C10087" s="91" t="s">
        <v>1064</v>
      </c>
    </row>
    <row r="10088" spans="1:3" ht="15">
      <c r="A10088" s="84" t="s">
        <v>256</v>
      </c>
      <c r="B10088" s="83" t="s">
        <v>586</v>
      </c>
      <c r="C10088" s="91" t="s">
        <v>1064</v>
      </c>
    </row>
    <row r="10089" spans="1:3" ht="15">
      <c r="A10089" s="84" t="s">
        <v>256</v>
      </c>
      <c r="B10089" s="83" t="s">
        <v>2972</v>
      </c>
      <c r="C10089" s="91" t="s">
        <v>1064</v>
      </c>
    </row>
    <row r="10090" spans="1:3" ht="15">
      <c r="A10090" s="84" t="s">
        <v>256</v>
      </c>
      <c r="B10090" s="83" t="s">
        <v>3401</v>
      </c>
      <c r="C10090" s="91" t="s">
        <v>1064</v>
      </c>
    </row>
    <row r="10091" spans="1:3" ht="15">
      <c r="A10091" s="84" t="s">
        <v>256</v>
      </c>
      <c r="B10091" s="83" t="s">
        <v>3336</v>
      </c>
      <c r="C10091" s="91" t="s">
        <v>1064</v>
      </c>
    </row>
    <row r="10092" spans="1:3" ht="15">
      <c r="A10092" s="84" t="s">
        <v>256</v>
      </c>
      <c r="B10092" s="83" t="s">
        <v>3402</v>
      </c>
      <c r="C10092" s="91" t="s">
        <v>1064</v>
      </c>
    </row>
    <row r="10093" spans="1:3" ht="15">
      <c r="A10093" s="84" t="s">
        <v>256</v>
      </c>
      <c r="B10093" s="83" t="s">
        <v>2678</v>
      </c>
      <c r="C10093" s="91" t="s">
        <v>1064</v>
      </c>
    </row>
    <row r="10094" spans="1:3" ht="15">
      <c r="A10094" s="84" t="s">
        <v>256</v>
      </c>
      <c r="B10094" s="83" t="s">
        <v>2917</v>
      </c>
      <c r="C10094" s="91" t="s">
        <v>1064</v>
      </c>
    </row>
    <row r="10095" spans="1:3" ht="15">
      <c r="A10095" s="84" t="s">
        <v>256</v>
      </c>
      <c r="B10095" s="83" t="s">
        <v>3403</v>
      </c>
      <c r="C10095" s="91" t="s">
        <v>1064</v>
      </c>
    </row>
    <row r="10096" spans="1:3" ht="15">
      <c r="A10096" s="84" t="s">
        <v>256</v>
      </c>
      <c r="B10096" s="83" t="s">
        <v>3404</v>
      </c>
      <c r="C10096" s="91" t="s">
        <v>1064</v>
      </c>
    </row>
    <row r="10097" spans="1:3" ht="15">
      <c r="A10097" s="84" t="s">
        <v>256</v>
      </c>
      <c r="B10097" s="83" t="s">
        <v>3405</v>
      </c>
      <c r="C10097" s="91" t="s">
        <v>1064</v>
      </c>
    </row>
    <row r="10098" spans="1:3" ht="15">
      <c r="A10098" s="84" t="s">
        <v>256</v>
      </c>
      <c r="B10098" s="83" t="s">
        <v>3406</v>
      </c>
      <c r="C10098" s="91" t="s">
        <v>1064</v>
      </c>
    </row>
    <row r="10099" spans="1:3" ht="15">
      <c r="A10099" s="84" t="s">
        <v>256</v>
      </c>
      <c r="B10099" s="83" t="s">
        <v>3407</v>
      </c>
      <c r="C10099" s="91" t="s">
        <v>1064</v>
      </c>
    </row>
    <row r="10100" spans="1:3" ht="15">
      <c r="A10100" s="84" t="s">
        <v>256</v>
      </c>
      <c r="B10100" s="83" t="s">
        <v>2569</v>
      </c>
      <c r="C10100" s="91" t="s">
        <v>1064</v>
      </c>
    </row>
    <row r="10101" spans="1:3" ht="15">
      <c r="A10101" s="84" t="s">
        <v>256</v>
      </c>
      <c r="B10101" s="83" t="s">
        <v>3365</v>
      </c>
      <c r="C10101" s="91" t="s">
        <v>1064</v>
      </c>
    </row>
    <row r="10102" spans="1:3" ht="15">
      <c r="A10102" s="84" t="s">
        <v>392</v>
      </c>
      <c r="B10102" s="83" t="s">
        <v>3396</v>
      </c>
      <c r="C10102" s="91" t="s">
        <v>1293</v>
      </c>
    </row>
    <row r="10103" spans="1:3" ht="15">
      <c r="A10103" s="84" t="s">
        <v>392</v>
      </c>
      <c r="B10103" s="83">
        <v>5</v>
      </c>
      <c r="C10103" s="91" t="s">
        <v>1293</v>
      </c>
    </row>
    <row r="10104" spans="1:3" ht="15">
      <c r="A10104" s="84" t="s">
        <v>392</v>
      </c>
      <c r="B10104" s="83" t="s">
        <v>3397</v>
      </c>
      <c r="C10104" s="91" t="s">
        <v>1293</v>
      </c>
    </row>
    <row r="10105" spans="1:3" ht="15">
      <c r="A10105" s="84" t="s">
        <v>392</v>
      </c>
      <c r="B10105" s="83" t="s">
        <v>3398</v>
      </c>
      <c r="C10105" s="91" t="s">
        <v>1293</v>
      </c>
    </row>
    <row r="10106" spans="1:3" ht="15">
      <c r="A10106" s="84" t="s">
        <v>392</v>
      </c>
      <c r="B10106" s="83" t="s">
        <v>2796</v>
      </c>
      <c r="C10106" s="91" t="s">
        <v>1293</v>
      </c>
    </row>
    <row r="10107" spans="1:3" ht="15">
      <c r="A10107" s="84" t="s">
        <v>392</v>
      </c>
      <c r="B10107" s="83" t="s">
        <v>3203</v>
      </c>
      <c r="C10107" s="91" t="s">
        <v>1293</v>
      </c>
    </row>
    <row r="10108" spans="1:3" ht="15">
      <c r="A10108" s="84" t="s">
        <v>392</v>
      </c>
      <c r="B10108" s="83">
        <v>19</v>
      </c>
      <c r="C10108" s="91" t="s">
        <v>1293</v>
      </c>
    </row>
    <row r="10109" spans="1:3" ht="15">
      <c r="A10109" s="84" t="s">
        <v>392</v>
      </c>
      <c r="B10109" s="83" t="s">
        <v>2873</v>
      </c>
      <c r="C10109" s="91" t="s">
        <v>1293</v>
      </c>
    </row>
    <row r="10110" spans="1:3" ht="15">
      <c r="A10110" s="84" t="s">
        <v>392</v>
      </c>
      <c r="B10110" s="83" t="s">
        <v>3382</v>
      </c>
      <c r="C10110" s="91" t="s">
        <v>1293</v>
      </c>
    </row>
    <row r="10111" spans="1:3" ht="15">
      <c r="A10111" s="84" t="s">
        <v>392</v>
      </c>
      <c r="B10111" s="83" t="s">
        <v>3399</v>
      </c>
      <c r="C10111" s="91" t="s">
        <v>1293</v>
      </c>
    </row>
    <row r="10112" spans="1:3" ht="15">
      <c r="A10112" s="84" t="s">
        <v>392</v>
      </c>
      <c r="B10112" s="83" t="s">
        <v>3386</v>
      </c>
      <c r="C10112" s="91" t="s">
        <v>1293</v>
      </c>
    </row>
    <row r="10113" spans="1:3" ht="15">
      <c r="A10113" s="84" t="s">
        <v>392</v>
      </c>
      <c r="B10113" s="83" t="s">
        <v>3400</v>
      </c>
      <c r="C10113" s="91" t="s">
        <v>1293</v>
      </c>
    </row>
    <row r="10114" spans="1:3" ht="15">
      <c r="A10114" s="84" t="s">
        <v>392</v>
      </c>
      <c r="B10114" s="83" t="s">
        <v>3354</v>
      </c>
      <c r="C10114" s="91" t="s">
        <v>1293</v>
      </c>
    </row>
    <row r="10115" spans="1:3" ht="15">
      <c r="A10115" s="84" t="s">
        <v>392</v>
      </c>
      <c r="B10115" s="83" t="s">
        <v>3313</v>
      </c>
      <c r="C10115" s="91" t="s">
        <v>1293</v>
      </c>
    </row>
    <row r="10116" spans="1:3" ht="15">
      <c r="A10116" s="84" t="s">
        <v>392</v>
      </c>
      <c r="B10116" s="83" t="s">
        <v>2766</v>
      </c>
      <c r="C10116" s="91" t="s">
        <v>1293</v>
      </c>
    </row>
    <row r="10117" spans="1:3" ht="15">
      <c r="A10117" s="84" t="s">
        <v>392</v>
      </c>
      <c r="B10117" s="83" t="s">
        <v>3119</v>
      </c>
      <c r="C10117" s="91" t="s">
        <v>1293</v>
      </c>
    </row>
    <row r="10118" spans="1:3" ht="15">
      <c r="A10118" s="84" t="s">
        <v>392</v>
      </c>
      <c r="B10118" s="83" t="s">
        <v>586</v>
      </c>
      <c r="C10118" s="91" t="s">
        <v>1293</v>
      </c>
    </row>
    <row r="10119" spans="1:3" ht="15">
      <c r="A10119" s="84" t="s">
        <v>392</v>
      </c>
      <c r="B10119" s="83" t="s">
        <v>2972</v>
      </c>
      <c r="C10119" s="91" t="s">
        <v>1293</v>
      </c>
    </row>
    <row r="10120" spans="1:3" ht="15">
      <c r="A10120" s="84" t="s">
        <v>392</v>
      </c>
      <c r="B10120" s="83" t="s">
        <v>3401</v>
      </c>
      <c r="C10120" s="91" t="s">
        <v>1293</v>
      </c>
    </row>
    <row r="10121" spans="1:3" ht="15">
      <c r="A10121" s="84" t="s">
        <v>392</v>
      </c>
      <c r="B10121" s="83" t="s">
        <v>3336</v>
      </c>
      <c r="C10121" s="91" t="s">
        <v>1293</v>
      </c>
    </row>
    <row r="10122" spans="1:3" ht="15">
      <c r="A10122" s="84" t="s">
        <v>392</v>
      </c>
      <c r="B10122" s="83" t="s">
        <v>3402</v>
      </c>
      <c r="C10122" s="91" t="s">
        <v>1293</v>
      </c>
    </row>
    <row r="10123" spans="1:3" ht="15">
      <c r="A10123" s="84" t="s">
        <v>392</v>
      </c>
      <c r="B10123" s="83" t="s">
        <v>2678</v>
      </c>
      <c r="C10123" s="91" t="s">
        <v>1293</v>
      </c>
    </row>
    <row r="10124" spans="1:3" ht="15">
      <c r="A10124" s="84" t="s">
        <v>392</v>
      </c>
      <c r="B10124" s="83" t="s">
        <v>2917</v>
      </c>
      <c r="C10124" s="91" t="s">
        <v>1293</v>
      </c>
    </row>
    <row r="10125" spans="1:3" ht="15">
      <c r="A10125" s="84" t="s">
        <v>392</v>
      </c>
      <c r="B10125" s="83" t="s">
        <v>3403</v>
      </c>
      <c r="C10125" s="91" t="s">
        <v>1293</v>
      </c>
    </row>
    <row r="10126" spans="1:3" ht="15">
      <c r="A10126" s="84" t="s">
        <v>392</v>
      </c>
      <c r="B10126" s="83" t="s">
        <v>3404</v>
      </c>
      <c r="C10126" s="91" t="s">
        <v>1293</v>
      </c>
    </row>
    <row r="10127" spans="1:3" ht="15">
      <c r="A10127" s="84" t="s">
        <v>392</v>
      </c>
      <c r="B10127" s="83" t="s">
        <v>3405</v>
      </c>
      <c r="C10127" s="91" t="s">
        <v>1293</v>
      </c>
    </row>
    <row r="10128" spans="1:3" ht="15">
      <c r="A10128" s="84" t="s">
        <v>392</v>
      </c>
      <c r="B10128" s="83" t="s">
        <v>3406</v>
      </c>
      <c r="C10128" s="91" t="s">
        <v>1293</v>
      </c>
    </row>
    <row r="10129" spans="1:3" ht="15">
      <c r="A10129" s="84" t="s">
        <v>392</v>
      </c>
      <c r="B10129" s="83" t="s">
        <v>3407</v>
      </c>
      <c r="C10129" s="91" t="s">
        <v>1293</v>
      </c>
    </row>
    <row r="10130" spans="1:3" ht="15">
      <c r="A10130" s="84" t="s">
        <v>392</v>
      </c>
      <c r="B10130" s="83" t="s">
        <v>2569</v>
      </c>
      <c r="C10130" s="91" t="s">
        <v>1293</v>
      </c>
    </row>
    <row r="10131" spans="1:3" ht="15">
      <c r="A10131" s="84" t="s">
        <v>392</v>
      </c>
      <c r="B10131" s="83" t="s">
        <v>3365</v>
      </c>
      <c r="C10131" s="91" t="s">
        <v>1293</v>
      </c>
    </row>
    <row r="10132" spans="1:3" ht="15">
      <c r="A10132" s="84" t="s">
        <v>255</v>
      </c>
      <c r="B10132" s="83" t="s">
        <v>3396</v>
      </c>
      <c r="C10132" s="91" t="s">
        <v>1063</v>
      </c>
    </row>
    <row r="10133" spans="1:3" ht="15">
      <c r="A10133" s="84" t="s">
        <v>255</v>
      </c>
      <c r="B10133" s="83">
        <v>5</v>
      </c>
      <c r="C10133" s="91" t="s">
        <v>1063</v>
      </c>
    </row>
    <row r="10134" spans="1:3" ht="15">
      <c r="A10134" s="84" t="s">
        <v>255</v>
      </c>
      <c r="B10134" s="83" t="s">
        <v>3397</v>
      </c>
      <c r="C10134" s="91" t="s">
        <v>1063</v>
      </c>
    </row>
    <row r="10135" spans="1:3" ht="15">
      <c r="A10135" s="84" t="s">
        <v>255</v>
      </c>
      <c r="B10135" s="83" t="s">
        <v>3398</v>
      </c>
      <c r="C10135" s="91" t="s">
        <v>1063</v>
      </c>
    </row>
    <row r="10136" spans="1:3" ht="15">
      <c r="A10136" s="84" t="s">
        <v>255</v>
      </c>
      <c r="B10136" s="83" t="s">
        <v>2796</v>
      </c>
      <c r="C10136" s="91" t="s">
        <v>1063</v>
      </c>
    </row>
    <row r="10137" spans="1:3" ht="15">
      <c r="A10137" s="84" t="s">
        <v>255</v>
      </c>
      <c r="B10137" s="83" t="s">
        <v>3203</v>
      </c>
      <c r="C10137" s="91" t="s">
        <v>1063</v>
      </c>
    </row>
    <row r="10138" spans="1:3" ht="15">
      <c r="A10138" s="84" t="s">
        <v>255</v>
      </c>
      <c r="B10138" s="83">
        <v>19</v>
      </c>
      <c r="C10138" s="91" t="s">
        <v>1063</v>
      </c>
    </row>
    <row r="10139" spans="1:3" ht="15">
      <c r="A10139" s="84" t="s">
        <v>255</v>
      </c>
      <c r="B10139" s="83" t="s">
        <v>2873</v>
      </c>
      <c r="C10139" s="91" t="s">
        <v>1063</v>
      </c>
    </row>
    <row r="10140" spans="1:3" ht="15">
      <c r="A10140" s="84" t="s">
        <v>255</v>
      </c>
      <c r="B10140" s="83" t="s">
        <v>3382</v>
      </c>
      <c r="C10140" s="91" t="s">
        <v>1063</v>
      </c>
    </row>
    <row r="10141" spans="1:3" ht="15">
      <c r="A10141" s="84" t="s">
        <v>255</v>
      </c>
      <c r="B10141" s="83" t="s">
        <v>3399</v>
      </c>
      <c r="C10141" s="91" t="s">
        <v>1063</v>
      </c>
    </row>
    <row r="10142" spans="1:3" ht="15">
      <c r="A10142" s="84" t="s">
        <v>255</v>
      </c>
      <c r="B10142" s="83" t="s">
        <v>3386</v>
      </c>
      <c r="C10142" s="91" t="s">
        <v>1063</v>
      </c>
    </row>
    <row r="10143" spans="1:3" ht="15">
      <c r="A10143" s="84" t="s">
        <v>255</v>
      </c>
      <c r="B10143" s="83" t="s">
        <v>3400</v>
      </c>
      <c r="C10143" s="91" t="s">
        <v>1063</v>
      </c>
    </row>
    <row r="10144" spans="1:3" ht="15">
      <c r="A10144" s="84" t="s">
        <v>255</v>
      </c>
      <c r="B10144" s="83" t="s">
        <v>3354</v>
      </c>
      <c r="C10144" s="91" t="s">
        <v>1063</v>
      </c>
    </row>
    <row r="10145" spans="1:3" ht="15">
      <c r="A10145" s="84" t="s">
        <v>255</v>
      </c>
      <c r="B10145" s="83" t="s">
        <v>3313</v>
      </c>
      <c r="C10145" s="91" t="s">
        <v>1063</v>
      </c>
    </row>
    <row r="10146" spans="1:3" ht="15">
      <c r="A10146" s="84" t="s">
        <v>255</v>
      </c>
      <c r="B10146" s="83" t="s">
        <v>2766</v>
      </c>
      <c r="C10146" s="91" t="s">
        <v>1063</v>
      </c>
    </row>
    <row r="10147" spans="1:3" ht="15">
      <c r="A10147" s="84" t="s">
        <v>255</v>
      </c>
      <c r="B10147" s="83" t="s">
        <v>3119</v>
      </c>
      <c r="C10147" s="91" t="s">
        <v>1063</v>
      </c>
    </row>
    <row r="10148" spans="1:3" ht="15">
      <c r="A10148" s="84" t="s">
        <v>255</v>
      </c>
      <c r="B10148" s="83" t="s">
        <v>586</v>
      </c>
      <c r="C10148" s="91" t="s">
        <v>1063</v>
      </c>
    </row>
    <row r="10149" spans="1:3" ht="15">
      <c r="A10149" s="84" t="s">
        <v>255</v>
      </c>
      <c r="B10149" s="83" t="s">
        <v>2972</v>
      </c>
      <c r="C10149" s="91" t="s">
        <v>1063</v>
      </c>
    </row>
    <row r="10150" spans="1:3" ht="15">
      <c r="A10150" s="84" t="s">
        <v>255</v>
      </c>
      <c r="B10150" s="83" t="s">
        <v>3401</v>
      </c>
      <c r="C10150" s="91" t="s">
        <v>1063</v>
      </c>
    </row>
    <row r="10151" spans="1:3" ht="15">
      <c r="A10151" s="84" t="s">
        <v>255</v>
      </c>
      <c r="B10151" s="83" t="s">
        <v>3336</v>
      </c>
      <c r="C10151" s="91" t="s">
        <v>1063</v>
      </c>
    </row>
    <row r="10152" spans="1:3" ht="15">
      <c r="A10152" s="84" t="s">
        <v>255</v>
      </c>
      <c r="B10152" s="83" t="s">
        <v>3402</v>
      </c>
      <c r="C10152" s="91" t="s">
        <v>1063</v>
      </c>
    </row>
    <row r="10153" spans="1:3" ht="15">
      <c r="A10153" s="84" t="s">
        <v>255</v>
      </c>
      <c r="B10153" s="83" t="s">
        <v>2678</v>
      </c>
      <c r="C10153" s="91" t="s">
        <v>1063</v>
      </c>
    </row>
    <row r="10154" spans="1:3" ht="15">
      <c r="A10154" s="84" t="s">
        <v>255</v>
      </c>
      <c r="B10154" s="83" t="s">
        <v>2917</v>
      </c>
      <c r="C10154" s="91" t="s">
        <v>1063</v>
      </c>
    </row>
    <row r="10155" spans="1:3" ht="15">
      <c r="A10155" s="84" t="s">
        <v>255</v>
      </c>
      <c r="B10155" s="83" t="s">
        <v>3403</v>
      </c>
      <c r="C10155" s="91" t="s">
        <v>1063</v>
      </c>
    </row>
    <row r="10156" spans="1:3" ht="15">
      <c r="A10156" s="84" t="s">
        <v>255</v>
      </c>
      <c r="B10156" s="83" t="s">
        <v>3404</v>
      </c>
      <c r="C10156" s="91" t="s">
        <v>1063</v>
      </c>
    </row>
    <row r="10157" spans="1:3" ht="15">
      <c r="A10157" s="84" t="s">
        <v>255</v>
      </c>
      <c r="B10157" s="83" t="s">
        <v>3405</v>
      </c>
      <c r="C10157" s="91" t="s">
        <v>1063</v>
      </c>
    </row>
    <row r="10158" spans="1:3" ht="15">
      <c r="A10158" s="84" t="s">
        <v>255</v>
      </c>
      <c r="B10158" s="83" t="s">
        <v>3406</v>
      </c>
      <c r="C10158" s="91" t="s">
        <v>1063</v>
      </c>
    </row>
    <row r="10159" spans="1:3" ht="15">
      <c r="A10159" s="84" t="s">
        <v>255</v>
      </c>
      <c r="B10159" s="83" t="s">
        <v>3407</v>
      </c>
      <c r="C10159" s="91" t="s">
        <v>1063</v>
      </c>
    </row>
    <row r="10160" spans="1:3" ht="15">
      <c r="A10160" s="84" t="s">
        <v>255</v>
      </c>
      <c r="B10160" s="83" t="s">
        <v>2569</v>
      </c>
      <c r="C10160" s="91" t="s">
        <v>1063</v>
      </c>
    </row>
    <row r="10161" spans="1:3" ht="15">
      <c r="A10161" s="84" t="s">
        <v>255</v>
      </c>
      <c r="B10161" s="83" t="s">
        <v>3365</v>
      </c>
      <c r="C10161" s="91" t="s">
        <v>1063</v>
      </c>
    </row>
    <row r="10162" spans="1:3" ht="15">
      <c r="A10162" s="84" t="s">
        <v>254</v>
      </c>
      <c r="B10162" s="83" t="s">
        <v>3210</v>
      </c>
      <c r="C10162" s="91" t="s">
        <v>1062</v>
      </c>
    </row>
    <row r="10163" spans="1:3" ht="15">
      <c r="A10163" s="84" t="s">
        <v>254</v>
      </c>
      <c r="B10163" s="83">
        <v>19</v>
      </c>
      <c r="C10163" s="91" t="s">
        <v>1062</v>
      </c>
    </row>
    <row r="10164" spans="1:3" ht="15">
      <c r="A10164" s="84" t="s">
        <v>254</v>
      </c>
      <c r="B10164" s="83" t="s">
        <v>3651</v>
      </c>
      <c r="C10164" s="91" t="s">
        <v>1062</v>
      </c>
    </row>
    <row r="10165" spans="1:3" ht="15">
      <c r="A10165" s="84" t="s">
        <v>254</v>
      </c>
      <c r="B10165" s="83" t="s">
        <v>3652</v>
      </c>
      <c r="C10165" s="91" t="s">
        <v>1062</v>
      </c>
    </row>
    <row r="10166" spans="1:3" ht="15">
      <c r="A10166" s="84" t="s">
        <v>254</v>
      </c>
      <c r="B10166" s="83" t="s">
        <v>3653</v>
      </c>
      <c r="C10166" s="91" t="s">
        <v>1062</v>
      </c>
    </row>
    <row r="10167" spans="1:3" ht="15">
      <c r="A10167" s="84" t="s">
        <v>254</v>
      </c>
      <c r="B10167" s="83" t="s">
        <v>3227</v>
      </c>
      <c r="C10167" s="91" t="s">
        <v>1062</v>
      </c>
    </row>
    <row r="10168" spans="1:3" ht="15">
      <c r="A10168" s="84" t="s">
        <v>254</v>
      </c>
      <c r="B10168" s="83" t="s">
        <v>2875</v>
      </c>
      <c r="C10168" s="91" t="s">
        <v>1062</v>
      </c>
    </row>
    <row r="10169" spans="1:3" ht="15">
      <c r="A10169" s="84" t="s">
        <v>254</v>
      </c>
      <c r="B10169" s="83" t="s">
        <v>2576</v>
      </c>
      <c r="C10169" s="91" t="s">
        <v>1062</v>
      </c>
    </row>
    <row r="10170" spans="1:3" ht="15">
      <c r="A10170" s="84" t="s">
        <v>254</v>
      </c>
      <c r="B10170" s="83" t="s">
        <v>3397</v>
      </c>
      <c r="C10170" s="91" t="s">
        <v>1062</v>
      </c>
    </row>
    <row r="10171" spans="1:3" ht="15">
      <c r="A10171" s="84" t="s">
        <v>254</v>
      </c>
      <c r="B10171" s="83" t="s">
        <v>3654</v>
      </c>
      <c r="C10171" s="91" t="s">
        <v>1062</v>
      </c>
    </row>
    <row r="10172" spans="1:3" ht="15">
      <c r="A10172" s="84" t="s">
        <v>254</v>
      </c>
      <c r="B10172" s="83" t="s">
        <v>3354</v>
      </c>
      <c r="C10172" s="91" t="s">
        <v>1062</v>
      </c>
    </row>
    <row r="10173" spans="1:3" ht="15">
      <c r="A10173" s="84" t="s">
        <v>254</v>
      </c>
      <c r="B10173" s="83" t="s">
        <v>3655</v>
      </c>
      <c r="C10173" s="91" t="s">
        <v>1062</v>
      </c>
    </row>
    <row r="10174" spans="1:3" ht="15">
      <c r="A10174" s="84" t="s">
        <v>254</v>
      </c>
      <c r="B10174" s="83" t="s">
        <v>586</v>
      </c>
      <c r="C10174" s="91" t="s">
        <v>1062</v>
      </c>
    </row>
    <row r="10175" spans="1:3" ht="15">
      <c r="A10175" s="84" t="s">
        <v>254</v>
      </c>
      <c r="B10175" s="83" t="s">
        <v>2632</v>
      </c>
      <c r="C10175" s="91" t="s">
        <v>1062</v>
      </c>
    </row>
    <row r="10176" spans="1:3" ht="15">
      <c r="A10176" s="84" t="s">
        <v>254</v>
      </c>
      <c r="B10176" s="83" t="s">
        <v>433</v>
      </c>
      <c r="C10176" s="91" t="s">
        <v>1062</v>
      </c>
    </row>
    <row r="10177" spans="1:3" ht="15">
      <c r="A10177" s="84" t="s">
        <v>398</v>
      </c>
      <c r="B10177" s="83" t="s">
        <v>3373</v>
      </c>
      <c r="C10177" s="91" t="s">
        <v>1325</v>
      </c>
    </row>
    <row r="10178" spans="1:3" ht="15">
      <c r="A10178" s="84" t="s">
        <v>398</v>
      </c>
      <c r="B10178" s="83" t="s">
        <v>2861</v>
      </c>
      <c r="C10178" s="91" t="s">
        <v>1325</v>
      </c>
    </row>
    <row r="10179" spans="1:3" ht="15">
      <c r="A10179" s="84" t="s">
        <v>398</v>
      </c>
      <c r="B10179" s="83" t="s">
        <v>2582</v>
      </c>
      <c r="C10179" s="91" t="s">
        <v>1325</v>
      </c>
    </row>
    <row r="10180" spans="1:3" ht="15">
      <c r="A10180" s="84" t="s">
        <v>398</v>
      </c>
      <c r="B10180" s="83" t="s">
        <v>3374</v>
      </c>
      <c r="C10180" s="91" t="s">
        <v>1325</v>
      </c>
    </row>
    <row r="10181" spans="1:3" ht="15">
      <c r="A10181" s="84" t="s">
        <v>398</v>
      </c>
      <c r="B10181" s="83" t="s">
        <v>2736</v>
      </c>
      <c r="C10181" s="91" t="s">
        <v>1325</v>
      </c>
    </row>
    <row r="10182" spans="1:3" ht="15">
      <c r="A10182" s="84" t="s">
        <v>398</v>
      </c>
      <c r="B10182" s="83" t="s">
        <v>3242</v>
      </c>
      <c r="C10182" s="91" t="s">
        <v>1325</v>
      </c>
    </row>
    <row r="10183" spans="1:3" ht="15">
      <c r="A10183" s="84" t="s">
        <v>398</v>
      </c>
      <c r="B10183" s="83" t="s">
        <v>3375</v>
      </c>
      <c r="C10183" s="91" t="s">
        <v>1325</v>
      </c>
    </row>
    <row r="10184" spans="1:3" ht="15">
      <c r="A10184" s="84" t="s">
        <v>398</v>
      </c>
      <c r="B10184" s="83" t="s">
        <v>2648</v>
      </c>
      <c r="C10184" s="91" t="s">
        <v>1325</v>
      </c>
    </row>
    <row r="10185" spans="1:3" ht="15">
      <c r="A10185" s="84" t="s">
        <v>398</v>
      </c>
      <c r="B10185" s="83" t="s">
        <v>2831</v>
      </c>
      <c r="C10185" s="91" t="s">
        <v>1325</v>
      </c>
    </row>
    <row r="10186" spans="1:3" ht="15">
      <c r="A10186" s="84" t="s">
        <v>398</v>
      </c>
      <c r="B10186" s="83" t="s">
        <v>2636</v>
      </c>
      <c r="C10186" s="91" t="s">
        <v>1325</v>
      </c>
    </row>
    <row r="10187" spans="1:3" ht="15">
      <c r="A10187" s="84" t="s">
        <v>398</v>
      </c>
      <c r="B10187" s="83" t="s">
        <v>2863</v>
      </c>
      <c r="C10187" s="91" t="s">
        <v>1325</v>
      </c>
    </row>
    <row r="10188" spans="1:3" ht="15">
      <c r="A10188" s="84" t="s">
        <v>398</v>
      </c>
      <c r="B10188" s="83" t="s">
        <v>2607</v>
      </c>
      <c r="C10188" s="91" t="s">
        <v>1325</v>
      </c>
    </row>
    <row r="10189" spans="1:3" ht="15">
      <c r="A10189" s="84" t="s">
        <v>398</v>
      </c>
      <c r="B10189" s="83" t="s">
        <v>3376</v>
      </c>
      <c r="C10189" s="91" t="s">
        <v>1325</v>
      </c>
    </row>
    <row r="10190" spans="1:3" ht="15">
      <c r="A10190" s="84" t="s">
        <v>398</v>
      </c>
      <c r="B10190" s="83" t="s">
        <v>3377</v>
      </c>
      <c r="C10190" s="91" t="s">
        <v>1325</v>
      </c>
    </row>
    <row r="10191" spans="1:3" ht="15">
      <c r="A10191" s="84" t="s">
        <v>398</v>
      </c>
      <c r="B10191" s="83" t="s">
        <v>2720</v>
      </c>
      <c r="C10191" s="91" t="s">
        <v>1325</v>
      </c>
    </row>
    <row r="10192" spans="1:3" ht="15">
      <c r="A10192" s="84" t="s">
        <v>398</v>
      </c>
      <c r="B10192" s="83" t="s">
        <v>3378</v>
      </c>
      <c r="C10192" s="91" t="s">
        <v>1325</v>
      </c>
    </row>
    <row r="10193" spans="1:3" ht="15">
      <c r="A10193" s="84" t="s">
        <v>398</v>
      </c>
      <c r="B10193" s="83" t="s">
        <v>3184</v>
      </c>
      <c r="C10193" s="91" t="s">
        <v>1325</v>
      </c>
    </row>
    <row r="10194" spans="1:3" ht="15">
      <c r="A10194" s="84" t="s">
        <v>398</v>
      </c>
      <c r="B10194" s="83" t="s">
        <v>2581</v>
      </c>
      <c r="C10194" s="91" t="s">
        <v>1325</v>
      </c>
    </row>
    <row r="10195" spans="1:3" ht="15">
      <c r="A10195" s="84" t="s">
        <v>398</v>
      </c>
      <c r="B10195" s="83" t="s">
        <v>3379</v>
      </c>
      <c r="C10195" s="91" t="s">
        <v>1325</v>
      </c>
    </row>
    <row r="10196" spans="1:3" ht="15">
      <c r="A10196" s="84" t="s">
        <v>398</v>
      </c>
      <c r="B10196" s="83" t="s">
        <v>3380</v>
      </c>
      <c r="C10196" s="91" t="s">
        <v>1325</v>
      </c>
    </row>
    <row r="10197" spans="1:3" ht="15">
      <c r="A10197" s="84" t="s">
        <v>398</v>
      </c>
      <c r="B10197" s="83" t="s">
        <v>3381</v>
      </c>
      <c r="C10197" s="91" t="s">
        <v>1325</v>
      </c>
    </row>
    <row r="10198" spans="1:3" ht="15">
      <c r="A10198" s="84" t="s">
        <v>398</v>
      </c>
      <c r="B10198" s="83" t="s">
        <v>3281</v>
      </c>
      <c r="C10198" s="91" t="s">
        <v>1325</v>
      </c>
    </row>
    <row r="10199" spans="1:3" ht="15">
      <c r="A10199" s="84" t="s">
        <v>398</v>
      </c>
      <c r="B10199" s="83" t="s">
        <v>1597</v>
      </c>
      <c r="C10199" s="91" t="s">
        <v>1325</v>
      </c>
    </row>
    <row r="10200" spans="1:3" ht="15">
      <c r="A10200" s="84" t="s">
        <v>398</v>
      </c>
      <c r="B10200" s="83" t="s">
        <v>3382</v>
      </c>
      <c r="C10200" s="91" t="s">
        <v>1325</v>
      </c>
    </row>
    <row r="10201" spans="1:3" ht="15">
      <c r="A10201" s="84" t="s">
        <v>398</v>
      </c>
      <c r="B10201" s="83" t="s">
        <v>3383</v>
      </c>
      <c r="C10201" s="91" t="s">
        <v>1325</v>
      </c>
    </row>
    <row r="10202" spans="1:3" ht="15">
      <c r="A10202" s="84" t="s">
        <v>398</v>
      </c>
      <c r="B10202" s="83" t="s">
        <v>3384</v>
      </c>
      <c r="C10202" s="91" t="s">
        <v>1325</v>
      </c>
    </row>
    <row r="10203" spans="1:3" ht="15">
      <c r="A10203" s="84" t="s">
        <v>398</v>
      </c>
      <c r="B10203" s="83" t="s">
        <v>3385</v>
      </c>
      <c r="C10203" s="91" t="s">
        <v>1325</v>
      </c>
    </row>
    <row r="10204" spans="1:3" ht="15">
      <c r="A10204" s="84" t="s">
        <v>398</v>
      </c>
      <c r="B10204" s="83" t="s">
        <v>586</v>
      </c>
      <c r="C10204" s="91" t="s">
        <v>1325</v>
      </c>
    </row>
    <row r="10205" spans="1:3" ht="15">
      <c r="A10205" s="84" t="s">
        <v>398</v>
      </c>
      <c r="B10205" s="83" t="s">
        <v>3386</v>
      </c>
      <c r="C10205" s="91" t="s">
        <v>1325</v>
      </c>
    </row>
    <row r="10206" spans="1:3" ht="15">
      <c r="A10206" s="84" t="s">
        <v>398</v>
      </c>
      <c r="B10206" s="83" t="s">
        <v>3298</v>
      </c>
      <c r="C10206" s="91" t="s">
        <v>1325</v>
      </c>
    </row>
    <row r="10207" spans="1:3" ht="15">
      <c r="A10207" s="84" t="s">
        <v>398</v>
      </c>
      <c r="B10207" s="83" t="s">
        <v>2873</v>
      </c>
      <c r="C10207" s="91" t="s">
        <v>1325</v>
      </c>
    </row>
    <row r="10208" spans="1:3" ht="15">
      <c r="A10208" s="84" t="s">
        <v>398</v>
      </c>
      <c r="B10208" s="83" t="s">
        <v>3387</v>
      </c>
      <c r="C10208" s="91" t="s">
        <v>1325</v>
      </c>
    </row>
    <row r="10209" spans="1:3" ht="15">
      <c r="A10209" s="84" t="s">
        <v>253</v>
      </c>
      <c r="B10209" s="83" t="s">
        <v>3373</v>
      </c>
      <c r="C10209" s="91" t="s">
        <v>1061</v>
      </c>
    </row>
    <row r="10210" spans="1:3" ht="15">
      <c r="A10210" s="84" t="s">
        <v>253</v>
      </c>
      <c r="B10210" s="83" t="s">
        <v>2861</v>
      </c>
      <c r="C10210" s="91" t="s">
        <v>1061</v>
      </c>
    </row>
    <row r="10211" spans="1:3" ht="15">
      <c r="A10211" s="84" t="s">
        <v>253</v>
      </c>
      <c r="B10211" s="83" t="s">
        <v>2582</v>
      </c>
      <c r="C10211" s="91" t="s">
        <v>1061</v>
      </c>
    </row>
    <row r="10212" spans="1:3" ht="15">
      <c r="A10212" s="84" t="s">
        <v>253</v>
      </c>
      <c r="B10212" s="83" t="s">
        <v>3374</v>
      </c>
      <c r="C10212" s="91" t="s">
        <v>1061</v>
      </c>
    </row>
    <row r="10213" spans="1:3" ht="15">
      <c r="A10213" s="84" t="s">
        <v>253</v>
      </c>
      <c r="B10213" s="83" t="s">
        <v>2736</v>
      </c>
      <c r="C10213" s="91" t="s">
        <v>1061</v>
      </c>
    </row>
    <row r="10214" spans="1:3" ht="15">
      <c r="A10214" s="84" t="s">
        <v>253</v>
      </c>
      <c r="B10214" s="83" t="s">
        <v>3242</v>
      </c>
      <c r="C10214" s="91" t="s">
        <v>1061</v>
      </c>
    </row>
    <row r="10215" spans="1:3" ht="15">
      <c r="A10215" s="84" t="s">
        <v>253</v>
      </c>
      <c r="B10215" s="83" t="s">
        <v>3375</v>
      </c>
      <c r="C10215" s="91" t="s">
        <v>1061</v>
      </c>
    </row>
    <row r="10216" spans="1:3" ht="15">
      <c r="A10216" s="84" t="s">
        <v>253</v>
      </c>
      <c r="B10216" s="83" t="s">
        <v>2648</v>
      </c>
      <c r="C10216" s="91" t="s">
        <v>1061</v>
      </c>
    </row>
    <row r="10217" spans="1:3" ht="15">
      <c r="A10217" s="84" t="s">
        <v>253</v>
      </c>
      <c r="B10217" s="83" t="s">
        <v>2831</v>
      </c>
      <c r="C10217" s="91" t="s">
        <v>1061</v>
      </c>
    </row>
    <row r="10218" spans="1:3" ht="15">
      <c r="A10218" s="84" t="s">
        <v>253</v>
      </c>
      <c r="B10218" s="83" t="s">
        <v>2636</v>
      </c>
      <c r="C10218" s="91" t="s">
        <v>1061</v>
      </c>
    </row>
    <row r="10219" spans="1:3" ht="15">
      <c r="A10219" s="84" t="s">
        <v>253</v>
      </c>
      <c r="B10219" s="83" t="s">
        <v>2863</v>
      </c>
      <c r="C10219" s="91" t="s">
        <v>1061</v>
      </c>
    </row>
    <row r="10220" spans="1:3" ht="15">
      <c r="A10220" s="84" t="s">
        <v>253</v>
      </c>
      <c r="B10220" s="83" t="s">
        <v>2607</v>
      </c>
      <c r="C10220" s="91" t="s">
        <v>1061</v>
      </c>
    </row>
    <row r="10221" spans="1:3" ht="15">
      <c r="A10221" s="84" t="s">
        <v>253</v>
      </c>
      <c r="B10221" s="83" t="s">
        <v>3376</v>
      </c>
      <c r="C10221" s="91" t="s">
        <v>1061</v>
      </c>
    </row>
    <row r="10222" spans="1:3" ht="15">
      <c r="A10222" s="84" t="s">
        <v>253</v>
      </c>
      <c r="B10222" s="83" t="s">
        <v>3377</v>
      </c>
      <c r="C10222" s="91" t="s">
        <v>1061</v>
      </c>
    </row>
    <row r="10223" spans="1:3" ht="15">
      <c r="A10223" s="84" t="s">
        <v>253</v>
      </c>
      <c r="B10223" s="83" t="s">
        <v>2720</v>
      </c>
      <c r="C10223" s="91" t="s">
        <v>1061</v>
      </c>
    </row>
    <row r="10224" spans="1:3" ht="15">
      <c r="A10224" s="84" t="s">
        <v>253</v>
      </c>
      <c r="B10224" s="83" t="s">
        <v>3378</v>
      </c>
      <c r="C10224" s="91" t="s">
        <v>1061</v>
      </c>
    </row>
    <row r="10225" spans="1:3" ht="15">
      <c r="A10225" s="84" t="s">
        <v>253</v>
      </c>
      <c r="B10225" s="83" t="s">
        <v>3184</v>
      </c>
      <c r="C10225" s="91" t="s">
        <v>1061</v>
      </c>
    </row>
    <row r="10226" spans="1:3" ht="15">
      <c r="A10226" s="84" t="s">
        <v>253</v>
      </c>
      <c r="B10226" s="83" t="s">
        <v>2581</v>
      </c>
      <c r="C10226" s="91" t="s">
        <v>1061</v>
      </c>
    </row>
    <row r="10227" spans="1:3" ht="15">
      <c r="A10227" s="84" t="s">
        <v>253</v>
      </c>
      <c r="B10227" s="83" t="s">
        <v>3379</v>
      </c>
      <c r="C10227" s="91" t="s">
        <v>1061</v>
      </c>
    </row>
    <row r="10228" spans="1:3" ht="15">
      <c r="A10228" s="84" t="s">
        <v>253</v>
      </c>
      <c r="B10228" s="83" t="s">
        <v>3380</v>
      </c>
      <c r="C10228" s="91" t="s">
        <v>1061</v>
      </c>
    </row>
    <row r="10229" spans="1:3" ht="15">
      <c r="A10229" s="84" t="s">
        <v>253</v>
      </c>
      <c r="B10229" s="83" t="s">
        <v>3381</v>
      </c>
      <c r="C10229" s="91" t="s">
        <v>1061</v>
      </c>
    </row>
    <row r="10230" spans="1:3" ht="15">
      <c r="A10230" s="84" t="s">
        <v>253</v>
      </c>
      <c r="B10230" s="83" t="s">
        <v>3281</v>
      </c>
      <c r="C10230" s="91" t="s">
        <v>1061</v>
      </c>
    </row>
    <row r="10231" spans="1:3" ht="15">
      <c r="A10231" s="84" t="s">
        <v>253</v>
      </c>
      <c r="B10231" s="83" t="s">
        <v>1597</v>
      </c>
      <c r="C10231" s="91" t="s">
        <v>1061</v>
      </c>
    </row>
    <row r="10232" spans="1:3" ht="15">
      <c r="A10232" s="84" t="s">
        <v>253</v>
      </c>
      <c r="B10232" s="83" t="s">
        <v>3382</v>
      </c>
      <c r="C10232" s="91" t="s">
        <v>1061</v>
      </c>
    </row>
    <row r="10233" spans="1:3" ht="15">
      <c r="A10233" s="84" t="s">
        <v>253</v>
      </c>
      <c r="B10233" s="83" t="s">
        <v>3383</v>
      </c>
      <c r="C10233" s="91" t="s">
        <v>1061</v>
      </c>
    </row>
    <row r="10234" spans="1:3" ht="15">
      <c r="A10234" s="84" t="s">
        <v>253</v>
      </c>
      <c r="B10234" s="83" t="s">
        <v>3384</v>
      </c>
      <c r="C10234" s="91" t="s">
        <v>1061</v>
      </c>
    </row>
    <row r="10235" spans="1:3" ht="15">
      <c r="A10235" s="84" t="s">
        <v>253</v>
      </c>
      <c r="B10235" s="83" t="s">
        <v>3385</v>
      </c>
      <c r="C10235" s="91" t="s">
        <v>1061</v>
      </c>
    </row>
    <row r="10236" spans="1:3" ht="15">
      <c r="A10236" s="84" t="s">
        <v>253</v>
      </c>
      <c r="B10236" s="83" t="s">
        <v>586</v>
      </c>
      <c r="C10236" s="91" t="s">
        <v>1061</v>
      </c>
    </row>
    <row r="10237" spans="1:3" ht="15">
      <c r="A10237" s="84" t="s">
        <v>253</v>
      </c>
      <c r="B10237" s="83" t="s">
        <v>3386</v>
      </c>
      <c r="C10237" s="91" t="s">
        <v>1061</v>
      </c>
    </row>
    <row r="10238" spans="1:3" ht="15">
      <c r="A10238" s="84" t="s">
        <v>253</v>
      </c>
      <c r="B10238" s="83" t="s">
        <v>3298</v>
      </c>
      <c r="C10238" s="91" t="s">
        <v>1061</v>
      </c>
    </row>
    <row r="10239" spans="1:3" ht="15">
      <c r="A10239" s="84" t="s">
        <v>253</v>
      </c>
      <c r="B10239" s="83" t="s">
        <v>2873</v>
      </c>
      <c r="C10239" s="91" t="s">
        <v>1061</v>
      </c>
    </row>
    <row r="10240" spans="1:3" ht="15">
      <c r="A10240" s="84" t="s">
        <v>253</v>
      </c>
      <c r="B10240" s="83" t="s">
        <v>3387</v>
      </c>
      <c r="C10240" s="91" t="s">
        <v>1061</v>
      </c>
    </row>
    <row r="10241" spans="1:3" ht="15">
      <c r="A10241" s="84" t="s">
        <v>387</v>
      </c>
      <c r="B10241" s="83" t="s">
        <v>3433</v>
      </c>
      <c r="C10241" s="91" t="s">
        <v>1254</v>
      </c>
    </row>
    <row r="10242" spans="1:3" ht="15">
      <c r="A10242" s="84" t="s">
        <v>387</v>
      </c>
      <c r="B10242" s="83" t="s">
        <v>2834</v>
      </c>
      <c r="C10242" s="91" t="s">
        <v>1254</v>
      </c>
    </row>
    <row r="10243" spans="1:3" ht="15">
      <c r="A10243" s="84" t="s">
        <v>387</v>
      </c>
      <c r="B10243" s="83" t="s">
        <v>2835</v>
      </c>
      <c r="C10243" s="91" t="s">
        <v>1254</v>
      </c>
    </row>
    <row r="10244" spans="1:3" ht="15">
      <c r="A10244" s="84" t="s">
        <v>387</v>
      </c>
      <c r="B10244" s="83" t="s">
        <v>2580</v>
      </c>
      <c r="C10244" s="91" t="s">
        <v>1254</v>
      </c>
    </row>
    <row r="10245" spans="1:3" ht="15">
      <c r="A10245" s="84" t="s">
        <v>387</v>
      </c>
      <c r="B10245" s="83" t="s">
        <v>2836</v>
      </c>
      <c r="C10245" s="91" t="s">
        <v>1254</v>
      </c>
    </row>
    <row r="10246" spans="1:3" ht="15">
      <c r="A10246" s="84" t="s">
        <v>387</v>
      </c>
      <c r="B10246" s="83" t="s">
        <v>2837</v>
      </c>
      <c r="C10246" s="91" t="s">
        <v>1254</v>
      </c>
    </row>
    <row r="10247" spans="1:3" ht="15">
      <c r="A10247" s="84" t="s">
        <v>387</v>
      </c>
      <c r="B10247" s="83" t="s">
        <v>2738</v>
      </c>
      <c r="C10247" s="91" t="s">
        <v>1254</v>
      </c>
    </row>
    <row r="10248" spans="1:3" ht="15">
      <c r="A10248" s="84" t="s">
        <v>387</v>
      </c>
      <c r="B10248" s="83" t="s">
        <v>3210</v>
      </c>
      <c r="C10248" s="91" t="s">
        <v>1254</v>
      </c>
    </row>
    <row r="10249" spans="1:3" ht="15">
      <c r="A10249" s="84" t="s">
        <v>387</v>
      </c>
      <c r="B10249" s="83">
        <v>19</v>
      </c>
      <c r="C10249" s="91" t="s">
        <v>1254</v>
      </c>
    </row>
    <row r="10250" spans="1:3" ht="15">
      <c r="A10250" s="84" t="s">
        <v>387</v>
      </c>
      <c r="B10250" s="83" t="s">
        <v>2591</v>
      </c>
      <c r="C10250" s="91" t="s">
        <v>1254</v>
      </c>
    </row>
    <row r="10251" spans="1:3" ht="15">
      <c r="A10251" s="84" t="s">
        <v>387</v>
      </c>
      <c r="B10251" s="83" t="s">
        <v>2718</v>
      </c>
      <c r="C10251" s="91" t="s">
        <v>1254</v>
      </c>
    </row>
    <row r="10252" spans="1:3" ht="15">
      <c r="A10252" s="84" t="s">
        <v>387</v>
      </c>
      <c r="B10252" s="83" t="s">
        <v>3199</v>
      </c>
      <c r="C10252" s="91" t="s">
        <v>1254</v>
      </c>
    </row>
    <row r="10253" spans="1:3" ht="15">
      <c r="A10253" s="84" t="s">
        <v>387</v>
      </c>
      <c r="B10253" s="83" t="s">
        <v>2577</v>
      </c>
      <c r="C10253" s="91" t="s">
        <v>1254</v>
      </c>
    </row>
    <row r="10254" spans="1:3" ht="15">
      <c r="A10254" s="84" t="s">
        <v>387</v>
      </c>
      <c r="B10254" s="83" t="s">
        <v>2838</v>
      </c>
      <c r="C10254" s="91" t="s">
        <v>1254</v>
      </c>
    </row>
    <row r="10255" spans="1:3" ht="15">
      <c r="A10255" s="84" t="s">
        <v>387</v>
      </c>
      <c r="B10255" s="83" t="s">
        <v>2586</v>
      </c>
      <c r="C10255" s="91" t="s">
        <v>1254</v>
      </c>
    </row>
    <row r="10256" spans="1:3" ht="15">
      <c r="A10256" s="84" t="s">
        <v>387</v>
      </c>
      <c r="B10256" s="83" t="s">
        <v>2839</v>
      </c>
      <c r="C10256" s="91" t="s">
        <v>1254</v>
      </c>
    </row>
    <row r="10257" spans="1:3" ht="15">
      <c r="A10257" s="84" t="s">
        <v>387</v>
      </c>
      <c r="B10257" s="83" t="s">
        <v>2840</v>
      </c>
      <c r="C10257" s="91" t="s">
        <v>1254</v>
      </c>
    </row>
    <row r="10258" spans="1:3" ht="15">
      <c r="A10258" s="84" t="s">
        <v>387</v>
      </c>
      <c r="B10258" s="83" t="s">
        <v>2841</v>
      </c>
      <c r="C10258" s="91" t="s">
        <v>1254</v>
      </c>
    </row>
    <row r="10259" spans="1:3" ht="15">
      <c r="A10259" s="84" t="s">
        <v>387</v>
      </c>
      <c r="B10259" s="83" t="s">
        <v>2774</v>
      </c>
      <c r="C10259" s="91" t="s">
        <v>1254</v>
      </c>
    </row>
    <row r="10260" spans="1:3" ht="15">
      <c r="A10260" s="84" t="s">
        <v>387</v>
      </c>
      <c r="B10260" s="83" t="s">
        <v>2775</v>
      </c>
      <c r="C10260" s="91" t="s">
        <v>1254</v>
      </c>
    </row>
    <row r="10261" spans="1:3" ht="15">
      <c r="A10261" s="84" t="s">
        <v>387</v>
      </c>
      <c r="B10261" s="83" t="s">
        <v>2842</v>
      </c>
      <c r="C10261" s="91" t="s">
        <v>1254</v>
      </c>
    </row>
    <row r="10262" spans="1:3" ht="15">
      <c r="A10262" s="84" t="s">
        <v>387</v>
      </c>
      <c r="B10262" s="83" t="s">
        <v>2607</v>
      </c>
      <c r="C10262" s="91" t="s">
        <v>1254</v>
      </c>
    </row>
    <row r="10263" spans="1:3" ht="15">
      <c r="A10263" s="84" t="s">
        <v>387</v>
      </c>
      <c r="B10263" s="83" t="s">
        <v>3225</v>
      </c>
      <c r="C10263" s="91" t="s">
        <v>1254</v>
      </c>
    </row>
    <row r="10264" spans="1:3" ht="15">
      <c r="A10264" s="84" t="s">
        <v>387</v>
      </c>
      <c r="B10264" s="83" t="s">
        <v>3434</v>
      </c>
      <c r="C10264" s="91" t="s">
        <v>1254</v>
      </c>
    </row>
    <row r="10265" spans="1:3" ht="15">
      <c r="A10265" s="84" t="s">
        <v>387</v>
      </c>
      <c r="B10265" s="83" t="s">
        <v>3435</v>
      </c>
      <c r="C10265" s="91" t="s">
        <v>1254</v>
      </c>
    </row>
    <row r="10266" spans="1:3" ht="15">
      <c r="A10266" s="84" t="s">
        <v>387</v>
      </c>
      <c r="B10266" s="83" t="s">
        <v>2843</v>
      </c>
      <c r="C10266" s="91" t="s">
        <v>1254</v>
      </c>
    </row>
    <row r="10267" spans="1:3" ht="15">
      <c r="A10267" s="84" t="s">
        <v>387</v>
      </c>
      <c r="B10267" s="83" t="s">
        <v>3198</v>
      </c>
      <c r="C10267" s="91" t="s">
        <v>1254</v>
      </c>
    </row>
    <row r="10268" spans="1:3" ht="15">
      <c r="A10268" s="84" t="s">
        <v>387</v>
      </c>
      <c r="B10268" s="83" t="s">
        <v>3214</v>
      </c>
      <c r="C10268" s="91" t="s">
        <v>1254</v>
      </c>
    </row>
    <row r="10269" spans="1:3" ht="15">
      <c r="A10269" s="84" t="s">
        <v>387</v>
      </c>
      <c r="B10269" s="83" t="s">
        <v>3319</v>
      </c>
      <c r="C10269" s="91" t="s">
        <v>1254</v>
      </c>
    </row>
    <row r="10270" spans="1:3" ht="15">
      <c r="A10270" s="84" t="s">
        <v>387</v>
      </c>
      <c r="B10270" s="83" t="s">
        <v>3431</v>
      </c>
      <c r="C10270" s="91" t="s">
        <v>1253</v>
      </c>
    </row>
    <row r="10271" spans="1:3" ht="15">
      <c r="A10271" s="84" t="s">
        <v>387</v>
      </c>
      <c r="B10271" s="83" t="s">
        <v>3210</v>
      </c>
      <c r="C10271" s="91" t="s">
        <v>1253</v>
      </c>
    </row>
    <row r="10272" spans="1:3" ht="15">
      <c r="A10272" s="84" t="s">
        <v>387</v>
      </c>
      <c r="B10272" s="83">
        <v>19</v>
      </c>
      <c r="C10272" s="91" t="s">
        <v>1253</v>
      </c>
    </row>
    <row r="10273" spans="1:3" ht="15">
      <c r="A10273" s="84" t="s">
        <v>387</v>
      </c>
      <c r="B10273" s="83" t="s">
        <v>2591</v>
      </c>
      <c r="C10273" s="91" t="s">
        <v>1253</v>
      </c>
    </row>
    <row r="10274" spans="1:3" ht="15">
      <c r="A10274" s="84" t="s">
        <v>387</v>
      </c>
      <c r="B10274" s="83" t="s">
        <v>2718</v>
      </c>
      <c r="C10274" s="91" t="s">
        <v>1253</v>
      </c>
    </row>
    <row r="10275" spans="1:3" ht="15">
      <c r="A10275" s="84" t="s">
        <v>387</v>
      </c>
      <c r="B10275" s="83" t="s">
        <v>3432</v>
      </c>
      <c r="C10275" s="91" t="s">
        <v>1253</v>
      </c>
    </row>
    <row r="10276" spans="1:3" ht="15">
      <c r="A10276" s="84" t="s">
        <v>387</v>
      </c>
      <c r="B10276" s="83" t="s">
        <v>2647</v>
      </c>
      <c r="C10276" s="91" t="s">
        <v>1253</v>
      </c>
    </row>
    <row r="10277" spans="1:3" ht="15">
      <c r="A10277" s="84" t="s">
        <v>387</v>
      </c>
      <c r="B10277" s="83" t="s">
        <v>2910</v>
      </c>
      <c r="C10277" s="91" t="s">
        <v>1253</v>
      </c>
    </row>
    <row r="10278" spans="1:3" ht="15">
      <c r="A10278" s="84" t="s">
        <v>387</v>
      </c>
      <c r="B10278" s="83" t="s">
        <v>2911</v>
      </c>
      <c r="C10278" s="91" t="s">
        <v>1253</v>
      </c>
    </row>
    <row r="10279" spans="1:3" ht="15">
      <c r="A10279" s="84" t="s">
        <v>387</v>
      </c>
      <c r="B10279" s="83" t="s">
        <v>2590</v>
      </c>
      <c r="C10279" s="91" t="s">
        <v>1253</v>
      </c>
    </row>
    <row r="10280" spans="1:3" ht="15">
      <c r="A10280" s="84" t="s">
        <v>387</v>
      </c>
      <c r="B10280" s="83" t="s">
        <v>2607</v>
      </c>
      <c r="C10280" s="91" t="s">
        <v>1253</v>
      </c>
    </row>
    <row r="10281" spans="1:3" ht="15">
      <c r="A10281" s="84" t="s">
        <v>387</v>
      </c>
      <c r="B10281" s="83" t="s">
        <v>2912</v>
      </c>
      <c r="C10281" s="91" t="s">
        <v>1253</v>
      </c>
    </row>
    <row r="10282" spans="1:3" ht="15">
      <c r="A10282" s="84" t="s">
        <v>387</v>
      </c>
      <c r="B10282" s="83" t="s">
        <v>3227</v>
      </c>
      <c r="C10282" s="91" t="s">
        <v>1253</v>
      </c>
    </row>
    <row r="10283" spans="1:3" ht="15">
      <c r="A10283" s="84" t="s">
        <v>387</v>
      </c>
      <c r="B10283" s="83" t="s">
        <v>3225</v>
      </c>
      <c r="C10283" s="91" t="s">
        <v>1253</v>
      </c>
    </row>
    <row r="10284" spans="1:3" ht="15">
      <c r="A10284" s="84" t="s">
        <v>387</v>
      </c>
      <c r="B10284" s="83" t="s">
        <v>3327</v>
      </c>
      <c r="C10284" s="91" t="s">
        <v>1253</v>
      </c>
    </row>
    <row r="10285" spans="1:3" ht="15">
      <c r="A10285" s="84" t="s">
        <v>387</v>
      </c>
      <c r="B10285" s="83" t="s">
        <v>3199</v>
      </c>
      <c r="C10285" s="91" t="s">
        <v>1253</v>
      </c>
    </row>
    <row r="10286" spans="1:3" ht="15">
      <c r="A10286" s="84" t="s">
        <v>387</v>
      </c>
      <c r="B10286" s="83" t="s">
        <v>3313</v>
      </c>
      <c r="C10286" s="91" t="s">
        <v>1253</v>
      </c>
    </row>
    <row r="10287" spans="1:3" ht="15">
      <c r="A10287" s="84" t="s">
        <v>387</v>
      </c>
      <c r="B10287" s="83" t="s">
        <v>3424</v>
      </c>
      <c r="C10287" s="91" t="s">
        <v>1253</v>
      </c>
    </row>
    <row r="10288" spans="1:3" ht="15">
      <c r="A10288" s="84" t="s">
        <v>387</v>
      </c>
      <c r="B10288" s="83" t="s">
        <v>586</v>
      </c>
      <c r="C10288" s="91" t="s">
        <v>1253</v>
      </c>
    </row>
    <row r="10289" spans="1:3" ht="15">
      <c r="A10289" s="84" t="s">
        <v>252</v>
      </c>
      <c r="B10289" s="83" t="s">
        <v>3431</v>
      </c>
      <c r="C10289" s="91" t="s">
        <v>1060</v>
      </c>
    </row>
    <row r="10290" spans="1:3" ht="15">
      <c r="A10290" s="84" t="s">
        <v>252</v>
      </c>
      <c r="B10290" s="83" t="s">
        <v>3210</v>
      </c>
      <c r="C10290" s="91" t="s">
        <v>1060</v>
      </c>
    </row>
    <row r="10291" spans="1:3" ht="15">
      <c r="A10291" s="84" t="s">
        <v>252</v>
      </c>
      <c r="B10291" s="83">
        <v>19</v>
      </c>
      <c r="C10291" s="91" t="s">
        <v>1060</v>
      </c>
    </row>
    <row r="10292" spans="1:3" ht="15">
      <c r="A10292" s="84" t="s">
        <v>252</v>
      </c>
      <c r="B10292" s="83" t="s">
        <v>2591</v>
      </c>
      <c r="C10292" s="91" t="s">
        <v>1060</v>
      </c>
    </row>
    <row r="10293" spans="1:3" ht="15">
      <c r="A10293" s="84" t="s">
        <v>252</v>
      </c>
      <c r="B10293" s="83" t="s">
        <v>2718</v>
      </c>
      <c r="C10293" s="91" t="s">
        <v>1060</v>
      </c>
    </row>
    <row r="10294" spans="1:3" ht="15">
      <c r="A10294" s="84" t="s">
        <v>252</v>
      </c>
      <c r="B10294" s="83" t="s">
        <v>3432</v>
      </c>
      <c r="C10294" s="91" t="s">
        <v>1060</v>
      </c>
    </row>
    <row r="10295" spans="1:3" ht="15">
      <c r="A10295" s="84" t="s">
        <v>252</v>
      </c>
      <c r="B10295" s="83" t="s">
        <v>2647</v>
      </c>
      <c r="C10295" s="91" t="s">
        <v>1060</v>
      </c>
    </row>
    <row r="10296" spans="1:3" ht="15">
      <c r="A10296" s="84" t="s">
        <v>252</v>
      </c>
      <c r="B10296" s="83" t="s">
        <v>2910</v>
      </c>
      <c r="C10296" s="91" t="s">
        <v>1060</v>
      </c>
    </row>
    <row r="10297" spans="1:3" ht="15">
      <c r="A10297" s="84" t="s">
        <v>252</v>
      </c>
      <c r="B10297" s="83" t="s">
        <v>2911</v>
      </c>
      <c r="C10297" s="91" t="s">
        <v>1060</v>
      </c>
    </row>
    <row r="10298" spans="1:3" ht="15">
      <c r="A10298" s="84" t="s">
        <v>252</v>
      </c>
      <c r="B10298" s="83" t="s">
        <v>2590</v>
      </c>
      <c r="C10298" s="91" t="s">
        <v>1060</v>
      </c>
    </row>
    <row r="10299" spans="1:3" ht="15">
      <c r="A10299" s="84" t="s">
        <v>252</v>
      </c>
      <c r="B10299" s="83" t="s">
        <v>2607</v>
      </c>
      <c r="C10299" s="91" t="s">
        <v>1060</v>
      </c>
    </row>
    <row r="10300" spans="1:3" ht="15">
      <c r="A10300" s="84" t="s">
        <v>252</v>
      </c>
      <c r="B10300" s="83" t="s">
        <v>2912</v>
      </c>
      <c r="C10300" s="91" t="s">
        <v>1060</v>
      </c>
    </row>
    <row r="10301" spans="1:3" ht="15">
      <c r="A10301" s="84" t="s">
        <v>252</v>
      </c>
      <c r="B10301" s="83" t="s">
        <v>3227</v>
      </c>
      <c r="C10301" s="91" t="s">
        <v>1060</v>
      </c>
    </row>
    <row r="10302" spans="1:3" ht="15">
      <c r="A10302" s="84" t="s">
        <v>252</v>
      </c>
      <c r="B10302" s="83" t="s">
        <v>3225</v>
      </c>
      <c r="C10302" s="91" t="s">
        <v>1060</v>
      </c>
    </row>
    <row r="10303" spans="1:3" ht="15">
      <c r="A10303" s="84" t="s">
        <v>252</v>
      </c>
      <c r="B10303" s="83" t="s">
        <v>3327</v>
      </c>
      <c r="C10303" s="91" t="s">
        <v>1060</v>
      </c>
    </row>
    <row r="10304" spans="1:3" ht="15">
      <c r="A10304" s="84" t="s">
        <v>252</v>
      </c>
      <c r="B10304" s="83" t="s">
        <v>3199</v>
      </c>
      <c r="C10304" s="91" t="s">
        <v>1060</v>
      </c>
    </row>
    <row r="10305" spans="1:3" ht="15">
      <c r="A10305" s="84" t="s">
        <v>252</v>
      </c>
      <c r="B10305" s="83" t="s">
        <v>3313</v>
      </c>
      <c r="C10305" s="91" t="s">
        <v>1060</v>
      </c>
    </row>
    <row r="10306" spans="1:3" ht="15">
      <c r="A10306" s="84" t="s">
        <v>252</v>
      </c>
      <c r="B10306" s="83" t="s">
        <v>3424</v>
      </c>
      <c r="C10306" s="91" t="s">
        <v>1060</v>
      </c>
    </row>
    <row r="10307" spans="1:3" ht="15">
      <c r="A10307" s="84" t="s">
        <v>252</v>
      </c>
      <c r="B10307" s="83" t="s">
        <v>586</v>
      </c>
      <c r="C10307" s="91" t="s">
        <v>1060</v>
      </c>
    </row>
    <row r="10308" spans="1:3" ht="15">
      <c r="A10308" s="84" t="s">
        <v>372</v>
      </c>
      <c r="B10308" s="83" t="s">
        <v>2971</v>
      </c>
      <c r="C10308" s="91" t="s">
        <v>1223</v>
      </c>
    </row>
    <row r="10309" spans="1:3" ht="15">
      <c r="A10309" s="84" t="s">
        <v>372</v>
      </c>
      <c r="B10309" s="83" t="s">
        <v>3498</v>
      </c>
      <c r="C10309" s="91" t="s">
        <v>1223</v>
      </c>
    </row>
    <row r="10310" spans="1:3" ht="15">
      <c r="A10310" s="84" t="s">
        <v>372</v>
      </c>
      <c r="B10310" s="83" t="s">
        <v>2973</v>
      </c>
      <c r="C10310" s="91" t="s">
        <v>1223</v>
      </c>
    </row>
    <row r="10311" spans="1:3" ht="15">
      <c r="A10311" s="84" t="s">
        <v>372</v>
      </c>
      <c r="B10311" s="83" t="s">
        <v>3336</v>
      </c>
      <c r="C10311" s="91" t="s">
        <v>1223</v>
      </c>
    </row>
    <row r="10312" spans="1:3" ht="15">
      <c r="A10312" s="84" t="s">
        <v>372</v>
      </c>
      <c r="B10312" s="83" t="s">
        <v>586</v>
      </c>
      <c r="C10312" s="91" t="s">
        <v>1223</v>
      </c>
    </row>
    <row r="10313" spans="1:3" ht="15">
      <c r="A10313" s="84" t="s">
        <v>372</v>
      </c>
      <c r="B10313" s="83" t="s">
        <v>3258</v>
      </c>
      <c r="C10313" s="91" t="s">
        <v>1223</v>
      </c>
    </row>
    <row r="10314" spans="1:3" ht="15">
      <c r="A10314" s="84" t="s">
        <v>372</v>
      </c>
      <c r="B10314" s="83" t="s">
        <v>2678</v>
      </c>
      <c r="C10314" s="91" t="s">
        <v>1223</v>
      </c>
    </row>
    <row r="10315" spans="1:3" ht="15">
      <c r="A10315" s="84" t="s">
        <v>372</v>
      </c>
      <c r="B10315" s="83" t="s">
        <v>3119</v>
      </c>
      <c r="C10315" s="91" t="s">
        <v>1223</v>
      </c>
    </row>
    <row r="10316" spans="1:3" ht="15">
      <c r="A10316" s="84" t="s">
        <v>372</v>
      </c>
      <c r="B10316" s="83" t="s">
        <v>2917</v>
      </c>
      <c r="C10316" s="91" t="s">
        <v>1223</v>
      </c>
    </row>
    <row r="10317" spans="1:3" ht="15">
      <c r="A10317" s="84" t="s">
        <v>372</v>
      </c>
      <c r="B10317" s="83" t="s">
        <v>3499</v>
      </c>
      <c r="C10317" s="91" t="s">
        <v>1223</v>
      </c>
    </row>
    <row r="10318" spans="1:3" ht="15">
      <c r="A10318" s="84" t="s">
        <v>372</v>
      </c>
      <c r="B10318" s="83" t="s">
        <v>3500</v>
      </c>
      <c r="C10318" s="91" t="s">
        <v>1223</v>
      </c>
    </row>
    <row r="10319" spans="1:3" ht="15">
      <c r="A10319" s="84" t="s">
        <v>372</v>
      </c>
      <c r="B10319" s="83" t="s">
        <v>2972</v>
      </c>
      <c r="C10319" s="91" t="s">
        <v>1223</v>
      </c>
    </row>
    <row r="10320" spans="1:3" ht="15">
      <c r="A10320" s="84" t="s">
        <v>372</v>
      </c>
      <c r="B10320" s="83" t="s">
        <v>2766</v>
      </c>
      <c r="C10320" s="91" t="s">
        <v>1223</v>
      </c>
    </row>
    <row r="10321" spans="1:3" ht="15">
      <c r="A10321" s="84" t="s">
        <v>372</v>
      </c>
      <c r="B10321" s="83" t="s">
        <v>3501</v>
      </c>
      <c r="C10321" s="91" t="s">
        <v>1223</v>
      </c>
    </row>
    <row r="10322" spans="1:3" ht="15">
      <c r="A10322" s="84" t="s">
        <v>372</v>
      </c>
      <c r="B10322" s="83" t="s">
        <v>3502</v>
      </c>
      <c r="C10322" s="91" t="s">
        <v>1223</v>
      </c>
    </row>
    <row r="10323" spans="1:3" ht="15">
      <c r="A10323" s="84" t="s">
        <v>372</v>
      </c>
      <c r="B10323" s="83" t="s">
        <v>3337</v>
      </c>
      <c r="C10323" s="91" t="s">
        <v>1223</v>
      </c>
    </row>
    <row r="10324" spans="1:3" ht="15">
      <c r="A10324" s="84" t="s">
        <v>372</v>
      </c>
      <c r="B10324" s="83" t="s">
        <v>3116</v>
      </c>
      <c r="C10324" s="91" t="s">
        <v>1223</v>
      </c>
    </row>
    <row r="10325" spans="1:3" ht="15">
      <c r="A10325" s="84" t="s">
        <v>372</v>
      </c>
      <c r="B10325" s="83" t="s">
        <v>3503</v>
      </c>
      <c r="C10325" s="91" t="s">
        <v>1223</v>
      </c>
    </row>
    <row r="10326" spans="1:3" ht="15">
      <c r="A10326" s="84" t="s">
        <v>372</v>
      </c>
      <c r="B10326" s="83" t="s">
        <v>3334</v>
      </c>
      <c r="C10326" s="91" t="s">
        <v>1223</v>
      </c>
    </row>
    <row r="10327" spans="1:3" ht="15">
      <c r="A10327" s="84" t="s">
        <v>372</v>
      </c>
      <c r="B10327" s="83" t="s">
        <v>3504</v>
      </c>
      <c r="C10327" s="91" t="s">
        <v>1223</v>
      </c>
    </row>
    <row r="10328" spans="1:3" ht="15">
      <c r="A10328" s="84" t="s">
        <v>372</v>
      </c>
      <c r="B10328" s="83" t="s">
        <v>2872</v>
      </c>
      <c r="C10328" s="91" t="s">
        <v>1223</v>
      </c>
    </row>
    <row r="10329" spans="1:3" ht="15">
      <c r="A10329" s="84" t="s">
        <v>372</v>
      </c>
      <c r="B10329" s="83" t="s">
        <v>2569</v>
      </c>
      <c r="C10329" s="91" t="s">
        <v>1223</v>
      </c>
    </row>
    <row r="10330" spans="1:3" ht="15">
      <c r="A10330" s="84" t="s">
        <v>372</v>
      </c>
      <c r="B10330" s="83" t="s">
        <v>3255</v>
      </c>
      <c r="C10330" s="91" t="s">
        <v>1223</v>
      </c>
    </row>
    <row r="10331" spans="1:3" ht="15">
      <c r="A10331" s="84" t="s">
        <v>372</v>
      </c>
      <c r="B10331" s="83" t="s">
        <v>2776</v>
      </c>
      <c r="C10331" s="91" t="s">
        <v>1223</v>
      </c>
    </row>
    <row r="10332" spans="1:3" ht="15">
      <c r="A10332" s="84" t="s">
        <v>372</v>
      </c>
      <c r="B10332" s="83" t="s">
        <v>3505</v>
      </c>
      <c r="C10332" s="91" t="s">
        <v>1223</v>
      </c>
    </row>
    <row r="10333" spans="1:3" ht="15">
      <c r="A10333" s="84" t="s">
        <v>372</v>
      </c>
      <c r="B10333" s="83" t="s">
        <v>3506</v>
      </c>
      <c r="C10333" s="91" t="s">
        <v>1223</v>
      </c>
    </row>
    <row r="10334" spans="1:3" ht="15">
      <c r="A10334" s="84" t="s">
        <v>372</v>
      </c>
      <c r="B10334" s="83" t="s">
        <v>3507</v>
      </c>
      <c r="C10334" s="91" t="s">
        <v>1223</v>
      </c>
    </row>
    <row r="10335" spans="1:3" ht="15">
      <c r="A10335" s="84" t="s">
        <v>372</v>
      </c>
      <c r="B10335" s="83" t="s">
        <v>3508</v>
      </c>
      <c r="C10335" s="91" t="s">
        <v>1223</v>
      </c>
    </row>
    <row r="10336" spans="1:3" ht="15">
      <c r="A10336" s="84" t="s">
        <v>372</v>
      </c>
      <c r="B10336" s="83" t="s">
        <v>3509</v>
      </c>
      <c r="C10336" s="91" t="s">
        <v>1223</v>
      </c>
    </row>
    <row r="10337" spans="1:3" ht="15">
      <c r="A10337" s="84" t="s">
        <v>372</v>
      </c>
      <c r="B10337" s="83" t="s">
        <v>3366</v>
      </c>
      <c r="C10337" s="91" t="s">
        <v>1223</v>
      </c>
    </row>
    <row r="10338" spans="1:3" ht="15">
      <c r="A10338" s="84" t="s">
        <v>251</v>
      </c>
      <c r="B10338" s="83" t="s">
        <v>2971</v>
      </c>
      <c r="C10338" s="91" t="s">
        <v>1059</v>
      </c>
    </row>
    <row r="10339" spans="1:3" ht="15">
      <c r="A10339" s="84" t="s">
        <v>251</v>
      </c>
      <c r="B10339" s="83" t="s">
        <v>3498</v>
      </c>
      <c r="C10339" s="91" t="s">
        <v>1059</v>
      </c>
    </row>
    <row r="10340" spans="1:3" ht="15">
      <c r="A10340" s="84" t="s">
        <v>251</v>
      </c>
      <c r="B10340" s="83" t="s">
        <v>2973</v>
      </c>
      <c r="C10340" s="91" t="s">
        <v>1059</v>
      </c>
    </row>
    <row r="10341" spans="1:3" ht="15">
      <c r="A10341" s="84" t="s">
        <v>251</v>
      </c>
      <c r="B10341" s="83" t="s">
        <v>3336</v>
      </c>
      <c r="C10341" s="91" t="s">
        <v>1059</v>
      </c>
    </row>
    <row r="10342" spans="1:3" ht="15">
      <c r="A10342" s="84" t="s">
        <v>251</v>
      </c>
      <c r="B10342" s="83" t="s">
        <v>586</v>
      </c>
      <c r="C10342" s="91" t="s">
        <v>1059</v>
      </c>
    </row>
    <row r="10343" spans="1:3" ht="15">
      <c r="A10343" s="84" t="s">
        <v>251</v>
      </c>
      <c r="B10343" s="83" t="s">
        <v>3258</v>
      </c>
      <c r="C10343" s="91" t="s">
        <v>1059</v>
      </c>
    </row>
    <row r="10344" spans="1:3" ht="15">
      <c r="A10344" s="84" t="s">
        <v>251</v>
      </c>
      <c r="B10344" s="83" t="s">
        <v>2678</v>
      </c>
      <c r="C10344" s="91" t="s">
        <v>1059</v>
      </c>
    </row>
    <row r="10345" spans="1:3" ht="15">
      <c r="A10345" s="84" t="s">
        <v>251</v>
      </c>
      <c r="B10345" s="83" t="s">
        <v>3119</v>
      </c>
      <c r="C10345" s="91" t="s">
        <v>1059</v>
      </c>
    </row>
    <row r="10346" spans="1:3" ht="15">
      <c r="A10346" s="84" t="s">
        <v>251</v>
      </c>
      <c r="B10346" s="83" t="s">
        <v>2917</v>
      </c>
      <c r="C10346" s="91" t="s">
        <v>1059</v>
      </c>
    </row>
    <row r="10347" spans="1:3" ht="15">
      <c r="A10347" s="84" t="s">
        <v>251</v>
      </c>
      <c r="B10347" s="83" t="s">
        <v>3499</v>
      </c>
      <c r="C10347" s="91" t="s">
        <v>1059</v>
      </c>
    </row>
    <row r="10348" spans="1:3" ht="15">
      <c r="A10348" s="84" t="s">
        <v>251</v>
      </c>
      <c r="B10348" s="83" t="s">
        <v>3500</v>
      </c>
      <c r="C10348" s="91" t="s">
        <v>1059</v>
      </c>
    </row>
    <row r="10349" spans="1:3" ht="15">
      <c r="A10349" s="84" t="s">
        <v>251</v>
      </c>
      <c r="B10349" s="83" t="s">
        <v>2972</v>
      </c>
      <c r="C10349" s="91" t="s">
        <v>1059</v>
      </c>
    </row>
    <row r="10350" spans="1:3" ht="15">
      <c r="A10350" s="84" t="s">
        <v>251</v>
      </c>
      <c r="B10350" s="83" t="s">
        <v>2766</v>
      </c>
      <c r="C10350" s="91" t="s">
        <v>1059</v>
      </c>
    </row>
    <row r="10351" spans="1:3" ht="15">
      <c r="A10351" s="84" t="s">
        <v>251</v>
      </c>
      <c r="B10351" s="83" t="s">
        <v>3501</v>
      </c>
      <c r="C10351" s="91" t="s">
        <v>1059</v>
      </c>
    </row>
    <row r="10352" spans="1:3" ht="15">
      <c r="A10352" s="84" t="s">
        <v>251</v>
      </c>
      <c r="B10352" s="83" t="s">
        <v>3502</v>
      </c>
      <c r="C10352" s="91" t="s">
        <v>1059</v>
      </c>
    </row>
    <row r="10353" spans="1:3" ht="15">
      <c r="A10353" s="84" t="s">
        <v>251</v>
      </c>
      <c r="B10353" s="83" t="s">
        <v>3337</v>
      </c>
      <c r="C10353" s="91" t="s">
        <v>1059</v>
      </c>
    </row>
    <row r="10354" spans="1:3" ht="15">
      <c r="A10354" s="84" t="s">
        <v>251</v>
      </c>
      <c r="B10354" s="83" t="s">
        <v>3116</v>
      </c>
      <c r="C10354" s="91" t="s">
        <v>1059</v>
      </c>
    </row>
    <row r="10355" spans="1:3" ht="15">
      <c r="A10355" s="84" t="s">
        <v>251</v>
      </c>
      <c r="B10355" s="83" t="s">
        <v>3503</v>
      </c>
      <c r="C10355" s="91" t="s">
        <v>1059</v>
      </c>
    </row>
    <row r="10356" spans="1:3" ht="15">
      <c r="A10356" s="84" t="s">
        <v>251</v>
      </c>
      <c r="B10356" s="83" t="s">
        <v>3334</v>
      </c>
      <c r="C10356" s="91" t="s">
        <v>1059</v>
      </c>
    </row>
    <row r="10357" spans="1:3" ht="15">
      <c r="A10357" s="84" t="s">
        <v>251</v>
      </c>
      <c r="B10357" s="83" t="s">
        <v>3504</v>
      </c>
      <c r="C10357" s="91" t="s">
        <v>1059</v>
      </c>
    </row>
    <row r="10358" spans="1:3" ht="15">
      <c r="A10358" s="84" t="s">
        <v>251</v>
      </c>
      <c r="B10358" s="83" t="s">
        <v>2872</v>
      </c>
      <c r="C10358" s="91" t="s">
        <v>1059</v>
      </c>
    </row>
    <row r="10359" spans="1:3" ht="15">
      <c r="A10359" s="84" t="s">
        <v>251</v>
      </c>
      <c r="B10359" s="83" t="s">
        <v>2569</v>
      </c>
      <c r="C10359" s="91" t="s">
        <v>1059</v>
      </c>
    </row>
    <row r="10360" spans="1:3" ht="15">
      <c r="A10360" s="84" t="s">
        <v>251</v>
      </c>
      <c r="B10360" s="83" t="s">
        <v>3255</v>
      </c>
      <c r="C10360" s="91" t="s">
        <v>1059</v>
      </c>
    </row>
    <row r="10361" spans="1:3" ht="15">
      <c r="A10361" s="84" t="s">
        <v>251</v>
      </c>
      <c r="B10361" s="83" t="s">
        <v>2776</v>
      </c>
      <c r="C10361" s="91" t="s">
        <v>1059</v>
      </c>
    </row>
    <row r="10362" spans="1:3" ht="15">
      <c r="A10362" s="84" t="s">
        <v>251</v>
      </c>
      <c r="B10362" s="83" t="s">
        <v>3505</v>
      </c>
      <c r="C10362" s="91" t="s">
        <v>1059</v>
      </c>
    </row>
    <row r="10363" spans="1:3" ht="15">
      <c r="A10363" s="84" t="s">
        <v>251</v>
      </c>
      <c r="B10363" s="83" t="s">
        <v>3506</v>
      </c>
      <c r="C10363" s="91" t="s">
        <v>1059</v>
      </c>
    </row>
    <row r="10364" spans="1:3" ht="15">
      <c r="A10364" s="84" t="s">
        <v>251</v>
      </c>
      <c r="B10364" s="83" t="s">
        <v>3507</v>
      </c>
      <c r="C10364" s="91" t="s">
        <v>1059</v>
      </c>
    </row>
    <row r="10365" spans="1:3" ht="15">
      <c r="A10365" s="84" t="s">
        <v>251</v>
      </c>
      <c r="B10365" s="83" t="s">
        <v>3508</v>
      </c>
      <c r="C10365" s="91" t="s">
        <v>1059</v>
      </c>
    </row>
    <row r="10366" spans="1:3" ht="15">
      <c r="A10366" s="84" t="s">
        <v>251</v>
      </c>
      <c r="B10366" s="83" t="s">
        <v>3509</v>
      </c>
      <c r="C10366" s="91" t="s">
        <v>1059</v>
      </c>
    </row>
    <row r="10367" spans="1:3" ht="15">
      <c r="A10367" s="84" t="s">
        <v>251</v>
      </c>
      <c r="B10367" s="83" t="s">
        <v>3366</v>
      </c>
      <c r="C10367" s="91" t="s">
        <v>1059</v>
      </c>
    </row>
    <row r="10368" spans="1:3" ht="15">
      <c r="A10368" s="84" t="s">
        <v>250</v>
      </c>
      <c r="B10368" s="83" t="s">
        <v>3641</v>
      </c>
      <c r="C10368" s="91" t="s">
        <v>1058</v>
      </c>
    </row>
    <row r="10369" spans="1:3" ht="15">
      <c r="A10369" s="84" t="s">
        <v>250</v>
      </c>
      <c r="B10369" s="83" t="s">
        <v>2952</v>
      </c>
      <c r="C10369" s="91" t="s">
        <v>1058</v>
      </c>
    </row>
    <row r="10370" spans="1:3" ht="15">
      <c r="A10370" s="84" t="s">
        <v>250</v>
      </c>
      <c r="B10370" s="83" t="s">
        <v>3313</v>
      </c>
      <c r="C10370" s="91" t="s">
        <v>1058</v>
      </c>
    </row>
    <row r="10371" spans="1:3" ht="15">
      <c r="A10371" s="84" t="s">
        <v>250</v>
      </c>
      <c r="B10371" s="83" t="s">
        <v>586</v>
      </c>
      <c r="C10371" s="91" t="s">
        <v>1058</v>
      </c>
    </row>
    <row r="10372" spans="1:3" ht="15">
      <c r="A10372" s="84" t="s">
        <v>250</v>
      </c>
      <c r="B10372" s="83" t="s">
        <v>3319</v>
      </c>
      <c r="C10372" s="91" t="s">
        <v>1058</v>
      </c>
    </row>
    <row r="10373" spans="1:3" ht="15">
      <c r="A10373" s="84" t="s">
        <v>250</v>
      </c>
      <c r="B10373" s="83" t="s">
        <v>2719</v>
      </c>
      <c r="C10373" s="91" t="s">
        <v>1058</v>
      </c>
    </row>
    <row r="10374" spans="1:3" ht="15">
      <c r="A10374" s="84" t="s">
        <v>250</v>
      </c>
      <c r="B10374" s="83" t="s">
        <v>2653</v>
      </c>
      <c r="C10374" s="91" t="s">
        <v>1058</v>
      </c>
    </row>
    <row r="10375" spans="1:3" ht="15">
      <c r="A10375" s="84" t="s">
        <v>250</v>
      </c>
      <c r="B10375" s="83" t="s">
        <v>2665</v>
      </c>
      <c r="C10375" s="91" t="s">
        <v>1058</v>
      </c>
    </row>
    <row r="10376" spans="1:3" ht="15">
      <c r="A10376" s="84" t="s">
        <v>250</v>
      </c>
      <c r="B10376" s="83" t="s">
        <v>2590</v>
      </c>
      <c r="C10376" s="91" t="s">
        <v>1058</v>
      </c>
    </row>
    <row r="10377" spans="1:3" ht="15">
      <c r="A10377" s="84" t="s">
        <v>250</v>
      </c>
      <c r="B10377" s="83" t="s">
        <v>2953</v>
      </c>
      <c r="C10377" s="91" t="s">
        <v>1058</v>
      </c>
    </row>
    <row r="10378" spans="1:3" ht="15">
      <c r="A10378" s="84" t="s">
        <v>250</v>
      </c>
      <c r="B10378" s="83" t="s">
        <v>2591</v>
      </c>
      <c r="C10378" s="91" t="s">
        <v>1058</v>
      </c>
    </row>
    <row r="10379" spans="1:3" ht="15">
      <c r="A10379" s="84" t="s">
        <v>250</v>
      </c>
      <c r="B10379" s="83" t="s">
        <v>2582</v>
      </c>
      <c r="C10379" s="91" t="s">
        <v>1058</v>
      </c>
    </row>
    <row r="10380" spans="1:3" ht="15">
      <c r="A10380" s="84" t="s">
        <v>250</v>
      </c>
      <c r="B10380" s="83" t="s">
        <v>2578</v>
      </c>
      <c r="C10380" s="91" t="s">
        <v>1058</v>
      </c>
    </row>
    <row r="10381" spans="1:3" ht="15">
      <c r="A10381" s="84" t="s">
        <v>250</v>
      </c>
      <c r="B10381" s="83" t="s">
        <v>2954</v>
      </c>
      <c r="C10381" s="91" t="s">
        <v>1058</v>
      </c>
    </row>
    <row r="10382" spans="1:3" ht="15">
      <c r="A10382" s="84" t="s">
        <v>250</v>
      </c>
      <c r="B10382" s="83" t="s">
        <v>2955</v>
      </c>
      <c r="C10382" s="91" t="s">
        <v>1058</v>
      </c>
    </row>
    <row r="10383" spans="1:3" ht="15">
      <c r="A10383" s="84" t="s">
        <v>250</v>
      </c>
      <c r="B10383" s="83" t="s">
        <v>2956</v>
      </c>
      <c r="C10383" s="91" t="s">
        <v>1058</v>
      </c>
    </row>
    <row r="10384" spans="1:3" ht="15">
      <c r="A10384" s="84" t="s">
        <v>250</v>
      </c>
      <c r="B10384" s="83" t="s">
        <v>2568</v>
      </c>
      <c r="C10384" s="91" t="s">
        <v>1058</v>
      </c>
    </row>
    <row r="10385" spans="1:3" ht="15">
      <c r="A10385" s="84" t="s">
        <v>250</v>
      </c>
      <c r="B10385" s="83" t="s">
        <v>2894</v>
      </c>
      <c r="C10385" s="91" t="s">
        <v>1058</v>
      </c>
    </row>
    <row r="10386" spans="1:3" ht="15">
      <c r="A10386" s="84" t="s">
        <v>250</v>
      </c>
      <c r="B10386" s="83" t="s">
        <v>2957</v>
      </c>
      <c r="C10386" s="91" t="s">
        <v>1058</v>
      </c>
    </row>
    <row r="10387" spans="1:3" ht="15">
      <c r="A10387" s="84" t="s">
        <v>250</v>
      </c>
      <c r="B10387" s="83" t="s">
        <v>3203</v>
      </c>
      <c r="C10387" s="91" t="s">
        <v>1058</v>
      </c>
    </row>
    <row r="10388" spans="1:3" ht="15">
      <c r="A10388" s="84" t="s">
        <v>250</v>
      </c>
      <c r="B10388" s="83" t="s">
        <v>2958</v>
      </c>
      <c r="C10388" s="91" t="s">
        <v>1058</v>
      </c>
    </row>
    <row r="10389" spans="1:3" ht="15">
      <c r="A10389" s="84" t="s">
        <v>250</v>
      </c>
      <c r="B10389" s="83" t="s">
        <v>2959</v>
      </c>
      <c r="C10389" s="91" t="s">
        <v>1058</v>
      </c>
    </row>
    <row r="10390" spans="1:3" ht="15">
      <c r="A10390" s="84" t="s">
        <v>250</v>
      </c>
      <c r="B10390" s="83" t="s">
        <v>3642</v>
      </c>
      <c r="C10390" s="91" t="s">
        <v>1058</v>
      </c>
    </row>
    <row r="10391" spans="1:3" ht="15">
      <c r="A10391" s="84" t="s">
        <v>250</v>
      </c>
      <c r="B10391" s="83" t="s">
        <v>2961</v>
      </c>
      <c r="C10391" s="91" t="s">
        <v>1058</v>
      </c>
    </row>
    <row r="10392" spans="1:3" ht="15">
      <c r="A10392" s="84" t="s">
        <v>250</v>
      </c>
      <c r="B10392" s="83" t="s">
        <v>2777</v>
      </c>
      <c r="C10392" s="91" t="s">
        <v>1058</v>
      </c>
    </row>
    <row r="10393" spans="1:3" ht="15">
      <c r="A10393" s="84" t="s">
        <v>250</v>
      </c>
      <c r="B10393" s="83" t="s">
        <v>3643</v>
      </c>
      <c r="C10393" s="91" t="s">
        <v>1058</v>
      </c>
    </row>
    <row r="10394" spans="1:3" ht="15">
      <c r="A10394" s="84" t="s">
        <v>250</v>
      </c>
      <c r="B10394" s="83" t="s">
        <v>2963</v>
      </c>
      <c r="C10394" s="91" t="s">
        <v>1058</v>
      </c>
    </row>
    <row r="10395" spans="1:3" ht="15">
      <c r="A10395" s="84" t="s">
        <v>249</v>
      </c>
      <c r="B10395" s="83" t="s">
        <v>3436</v>
      </c>
      <c r="C10395" s="91" t="s">
        <v>1057</v>
      </c>
    </row>
    <row r="10396" spans="1:3" ht="15">
      <c r="A10396" s="84" t="s">
        <v>249</v>
      </c>
      <c r="B10396" s="83" t="s">
        <v>2682</v>
      </c>
      <c r="C10396" s="91" t="s">
        <v>1057</v>
      </c>
    </row>
    <row r="10397" spans="1:3" ht="15">
      <c r="A10397" s="84" t="s">
        <v>249</v>
      </c>
      <c r="B10397" s="83" t="s">
        <v>2582</v>
      </c>
      <c r="C10397" s="91" t="s">
        <v>1057</v>
      </c>
    </row>
    <row r="10398" spans="1:3" ht="15">
      <c r="A10398" s="84" t="s">
        <v>249</v>
      </c>
      <c r="B10398" s="83" t="s">
        <v>3437</v>
      </c>
      <c r="C10398" s="91" t="s">
        <v>1057</v>
      </c>
    </row>
    <row r="10399" spans="1:3" ht="15">
      <c r="A10399" s="84" t="s">
        <v>249</v>
      </c>
      <c r="B10399" s="83" t="s">
        <v>3438</v>
      </c>
      <c r="C10399" s="91" t="s">
        <v>1057</v>
      </c>
    </row>
    <row r="10400" spans="1:3" ht="15">
      <c r="A10400" s="84" t="s">
        <v>249</v>
      </c>
      <c r="B10400" s="83" t="s">
        <v>2685</v>
      </c>
      <c r="C10400" s="91" t="s">
        <v>1057</v>
      </c>
    </row>
    <row r="10401" spans="1:3" ht="15">
      <c r="A10401" s="84" t="s">
        <v>249</v>
      </c>
      <c r="B10401" s="83">
        <v>106</v>
      </c>
      <c r="C10401" s="91" t="s">
        <v>1057</v>
      </c>
    </row>
    <row r="10402" spans="1:3" ht="15">
      <c r="A10402" s="84" t="s">
        <v>249</v>
      </c>
      <c r="B10402" s="83" t="s">
        <v>2687</v>
      </c>
      <c r="C10402" s="91" t="s">
        <v>1057</v>
      </c>
    </row>
    <row r="10403" spans="1:3" ht="15">
      <c r="A10403" s="84" t="s">
        <v>249</v>
      </c>
      <c r="B10403" s="83" t="s">
        <v>2688</v>
      </c>
      <c r="C10403" s="91" t="s">
        <v>1057</v>
      </c>
    </row>
    <row r="10404" spans="1:3" ht="15">
      <c r="A10404" s="84" t="s">
        <v>249</v>
      </c>
      <c r="B10404" s="83" t="s">
        <v>3439</v>
      </c>
      <c r="C10404" s="91" t="s">
        <v>1057</v>
      </c>
    </row>
    <row r="10405" spans="1:3" ht="15">
      <c r="A10405" s="84" t="s">
        <v>249</v>
      </c>
      <c r="B10405" s="83" t="s">
        <v>3440</v>
      </c>
      <c r="C10405" s="91" t="s">
        <v>1057</v>
      </c>
    </row>
    <row r="10406" spans="1:3" ht="15">
      <c r="A10406" s="84" t="s">
        <v>249</v>
      </c>
      <c r="B10406" s="83" t="s">
        <v>3213</v>
      </c>
      <c r="C10406" s="91" t="s">
        <v>1057</v>
      </c>
    </row>
    <row r="10407" spans="1:3" ht="15">
      <c r="A10407" s="84" t="s">
        <v>249</v>
      </c>
      <c r="B10407" s="83" t="s">
        <v>3194</v>
      </c>
      <c r="C10407" s="91" t="s">
        <v>1057</v>
      </c>
    </row>
    <row r="10408" spans="1:3" ht="15">
      <c r="A10408" s="84" t="s">
        <v>249</v>
      </c>
      <c r="B10408" s="83" t="s">
        <v>3214</v>
      </c>
      <c r="C10408" s="91" t="s">
        <v>1057</v>
      </c>
    </row>
    <row r="10409" spans="1:3" ht="15">
      <c r="A10409" s="84" t="s">
        <v>249</v>
      </c>
      <c r="B10409" s="83" t="s">
        <v>3441</v>
      </c>
      <c r="C10409" s="91" t="s">
        <v>1057</v>
      </c>
    </row>
    <row r="10410" spans="1:3" ht="15">
      <c r="A10410" s="84" t="s">
        <v>249</v>
      </c>
      <c r="B10410" s="83" t="s">
        <v>3412</v>
      </c>
      <c r="C10410" s="91" t="s">
        <v>1057</v>
      </c>
    </row>
    <row r="10411" spans="1:3" ht="15">
      <c r="A10411" s="84" t="s">
        <v>249</v>
      </c>
      <c r="B10411" s="83" t="s">
        <v>3199</v>
      </c>
      <c r="C10411" s="91" t="s">
        <v>1057</v>
      </c>
    </row>
    <row r="10412" spans="1:3" ht="15">
      <c r="A10412" s="84" t="s">
        <v>249</v>
      </c>
      <c r="B10412" s="83" t="s">
        <v>3442</v>
      </c>
      <c r="C10412" s="91" t="s">
        <v>1057</v>
      </c>
    </row>
    <row r="10413" spans="1:3" ht="15">
      <c r="A10413" s="84" t="s">
        <v>249</v>
      </c>
      <c r="B10413" s="83" t="s">
        <v>3223</v>
      </c>
      <c r="C10413" s="91" t="s">
        <v>1057</v>
      </c>
    </row>
    <row r="10414" spans="1:3" ht="15">
      <c r="A10414" s="84" t="s">
        <v>249</v>
      </c>
      <c r="B10414" s="83" t="s">
        <v>3443</v>
      </c>
      <c r="C10414" s="91" t="s">
        <v>1057</v>
      </c>
    </row>
    <row r="10415" spans="1:3" ht="15">
      <c r="A10415" s="84" t="s">
        <v>249</v>
      </c>
      <c r="B10415" s="83" t="s">
        <v>3444</v>
      </c>
      <c r="C10415" s="91" t="s">
        <v>1057</v>
      </c>
    </row>
    <row r="10416" spans="1:3" ht="15">
      <c r="A10416" s="84" t="s">
        <v>249</v>
      </c>
      <c r="B10416" s="83" t="s">
        <v>381</v>
      </c>
      <c r="C10416" s="91" t="s">
        <v>1057</v>
      </c>
    </row>
    <row r="10417" spans="1:3" ht="15">
      <c r="A10417" s="84" t="s">
        <v>249</v>
      </c>
      <c r="B10417" s="83" t="s">
        <v>3445</v>
      </c>
      <c r="C10417" s="91" t="s">
        <v>1057</v>
      </c>
    </row>
    <row r="10418" spans="1:3" ht="15">
      <c r="A10418" s="84" t="s">
        <v>249</v>
      </c>
      <c r="B10418" s="83" t="s">
        <v>383</v>
      </c>
      <c r="C10418" s="91" t="s">
        <v>1057</v>
      </c>
    </row>
    <row r="10419" spans="1:3" ht="15">
      <c r="A10419" s="84" t="s">
        <v>249</v>
      </c>
      <c r="B10419" s="83" t="s">
        <v>430</v>
      </c>
      <c r="C10419" s="91" t="s">
        <v>1057</v>
      </c>
    </row>
    <row r="10420" spans="1:3" ht="15">
      <c r="A10420" s="84" t="s">
        <v>249</v>
      </c>
      <c r="B10420" s="83" t="s">
        <v>3446</v>
      </c>
      <c r="C10420" s="91" t="s">
        <v>1057</v>
      </c>
    </row>
    <row r="10421" spans="1:3" ht="15">
      <c r="A10421" s="84" t="s">
        <v>249</v>
      </c>
      <c r="B10421" s="83" t="s">
        <v>3447</v>
      </c>
      <c r="C10421" s="91" t="s">
        <v>1057</v>
      </c>
    </row>
    <row r="10422" spans="1:3" ht="15">
      <c r="A10422" s="84" t="s">
        <v>248</v>
      </c>
      <c r="B10422" s="83" t="s">
        <v>3436</v>
      </c>
      <c r="C10422" s="91" t="s">
        <v>1056</v>
      </c>
    </row>
    <row r="10423" spans="1:3" ht="15">
      <c r="A10423" s="84" t="s">
        <v>248</v>
      </c>
      <c r="B10423" s="83" t="s">
        <v>2682</v>
      </c>
      <c r="C10423" s="91" t="s">
        <v>1056</v>
      </c>
    </row>
    <row r="10424" spans="1:3" ht="15">
      <c r="A10424" s="84" t="s">
        <v>248</v>
      </c>
      <c r="B10424" s="83" t="s">
        <v>2582</v>
      </c>
      <c r="C10424" s="91" t="s">
        <v>1056</v>
      </c>
    </row>
    <row r="10425" spans="1:3" ht="15">
      <c r="A10425" s="84" t="s">
        <v>248</v>
      </c>
      <c r="B10425" s="83" t="s">
        <v>3437</v>
      </c>
      <c r="C10425" s="91" t="s">
        <v>1056</v>
      </c>
    </row>
    <row r="10426" spans="1:3" ht="15">
      <c r="A10426" s="84" t="s">
        <v>248</v>
      </c>
      <c r="B10426" s="83" t="s">
        <v>3438</v>
      </c>
      <c r="C10426" s="91" t="s">
        <v>1056</v>
      </c>
    </row>
    <row r="10427" spans="1:3" ht="15">
      <c r="A10427" s="84" t="s">
        <v>248</v>
      </c>
      <c r="B10427" s="83" t="s">
        <v>2685</v>
      </c>
      <c r="C10427" s="91" t="s">
        <v>1056</v>
      </c>
    </row>
    <row r="10428" spans="1:3" ht="15">
      <c r="A10428" s="84" t="s">
        <v>248</v>
      </c>
      <c r="B10428" s="83">
        <v>106</v>
      </c>
      <c r="C10428" s="91" t="s">
        <v>1056</v>
      </c>
    </row>
    <row r="10429" spans="1:3" ht="15">
      <c r="A10429" s="84" t="s">
        <v>248</v>
      </c>
      <c r="B10429" s="83" t="s">
        <v>2687</v>
      </c>
      <c r="C10429" s="91" t="s">
        <v>1056</v>
      </c>
    </row>
    <row r="10430" spans="1:3" ht="15">
      <c r="A10430" s="84" t="s">
        <v>248</v>
      </c>
      <c r="B10430" s="83" t="s">
        <v>2688</v>
      </c>
      <c r="C10430" s="91" t="s">
        <v>1056</v>
      </c>
    </row>
    <row r="10431" spans="1:3" ht="15">
      <c r="A10431" s="84" t="s">
        <v>248</v>
      </c>
      <c r="B10431" s="83" t="s">
        <v>3439</v>
      </c>
      <c r="C10431" s="91" t="s">
        <v>1056</v>
      </c>
    </row>
    <row r="10432" spans="1:3" ht="15">
      <c r="A10432" s="84" t="s">
        <v>248</v>
      </c>
      <c r="B10432" s="83" t="s">
        <v>3440</v>
      </c>
      <c r="C10432" s="91" t="s">
        <v>1056</v>
      </c>
    </row>
    <row r="10433" spans="1:3" ht="15">
      <c r="A10433" s="84" t="s">
        <v>248</v>
      </c>
      <c r="B10433" s="83" t="s">
        <v>3213</v>
      </c>
      <c r="C10433" s="91" t="s">
        <v>1056</v>
      </c>
    </row>
    <row r="10434" spans="1:3" ht="15">
      <c r="A10434" s="84" t="s">
        <v>248</v>
      </c>
      <c r="B10434" s="83" t="s">
        <v>3194</v>
      </c>
      <c r="C10434" s="91" t="s">
        <v>1056</v>
      </c>
    </row>
    <row r="10435" spans="1:3" ht="15">
      <c r="A10435" s="84" t="s">
        <v>248</v>
      </c>
      <c r="B10435" s="83" t="s">
        <v>3214</v>
      </c>
      <c r="C10435" s="91" t="s">
        <v>1056</v>
      </c>
    </row>
    <row r="10436" spans="1:3" ht="15">
      <c r="A10436" s="84" t="s">
        <v>248</v>
      </c>
      <c r="B10436" s="83" t="s">
        <v>3441</v>
      </c>
      <c r="C10436" s="91" t="s">
        <v>1056</v>
      </c>
    </row>
    <row r="10437" spans="1:3" ht="15">
      <c r="A10437" s="84" t="s">
        <v>248</v>
      </c>
      <c r="B10437" s="83" t="s">
        <v>3412</v>
      </c>
      <c r="C10437" s="91" t="s">
        <v>1056</v>
      </c>
    </row>
    <row r="10438" spans="1:3" ht="15">
      <c r="A10438" s="84" t="s">
        <v>248</v>
      </c>
      <c r="B10438" s="83" t="s">
        <v>3199</v>
      </c>
      <c r="C10438" s="91" t="s">
        <v>1056</v>
      </c>
    </row>
    <row r="10439" spans="1:3" ht="15">
      <c r="A10439" s="84" t="s">
        <v>248</v>
      </c>
      <c r="B10439" s="83" t="s">
        <v>3442</v>
      </c>
      <c r="C10439" s="91" t="s">
        <v>1056</v>
      </c>
    </row>
    <row r="10440" spans="1:3" ht="15">
      <c r="A10440" s="84" t="s">
        <v>248</v>
      </c>
      <c r="B10440" s="83" t="s">
        <v>3223</v>
      </c>
      <c r="C10440" s="91" t="s">
        <v>1056</v>
      </c>
    </row>
    <row r="10441" spans="1:3" ht="15">
      <c r="A10441" s="84" t="s">
        <v>248</v>
      </c>
      <c r="B10441" s="83" t="s">
        <v>3443</v>
      </c>
      <c r="C10441" s="91" t="s">
        <v>1056</v>
      </c>
    </row>
    <row r="10442" spans="1:3" ht="15">
      <c r="A10442" s="84" t="s">
        <v>248</v>
      </c>
      <c r="B10442" s="83" t="s">
        <v>3444</v>
      </c>
      <c r="C10442" s="91" t="s">
        <v>1056</v>
      </c>
    </row>
    <row r="10443" spans="1:3" ht="15">
      <c r="A10443" s="84" t="s">
        <v>248</v>
      </c>
      <c r="B10443" s="83" t="s">
        <v>381</v>
      </c>
      <c r="C10443" s="91" t="s">
        <v>1056</v>
      </c>
    </row>
    <row r="10444" spans="1:3" ht="15">
      <c r="A10444" s="84" t="s">
        <v>248</v>
      </c>
      <c r="B10444" s="83" t="s">
        <v>3445</v>
      </c>
      <c r="C10444" s="91" t="s">
        <v>1056</v>
      </c>
    </row>
    <row r="10445" spans="1:3" ht="15">
      <c r="A10445" s="84" t="s">
        <v>248</v>
      </c>
      <c r="B10445" s="83" t="s">
        <v>383</v>
      </c>
      <c r="C10445" s="91" t="s">
        <v>1056</v>
      </c>
    </row>
    <row r="10446" spans="1:3" ht="15">
      <c r="A10446" s="84" t="s">
        <v>248</v>
      </c>
      <c r="B10446" s="83" t="s">
        <v>430</v>
      </c>
      <c r="C10446" s="91" t="s">
        <v>1056</v>
      </c>
    </row>
    <row r="10447" spans="1:3" ht="15">
      <c r="A10447" s="84" t="s">
        <v>248</v>
      </c>
      <c r="B10447" s="83" t="s">
        <v>3446</v>
      </c>
      <c r="C10447" s="91" t="s">
        <v>1056</v>
      </c>
    </row>
    <row r="10448" spans="1:3" ht="15">
      <c r="A10448" s="84" t="s">
        <v>248</v>
      </c>
      <c r="B10448" s="83" t="s">
        <v>3447</v>
      </c>
      <c r="C10448" s="91" t="s">
        <v>1056</v>
      </c>
    </row>
    <row r="10449" spans="1:3" ht="15">
      <c r="A10449" s="84" t="s">
        <v>247</v>
      </c>
      <c r="B10449" s="83" t="s">
        <v>3308</v>
      </c>
      <c r="C10449" s="91" t="s">
        <v>1055</v>
      </c>
    </row>
    <row r="10450" spans="1:3" ht="15">
      <c r="A10450" s="84" t="s">
        <v>247</v>
      </c>
      <c r="B10450" s="83" t="s">
        <v>2568</v>
      </c>
      <c r="C10450" s="91" t="s">
        <v>1055</v>
      </c>
    </row>
    <row r="10451" spans="1:3" ht="15">
      <c r="A10451" s="84" t="s">
        <v>247</v>
      </c>
      <c r="B10451" s="83" t="s">
        <v>3203</v>
      </c>
      <c r="C10451" s="91" t="s">
        <v>1055</v>
      </c>
    </row>
    <row r="10452" spans="1:3" ht="15">
      <c r="A10452" s="84" t="s">
        <v>247</v>
      </c>
      <c r="B10452" s="83">
        <v>19</v>
      </c>
      <c r="C10452" s="91" t="s">
        <v>1055</v>
      </c>
    </row>
    <row r="10453" spans="1:3" ht="15">
      <c r="A10453" s="84" t="s">
        <v>247</v>
      </c>
      <c r="B10453" s="83" t="s">
        <v>3309</v>
      </c>
      <c r="C10453" s="91" t="s">
        <v>1055</v>
      </c>
    </row>
    <row r="10454" spans="1:3" ht="15">
      <c r="A10454" s="84" t="s">
        <v>247</v>
      </c>
      <c r="B10454" s="83" t="s">
        <v>2666</v>
      </c>
      <c r="C10454" s="91" t="s">
        <v>1055</v>
      </c>
    </row>
    <row r="10455" spans="1:3" ht="15">
      <c r="A10455" s="84" t="s">
        <v>247</v>
      </c>
      <c r="B10455" s="83" t="s">
        <v>2630</v>
      </c>
      <c r="C10455" s="91" t="s">
        <v>1055</v>
      </c>
    </row>
    <row r="10456" spans="1:3" ht="15">
      <c r="A10456" s="84" t="s">
        <v>247</v>
      </c>
      <c r="B10456" s="83" t="s">
        <v>2676</v>
      </c>
      <c r="C10456" s="91" t="s">
        <v>1055</v>
      </c>
    </row>
    <row r="10457" spans="1:3" ht="15">
      <c r="A10457" s="84" t="s">
        <v>247</v>
      </c>
      <c r="B10457" s="83" t="s">
        <v>2580</v>
      </c>
      <c r="C10457" s="91" t="s">
        <v>1055</v>
      </c>
    </row>
    <row r="10458" spans="1:3" ht="15">
      <c r="A10458" s="84" t="s">
        <v>247</v>
      </c>
      <c r="B10458" s="83" t="s">
        <v>2677</v>
      </c>
      <c r="C10458" s="91" t="s">
        <v>1055</v>
      </c>
    </row>
    <row r="10459" spans="1:3" ht="15">
      <c r="A10459" s="84" t="s">
        <v>247</v>
      </c>
      <c r="B10459" s="83" t="s">
        <v>3310</v>
      </c>
      <c r="C10459" s="91" t="s">
        <v>1055</v>
      </c>
    </row>
    <row r="10460" spans="1:3" ht="15">
      <c r="A10460" s="84" t="s">
        <v>247</v>
      </c>
      <c r="B10460" s="83" t="s">
        <v>3282</v>
      </c>
      <c r="C10460" s="91" t="s">
        <v>1055</v>
      </c>
    </row>
    <row r="10461" spans="1:3" ht="15">
      <c r="A10461" s="84" t="s">
        <v>247</v>
      </c>
      <c r="B10461" s="83" t="s">
        <v>3311</v>
      </c>
      <c r="C10461" s="91" t="s">
        <v>1055</v>
      </c>
    </row>
    <row r="10462" spans="1:3" ht="15">
      <c r="A10462" s="84" t="s">
        <v>247</v>
      </c>
      <c r="B10462" s="83" t="s">
        <v>2577</v>
      </c>
      <c r="C10462" s="91" t="s">
        <v>1055</v>
      </c>
    </row>
    <row r="10463" spans="1:3" ht="15">
      <c r="A10463" s="84" t="s">
        <v>247</v>
      </c>
      <c r="B10463" s="83" t="s">
        <v>2658</v>
      </c>
      <c r="C10463" s="91" t="s">
        <v>1055</v>
      </c>
    </row>
    <row r="10464" spans="1:3" ht="15">
      <c r="A10464" s="84" t="s">
        <v>247</v>
      </c>
      <c r="B10464" s="83" t="s">
        <v>2653</v>
      </c>
      <c r="C10464" s="91" t="s">
        <v>1055</v>
      </c>
    </row>
    <row r="10465" spans="1:3" ht="15">
      <c r="A10465" s="84" t="s">
        <v>247</v>
      </c>
      <c r="B10465" s="83" t="s">
        <v>2667</v>
      </c>
      <c r="C10465" s="91" t="s">
        <v>1055</v>
      </c>
    </row>
    <row r="10466" spans="1:3" ht="15">
      <c r="A10466" s="84" t="s">
        <v>247</v>
      </c>
      <c r="B10466" s="83" t="s">
        <v>2578</v>
      </c>
      <c r="C10466" s="91" t="s">
        <v>1055</v>
      </c>
    </row>
    <row r="10467" spans="1:3" ht="15">
      <c r="A10467" s="84" t="s">
        <v>247</v>
      </c>
      <c r="B10467" s="83" t="s">
        <v>2678</v>
      </c>
      <c r="C10467" s="91" t="s">
        <v>1055</v>
      </c>
    </row>
    <row r="10468" spans="1:3" ht="15">
      <c r="A10468" s="84" t="s">
        <v>247</v>
      </c>
      <c r="B10468" s="83" t="s">
        <v>3312</v>
      </c>
      <c r="C10468" s="91" t="s">
        <v>1055</v>
      </c>
    </row>
    <row r="10469" spans="1:3" ht="15">
      <c r="A10469" s="84" t="s">
        <v>247</v>
      </c>
      <c r="B10469" s="83" t="s">
        <v>3290</v>
      </c>
      <c r="C10469" s="91" t="s">
        <v>1055</v>
      </c>
    </row>
    <row r="10470" spans="1:3" ht="15">
      <c r="A10470" s="84" t="s">
        <v>247</v>
      </c>
      <c r="B10470" s="83" t="s">
        <v>3313</v>
      </c>
      <c r="C10470" s="91" t="s">
        <v>1055</v>
      </c>
    </row>
    <row r="10471" spans="1:3" ht="15">
      <c r="A10471" s="84" t="s">
        <v>247</v>
      </c>
      <c r="B10471" s="83" t="s">
        <v>3314</v>
      </c>
      <c r="C10471" s="91" t="s">
        <v>1055</v>
      </c>
    </row>
    <row r="10472" spans="1:3" ht="15">
      <c r="A10472" s="84" t="s">
        <v>247</v>
      </c>
      <c r="B10472" s="83" t="s">
        <v>3315</v>
      </c>
      <c r="C10472" s="91" t="s">
        <v>1055</v>
      </c>
    </row>
    <row r="10473" spans="1:3" ht="15">
      <c r="A10473" s="84" t="s">
        <v>247</v>
      </c>
      <c r="B10473" s="83" t="s">
        <v>586</v>
      </c>
      <c r="C10473" s="91" t="s">
        <v>1055</v>
      </c>
    </row>
    <row r="10474" spans="1:3" ht="15">
      <c r="A10474" s="84" t="s">
        <v>247</v>
      </c>
      <c r="B10474" s="83" t="s">
        <v>3258</v>
      </c>
      <c r="C10474" s="91" t="s">
        <v>1055</v>
      </c>
    </row>
    <row r="10475" spans="1:3" ht="15">
      <c r="A10475" s="84" t="s">
        <v>246</v>
      </c>
      <c r="B10475" s="83" t="s">
        <v>3436</v>
      </c>
      <c r="C10475" s="91" t="s">
        <v>1054</v>
      </c>
    </row>
    <row r="10476" spans="1:3" ht="15">
      <c r="A10476" s="84" t="s">
        <v>246</v>
      </c>
      <c r="B10476" s="83" t="s">
        <v>2682</v>
      </c>
      <c r="C10476" s="91" t="s">
        <v>1054</v>
      </c>
    </row>
    <row r="10477" spans="1:3" ht="15">
      <c r="A10477" s="84" t="s">
        <v>246</v>
      </c>
      <c r="B10477" s="83" t="s">
        <v>2582</v>
      </c>
      <c r="C10477" s="91" t="s">
        <v>1054</v>
      </c>
    </row>
    <row r="10478" spans="1:3" ht="15">
      <c r="A10478" s="84" t="s">
        <v>246</v>
      </c>
      <c r="B10478" s="83" t="s">
        <v>3437</v>
      </c>
      <c r="C10478" s="91" t="s">
        <v>1054</v>
      </c>
    </row>
    <row r="10479" spans="1:3" ht="15">
      <c r="A10479" s="84" t="s">
        <v>246</v>
      </c>
      <c r="B10479" s="83" t="s">
        <v>3438</v>
      </c>
      <c r="C10479" s="91" t="s">
        <v>1054</v>
      </c>
    </row>
    <row r="10480" spans="1:3" ht="15">
      <c r="A10480" s="84" t="s">
        <v>246</v>
      </c>
      <c r="B10480" s="83" t="s">
        <v>2685</v>
      </c>
      <c r="C10480" s="91" t="s">
        <v>1054</v>
      </c>
    </row>
    <row r="10481" spans="1:3" ht="15">
      <c r="A10481" s="84" t="s">
        <v>246</v>
      </c>
      <c r="B10481" s="83">
        <v>106</v>
      </c>
      <c r="C10481" s="91" t="s">
        <v>1054</v>
      </c>
    </row>
    <row r="10482" spans="1:3" ht="15">
      <c r="A10482" s="84" t="s">
        <v>246</v>
      </c>
      <c r="B10482" s="83" t="s">
        <v>2687</v>
      </c>
      <c r="C10482" s="91" t="s">
        <v>1054</v>
      </c>
    </row>
    <row r="10483" spans="1:3" ht="15">
      <c r="A10483" s="84" t="s">
        <v>246</v>
      </c>
      <c r="B10483" s="83" t="s">
        <v>2688</v>
      </c>
      <c r="C10483" s="91" t="s">
        <v>1054</v>
      </c>
    </row>
    <row r="10484" spans="1:3" ht="15">
      <c r="A10484" s="84" t="s">
        <v>246</v>
      </c>
      <c r="B10484" s="83" t="s">
        <v>3439</v>
      </c>
      <c r="C10484" s="91" t="s">
        <v>1054</v>
      </c>
    </row>
    <row r="10485" spans="1:3" ht="15">
      <c r="A10485" s="84" t="s">
        <v>246</v>
      </c>
      <c r="B10485" s="83" t="s">
        <v>3440</v>
      </c>
      <c r="C10485" s="91" t="s">
        <v>1054</v>
      </c>
    </row>
    <row r="10486" spans="1:3" ht="15">
      <c r="A10486" s="84" t="s">
        <v>246</v>
      </c>
      <c r="B10486" s="83" t="s">
        <v>3213</v>
      </c>
      <c r="C10486" s="91" t="s">
        <v>1054</v>
      </c>
    </row>
    <row r="10487" spans="1:3" ht="15">
      <c r="A10487" s="84" t="s">
        <v>246</v>
      </c>
      <c r="B10487" s="83" t="s">
        <v>3194</v>
      </c>
      <c r="C10487" s="91" t="s">
        <v>1054</v>
      </c>
    </row>
    <row r="10488" spans="1:3" ht="15">
      <c r="A10488" s="84" t="s">
        <v>246</v>
      </c>
      <c r="B10488" s="83" t="s">
        <v>3214</v>
      </c>
      <c r="C10488" s="91" t="s">
        <v>1054</v>
      </c>
    </row>
    <row r="10489" spans="1:3" ht="15">
      <c r="A10489" s="84" t="s">
        <v>246</v>
      </c>
      <c r="B10489" s="83" t="s">
        <v>3441</v>
      </c>
      <c r="C10489" s="91" t="s">
        <v>1054</v>
      </c>
    </row>
    <row r="10490" spans="1:3" ht="15">
      <c r="A10490" s="84" t="s">
        <v>246</v>
      </c>
      <c r="B10490" s="83" t="s">
        <v>3412</v>
      </c>
      <c r="C10490" s="91" t="s">
        <v>1054</v>
      </c>
    </row>
    <row r="10491" spans="1:3" ht="15">
      <c r="A10491" s="84" t="s">
        <v>246</v>
      </c>
      <c r="B10491" s="83" t="s">
        <v>3199</v>
      </c>
      <c r="C10491" s="91" t="s">
        <v>1054</v>
      </c>
    </row>
    <row r="10492" spans="1:3" ht="15">
      <c r="A10492" s="84" t="s">
        <v>246</v>
      </c>
      <c r="B10492" s="83" t="s">
        <v>3442</v>
      </c>
      <c r="C10492" s="91" t="s">
        <v>1054</v>
      </c>
    </row>
    <row r="10493" spans="1:3" ht="15">
      <c r="A10493" s="84" t="s">
        <v>246</v>
      </c>
      <c r="B10493" s="83" t="s">
        <v>3223</v>
      </c>
      <c r="C10493" s="91" t="s">
        <v>1054</v>
      </c>
    </row>
    <row r="10494" spans="1:3" ht="15">
      <c r="A10494" s="84" t="s">
        <v>246</v>
      </c>
      <c r="B10494" s="83" t="s">
        <v>3443</v>
      </c>
      <c r="C10494" s="91" t="s">
        <v>1054</v>
      </c>
    </row>
    <row r="10495" spans="1:3" ht="15">
      <c r="A10495" s="84" t="s">
        <v>246</v>
      </c>
      <c r="B10495" s="83" t="s">
        <v>3444</v>
      </c>
      <c r="C10495" s="91" t="s">
        <v>1054</v>
      </c>
    </row>
    <row r="10496" spans="1:3" ht="15">
      <c r="A10496" s="84" t="s">
        <v>246</v>
      </c>
      <c r="B10496" s="83" t="s">
        <v>381</v>
      </c>
      <c r="C10496" s="91" t="s">
        <v>1054</v>
      </c>
    </row>
    <row r="10497" spans="1:3" ht="15">
      <c r="A10497" s="84" t="s">
        <v>246</v>
      </c>
      <c r="B10497" s="83" t="s">
        <v>3445</v>
      </c>
      <c r="C10497" s="91" t="s">
        <v>1054</v>
      </c>
    </row>
    <row r="10498" spans="1:3" ht="15">
      <c r="A10498" s="84" t="s">
        <v>246</v>
      </c>
      <c r="B10498" s="83" t="s">
        <v>383</v>
      </c>
      <c r="C10498" s="91" t="s">
        <v>1054</v>
      </c>
    </row>
    <row r="10499" spans="1:3" ht="15">
      <c r="A10499" s="84" t="s">
        <v>246</v>
      </c>
      <c r="B10499" s="83" t="s">
        <v>430</v>
      </c>
      <c r="C10499" s="91" t="s">
        <v>1054</v>
      </c>
    </row>
    <row r="10500" spans="1:3" ht="15">
      <c r="A10500" s="84" t="s">
        <v>246</v>
      </c>
      <c r="B10500" s="83" t="s">
        <v>3446</v>
      </c>
      <c r="C10500" s="91" t="s">
        <v>1054</v>
      </c>
    </row>
    <row r="10501" spans="1:3" ht="15">
      <c r="A10501" s="84" t="s">
        <v>246</v>
      </c>
      <c r="B10501" s="83" t="s">
        <v>3447</v>
      </c>
      <c r="C10501" s="91" t="s">
        <v>1054</v>
      </c>
    </row>
    <row r="10502" spans="1:3" ht="15">
      <c r="A10502" s="84" t="s">
        <v>245</v>
      </c>
      <c r="B10502" s="83" t="s">
        <v>3308</v>
      </c>
      <c r="C10502" s="91" t="s">
        <v>1053</v>
      </c>
    </row>
    <row r="10503" spans="1:3" ht="15">
      <c r="A10503" s="84" t="s">
        <v>245</v>
      </c>
      <c r="B10503" s="83" t="s">
        <v>2568</v>
      </c>
      <c r="C10503" s="91" t="s">
        <v>1053</v>
      </c>
    </row>
    <row r="10504" spans="1:3" ht="15">
      <c r="A10504" s="84" t="s">
        <v>245</v>
      </c>
      <c r="B10504" s="83" t="s">
        <v>3203</v>
      </c>
      <c r="C10504" s="91" t="s">
        <v>1053</v>
      </c>
    </row>
    <row r="10505" spans="1:3" ht="15">
      <c r="A10505" s="84" t="s">
        <v>245</v>
      </c>
      <c r="B10505" s="83">
        <v>19</v>
      </c>
      <c r="C10505" s="91" t="s">
        <v>1053</v>
      </c>
    </row>
    <row r="10506" spans="1:3" ht="15">
      <c r="A10506" s="84" t="s">
        <v>245</v>
      </c>
      <c r="B10506" s="83" t="s">
        <v>3309</v>
      </c>
      <c r="C10506" s="91" t="s">
        <v>1053</v>
      </c>
    </row>
    <row r="10507" spans="1:3" ht="15">
      <c r="A10507" s="84" t="s">
        <v>245</v>
      </c>
      <c r="B10507" s="83" t="s">
        <v>2666</v>
      </c>
      <c r="C10507" s="91" t="s">
        <v>1053</v>
      </c>
    </row>
    <row r="10508" spans="1:3" ht="15">
      <c r="A10508" s="84" t="s">
        <v>245</v>
      </c>
      <c r="B10508" s="83" t="s">
        <v>2630</v>
      </c>
      <c r="C10508" s="91" t="s">
        <v>1053</v>
      </c>
    </row>
    <row r="10509" spans="1:3" ht="15">
      <c r="A10509" s="84" t="s">
        <v>245</v>
      </c>
      <c r="B10509" s="83" t="s">
        <v>2676</v>
      </c>
      <c r="C10509" s="91" t="s">
        <v>1053</v>
      </c>
    </row>
    <row r="10510" spans="1:3" ht="15">
      <c r="A10510" s="84" t="s">
        <v>245</v>
      </c>
      <c r="B10510" s="83" t="s">
        <v>2580</v>
      </c>
      <c r="C10510" s="91" t="s">
        <v>1053</v>
      </c>
    </row>
    <row r="10511" spans="1:3" ht="15">
      <c r="A10511" s="84" t="s">
        <v>245</v>
      </c>
      <c r="B10511" s="83" t="s">
        <v>2677</v>
      </c>
      <c r="C10511" s="91" t="s">
        <v>1053</v>
      </c>
    </row>
    <row r="10512" spans="1:3" ht="15">
      <c r="A10512" s="84" t="s">
        <v>245</v>
      </c>
      <c r="B10512" s="83" t="s">
        <v>3310</v>
      </c>
      <c r="C10512" s="91" t="s">
        <v>1053</v>
      </c>
    </row>
    <row r="10513" spans="1:3" ht="15">
      <c r="A10513" s="84" t="s">
        <v>245</v>
      </c>
      <c r="B10513" s="83" t="s">
        <v>3282</v>
      </c>
      <c r="C10513" s="91" t="s">
        <v>1053</v>
      </c>
    </row>
    <row r="10514" spans="1:3" ht="15">
      <c r="A10514" s="84" t="s">
        <v>245</v>
      </c>
      <c r="B10514" s="83" t="s">
        <v>3311</v>
      </c>
      <c r="C10514" s="91" t="s">
        <v>1053</v>
      </c>
    </row>
    <row r="10515" spans="1:3" ht="15">
      <c r="A10515" s="84" t="s">
        <v>245</v>
      </c>
      <c r="B10515" s="83" t="s">
        <v>2577</v>
      </c>
      <c r="C10515" s="91" t="s">
        <v>1053</v>
      </c>
    </row>
    <row r="10516" spans="1:3" ht="15">
      <c r="A10516" s="84" t="s">
        <v>245</v>
      </c>
      <c r="B10516" s="83" t="s">
        <v>2658</v>
      </c>
      <c r="C10516" s="91" t="s">
        <v>1053</v>
      </c>
    </row>
    <row r="10517" spans="1:3" ht="15">
      <c r="A10517" s="84" t="s">
        <v>245</v>
      </c>
      <c r="B10517" s="83" t="s">
        <v>2653</v>
      </c>
      <c r="C10517" s="91" t="s">
        <v>1053</v>
      </c>
    </row>
    <row r="10518" spans="1:3" ht="15">
      <c r="A10518" s="84" t="s">
        <v>245</v>
      </c>
      <c r="B10518" s="83" t="s">
        <v>2667</v>
      </c>
      <c r="C10518" s="91" t="s">
        <v>1053</v>
      </c>
    </row>
    <row r="10519" spans="1:3" ht="15">
      <c r="A10519" s="84" t="s">
        <v>245</v>
      </c>
      <c r="B10519" s="83" t="s">
        <v>2578</v>
      </c>
      <c r="C10519" s="91" t="s">
        <v>1053</v>
      </c>
    </row>
    <row r="10520" spans="1:3" ht="15">
      <c r="A10520" s="84" t="s">
        <v>245</v>
      </c>
      <c r="B10520" s="83" t="s">
        <v>2678</v>
      </c>
      <c r="C10520" s="91" t="s">
        <v>1053</v>
      </c>
    </row>
    <row r="10521" spans="1:3" ht="15">
      <c r="A10521" s="84" t="s">
        <v>245</v>
      </c>
      <c r="B10521" s="83" t="s">
        <v>3312</v>
      </c>
      <c r="C10521" s="91" t="s">
        <v>1053</v>
      </c>
    </row>
    <row r="10522" spans="1:3" ht="15">
      <c r="A10522" s="84" t="s">
        <v>245</v>
      </c>
      <c r="B10522" s="83" t="s">
        <v>3290</v>
      </c>
      <c r="C10522" s="91" t="s">
        <v>1053</v>
      </c>
    </row>
    <row r="10523" spans="1:3" ht="15">
      <c r="A10523" s="84" t="s">
        <v>245</v>
      </c>
      <c r="B10523" s="83" t="s">
        <v>3313</v>
      </c>
      <c r="C10523" s="91" t="s">
        <v>1053</v>
      </c>
    </row>
    <row r="10524" spans="1:3" ht="15">
      <c r="A10524" s="84" t="s">
        <v>245</v>
      </c>
      <c r="B10524" s="83" t="s">
        <v>3314</v>
      </c>
      <c r="C10524" s="91" t="s">
        <v>1053</v>
      </c>
    </row>
    <row r="10525" spans="1:3" ht="15">
      <c r="A10525" s="84" t="s">
        <v>245</v>
      </c>
      <c r="B10525" s="83" t="s">
        <v>3315</v>
      </c>
      <c r="C10525" s="91" t="s">
        <v>1053</v>
      </c>
    </row>
    <row r="10526" spans="1:3" ht="15">
      <c r="A10526" s="84" t="s">
        <v>245</v>
      </c>
      <c r="B10526" s="83" t="s">
        <v>586</v>
      </c>
      <c r="C10526" s="91" t="s">
        <v>1053</v>
      </c>
    </row>
    <row r="10527" spans="1:3" ht="15">
      <c r="A10527" s="84" t="s">
        <v>245</v>
      </c>
      <c r="B10527" s="83" t="s">
        <v>3258</v>
      </c>
      <c r="C10527" s="91" t="s">
        <v>1053</v>
      </c>
    </row>
    <row r="10528" spans="1:3" ht="15">
      <c r="A10528" s="84" t="s">
        <v>244</v>
      </c>
      <c r="B10528" s="83" t="s">
        <v>3308</v>
      </c>
      <c r="C10528" s="91" t="s">
        <v>1052</v>
      </c>
    </row>
    <row r="10529" spans="1:3" ht="15">
      <c r="A10529" s="84" t="s">
        <v>244</v>
      </c>
      <c r="B10529" s="83" t="s">
        <v>2568</v>
      </c>
      <c r="C10529" s="91" t="s">
        <v>1052</v>
      </c>
    </row>
    <row r="10530" spans="1:3" ht="15">
      <c r="A10530" s="84" t="s">
        <v>244</v>
      </c>
      <c r="B10530" s="83" t="s">
        <v>3203</v>
      </c>
      <c r="C10530" s="91" t="s">
        <v>1052</v>
      </c>
    </row>
    <row r="10531" spans="1:3" ht="15">
      <c r="A10531" s="84" t="s">
        <v>244</v>
      </c>
      <c r="B10531" s="83">
        <v>19</v>
      </c>
      <c r="C10531" s="91" t="s">
        <v>1052</v>
      </c>
    </row>
    <row r="10532" spans="1:3" ht="15">
      <c r="A10532" s="84" t="s">
        <v>244</v>
      </c>
      <c r="B10532" s="83" t="s">
        <v>3309</v>
      </c>
      <c r="C10532" s="91" t="s">
        <v>1052</v>
      </c>
    </row>
    <row r="10533" spans="1:3" ht="15">
      <c r="A10533" s="84" t="s">
        <v>244</v>
      </c>
      <c r="B10533" s="83" t="s">
        <v>2666</v>
      </c>
      <c r="C10533" s="91" t="s">
        <v>1052</v>
      </c>
    </row>
    <row r="10534" spans="1:3" ht="15">
      <c r="A10534" s="84" t="s">
        <v>244</v>
      </c>
      <c r="B10534" s="83" t="s">
        <v>2630</v>
      </c>
      <c r="C10534" s="91" t="s">
        <v>1052</v>
      </c>
    </row>
    <row r="10535" spans="1:3" ht="15">
      <c r="A10535" s="84" t="s">
        <v>244</v>
      </c>
      <c r="B10535" s="83" t="s">
        <v>2676</v>
      </c>
      <c r="C10535" s="91" t="s">
        <v>1052</v>
      </c>
    </row>
    <row r="10536" spans="1:3" ht="15">
      <c r="A10536" s="84" t="s">
        <v>244</v>
      </c>
      <c r="B10536" s="83" t="s">
        <v>2580</v>
      </c>
      <c r="C10536" s="91" t="s">
        <v>1052</v>
      </c>
    </row>
    <row r="10537" spans="1:3" ht="15">
      <c r="A10537" s="84" t="s">
        <v>244</v>
      </c>
      <c r="B10537" s="83" t="s">
        <v>2677</v>
      </c>
      <c r="C10537" s="91" t="s">
        <v>1052</v>
      </c>
    </row>
    <row r="10538" spans="1:3" ht="15">
      <c r="A10538" s="84" t="s">
        <v>244</v>
      </c>
      <c r="B10538" s="83" t="s">
        <v>3310</v>
      </c>
      <c r="C10538" s="91" t="s">
        <v>1052</v>
      </c>
    </row>
    <row r="10539" spans="1:3" ht="15">
      <c r="A10539" s="84" t="s">
        <v>244</v>
      </c>
      <c r="B10539" s="83" t="s">
        <v>3282</v>
      </c>
      <c r="C10539" s="91" t="s">
        <v>1052</v>
      </c>
    </row>
    <row r="10540" spans="1:3" ht="15">
      <c r="A10540" s="84" t="s">
        <v>244</v>
      </c>
      <c r="B10540" s="83" t="s">
        <v>3311</v>
      </c>
      <c r="C10540" s="91" t="s">
        <v>1052</v>
      </c>
    </row>
    <row r="10541" spans="1:3" ht="15">
      <c r="A10541" s="84" t="s">
        <v>244</v>
      </c>
      <c r="B10541" s="83" t="s">
        <v>2577</v>
      </c>
      <c r="C10541" s="91" t="s">
        <v>1052</v>
      </c>
    </row>
    <row r="10542" spans="1:3" ht="15">
      <c r="A10542" s="84" t="s">
        <v>244</v>
      </c>
      <c r="B10542" s="83" t="s">
        <v>2658</v>
      </c>
      <c r="C10542" s="91" t="s">
        <v>1052</v>
      </c>
    </row>
    <row r="10543" spans="1:3" ht="15">
      <c r="A10543" s="84" t="s">
        <v>244</v>
      </c>
      <c r="B10543" s="83" t="s">
        <v>2653</v>
      </c>
      <c r="C10543" s="91" t="s">
        <v>1052</v>
      </c>
    </row>
    <row r="10544" spans="1:3" ht="15">
      <c r="A10544" s="84" t="s">
        <v>244</v>
      </c>
      <c r="B10544" s="83" t="s">
        <v>2667</v>
      </c>
      <c r="C10544" s="91" t="s">
        <v>1052</v>
      </c>
    </row>
    <row r="10545" spans="1:3" ht="15">
      <c r="A10545" s="84" t="s">
        <v>244</v>
      </c>
      <c r="B10545" s="83" t="s">
        <v>2578</v>
      </c>
      <c r="C10545" s="91" t="s">
        <v>1052</v>
      </c>
    </row>
    <row r="10546" spans="1:3" ht="15">
      <c r="A10546" s="84" t="s">
        <v>244</v>
      </c>
      <c r="B10546" s="83" t="s">
        <v>2678</v>
      </c>
      <c r="C10546" s="91" t="s">
        <v>1052</v>
      </c>
    </row>
    <row r="10547" spans="1:3" ht="15">
      <c r="A10547" s="84" t="s">
        <v>244</v>
      </c>
      <c r="B10547" s="83" t="s">
        <v>3312</v>
      </c>
      <c r="C10547" s="91" t="s">
        <v>1052</v>
      </c>
    </row>
    <row r="10548" spans="1:3" ht="15">
      <c r="A10548" s="84" t="s">
        <v>244</v>
      </c>
      <c r="B10548" s="83" t="s">
        <v>3290</v>
      </c>
      <c r="C10548" s="91" t="s">
        <v>1052</v>
      </c>
    </row>
    <row r="10549" spans="1:3" ht="15">
      <c r="A10549" s="84" t="s">
        <v>244</v>
      </c>
      <c r="B10549" s="83" t="s">
        <v>3313</v>
      </c>
      <c r="C10549" s="91" t="s">
        <v>1052</v>
      </c>
    </row>
    <row r="10550" spans="1:3" ht="15">
      <c r="A10550" s="84" t="s">
        <v>244</v>
      </c>
      <c r="B10550" s="83" t="s">
        <v>3314</v>
      </c>
      <c r="C10550" s="91" t="s">
        <v>1052</v>
      </c>
    </row>
    <row r="10551" spans="1:3" ht="15">
      <c r="A10551" s="84" t="s">
        <v>244</v>
      </c>
      <c r="B10551" s="83" t="s">
        <v>3315</v>
      </c>
      <c r="C10551" s="91" t="s">
        <v>1052</v>
      </c>
    </row>
    <row r="10552" spans="1:3" ht="15">
      <c r="A10552" s="84" t="s">
        <v>244</v>
      </c>
      <c r="B10552" s="83" t="s">
        <v>586</v>
      </c>
      <c r="C10552" s="91" t="s">
        <v>1052</v>
      </c>
    </row>
    <row r="10553" spans="1:3" ht="15">
      <c r="A10553" s="84" t="s">
        <v>244</v>
      </c>
      <c r="B10553" s="83" t="s">
        <v>3258</v>
      </c>
      <c r="C10553" s="91" t="s">
        <v>1052</v>
      </c>
    </row>
    <row r="10554" spans="1:3" ht="15">
      <c r="A10554" s="84" t="s">
        <v>243</v>
      </c>
      <c r="B10554" s="83" t="s">
        <v>3308</v>
      </c>
      <c r="C10554" s="91" t="s">
        <v>1051</v>
      </c>
    </row>
    <row r="10555" spans="1:3" ht="15">
      <c r="A10555" s="84" t="s">
        <v>243</v>
      </c>
      <c r="B10555" s="83" t="s">
        <v>2568</v>
      </c>
      <c r="C10555" s="91" t="s">
        <v>1051</v>
      </c>
    </row>
    <row r="10556" spans="1:3" ht="15">
      <c r="A10556" s="84" t="s">
        <v>243</v>
      </c>
      <c r="B10556" s="83" t="s">
        <v>3203</v>
      </c>
      <c r="C10556" s="91" t="s">
        <v>1051</v>
      </c>
    </row>
    <row r="10557" spans="1:3" ht="15">
      <c r="A10557" s="84" t="s">
        <v>243</v>
      </c>
      <c r="B10557" s="83">
        <v>19</v>
      </c>
      <c r="C10557" s="91" t="s">
        <v>1051</v>
      </c>
    </row>
    <row r="10558" spans="1:3" ht="15">
      <c r="A10558" s="84" t="s">
        <v>243</v>
      </c>
      <c r="B10558" s="83" t="s">
        <v>3309</v>
      </c>
      <c r="C10558" s="91" t="s">
        <v>1051</v>
      </c>
    </row>
    <row r="10559" spans="1:3" ht="15">
      <c r="A10559" s="84" t="s">
        <v>243</v>
      </c>
      <c r="B10559" s="83" t="s">
        <v>2666</v>
      </c>
      <c r="C10559" s="91" t="s">
        <v>1051</v>
      </c>
    </row>
    <row r="10560" spans="1:3" ht="15">
      <c r="A10560" s="84" t="s">
        <v>243</v>
      </c>
      <c r="B10560" s="83" t="s">
        <v>2630</v>
      </c>
      <c r="C10560" s="91" t="s">
        <v>1051</v>
      </c>
    </row>
    <row r="10561" spans="1:3" ht="15">
      <c r="A10561" s="84" t="s">
        <v>243</v>
      </c>
      <c r="B10561" s="83" t="s">
        <v>2676</v>
      </c>
      <c r="C10561" s="91" t="s">
        <v>1051</v>
      </c>
    </row>
    <row r="10562" spans="1:3" ht="15">
      <c r="A10562" s="84" t="s">
        <v>243</v>
      </c>
      <c r="B10562" s="83" t="s">
        <v>2580</v>
      </c>
      <c r="C10562" s="91" t="s">
        <v>1051</v>
      </c>
    </row>
    <row r="10563" spans="1:3" ht="15">
      <c r="A10563" s="84" t="s">
        <v>243</v>
      </c>
      <c r="B10563" s="83" t="s">
        <v>2677</v>
      </c>
      <c r="C10563" s="91" t="s">
        <v>1051</v>
      </c>
    </row>
    <row r="10564" spans="1:3" ht="15">
      <c r="A10564" s="84" t="s">
        <v>243</v>
      </c>
      <c r="B10564" s="83" t="s">
        <v>3310</v>
      </c>
      <c r="C10564" s="91" t="s">
        <v>1051</v>
      </c>
    </row>
    <row r="10565" spans="1:3" ht="15">
      <c r="A10565" s="84" t="s">
        <v>243</v>
      </c>
      <c r="B10565" s="83" t="s">
        <v>3282</v>
      </c>
      <c r="C10565" s="91" t="s">
        <v>1051</v>
      </c>
    </row>
    <row r="10566" spans="1:3" ht="15">
      <c r="A10566" s="84" t="s">
        <v>243</v>
      </c>
      <c r="B10566" s="83" t="s">
        <v>3311</v>
      </c>
      <c r="C10566" s="91" t="s">
        <v>1051</v>
      </c>
    </row>
    <row r="10567" spans="1:3" ht="15">
      <c r="A10567" s="84" t="s">
        <v>243</v>
      </c>
      <c r="B10567" s="83" t="s">
        <v>2577</v>
      </c>
      <c r="C10567" s="91" t="s">
        <v>1051</v>
      </c>
    </row>
    <row r="10568" spans="1:3" ht="15">
      <c r="A10568" s="84" t="s">
        <v>243</v>
      </c>
      <c r="B10568" s="83" t="s">
        <v>2658</v>
      </c>
      <c r="C10568" s="91" t="s">
        <v>1051</v>
      </c>
    </row>
    <row r="10569" spans="1:3" ht="15">
      <c r="A10569" s="84" t="s">
        <v>243</v>
      </c>
      <c r="B10569" s="83" t="s">
        <v>2653</v>
      </c>
      <c r="C10569" s="91" t="s">
        <v>1051</v>
      </c>
    </row>
    <row r="10570" spans="1:3" ht="15">
      <c r="A10570" s="84" t="s">
        <v>243</v>
      </c>
      <c r="B10570" s="83" t="s">
        <v>2667</v>
      </c>
      <c r="C10570" s="91" t="s">
        <v>1051</v>
      </c>
    </row>
    <row r="10571" spans="1:3" ht="15">
      <c r="A10571" s="84" t="s">
        <v>243</v>
      </c>
      <c r="B10571" s="83" t="s">
        <v>2578</v>
      </c>
      <c r="C10571" s="91" t="s">
        <v>1051</v>
      </c>
    </row>
    <row r="10572" spans="1:3" ht="15">
      <c r="A10572" s="84" t="s">
        <v>243</v>
      </c>
      <c r="B10572" s="83" t="s">
        <v>2678</v>
      </c>
      <c r="C10572" s="91" t="s">
        <v>1051</v>
      </c>
    </row>
    <row r="10573" spans="1:3" ht="15">
      <c r="A10573" s="84" t="s">
        <v>243</v>
      </c>
      <c r="B10573" s="83" t="s">
        <v>3312</v>
      </c>
      <c r="C10573" s="91" t="s">
        <v>1051</v>
      </c>
    </row>
    <row r="10574" spans="1:3" ht="15">
      <c r="A10574" s="84" t="s">
        <v>243</v>
      </c>
      <c r="B10574" s="83" t="s">
        <v>3290</v>
      </c>
      <c r="C10574" s="91" t="s">
        <v>1051</v>
      </c>
    </row>
    <row r="10575" spans="1:3" ht="15">
      <c r="A10575" s="84" t="s">
        <v>243</v>
      </c>
      <c r="B10575" s="83" t="s">
        <v>3313</v>
      </c>
      <c r="C10575" s="91" t="s">
        <v>1051</v>
      </c>
    </row>
    <row r="10576" spans="1:3" ht="15">
      <c r="A10576" s="84" t="s">
        <v>243</v>
      </c>
      <c r="B10576" s="83" t="s">
        <v>3314</v>
      </c>
      <c r="C10576" s="91" t="s">
        <v>1051</v>
      </c>
    </row>
    <row r="10577" spans="1:3" ht="15">
      <c r="A10577" s="84" t="s">
        <v>243</v>
      </c>
      <c r="B10577" s="83" t="s">
        <v>3315</v>
      </c>
      <c r="C10577" s="91" t="s">
        <v>1051</v>
      </c>
    </row>
    <row r="10578" spans="1:3" ht="15">
      <c r="A10578" s="84" t="s">
        <v>243</v>
      </c>
      <c r="B10578" s="83" t="s">
        <v>586</v>
      </c>
      <c r="C10578" s="91" t="s">
        <v>1051</v>
      </c>
    </row>
    <row r="10579" spans="1:3" ht="15">
      <c r="A10579" s="84" t="s">
        <v>243</v>
      </c>
      <c r="B10579" s="83" t="s">
        <v>3258</v>
      </c>
      <c r="C10579" s="91" t="s">
        <v>1051</v>
      </c>
    </row>
    <row r="10580" spans="1:3" ht="15">
      <c r="A10580" s="84" t="s">
        <v>242</v>
      </c>
      <c r="B10580" s="83" t="s">
        <v>3656</v>
      </c>
      <c r="C10580" s="91" t="s">
        <v>1050</v>
      </c>
    </row>
    <row r="10581" spans="1:3" ht="15">
      <c r="A10581" s="84" t="s">
        <v>242</v>
      </c>
      <c r="B10581" s="83" t="s">
        <v>3223</v>
      </c>
      <c r="C10581" s="91" t="s">
        <v>1050</v>
      </c>
    </row>
    <row r="10582" spans="1:3" ht="15">
      <c r="A10582" s="84" t="s">
        <v>242</v>
      </c>
      <c r="B10582" s="83" t="s">
        <v>3199</v>
      </c>
      <c r="C10582" s="91" t="s">
        <v>1050</v>
      </c>
    </row>
    <row r="10583" spans="1:3" ht="15">
      <c r="A10583" s="84" t="s">
        <v>242</v>
      </c>
      <c r="B10583" s="83" t="s">
        <v>3205</v>
      </c>
      <c r="C10583" s="91" t="s">
        <v>1050</v>
      </c>
    </row>
    <row r="10584" spans="1:3" ht="15">
      <c r="A10584" s="84" t="s">
        <v>242</v>
      </c>
      <c r="B10584" s="83" t="s">
        <v>3198</v>
      </c>
      <c r="C10584" s="91" t="s">
        <v>1050</v>
      </c>
    </row>
    <row r="10585" spans="1:3" ht="15">
      <c r="A10585" s="84" t="s">
        <v>242</v>
      </c>
      <c r="B10585" s="83" t="s">
        <v>2591</v>
      </c>
      <c r="C10585" s="91" t="s">
        <v>1050</v>
      </c>
    </row>
    <row r="10586" spans="1:3" ht="15">
      <c r="A10586" s="84" t="s">
        <v>242</v>
      </c>
      <c r="B10586" s="83" t="s">
        <v>3214</v>
      </c>
      <c r="C10586" s="91" t="s">
        <v>1050</v>
      </c>
    </row>
    <row r="10587" spans="1:3" ht="15">
      <c r="A10587" s="84" t="s">
        <v>242</v>
      </c>
      <c r="B10587" s="83" t="s">
        <v>3294</v>
      </c>
      <c r="C10587" s="91" t="s">
        <v>1050</v>
      </c>
    </row>
    <row r="10588" spans="1:3" ht="15">
      <c r="A10588" s="84" t="s">
        <v>241</v>
      </c>
      <c r="B10588" s="83" t="s">
        <v>3308</v>
      </c>
      <c r="C10588" s="91" t="s">
        <v>1049</v>
      </c>
    </row>
    <row r="10589" spans="1:3" ht="15">
      <c r="A10589" s="84" t="s">
        <v>241</v>
      </c>
      <c r="B10589" s="83" t="s">
        <v>2568</v>
      </c>
      <c r="C10589" s="91" t="s">
        <v>1049</v>
      </c>
    </row>
    <row r="10590" spans="1:3" ht="15">
      <c r="A10590" s="84" t="s">
        <v>241</v>
      </c>
      <c r="B10590" s="83" t="s">
        <v>3203</v>
      </c>
      <c r="C10590" s="91" t="s">
        <v>1049</v>
      </c>
    </row>
    <row r="10591" spans="1:3" ht="15">
      <c r="A10591" s="84" t="s">
        <v>241</v>
      </c>
      <c r="B10591" s="83">
        <v>19</v>
      </c>
      <c r="C10591" s="91" t="s">
        <v>1049</v>
      </c>
    </row>
    <row r="10592" spans="1:3" ht="15">
      <c r="A10592" s="84" t="s">
        <v>241</v>
      </c>
      <c r="B10592" s="83" t="s">
        <v>3309</v>
      </c>
      <c r="C10592" s="91" t="s">
        <v>1049</v>
      </c>
    </row>
    <row r="10593" spans="1:3" ht="15">
      <c r="A10593" s="84" t="s">
        <v>241</v>
      </c>
      <c r="B10593" s="83" t="s">
        <v>2666</v>
      </c>
      <c r="C10593" s="91" t="s">
        <v>1049</v>
      </c>
    </row>
    <row r="10594" spans="1:3" ht="15">
      <c r="A10594" s="84" t="s">
        <v>241</v>
      </c>
      <c r="B10594" s="83" t="s">
        <v>2630</v>
      </c>
      <c r="C10594" s="91" t="s">
        <v>1049</v>
      </c>
    </row>
    <row r="10595" spans="1:3" ht="15">
      <c r="A10595" s="84" t="s">
        <v>241</v>
      </c>
      <c r="B10595" s="83" t="s">
        <v>2676</v>
      </c>
      <c r="C10595" s="91" t="s">
        <v>1049</v>
      </c>
    </row>
    <row r="10596" spans="1:3" ht="15">
      <c r="A10596" s="84" t="s">
        <v>241</v>
      </c>
      <c r="B10596" s="83" t="s">
        <v>2580</v>
      </c>
      <c r="C10596" s="91" t="s">
        <v>1049</v>
      </c>
    </row>
    <row r="10597" spans="1:3" ht="15">
      <c r="A10597" s="84" t="s">
        <v>241</v>
      </c>
      <c r="B10597" s="83" t="s">
        <v>2677</v>
      </c>
      <c r="C10597" s="91" t="s">
        <v>1049</v>
      </c>
    </row>
    <row r="10598" spans="1:3" ht="15">
      <c r="A10598" s="84" t="s">
        <v>241</v>
      </c>
      <c r="B10598" s="83" t="s">
        <v>3310</v>
      </c>
      <c r="C10598" s="91" t="s">
        <v>1049</v>
      </c>
    </row>
    <row r="10599" spans="1:3" ht="15">
      <c r="A10599" s="84" t="s">
        <v>241</v>
      </c>
      <c r="B10599" s="83" t="s">
        <v>3282</v>
      </c>
      <c r="C10599" s="91" t="s">
        <v>1049</v>
      </c>
    </row>
    <row r="10600" spans="1:3" ht="15">
      <c r="A10600" s="84" t="s">
        <v>241</v>
      </c>
      <c r="B10600" s="83" t="s">
        <v>3311</v>
      </c>
      <c r="C10600" s="91" t="s">
        <v>1049</v>
      </c>
    </row>
    <row r="10601" spans="1:3" ht="15">
      <c r="A10601" s="84" t="s">
        <v>241</v>
      </c>
      <c r="B10601" s="83" t="s">
        <v>2577</v>
      </c>
      <c r="C10601" s="91" t="s">
        <v>1049</v>
      </c>
    </row>
    <row r="10602" spans="1:3" ht="15">
      <c r="A10602" s="84" t="s">
        <v>241</v>
      </c>
      <c r="B10602" s="83" t="s">
        <v>2658</v>
      </c>
      <c r="C10602" s="91" t="s">
        <v>1049</v>
      </c>
    </row>
    <row r="10603" spans="1:3" ht="15">
      <c r="A10603" s="84" t="s">
        <v>241</v>
      </c>
      <c r="B10603" s="83" t="s">
        <v>2653</v>
      </c>
      <c r="C10603" s="91" t="s">
        <v>1049</v>
      </c>
    </row>
    <row r="10604" spans="1:3" ht="15">
      <c r="A10604" s="84" t="s">
        <v>241</v>
      </c>
      <c r="B10604" s="83" t="s">
        <v>2667</v>
      </c>
      <c r="C10604" s="91" t="s">
        <v>1049</v>
      </c>
    </row>
    <row r="10605" spans="1:3" ht="15">
      <c r="A10605" s="84" t="s">
        <v>241</v>
      </c>
      <c r="B10605" s="83" t="s">
        <v>2578</v>
      </c>
      <c r="C10605" s="91" t="s">
        <v>1049</v>
      </c>
    </row>
    <row r="10606" spans="1:3" ht="15">
      <c r="A10606" s="84" t="s">
        <v>241</v>
      </c>
      <c r="B10606" s="83" t="s">
        <v>2678</v>
      </c>
      <c r="C10606" s="91" t="s">
        <v>1049</v>
      </c>
    </row>
    <row r="10607" spans="1:3" ht="15">
      <c r="A10607" s="84" t="s">
        <v>241</v>
      </c>
      <c r="B10607" s="83" t="s">
        <v>3312</v>
      </c>
      <c r="C10607" s="91" t="s">
        <v>1049</v>
      </c>
    </row>
    <row r="10608" spans="1:3" ht="15">
      <c r="A10608" s="84" t="s">
        <v>241</v>
      </c>
      <c r="B10608" s="83" t="s">
        <v>3290</v>
      </c>
      <c r="C10608" s="91" t="s">
        <v>1049</v>
      </c>
    </row>
    <row r="10609" spans="1:3" ht="15">
      <c r="A10609" s="84" t="s">
        <v>241</v>
      </c>
      <c r="B10609" s="83" t="s">
        <v>3313</v>
      </c>
      <c r="C10609" s="91" t="s">
        <v>1049</v>
      </c>
    </row>
    <row r="10610" spans="1:3" ht="15">
      <c r="A10610" s="84" t="s">
        <v>241</v>
      </c>
      <c r="B10610" s="83" t="s">
        <v>3314</v>
      </c>
      <c r="C10610" s="91" t="s">
        <v>1049</v>
      </c>
    </row>
    <row r="10611" spans="1:3" ht="15">
      <c r="A10611" s="84" t="s">
        <v>241</v>
      </c>
      <c r="B10611" s="83" t="s">
        <v>3315</v>
      </c>
      <c r="C10611" s="91" t="s">
        <v>1049</v>
      </c>
    </row>
    <row r="10612" spans="1:3" ht="15">
      <c r="A10612" s="84" t="s">
        <v>241</v>
      </c>
      <c r="B10612" s="83" t="s">
        <v>586</v>
      </c>
      <c r="C10612" s="91" t="s">
        <v>1049</v>
      </c>
    </row>
    <row r="10613" spans="1:3" ht="15">
      <c r="A10613" s="84" t="s">
        <v>241</v>
      </c>
      <c r="B10613" s="83" t="s">
        <v>3258</v>
      </c>
      <c r="C10613" s="91" t="s">
        <v>1049</v>
      </c>
    </row>
    <row r="10614" spans="1:3" ht="15">
      <c r="A10614" s="84" t="s">
        <v>240</v>
      </c>
      <c r="B10614" s="83" t="s">
        <v>3641</v>
      </c>
      <c r="C10614" s="91" t="s">
        <v>1048</v>
      </c>
    </row>
    <row r="10615" spans="1:3" ht="15">
      <c r="A10615" s="84" t="s">
        <v>240</v>
      </c>
      <c r="B10615" s="83" t="s">
        <v>2952</v>
      </c>
      <c r="C10615" s="91" t="s">
        <v>1048</v>
      </c>
    </row>
    <row r="10616" spans="1:3" ht="15">
      <c r="A10616" s="84" t="s">
        <v>240</v>
      </c>
      <c r="B10616" s="83" t="s">
        <v>3313</v>
      </c>
      <c r="C10616" s="91" t="s">
        <v>1048</v>
      </c>
    </row>
    <row r="10617" spans="1:3" ht="15">
      <c r="A10617" s="84" t="s">
        <v>240</v>
      </c>
      <c r="B10617" s="83" t="s">
        <v>586</v>
      </c>
      <c r="C10617" s="91" t="s">
        <v>1048</v>
      </c>
    </row>
    <row r="10618" spans="1:3" ht="15">
      <c r="A10618" s="84" t="s">
        <v>240</v>
      </c>
      <c r="B10618" s="83" t="s">
        <v>3319</v>
      </c>
      <c r="C10618" s="91" t="s">
        <v>1048</v>
      </c>
    </row>
    <row r="10619" spans="1:3" ht="15">
      <c r="A10619" s="84" t="s">
        <v>240</v>
      </c>
      <c r="B10619" s="83" t="s">
        <v>2719</v>
      </c>
      <c r="C10619" s="91" t="s">
        <v>1048</v>
      </c>
    </row>
    <row r="10620" spans="1:3" ht="15">
      <c r="A10620" s="84" t="s">
        <v>240</v>
      </c>
      <c r="B10620" s="83" t="s">
        <v>2653</v>
      </c>
      <c r="C10620" s="91" t="s">
        <v>1048</v>
      </c>
    </row>
    <row r="10621" spans="1:3" ht="15">
      <c r="A10621" s="84" t="s">
        <v>240</v>
      </c>
      <c r="B10621" s="83" t="s">
        <v>2665</v>
      </c>
      <c r="C10621" s="91" t="s">
        <v>1048</v>
      </c>
    </row>
    <row r="10622" spans="1:3" ht="15">
      <c r="A10622" s="84" t="s">
        <v>240</v>
      </c>
      <c r="B10622" s="83" t="s">
        <v>2590</v>
      </c>
      <c r="C10622" s="91" t="s">
        <v>1048</v>
      </c>
    </row>
    <row r="10623" spans="1:3" ht="15">
      <c r="A10623" s="84" t="s">
        <v>240</v>
      </c>
      <c r="B10623" s="83" t="s">
        <v>2953</v>
      </c>
      <c r="C10623" s="91" t="s">
        <v>1048</v>
      </c>
    </row>
    <row r="10624" spans="1:3" ht="15">
      <c r="A10624" s="84" t="s">
        <v>240</v>
      </c>
      <c r="B10624" s="83" t="s">
        <v>2591</v>
      </c>
      <c r="C10624" s="91" t="s">
        <v>1048</v>
      </c>
    </row>
    <row r="10625" spans="1:3" ht="15">
      <c r="A10625" s="84" t="s">
        <v>240</v>
      </c>
      <c r="B10625" s="83" t="s">
        <v>2582</v>
      </c>
      <c r="C10625" s="91" t="s">
        <v>1048</v>
      </c>
    </row>
    <row r="10626" spans="1:3" ht="15">
      <c r="A10626" s="84" t="s">
        <v>240</v>
      </c>
      <c r="B10626" s="83" t="s">
        <v>2578</v>
      </c>
      <c r="C10626" s="91" t="s">
        <v>1048</v>
      </c>
    </row>
    <row r="10627" spans="1:3" ht="15">
      <c r="A10627" s="84" t="s">
        <v>240</v>
      </c>
      <c r="B10627" s="83" t="s">
        <v>2954</v>
      </c>
      <c r="C10627" s="91" t="s">
        <v>1048</v>
      </c>
    </row>
    <row r="10628" spans="1:3" ht="15">
      <c r="A10628" s="84" t="s">
        <v>240</v>
      </c>
      <c r="B10628" s="83" t="s">
        <v>2955</v>
      </c>
      <c r="C10628" s="91" t="s">
        <v>1048</v>
      </c>
    </row>
    <row r="10629" spans="1:3" ht="15">
      <c r="A10629" s="84" t="s">
        <v>240</v>
      </c>
      <c r="B10629" s="83" t="s">
        <v>2956</v>
      </c>
      <c r="C10629" s="91" t="s">
        <v>1048</v>
      </c>
    </row>
    <row r="10630" spans="1:3" ht="15">
      <c r="A10630" s="84" t="s">
        <v>240</v>
      </c>
      <c r="B10630" s="83" t="s">
        <v>2568</v>
      </c>
      <c r="C10630" s="91" t="s">
        <v>1048</v>
      </c>
    </row>
    <row r="10631" spans="1:3" ht="15">
      <c r="A10631" s="84" t="s">
        <v>240</v>
      </c>
      <c r="B10631" s="83" t="s">
        <v>2894</v>
      </c>
      <c r="C10631" s="91" t="s">
        <v>1048</v>
      </c>
    </row>
    <row r="10632" spans="1:3" ht="15">
      <c r="A10632" s="84" t="s">
        <v>240</v>
      </c>
      <c r="B10632" s="83" t="s">
        <v>2957</v>
      </c>
      <c r="C10632" s="91" t="s">
        <v>1048</v>
      </c>
    </row>
    <row r="10633" spans="1:3" ht="15">
      <c r="A10633" s="84" t="s">
        <v>240</v>
      </c>
      <c r="B10633" s="83" t="s">
        <v>3203</v>
      </c>
      <c r="C10633" s="91" t="s">
        <v>1048</v>
      </c>
    </row>
    <row r="10634" spans="1:3" ht="15">
      <c r="A10634" s="84" t="s">
        <v>240</v>
      </c>
      <c r="B10634" s="83" t="s">
        <v>2958</v>
      </c>
      <c r="C10634" s="91" t="s">
        <v>1048</v>
      </c>
    </row>
    <row r="10635" spans="1:3" ht="15">
      <c r="A10635" s="84" t="s">
        <v>240</v>
      </c>
      <c r="B10635" s="83" t="s">
        <v>2959</v>
      </c>
      <c r="C10635" s="91" t="s">
        <v>1048</v>
      </c>
    </row>
    <row r="10636" spans="1:3" ht="15">
      <c r="A10636" s="84" t="s">
        <v>240</v>
      </c>
      <c r="B10636" s="83" t="s">
        <v>3642</v>
      </c>
      <c r="C10636" s="91" t="s">
        <v>1048</v>
      </c>
    </row>
    <row r="10637" spans="1:3" ht="15">
      <c r="A10637" s="84" t="s">
        <v>240</v>
      </c>
      <c r="B10637" s="83" t="s">
        <v>2961</v>
      </c>
      <c r="C10637" s="91" t="s">
        <v>1048</v>
      </c>
    </row>
    <row r="10638" spans="1:3" ht="15">
      <c r="A10638" s="84" t="s">
        <v>240</v>
      </c>
      <c r="B10638" s="83" t="s">
        <v>2777</v>
      </c>
      <c r="C10638" s="91" t="s">
        <v>1048</v>
      </c>
    </row>
    <row r="10639" spans="1:3" ht="15">
      <c r="A10639" s="84" t="s">
        <v>240</v>
      </c>
      <c r="B10639" s="83" t="s">
        <v>3643</v>
      </c>
      <c r="C10639" s="91" t="s">
        <v>1048</v>
      </c>
    </row>
    <row r="10640" spans="1:3" ht="15">
      <c r="A10640" s="84" t="s">
        <v>240</v>
      </c>
      <c r="B10640" s="83" t="s">
        <v>2963</v>
      </c>
      <c r="C10640" s="91" t="s">
        <v>1048</v>
      </c>
    </row>
    <row r="10641" spans="1:3" ht="15">
      <c r="A10641" s="84" t="s">
        <v>239</v>
      </c>
      <c r="B10641" s="83" t="s">
        <v>3308</v>
      </c>
      <c r="C10641" s="91" t="s">
        <v>1047</v>
      </c>
    </row>
    <row r="10642" spans="1:3" ht="15">
      <c r="A10642" s="84" t="s">
        <v>239</v>
      </c>
      <c r="B10642" s="83" t="s">
        <v>2568</v>
      </c>
      <c r="C10642" s="91" t="s">
        <v>1047</v>
      </c>
    </row>
    <row r="10643" spans="1:3" ht="15">
      <c r="A10643" s="84" t="s">
        <v>239</v>
      </c>
      <c r="B10643" s="83" t="s">
        <v>3203</v>
      </c>
      <c r="C10643" s="91" t="s">
        <v>1047</v>
      </c>
    </row>
    <row r="10644" spans="1:3" ht="15">
      <c r="A10644" s="84" t="s">
        <v>239</v>
      </c>
      <c r="B10644" s="83">
        <v>19</v>
      </c>
      <c r="C10644" s="91" t="s">
        <v>1047</v>
      </c>
    </row>
    <row r="10645" spans="1:3" ht="15">
      <c r="A10645" s="84" t="s">
        <v>239</v>
      </c>
      <c r="B10645" s="83" t="s">
        <v>3309</v>
      </c>
      <c r="C10645" s="91" t="s">
        <v>1047</v>
      </c>
    </row>
    <row r="10646" spans="1:3" ht="15">
      <c r="A10646" s="84" t="s">
        <v>239</v>
      </c>
      <c r="B10646" s="83" t="s">
        <v>2666</v>
      </c>
      <c r="C10646" s="91" t="s">
        <v>1047</v>
      </c>
    </row>
    <row r="10647" spans="1:3" ht="15">
      <c r="A10647" s="84" t="s">
        <v>239</v>
      </c>
      <c r="B10647" s="83" t="s">
        <v>2630</v>
      </c>
      <c r="C10647" s="91" t="s">
        <v>1047</v>
      </c>
    </row>
    <row r="10648" spans="1:3" ht="15">
      <c r="A10648" s="84" t="s">
        <v>239</v>
      </c>
      <c r="B10648" s="83" t="s">
        <v>2676</v>
      </c>
      <c r="C10648" s="91" t="s">
        <v>1047</v>
      </c>
    </row>
    <row r="10649" spans="1:3" ht="15">
      <c r="A10649" s="84" t="s">
        <v>239</v>
      </c>
      <c r="B10649" s="83" t="s">
        <v>2580</v>
      </c>
      <c r="C10649" s="91" t="s">
        <v>1047</v>
      </c>
    </row>
    <row r="10650" spans="1:3" ht="15">
      <c r="A10650" s="84" t="s">
        <v>239</v>
      </c>
      <c r="B10650" s="83" t="s">
        <v>2677</v>
      </c>
      <c r="C10650" s="91" t="s">
        <v>1047</v>
      </c>
    </row>
    <row r="10651" spans="1:3" ht="15">
      <c r="A10651" s="84" t="s">
        <v>239</v>
      </c>
      <c r="B10651" s="83" t="s">
        <v>3310</v>
      </c>
      <c r="C10651" s="91" t="s">
        <v>1047</v>
      </c>
    </row>
    <row r="10652" spans="1:3" ht="15">
      <c r="A10652" s="84" t="s">
        <v>239</v>
      </c>
      <c r="B10652" s="83" t="s">
        <v>3282</v>
      </c>
      <c r="C10652" s="91" t="s">
        <v>1047</v>
      </c>
    </row>
    <row r="10653" spans="1:3" ht="15">
      <c r="A10653" s="84" t="s">
        <v>239</v>
      </c>
      <c r="B10653" s="83" t="s">
        <v>3311</v>
      </c>
      <c r="C10653" s="91" t="s">
        <v>1047</v>
      </c>
    </row>
    <row r="10654" spans="1:3" ht="15">
      <c r="A10654" s="84" t="s">
        <v>239</v>
      </c>
      <c r="B10654" s="83" t="s">
        <v>2577</v>
      </c>
      <c r="C10654" s="91" t="s">
        <v>1047</v>
      </c>
    </row>
    <row r="10655" spans="1:3" ht="15">
      <c r="A10655" s="84" t="s">
        <v>239</v>
      </c>
      <c r="B10655" s="83" t="s">
        <v>2658</v>
      </c>
      <c r="C10655" s="91" t="s">
        <v>1047</v>
      </c>
    </row>
    <row r="10656" spans="1:3" ht="15">
      <c r="A10656" s="84" t="s">
        <v>239</v>
      </c>
      <c r="B10656" s="83" t="s">
        <v>2653</v>
      </c>
      <c r="C10656" s="91" t="s">
        <v>1047</v>
      </c>
    </row>
    <row r="10657" spans="1:3" ht="15">
      <c r="A10657" s="84" t="s">
        <v>239</v>
      </c>
      <c r="B10657" s="83" t="s">
        <v>2667</v>
      </c>
      <c r="C10657" s="91" t="s">
        <v>1047</v>
      </c>
    </row>
    <row r="10658" spans="1:3" ht="15">
      <c r="A10658" s="84" t="s">
        <v>239</v>
      </c>
      <c r="B10658" s="83" t="s">
        <v>2578</v>
      </c>
      <c r="C10658" s="91" t="s">
        <v>1047</v>
      </c>
    </row>
    <row r="10659" spans="1:3" ht="15">
      <c r="A10659" s="84" t="s">
        <v>239</v>
      </c>
      <c r="B10659" s="83" t="s">
        <v>2678</v>
      </c>
      <c r="C10659" s="91" t="s">
        <v>1047</v>
      </c>
    </row>
    <row r="10660" spans="1:3" ht="15">
      <c r="A10660" s="84" t="s">
        <v>239</v>
      </c>
      <c r="B10660" s="83" t="s">
        <v>3312</v>
      </c>
      <c r="C10660" s="91" t="s">
        <v>1047</v>
      </c>
    </row>
    <row r="10661" spans="1:3" ht="15">
      <c r="A10661" s="84" t="s">
        <v>239</v>
      </c>
      <c r="B10661" s="83" t="s">
        <v>3290</v>
      </c>
      <c r="C10661" s="91" t="s">
        <v>1047</v>
      </c>
    </row>
    <row r="10662" spans="1:3" ht="15">
      <c r="A10662" s="84" t="s">
        <v>239</v>
      </c>
      <c r="B10662" s="83" t="s">
        <v>3313</v>
      </c>
      <c r="C10662" s="91" t="s">
        <v>1047</v>
      </c>
    </row>
    <row r="10663" spans="1:3" ht="15">
      <c r="A10663" s="84" t="s">
        <v>239</v>
      </c>
      <c r="B10663" s="83" t="s">
        <v>3314</v>
      </c>
      <c r="C10663" s="91" t="s">
        <v>1047</v>
      </c>
    </row>
    <row r="10664" spans="1:3" ht="15">
      <c r="A10664" s="84" t="s">
        <v>239</v>
      </c>
      <c r="B10664" s="83" t="s">
        <v>3315</v>
      </c>
      <c r="C10664" s="91" t="s">
        <v>1047</v>
      </c>
    </row>
    <row r="10665" spans="1:3" ht="15">
      <c r="A10665" s="84" t="s">
        <v>239</v>
      </c>
      <c r="B10665" s="83" t="s">
        <v>586</v>
      </c>
      <c r="C10665" s="91" t="s">
        <v>1047</v>
      </c>
    </row>
    <row r="10666" spans="1:3" ht="15">
      <c r="A10666" s="84" t="s">
        <v>239</v>
      </c>
      <c r="B10666" s="83" t="s">
        <v>3258</v>
      </c>
      <c r="C10666" s="91" t="s">
        <v>1047</v>
      </c>
    </row>
    <row r="10667" spans="1:3" ht="15">
      <c r="A10667" s="84" t="s">
        <v>417</v>
      </c>
      <c r="B10667" s="83" t="s">
        <v>3308</v>
      </c>
      <c r="C10667" s="91" t="s">
        <v>1396</v>
      </c>
    </row>
    <row r="10668" spans="1:3" ht="15">
      <c r="A10668" s="84" t="s">
        <v>417</v>
      </c>
      <c r="B10668" s="83" t="s">
        <v>2568</v>
      </c>
      <c r="C10668" s="91" t="s">
        <v>1396</v>
      </c>
    </row>
    <row r="10669" spans="1:3" ht="15">
      <c r="A10669" s="84" t="s">
        <v>417</v>
      </c>
      <c r="B10669" s="83" t="s">
        <v>3203</v>
      </c>
      <c r="C10669" s="91" t="s">
        <v>1396</v>
      </c>
    </row>
    <row r="10670" spans="1:3" ht="15">
      <c r="A10670" s="84" t="s">
        <v>417</v>
      </c>
      <c r="B10670" s="83">
        <v>19</v>
      </c>
      <c r="C10670" s="91" t="s">
        <v>1396</v>
      </c>
    </row>
    <row r="10671" spans="1:3" ht="15">
      <c r="A10671" s="84" t="s">
        <v>417</v>
      </c>
      <c r="B10671" s="83" t="s">
        <v>3309</v>
      </c>
      <c r="C10671" s="91" t="s">
        <v>1396</v>
      </c>
    </row>
    <row r="10672" spans="1:3" ht="15">
      <c r="A10672" s="84" t="s">
        <v>417</v>
      </c>
      <c r="B10672" s="83" t="s">
        <v>2666</v>
      </c>
      <c r="C10672" s="91" t="s">
        <v>1396</v>
      </c>
    </row>
    <row r="10673" spans="1:3" ht="15">
      <c r="A10673" s="84" t="s">
        <v>417</v>
      </c>
      <c r="B10673" s="83" t="s">
        <v>2630</v>
      </c>
      <c r="C10673" s="91" t="s">
        <v>1396</v>
      </c>
    </row>
    <row r="10674" spans="1:3" ht="15">
      <c r="A10674" s="84" t="s">
        <v>417</v>
      </c>
      <c r="B10674" s="83" t="s">
        <v>2676</v>
      </c>
      <c r="C10674" s="91" t="s">
        <v>1396</v>
      </c>
    </row>
    <row r="10675" spans="1:3" ht="15">
      <c r="A10675" s="84" t="s">
        <v>417</v>
      </c>
      <c r="B10675" s="83" t="s">
        <v>2580</v>
      </c>
      <c r="C10675" s="91" t="s">
        <v>1396</v>
      </c>
    </row>
    <row r="10676" spans="1:3" ht="15">
      <c r="A10676" s="84" t="s">
        <v>417</v>
      </c>
      <c r="B10676" s="83" t="s">
        <v>2677</v>
      </c>
      <c r="C10676" s="91" t="s">
        <v>1396</v>
      </c>
    </row>
    <row r="10677" spans="1:3" ht="15">
      <c r="A10677" s="84" t="s">
        <v>417</v>
      </c>
      <c r="B10677" s="83" t="s">
        <v>3310</v>
      </c>
      <c r="C10677" s="91" t="s">
        <v>1396</v>
      </c>
    </row>
    <row r="10678" spans="1:3" ht="15">
      <c r="A10678" s="84" t="s">
        <v>417</v>
      </c>
      <c r="B10678" s="83" t="s">
        <v>3282</v>
      </c>
      <c r="C10678" s="91" t="s">
        <v>1396</v>
      </c>
    </row>
    <row r="10679" spans="1:3" ht="15">
      <c r="A10679" s="84" t="s">
        <v>417</v>
      </c>
      <c r="B10679" s="83" t="s">
        <v>3311</v>
      </c>
      <c r="C10679" s="91" t="s">
        <v>1396</v>
      </c>
    </row>
    <row r="10680" spans="1:3" ht="15">
      <c r="A10680" s="84" t="s">
        <v>417</v>
      </c>
      <c r="B10680" s="83" t="s">
        <v>2577</v>
      </c>
      <c r="C10680" s="91" t="s">
        <v>1396</v>
      </c>
    </row>
    <row r="10681" spans="1:3" ht="15">
      <c r="A10681" s="84" t="s">
        <v>417</v>
      </c>
      <c r="B10681" s="83" t="s">
        <v>2658</v>
      </c>
      <c r="C10681" s="91" t="s">
        <v>1396</v>
      </c>
    </row>
    <row r="10682" spans="1:3" ht="15">
      <c r="A10682" s="84" t="s">
        <v>417</v>
      </c>
      <c r="B10682" s="83" t="s">
        <v>2653</v>
      </c>
      <c r="C10682" s="91" t="s">
        <v>1396</v>
      </c>
    </row>
    <row r="10683" spans="1:3" ht="15">
      <c r="A10683" s="84" t="s">
        <v>417</v>
      </c>
      <c r="B10683" s="83" t="s">
        <v>2667</v>
      </c>
      <c r="C10683" s="91" t="s">
        <v>1396</v>
      </c>
    </row>
    <row r="10684" spans="1:3" ht="15">
      <c r="A10684" s="84" t="s">
        <v>417</v>
      </c>
      <c r="B10684" s="83" t="s">
        <v>2578</v>
      </c>
      <c r="C10684" s="91" t="s">
        <v>1396</v>
      </c>
    </row>
    <row r="10685" spans="1:3" ht="15">
      <c r="A10685" s="84" t="s">
        <v>417</v>
      </c>
      <c r="B10685" s="83" t="s">
        <v>2678</v>
      </c>
      <c r="C10685" s="91" t="s">
        <v>1396</v>
      </c>
    </row>
    <row r="10686" spans="1:3" ht="15">
      <c r="A10686" s="84" t="s">
        <v>417</v>
      </c>
      <c r="B10686" s="83" t="s">
        <v>3312</v>
      </c>
      <c r="C10686" s="91" t="s">
        <v>1396</v>
      </c>
    </row>
    <row r="10687" spans="1:3" ht="15">
      <c r="A10687" s="84" t="s">
        <v>417</v>
      </c>
      <c r="B10687" s="83" t="s">
        <v>3290</v>
      </c>
      <c r="C10687" s="91" t="s">
        <v>1396</v>
      </c>
    </row>
    <row r="10688" spans="1:3" ht="15">
      <c r="A10688" s="84" t="s">
        <v>417</v>
      </c>
      <c r="B10688" s="83" t="s">
        <v>3313</v>
      </c>
      <c r="C10688" s="91" t="s">
        <v>1396</v>
      </c>
    </row>
    <row r="10689" spans="1:3" ht="15">
      <c r="A10689" s="84" t="s">
        <v>417</v>
      </c>
      <c r="B10689" s="83" t="s">
        <v>3314</v>
      </c>
      <c r="C10689" s="91" t="s">
        <v>1396</v>
      </c>
    </row>
    <row r="10690" spans="1:3" ht="15">
      <c r="A10690" s="84" t="s">
        <v>417</v>
      </c>
      <c r="B10690" s="83" t="s">
        <v>3315</v>
      </c>
      <c r="C10690" s="91" t="s">
        <v>1396</v>
      </c>
    </row>
    <row r="10691" spans="1:3" ht="15">
      <c r="A10691" s="84" t="s">
        <v>417</v>
      </c>
      <c r="B10691" s="83" t="s">
        <v>586</v>
      </c>
      <c r="C10691" s="91" t="s">
        <v>1396</v>
      </c>
    </row>
    <row r="10692" spans="1:3" ht="15">
      <c r="A10692" s="84" t="s">
        <v>417</v>
      </c>
      <c r="B10692" s="83" t="s">
        <v>3258</v>
      </c>
      <c r="C10692" s="91" t="s">
        <v>1396</v>
      </c>
    </row>
    <row r="10693" spans="1:3" ht="15">
      <c r="A10693" s="84" t="s">
        <v>238</v>
      </c>
      <c r="B10693" s="83" t="s">
        <v>3308</v>
      </c>
      <c r="C10693" s="91" t="s">
        <v>1046</v>
      </c>
    </row>
    <row r="10694" spans="1:3" ht="15">
      <c r="A10694" s="84" t="s">
        <v>238</v>
      </c>
      <c r="B10694" s="83" t="s">
        <v>2568</v>
      </c>
      <c r="C10694" s="91" t="s">
        <v>1046</v>
      </c>
    </row>
    <row r="10695" spans="1:3" ht="15">
      <c r="A10695" s="84" t="s">
        <v>238</v>
      </c>
      <c r="B10695" s="83" t="s">
        <v>3203</v>
      </c>
      <c r="C10695" s="91" t="s">
        <v>1046</v>
      </c>
    </row>
    <row r="10696" spans="1:3" ht="15">
      <c r="A10696" s="84" t="s">
        <v>238</v>
      </c>
      <c r="B10696" s="83">
        <v>19</v>
      </c>
      <c r="C10696" s="91" t="s">
        <v>1046</v>
      </c>
    </row>
    <row r="10697" spans="1:3" ht="15">
      <c r="A10697" s="84" t="s">
        <v>238</v>
      </c>
      <c r="B10697" s="83" t="s">
        <v>3309</v>
      </c>
      <c r="C10697" s="91" t="s">
        <v>1046</v>
      </c>
    </row>
    <row r="10698" spans="1:3" ht="15">
      <c r="A10698" s="84" t="s">
        <v>238</v>
      </c>
      <c r="B10698" s="83" t="s">
        <v>2666</v>
      </c>
      <c r="C10698" s="91" t="s">
        <v>1046</v>
      </c>
    </row>
    <row r="10699" spans="1:3" ht="15">
      <c r="A10699" s="84" t="s">
        <v>238</v>
      </c>
      <c r="B10699" s="83" t="s">
        <v>2630</v>
      </c>
      <c r="C10699" s="91" t="s">
        <v>1046</v>
      </c>
    </row>
    <row r="10700" spans="1:3" ht="15">
      <c r="A10700" s="84" t="s">
        <v>238</v>
      </c>
      <c r="B10700" s="83" t="s">
        <v>2676</v>
      </c>
      <c r="C10700" s="91" t="s">
        <v>1046</v>
      </c>
    </row>
    <row r="10701" spans="1:3" ht="15">
      <c r="A10701" s="84" t="s">
        <v>238</v>
      </c>
      <c r="B10701" s="83" t="s">
        <v>2580</v>
      </c>
      <c r="C10701" s="91" t="s">
        <v>1046</v>
      </c>
    </row>
    <row r="10702" spans="1:3" ht="15">
      <c r="A10702" s="84" t="s">
        <v>238</v>
      </c>
      <c r="B10702" s="83" t="s">
        <v>2677</v>
      </c>
      <c r="C10702" s="91" t="s">
        <v>1046</v>
      </c>
    </row>
    <row r="10703" spans="1:3" ht="15">
      <c r="A10703" s="84" t="s">
        <v>238</v>
      </c>
      <c r="B10703" s="83" t="s">
        <v>3310</v>
      </c>
      <c r="C10703" s="91" t="s">
        <v>1046</v>
      </c>
    </row>
    <row r="10704" spans="1:3" ht="15">
      <c r="A10704" s="84" t="s">
        <v>238</v>
      </c>
      <c r="B10704" s="83" t="s">
        <v>3282</v>
      </c>
      <c r="C10704" s="91" t="s">
        <v>1046</v>
      </c>
    </row>
    <row r="10705" spans="1:3" ht="15">
      <c r="A10705" s="84" t="s">
        <v>238</v>
      </c>
      <c r="B10705" s="83" t="s">
        <v>3311</v>
      </c>
      <c r="C10705" s="91" t="s">
        <v>1046</v>
      </c>
    </row>
    <row r="10706" spans="1:3" ht="15">
      <c r="A10706" s="84" t="s">
        <v>238</v>
      </c>
      <c r="B10706" s="83" t="s">
        <v>2577</v>
      </c>
      <c r="C10706" s="91" t="s">
        <v>1046</v>
      </c>
    </row>
    <row r="10707" spans="1:3" ht="15">
      <c r="A10707" s="84" t="s">
        <v>238</v>
      </c>
      <c r="B10707" s="83" t="s">
        <v>2658</v>
      </c>
      <c r="C10707" s="91" t="s">
        <v>1046</v>
      </c>
    </row>
    <row r="10708" spans="1:3" ht="15">
      <c r="A10708" s="84" t="s">
        <v>238</v>
      </c>
      <c r="B10708" s="83" t="s">
        <v>2653</v>
      </c>
      <c r="C10708" s="91" t="s">
        <v>1046</v>
      </c>
    </row>
    <row r="10709" spans="1:3" ht="15">
      <c r="A10709" s="84" t="s">
        <v>238</v>
      </c>
      <c r="B10709" s="83" t="s">
        <v>2667</v>
      </c>
      <c r="C10709" s="91" t="s">
        <v>1046</v>
      </c>
    </row>
    <row r="10710" spans="1:3" ht="15">
      <c r="A10710" s="84" t="s">
        <v>238</v>
      </c>
      <c r="B10710" s="83" t="s">
        <v>2578</v>
      </c>
      <c r="C10710" s="91" t="s">
        <v>1046</v>
      </c>
    </row>
    <row r="10711" spans="1:3" ht="15">
      <c r="A10711" s="84" t="s">
        <v>238</v>
      </c>
      <c r="B10711" s="83" t="s">
        <v>2678</v>
      </c>
      <c r="C10711" s="91" t="s">
        <v>1046</v>
      </c>
    </row>
    <row r="10712" spans="1:3" ht="15">
      <c r="A10712" s="84" t="s">
        <v>238</v>
      </c>
      <c r="B10712" s="83" t="s">
        <v>3312</v>
      </c>
      <c r="C10712" s="91" t="s">
        <v>1046</v>
      </c>
    </row>
    <row r="10713" spans="1:3" ht="15">
      <c r="A10713" s="84" t="s">
        <v>238</v>
      </c>
      <c r="B10713" s="83" t="s">
        <v>3290</v>
      </c>
      <c r="C10713" s="91" t="s">
        <v>1046</v>
      </c>
    </row>
    <row r="10714" spans="1:3" ht="15">
      <c r="A10714" s="84" t="s">
        <v>238</v>
      </c>
      <c r="B10714" s="83" t="s">
        <v>3313</v>
      </c>
      <c r="C10714" s="91" t="s">
        <v>1046</v>
      </c>
    </row>
    <row r="10715" spans="1:3" ht="15">
      <c r="A10715" s="84" t="s">
        <v>238</v>
      </c>
      <c r="B10715" s="83" t="s">
        <v>3314</v>
      </c>
      <c r="C10715" s="91" t="s">
        <v>1046</v>
      </c>
    </row>
    <row r="10716" spans="1:3" ht="15">
      <c r="A10716" s="84" t="s">
        <v>238</v>
      </c>
      <c r="B10716" s="83" t="s">
        <v>3315</v>
      </c>
      <c r="C10716" s="91" t="s">
        <v>1046</v>
      </c>
    </row>
    <row r="10717" spans="1:3" ht="15">
      <c r="A10717" s="84" t="s">
        <v>238</v>
      </c>
      <c r="B10717" s="83" t="s">
        <v>586</v>
      </c>
      <c r="C10717" s="91" t="s">
        <v>1046</v>
      </c>
    </row>
    <row r="10718" spans="1:3" ht="15">
      <c r="A10718" s="84" t="s">
        <v>238</v>
      </c>
      <c r="B10718" s="83" t="s">
        <v>3258</v>
      </c>
      <c r="C10718" s="91" t="s">
        <v>1046</v>
      </c>
    </row>
    <row r="10719" spans="1:3" ht="15">
      <c r="A10719" s="84" t="s">
        <v>237</v>
      </c>
      <c r="B10719" s="83" t="s">
        <v>3436</v>
      </c>
      <c r="C10719" s="91" t="s">
        <v>1045</v>
      </c>
    </row>
    <row r="10720" spans="1:3" ht="15">
      <c r="A10720" s="84" t="s">
        <v>237</v>
      </c>
      <c r="B10720" s="83" t="s">
        <v>2682</v>
      </c>
      <c r="C10720" s="91" t="s">
        <v>1045</v>
      </c>
    </row>
    <row r="10721" spans="1:3" ht="15">
      <c r="A10721" s="84" t="s">
        <v>237</v>
      </c>
      <c r="B10721" s="83" t="s">
        <v>2582</v>
      </c>
      <c r="C10721" s="91" t="s">
        <v>1045</v>
      </c>
    </row>
    <row r="10722" spans="1:3" ht="15">
      <c r="A10722" s="84" t="s">
        <v>237</v>
      </c>
      <c r="B10722" s="83" t="s">
        <v>3437</v>
      </c>
      <c r="C10722" s="91" t="s">
        <v>1045</v>
      </c>
    </row>
    <row r="10723" spans="1:3" ht="15">
      <c r="A10723" s="84" t="s">
        <v>237</v>
      </c>
      <c r="B10723" s="83" t="s">
        <v>3438</v>
      </c>
      <c r="C10723" s="91" t="s">
        <v>1045</v>
      </c>
    </row>
    <row r="10724" spans="1:3" ht="15">
      <c r="A10724" s="84" t="s">
        <v>237</v>
      </c>
      <c r="B10724" s="83" t="s">
        <v>2685</v>
      </c>
      <c r="C10724" s="91" t="s">
        <v>1045</v>
      </c>
    </row>
    <row r="10725" spans="1:3" ht="15">
      <c r="A10725" s="84" t="s">
        <v>237</v>
      </c>
      <c r="B10725" s="83">
        <v>106</v>
      </c>
      <c r="C10725" s="91" t="s">
        <v>1045</v>
      </c>
    </row>
    <row r="10726" spans="1:3" ht="15">
      <c r="A10726" s="84" t="s">
        <v>237</v>
      </c>
      <c r="B10726" s="83" t="s">
        <v>2687</v>
      </c>
      <c r="C10726" s="91" t="s">
        <v>1045</v>
      </c>
    </row>
    <row r="10727" spans="1:3" ht="15">
      <c r="A10727" s="84" t="s">
        <v>237</v>
      </c>
      <c r="B10727" s="83" t="s">
        <v>2688</v>
      </c>
      <c r="C10727" s="91" t="s">
        <v>1045</v>
      </c>
    </row>
    <row r="10728" spans="1:3" ht="15">
      <c r="A10728" s="84" t="s">
        <v>237</v>
      </c>
      <c r="B10728" s="83" t="s">
        <v>3439</v>
      </c>
      <c r="C10728" s="91" t="s">
        <v>1045</v>
      </c>
    </row>
    <row r="10729" spans="1:3" ht="15">
      <c r="A10729" s="84" t="s">
        <v>237</v>
      </c>
      <c r="B10729" s="83" t="s">
        <v>3440</v>
      </c>
      <c r="C10729" s="91" t="s">
        <v>1045</v>
      </c>
    </row>
    <row r="10730" spans="1:3" ht="15">
      <c r="A10730" s="84" t="s">
        <v>237</v>
      </c>
      <c r="B10730" s="83" t="s">
        <v>3213</v>
      </c>
      <c r="C10730" s="91" t="s">
        <v>1045</v>
      </c>
    </row>
    <row r="10731" spans="1:3" ht="15">
      <c r="A10731" s="84" t="s">
        <v>237</v>
      </c>
      <c r="B10731" s="83" t="s">
        <v>3194</v>
      </c>
      <c r="C10731" s="91" t="s">
        <v>1045</v>
      </c>
    </row>
    <row r="10732" spans="1:3" ht="15">
      <c r="A10732" s="84" t="s">
        <v>237</v>
      </c>
      <c r="B10732" s="83" t="s">
        <v>3214</v>
      </c>
      <c r="C10732" s="91" t="s">
        <v>1045</v>
      </c>
    </row>
    <row r="10733" spans="1:3" ht="15">
      <c r="A10733" s="84" t="s">
        <v>237</v>
      </c>
      <c r="B10733" s="83" t="s">
        <v>3441</v>
      </c>
      <c r="C10733" s="91" t="s">
        <v>1045</v>
      </c>
    </row>
    <row r="10734" spans="1:3" ht="15">
      <c r="A10734" s="84" t="s">
        <v>237</v>
      </c>
      <c r="B10734" s="83" t="s">
        <v>3412</v>
      </c>
      <c r="C10734" s="91" t="s">
        <v>1045</v>
      </c>
    </row>
    <row r="10735" spans="1:3" ht="15">
      <c r="A10735" s="84" t="s">
        <v>237</v>
      </c>
      <c r="B10735" s="83" t="s">
        <v>3199</v>
      </c>
      <c r="C10735" s="91" t="s">
        <v>1045</v>
      </c>
    </row>
    <row r="10736" spans="1:3" ht="15">
      <c r="A10736" s="84" t="s">
        <v>237</v>
      </c>
      <c r="B10736" s="83" t="s">
        <v>3442</v>
      </c>
      <c r="C10736" s="91" t="s">
        <v>1045</v>
      </c>
    </row>
    <row r="10737" spans="1:3" ht="15">
      <c r="A10737" s="84" t="s">
        <v>237</v>
      </c>
      <c r="B10737" s="83" t="s">
        <v>3223</v>
      </c>
      <c r="C10737" s="91" t="s">
        <v>1045</v>
      </c>
    </row>
    <row r="10738" spans="1:3" ht="15">
      <c r="A10738" s="84" t="s">
        <v>237</v>
      </c>
      <c r="B10738" s="83" t="s">
        <v>3443</v>
      </c>
      <c r="C10738" s="91" t="s">
        <v>1045</v>
      </c>
    </row>
    <row r="10739" spans="1:3" ht="15">
      <c r="A10739" s="84" t="s">
        <v>237</v>
      </c>
      <c r="B10739" s="83" t="s">
        <v>3444</v>
      </c>
      <c r="C10739" s="91" t="s">
        <v>1045</v>
      </c>
    </row>
    <row r="10740" spans="1:3" ht="15">
      <c r="A10740" s="84" t="s">
        <v>237</v>
      </c>
      <c r="B10740" s="83" t="s">
        <v>381</v>
      </c>
      <c r="C10740" s="91" t="s">
        <v>1045</v>
      </c>
    </row>
    <row r="10741" spans="1:3" ht="15">
      <c r="A10741" s="84" t="s">
        <v>237</v>
      </c>
      <c r="B10741" s="83" t="s">
        <v>3445</v>
      </c>
      <c r="C10741" s="91" t="s">
        <v>1045</v>
      </c>
    </row>
    <row r="10742" spans="1:3" ht="15">
      <c r="A10742" s="84" t="s">
        <v>237</v>
      </c>
      <c r="B10742" s="83" t="s">
        <v>383</v>
      </c>
      <c r="C10742" s="91" t="s">
        <v>1045</v>
      </c>
    </row>
    <row r="10743" spans="1:3" ht="15">
      <c r="A10743" s="84" t="s">
        <v>237</v>
      </c>
      <c r="B10743" s="83" t="s">
        <v>430</v>
      </c>
      <c r="C10743" s="91" t="s">
        <v>1045</v>
      </c>
    </row>
    <row r="10744" spans="1:3" ht="15">
      <c r="A10744" s="84" t="s">
        <v>237</v>
      </c>
      <c r="B10744" s="83" t="s">
        <v>3446</v>
      </c>
      <c r="C10744" s="91" t="s">
        <v>1045</v>
      </c>
    </row>
    <row r="10745" spans="1:3" ht="15">
      <c r="A10745" s="84" t="s">
        <v>237</v>
      </c>
      <c r="B10745" s="83" t="s">
        <v>3447</v>
      </c>
      <c r="C10745" s="91" t="s">
        <v>1045</v>
      </c>
    </row>
    <row r="10746" spans="1:3" ht="15">
      <c r="A10746" s="84" t="s">
        <v>264</v>
      </c>
      <c r="B10746" s="83" t="s">
        <v>3641</v>
      </c>
      <c r="C10746" s="91" t="s">
        <v>1072</v>
      </c>
    </row>
    <row r="10747" spans="1:3" ht="15">
      <c r="A10747" s="84" t="s">
        <v>264</v>
      </c>
      <c r="B10747" s="83" t="s">
        <v>2952</v>
      </c>
      <c r="C10747" s="91" t="s">
        <v>1072</v>
      </c>
    </row>
    <row r="10748" spans="1:3" ht="15">
      <c r="A10748" s="84" t="s">
        <v>264</v>
      </c>
      <c r="B10748" s="83" t="s">
        <v>3313</v>
      </c>
      <c r="C10748" s="91" t="s">
        <v>1072</v>
      </c>
    </row>
    <row r="10749" spans="1:3" ht="15">
      <c r="A10749" s="84" t="s">
        <v>264</v>
      </c>
      <c r="B10749" s="83" t="s">
        <v>586</v>
      </c>
      <c r="C10749" s="91" t="s">
        <v>1072</v>
      </c>
    </row>
    <row r="10750" spans="1:3" ht="15">
      <c r="A10750" s="84" t="s">
        <v>264</v>
      </c>
      <c r="B10750" s="83" t="s">
        <v>3319</v>
      </c>
      <c r="C10750" s="91" t="s">
        <v>1072</v>
      </c>
    </row>
    <row r="10751" spans="1:3" ht="15">
      <c r="A10751" s="84" t="s">
        <v>264</v>
      </c>
      <c r="B10751" s="83" t="s">
        <v>2719</v>
      </c>
      <c r="C10751" s="91" t="s">
        <v>1072</v>
      </c>
    </row>
    <row r="10752" spans="1:3" ht="15">
      <c r="A10752" s="84" t="s">
        <v>264</v>
      </c>
      <c r="B10752" s="83" t="s">
        <v>2653</v>
      </c>
      <c r="C10752" s="91" t="s">
        <v>1072</v>
      </c>
    </row>
    <row r="10753" spans="1:3" ht="15">
      <c r="A10753" s="84" t="s">
        <v>264</v>
      </c>
      <c r="B10753" s="83" t="s">
        <v>2665</v>
      </c>
      <c r="C10753" s="91" t="s">
        <v>1072</v>
      </c>
    </row>
    <row r="10754" spans="1:3" ht="15">
      <c r="A10754" s="84" t="s">
        <v>264</v>
      </c>
      <c r="B10754" s="83" t="s">
        <v>2590</v>
      </c>
      <c r="C10754" s="91" t="s">
        <v>1072</v>
      </c>
    </row>
    <row r="10755" spans="1:3" ht="15">
      <c r="A10755" s="84" t="s">
        <v>264</v>
      </c>
      <c r="B10755" s="83" t="s">
        <v>2953</v>
      </c>
      <c r="C10755" s="91" t="s">
        <v>1072</v>
      </c>
    </row>
    <row r="10756" spans="1:3" ht="15">
      <c r="A10756" s="84" t="s">
        <v>264</v>
      </c>
      <c r="B10756" s="83" t="s">
        <v>2591</v>
      </c>
      <c r="C10756" s="91" t="s">
        <v>1072</v>
      </c>
    </row>
    <row r="10757" spans="1:3" ht="15">
      <c r="A10757" s="84" t="s">
        <v>264</v>
      </c>
      <c r="B10757" s="83" t="s">
        <v>2582</v>
      </c>
      <c r="C10757" s="91" t="s">
        <v>1072</v>
      </c>
    </row>
    <row r="10758" spans="1:3" ht="15">
      <c r="A10758" s="84" t="s">
        <v>264</v>
      </c>
      <c r="B10758" s="83" t="s">
        <v>2578</v>
      </c>
      <c r="C10758" s="91" t="s">
        <v>1072</v>
      </c>
    </row>
    <row r="10759" spans="1:3" ht="15">
      <c r="A10759" s="84" t="s">
        <v>264</v>
      </c>
      <c r="B10759" s="83" t="s">
        <v>2954</v>
      </c>
      <c r="C10759" s="91" t="s">
        <v>1072</v>
      </c>
    </row>
    <row r="10760" spans="1:3" ht="15">
      <c r="A10760" s="84" t="s">
        <v>264</v>
      </c>
      <c r="B10760" s="83" t="s">
        <v>2955</v>
      </c>
      <c r="C10760" s="91" t="s">
        <v>1072</v>
      </c>
    </row>
    <row r="10761" spans="1:3" ht="15">
      <c r="A10761" s="84" t="s">
        <v>264</v>
      </c>
      <c r="B10761" s="83" t="s">
        <v>2956</v>
      </c>
      <c r="C10761" s="91" t="s">
        <v>1072</v>
      </c>
    </row>
    <row r="10762" spans="1:3" ht="15">
      <c r="A10762" s="84" t="s">
        <v>264</v>
      </c>
      <c r="B10762" s="83" t="s">
        <v>2568</v>
      </c>
      <c r="C10762" s="91" t="s">
        <v>1072</v>
      </c>
    </row>
    <row r="10763" spans="1:3" ht="15">
      <c r="A10763" s="84" t="s">
        <v>264</v>
      </c>
      <c r="B10763" s="83" t="s">
        <v>2894</v>
      </c>
      <c r="C10763" s="91" t="s">
        <v>1072</v>
      </c>
    </row>
    <row r="10764" spans="1:3" ht="15">
      <c r="A10764" s="84" t="s">
        <v>264</v>
      </c>
      <c r="B10764" s="83" t="s">
        <v>2957</v>
      </c>
      <c r="C10764" s="91" t="s">
        <v>1072</v>
      </c>
    </row>
    <row r="10765" spans="1:3" ht="15">
      <c r="A10765" s="84" t="s">
        <v>264</v>
      </c>
      <c r="B10765" s="83" t="s">
        <v>3203</v>
      </c>
      <c r="C10765" s="91" t="s">
        <v>1072</v>
      </c>
    </row>
    <row r="10766" spans="1:3" ht="15">
      <c r="A10766" s="84" t="s">
        <v>264</v>
      </c>
      <c r="B10766" s="83" t="s">
        <v>2958</v>
      </c>
      <c r="C10766" s="91" t="s">
        <v>1072</v>
      </c>
    </row>
    <row r="10767" spans="1:3" ht="15">
      <c r="A10767" s="84" t="s">
        <v>264</v>
      </c>
      <c r="B10767" s="83" t="s">
        <v>2959</v>
      </c>
      <c r="C10767" s="91" t="s">
        <v>1072</v>
      </c>
    </row>
    <row r="10768" spans="1:3" ht="15">
      <c r="A10768" s="84" t="s">
        <v>264</v>
      </c>
      <c r="B10768" s="83" t="s">
        <v>3642</v>
      </c>
      <c r="C10768" s="91" t="s">
        <v>1072</v>
      </c>
    </row>
    <row r="10769" spans="1:3" ht="15">
      <c r="A10769" s="84" t="s">
        <v>264</v>
      </c>
      <c r="B10769" s="83" t="s">
        <v>2961</v>
      </c>
      <c r="C10769" s="91" t="s">
        <v>1072</v>
      </c>
    </row>
    <row r="10770" spans="1:3" ht="15">
      <c r="A10770" s="84" t="s">
        <v>264</v>
      </c>
      <c r="B10770" s="83" t="s">
        <v>2777</v>
      </c>
      <c r="C10770" s="91" t="s">
        <v>1072</v>
      </c>
    </row>
    <row r="10771" spans="1:3" ht="15">
      <c r="A10771" s="84" t="s">
        <v>264</v>
      </c>
      <c r="B10771" s="83" t="s">
        <v>3643</v>
      </c>
      <c r="C10771" s="91" t="s">
        <v>1072</v>
      </c>
    </row>
    <row r="10772" spans="1:3" ht="15">
      <c r="A10772" s="84" t="s">
        <v>264</v>
      </c>
      <c r="B10772" s="83" t="s">
        <v>2963</v>
      </c>
      <c r="C10772" s="91" t="s">
        <v>1072</v>
      </c>
    </row>
    <row r="10773" spans="1:3" ht="15">
      <c r="A10773" s="84" t="s">
        <v>236</v>
      </c>
      <c r="B10773" s="83" t="s">
        <v>3641</v>
      </c>
      <c r="C10773" s="91" t="s">
        <v>1044</v>
      </c>
    </row>
    <row r="10774" spans="1:3" ht="15">
      <c r="A10774" s="84" t="s">
        <v>236</v>
      </c>
      <c r="B10774" s="83" t="s">
        <v>2952</v>
      </c>
      <c r="C10774" s="91" t="s">
        <v>1044</v>
      </c>
    </row>
    <row r="10775" spans="1:3" ht="15">
      <c r="A10775" s="84" t="s">
        <v>236</v>
      </c>
      <c r="B10775" s="83" t="s">
        <v>3313</v>
      </c>
      <c r="C10775" s="91" t="s">
        <v>1044</v>
      </c>
    </row>
    <row r="10776" spans="1:3" ht="15">
      <c r="A10776" s="84" t="s">
        <v>236</v>
      </c>
      <c r="B10776" s="83" t="s">
        <v>586</v>
      </c>
      <c r="C10776" s="91" t="s">
        <v>1044</v>
      </c>
    </row>
    <row r="10777" spans="1:3" ht="15">
      <c r="A10777" s="84" t="s">
        <v>236</v>
      </c>
      <c r="B10777" s="83" t="s">
        <v>3319</v>
      </c>
      <c r="C10777" s="91" t="s">
        <v>1044</v>
      </c>
    </row>
    <row r="10778" spans="1:3" ht="15">
      <c r="A10778" s="84" t="s">
        <v>236</v>
      </c>
      <c r="B10778" s="83" t="s">
        <v>2719</v>
      </c>
      <c r="C10778" s="91" t="s">
        <v>1044</v>
      </c>
    </row>
    <row r="10779" spans="1:3" ht="15">
      <c r="A10779" s="84" t="s">
        <v>236</v>
      </c>
      <c r="B10779" s="83" t="s">
        <v>2653</v>
      </c>
      <c r="C10779" s="91" t="s">
        <v>1044</v>
      </c>
    </row>
    <row r="10780" spans="1:3" ht="15">
      <c r="A10780" s="84" t="s">
        <v>236</v>
      </c>
      <c r="B10780" s="83" t="s">
        <v>2665</v>
      </c>
      <c r="C10780" s="91" t="s">
        <v>1044</v>
      </c>
    </row>
    <row r="10781" spans="1:3" ht="15">
      <c r="A10781" s="84" t="s">
        <v>236</v>
      </c>
      <c r="B10781" s="83" t="s">
        <v>2590</v>
      </c>
      <c r="C10781" s="91" t="s">
        <v>1044</v>
      </c>
    </row>
    <row r="10782" spans="1:3" ht="15">
      <c r="A10782" s="84" t="s">
        <v>236</v>
      </c>
      <c r="B10782" s="83" t="s">
        <v>2953</v>
      </c>
      <c r="C10782" s="91" t="s">
        <v>1044</v>
      </c>
    </row>
    <row r="10783" spans="1:3" ht="15">
      <c r="A10783" s="84" t="s">
        <v>236</v>
      </c>
      <c r="B10783" s="83" t="s">
        <v>2591</v>
      </c>
      <c r="C10783" s="91" t="s">
        <v>1044</v>
      </c>
    </row>
    <row r="10784" spans="1:3" ht="15">
      <c r="A10784" s="84" t="s">
        <v>236</v>
      </c>
      <c r="B10784" s="83" t="s">
        <v>2582</v>
      </c>
      <c r="C10784" s="91" t="s">
        <v>1044</v>
      </c>
    </row>
    <row r="10785" spans="1:3" ht="15">
      <c r="A10785" s="84" t="s">
        <v>236</v>
      </c>
      <c r="B10785" s="83" t="s">
        <v>2578</v>
      </c>
      <c r="C10785" s="91" t="s">
        <v>1044</v>
      </c>
    </row>
    <row r="10786" spans="1:3" ht="15">
      <c r="A10786" s="84" t="s">
        <v>236</v>
      </c>
      <c r="B10786" s="83" t="s">
        <v>2954</v>
      </c>
      <c r="C10786" s="91" t="s">
        <v>1044</v>
      </c>
    </row>
    <row r="10787" spans="1:3" ht="15">
      <c r="A10787" s="84" t="s">
        <v>236</v>
      </c>
      <c r="B10787" s="83" t="s">
        <v>2955</v>
      </c>
      <c r="C10787" s="91" t="s">
        <v>1044</v>
      </c>
    </row>
    <row r="10788" spans="1:3" ht="15">
      <c r="A10788" s="84" t="s">
        <v>236</v>
      </c>
      <c r="B10788" s="83" t="s">
        <v>2956</v>
      </c>
      <c r="C10788" s="91" t="s">
        <v>1044</v>
      </c>
    </row>
    <row r="10789" spans="1:3" ht="15">
      <c r="A10789" s="84" t="s">
        <v>236</v>
      </c>
      <c r="B10789" s="83" t="s">
        <v>2568</v>
      </c>
      <c r="C10789" s="91" t="s">
        <v>1044</v>
      </c>
    </row>
    <row r="10790" spans="1:3" ht="15">
      <c r="A10790" s="84" t="s">
        <v>236</v>
      </c>
      <c r="B10790" s="83" t="s">
        <v>2894</v>
      </c>
      <c r="C10790" s="91" t="s">
        <v>1044</v>
      </c>
    </row>
    <row r="10791" spans="1:3" ht="15">
      <c r="A10791" s="84" t="s">
        <v>236</v>
      </c>
      <c r="B10791" s="83" t="s">
        <v>2957</v>
      </c>
      <c r="C10791" s="91" t="s">
        <v>1044</v>
      </c>
    </row>
    <row r="10792" spans="1:3" ht="15">
      <c r="A10792" s="84" t="s">
        <v>236</v>
      </c>
      <c r="B10792" s="83" t="s">
        <v>3203</v>
      </c>
      <c r="C10792" s="91" t="s">
        <v>1044</v>
      </c>
    </row>
    <row r="10793" spans="1:3" ht="15">
      <c r="A10793" s="84" t="s">
        <v>236</v>
      </c>
      <c r="B10793" s="83" t="s">
        <v>2958</v>
      </c>
      <c r="C10793" s="91" t="s">
        <v>1044</v>
      </c>
    </row>
    <row r="10794" spans="1:3" ht="15">
      <c r="A10794" s="84" t="s">
        <v>236</v>
      </c>
      <c r="B10794" s="83" t="s">
        <v>2959</v>
      </c>
      <c r="C10794" s="91" t="s">
        <v>1044</v>
      </c>
    </row>
    <row r="10795" spans="1:3" ht="15">
      <c r="A10795" s="84" t="s">
        <v>236</v>
      </c>
      <c r="B10795" s="83" t="s">
        <v>3642</v>
      </c>
      <c r="C10795" s="91" t="s">
        <v>1044</v>
      </c>
    </row>
    <row r="10796" spans="1:3" ht="15">
      <c r="A10796" s="84" t="s">
        <v>236</v>
      </c>
      <c r="B10796" s="83" t="s">
        <v>2961</v>
      </c>
      <c r="C10796" s="91" t="s">
        <v>1044</v>
      </c>
    </row>
    <row r="10797" spans="1:3" ht="15">
      <c r="A10797" s="84" t="s">
        <v>236</v>
      </c>
      <c r="B10797" s="83" t="s">
        <v>2777</v>
      </c>
      <c r="C10797" s="91" t="s">
        <v>1044</v>
      </c>
    </row>
    <row r="10798" spans="1:3" ht="15">
      <c r="A10798" s="84" t="s">
        <v>236</v>
      </c>
      <c r="B10798" s="83" t="s">
        <v>3643</v>
      </c>
      <c r="C10798" s="91" t="s">
        <v>1044</v>
      </c>
    </row>
    <row r="10799" spans="1:3" ht="15">
      <c r="A10799" s="84" t="s">
        <v>236</v>
      </c>
      <c r="B10799" s="83" t="s">
        <v>2963</v>
      </c>
      <c r="C10799" s="91" t="s">
        <v>1044</v>
      </c>
    </row>
    <row r="10800" spans="1:3" ht="15">
      <c r="A10800" s="84" t="s">
        <v>235</v>
      </c>
      <c r="B10800" s="83" t="s">
        <v>3436</v>
      </c>
      <c r="C10800" s="91" t="s">
        <v>1043</v>
      </c>
    </row>
    <row r="10801" spans="1:3" ht="15">
      <c r="A10801" s="84" t="s">
        <v>235</v>
      </c>
      <c r="B10801" s="83" t="s">
        <v>2682</v>
      </c>
      <c r="C10801" s="91" t="s">
        <v>1043</v>
      </c>
    </row>
    <row r="10802" spans="1:3" ht="15">
      <c r="A10802" s="84" t="s">
        <v>235</v>
      </c>
      <c r="B10802" s="83" t="s">
        <v>2582</v>
      </c>
      <c r="C10802" s="91" t="s">
        <v>1043</v>
      </c>
    </row>
    <row r="10803" spans="1:3" ht="15">
      <c r="A10803" s="84" t="s">
        <v>235</v>
      </c>
      <c r="B10803" s="83" t="s">
        <v>3437</v>
      </c>
      <c r="C10803" s="91" t="s">
        <v>1043</v>
      </c>
    </row>
    <row r="10804" spans="1:3" ht="15">
      <c r="A10804" s="84" t="s">
        <v>235</v>
      </c>
      <c r="B10804" s="83" t="s">
        <v>3438</v>
      </c>
      <c r="C10804" s="91" t="s">
        <v>1043</v>
      </c>
    </row>
    <row r="10805" spans="1:3" ht="15">
      <c r="A10805" s="84" t="s">
        <v>235</v>
      </c>
      <c r="B10805" s="83" t="s">
        <v>2685</v>
      </c>
      <c r="C10805" s="91" t="s">
        <v>1043</v>
      </c>
    </row>
    <row r="10806" spans="1:3" ht="15">
      <c r="A10806" s="84" t="s">
        <v>235</v>
      </c>
      <c r="B10806" s="83">
        <v>106</v>
      </c>
      <c r="C10806" s="91" t="s">
        <v>1043</v>
      </c>
    </row>
    <row r="10807" spans="1:3" ht="15">
      <c r="A10807" s="84" t="s">
        <v>235</v>
      </c>
      <c r="B10807" s="83" t="s">
        <v>2687</v>
      </c>
      <c r="C10807" s="91" t="s">
        <v>1043</v>
      </c>
    </row>
    <row r="10808" spans="1:3" ht="15">
      <c r="A10808" s="84" t="s">
        <v>235</v>
      </c>
      <c r="B10808" s="83" t="s">
        <v>2688</v>
      </c>
      <c r="C10808" s="91" t="s">
        <v>1043</v>
      </c>
    </row>
    <row r="10809" spans="1:3" ht="15">
      <c r="A10809" s="84" t="s">
        <v>235</v>
      </c>
      <c r="B10809" s="83" t="s">
        <v>3439</v>
      </c>
      <c r="C10809" s="91" t="s">
        <v>1043</v>
      </c>
    </row>
    <row r="10810" spans="1:3" ht="15">
      <c r="A10810" s="84" t="s">
        <v>235</v>
      </c>
      <c r="B10810" s="83" t="s">
        <v>3440</v>
      </c>
      <c r="C10810" s="91" t="s">
        <v>1043</v>
      </c>
    </row>
    <row r="10811" spans="1:3" ht="15">
      <c r="A10811" s="84" t="s">
        <v>235</v>
      </c>
      <c r="B10811" s="83" t="s">
        <v>3213</v>
      </c>
      <c r="C10811" s="91" t="s">
        <v>1043</v>
      </c>
    </row>
    <row r="10812" spans="1:3" ht="15">
      <c r="A10812" s="84" t="s">
        <v>235</v>
      </c>
      <c r="B10812" s="83" t="s">
        <v>3194</v>
      </c>
      <c r="C10812" s="91" t="s">
        <v>1043</v>
      </c>
    </row>
    <row r="10813" spans="1:3" ht="15">
      <c r="A10813" s="84" t="s">
        <v>235</v>
      </c>
      <c r="B10813" s="83" t="s">
        <v>3214</v>
      </c>
      <c r="C10813" s="91" t="s">
        <v>1043</v>
      </c>
    </row>
    <row r="10814" spans="1:3" ht="15">
      <c r="A10814" s="84" t="s">
        <v>235</v>
      </c>
      <c r="B10814" s="83" t="s">
        <v>3441</v>
      </c>
      <c r="C10814" s="91" t="s">
        <v>1043</v>
      </c>
    </row>
    <row r="10815" spans="1:3" ht="15">
      <c r="A10815" s="84" t="s">
        <v>235</v>
      </c>
      <c r="B10815" s="83" t="s">
        <v>3412</v>
      </c>
      <c r="C10815" s="91" t="s">
        <v>1043</v>
      </c>
    </row>
    <row r="10816" spans="1:3" ht="15">
      <c r="A10816" s="84" t="s">
        <v>235</v>
      </c>
      <c r="B10816" s="83" t="s">
        <v>3199</v>
      </c>
      <c r="C10816" s="91" t="s">
        <v>1043</v>
      </c>
    </row>
    <row r="10817" spans="1:3" ht="15">
      <c r="A10817" s="84" t="s">
        <v>235</v>
      </c>
      <c r="B10817" s="83" t="s">
        <v>3442</v>
      </c>
      <c r="C10817" s="91" t="s">
        <v>1043</v>
      </c>
    </row>
    <row r="10818" spans="1:3" ht="15">
      <c r="A10818" s="84" t="s">
        <v>235</v>
      </c>
      <c r="B10818" s="83" t="s">
        <v>3223</v>
      </c>
      <c r="C10818" s="91" t="s">
        <v>1043</v>
      </c>
    </row>
    <row r="10819" spans="1:3" ht="15">
      <c r="A10819" s="84" t="s">
        <v>235</v>
      </c>
      <c r="B10819" s="83" t="s">
        <v>3443</v>
      </c>
      <c r="C10819" s="91" t="s">
        <v>1043</v>
      </c>
    </row>
    <row r="10820" spans="1:3" ht="15">
      <c r="A10820" s="84" t="s">
        <v>235</v>
      </c>
      <c r="B10820" s="83" t="s">
        <v>3444</v>
      </c>
      <c r="C10820" s="91" t="s">
        <v>1043</v>
      </c>
    </row>
    <row r="10821" spans="1:3" ht="15">
      <c r="A10821" s="84" t="s">
        <v>235</v>
      </c>
      <c r="B10821" s="83" t="s">
        <v>381</v>
      </c>
      <c r="C10821" s="91" t="s">
        <v>1043</v>
      </c>
    </row>
    <row r="10822" spans="1:3" ht="15">
      <c r="A10822" s="84" t="s">
        <v>235</v>
      </c>
      <c r="B10822" s="83" t="s">
        <v>3445</v>
      </c>
      <c r="C10822" s="91" t="s">
        <v>1043</v>
      </c>
    </row>
    <row r="10823" spans="1:3" ht="15">
      <c r="A10823" s="84" t="s">
        <v>235</v>
      </c>
      <c r="B10823" s="83" t="s">
        <v>383</v>
      </c>
      <c r="C10823" s="91" t="s">
        <v>1043</v>
      </c>
    </row>
    <row r="10824" spans="1:3" ht="15">
      <c r="A10824" s="84" t="s">
        <v>235</v>
      </c>
      <c r="B10824" s="83" t="s">
        <v>430</v>
      </c>
      <c r="C10824" s="91" t="s">
        <v>1043</v>
      </c>
    </row>
    <row r="10825" spans="1:3" ht="15">
      <c r="A10825" s="84" t="s">
        <v>235</v>
      </c>
      <c r="B10825" s="83" t="s">
        <v>3446</v>
      </c>
      <c r="C10825" s="91" t="s">
        <v>1043</v>
      </c>
    </row>
    <row r="10826" spans="1:3" ht="15">
      <c r="A10826" s="84" t="s">
        <v>235</v>
      </c>
      <c r="B10826" s="83" t="s">
        <v>3447</v>
      </c>
      <c r="C10826" s="91" t="s">
        <v>1043</v>
      </c>
    </row>
    <row r="10827" spans="1:3" ht="15">
      <c r="A10827" s="84" t="s">
        <v>234</v>
      </c>
      <c r="B10827" s="83" t="s">
        <v>3436</v>
      </c>
      <c r="C10827" s="91" t="s">
        <v>1042</v>
      </c>
    </row>
    <row r="10828" spans="1:3" ht="15">
      <c r="A10828" s="84" t="s">
        <v>234</v>
      </c>
      <c r="B10828" s="83" t="s">
        <v>2682</v>
      </c>
      <c r="C10828" s="91" t="s">
        <v>1042</v>
      </c>
    </row>
    <row r="10829" spans="1:3" ht="15">
      <c r="A10829" s="84" t="s">
        <v>234</v>
      </c>
      <c r="B10829" s="83" t="s">
        <v>2582</v>
      </c>
      <c r="C10829" s="91" t="s">
        <v>1042</v>
      </c>
    </row>
    <row r="10830" spans="1:3" ht="15">
      <c r="A10830" s="84" t="s">
        <v>234</v>
      </c>
      <c r="B10830" s="83" t="s">
        <v>3437</v>
      </c>
      <c r="C10830" s="91" t="s">
        <v>1042</v>
      </c>
    </row>
    <row r="10831" spans="1:3" ht="15">
      <c r="A10831" s="84" t="s">
        <v>234</v>
      </c>
      <c r="B10831" s="83" t="s">
        <v>3438</v>
      </c>
      <c r="C10831" s="91" t="s">
        <v>1042</v>
      </c>
    </row>
    <row r="10832" spans="1:3" ht="15">
      <c r="A10832" s="84" t="s">
        <v>234</v>
      </c>
      <c r="B10832" s="83" t="s">
        <v>2685</v>
      </c>
      <c r="C10832" s="91" t="s">
        <v>1042</v>
      </c>
    </row>
    <row r="10833" spans="1:3" ht="15">
      <c r="A10833" s="84" t="s">
        <v>234</v>
      </c>
      <c r="B10833" s="83">
        <v>106</v>
      </c>
      <c r="C10833" s="91" t="s">
        <v>1042</v>
      </c>
    </row>
    <row r="10834" spans="1:3" ht="15">
      <c r="A10834" s="84" t="s">
        <v>234</v>
      </c>
      <c r="B10834" s="83" t="s">
        <v>2687</v>
      </c>
      <c r="C10834" s="91" t="s">
        <v>1042</v>
      </c>
    </row>
    <row r="10835" spans="1:3" ht="15">
      <c r="A10835" s="84" t="s">
        <v>234</v>
      </c>
      <c r="B10835" s="83" t="s">
        <v>2688</v>
      </c>
      <c r="C10835" s="91" t="s">
        <v>1042</v>
      </c>
    </row>
    <row r="10836" spans="1:3" ht="15">
      <c r="A10836" s="84" t="s">
        <v>234</v>
      </c>
      <c r="B10836" s="83" t="s">
        <v>3439</v>
      </c>
      <c r="C10836" s="91" t="s">
        <v>1042</v>
      </c>
    </row>
    <row r="10837" spans="1:3" ht="15">
      <c r="A10837" s="84" t="s">
        <v>234</v>
      </c>
      <c r="B10837" s="83" t="s">
        <v>3440</v>
      </c>
      <c r="C10837" s="91" t="s">
        <v>1042</v>
      </c>
    </row>
    <row r="10838" spans="1:3" ht="15">
      <c r="A10838" s="84" t="s">
        <v>234</v>
      </c>
      <c r="B10838" s="83" t="s">
        <v>3213</v>
      </c>
      <c r="C10838" s="91" t="s">
        <v>1042</v>
      </c>
    </row>
    <row r="10839" spans="1:3" ht="15">
      <c r="A10839" s="84" t="s">
        <v>234</v>
      </c>
      <c r="B10839" s="83" t="s">
        <v>3194</v>
      </c>
      <c r="C10839" s="91" t="s">
        <v>1042</v>
      </c>
    </row>
    <row r="10840" spans="1:3" ht="15">
      <c r="A10840" s="84" t="s">
        <v>234</v>
      </c>
      <c r="B10840" s="83" t="s">
        <v>3214</v>
      </c>
      <c r="C10840" s="91" t="s">
        <v>1042</v>
      </c>
    </row>
    <row r="10841" spans="1:3" ht="15">
      <c r="A10841" s="84" t="s">
        <v>234</v>
      </c>
      <c r="B10841" s="83" t="s">
        <v>3441</v>
      </c>
      <c r="C10841" s="91" t="s">
        <v>1042</v>
      </c>
    </row>
    <row r="10842" spans="1:3" ht="15">
      <c r="A10842" s="84" t="s">
        <v>234</v>
      </c>
      <c r="B10842" s="83" t="s">
        <v>3412</v>
      </c>
      <c r="C10842" s="91" t="s">
        <v>1042</v>
      </c>
    </row>
    <row r="10843" spans="1:3" ht="15">
      <c r="A10843" s="84" t="s">
        <v>234</v>
      </c>
      <c r="B10843" s="83" t="s">
        <v>3199</v>
      </c>
      <c r="C10843" s="91" t="s">
        <v>1042</v>
      </c>
    </row>
    <row r="10844" spans="1:3" ht="15">
      <c r="A10844" s="84" t="s">
        <v>234</v>
      </c>
      <c r="B10844" s="83" t="s">
        <v>3442</v>
      </c>
      <c r="C10844" s="91" t="s">
        <v>1042</v>
      </c>
    </row>
    <row r="10845" spans="1:3" ht="15">
      <c r="A10845" s="84" t="s">
        <v>234</v>
      </c>
      <c r="B10845" s="83" t="s">
        <v>3223</v>
      </c>
      <c r="C10845" s="91" t="s">
        <v>1042</v>
      </c>
    </row>
    <row r="10846" spans="1:3" ht="15">
      <c r="A10846" s="84" t="s">
        <v>234</v>
      </c>
      <c r="B10846" s="83" t="s">
        <v>3443</v>
      </c>
      <c r="C10846" s="91" t="s">
        <v>1042</v>
      </c>
    </row>
    <row r="10847" spans="1:3" ht="15">
      <c r="A10847" s="84" t="s">
        <v>234</v>
      </c>
      <c r="B10847" s="83" t="s">
        <v>3444</v>
      </c>
      <c r="C10847" s="91" t="s">
        <v>1042</v>
      </c>
    </row>
    <row r="10848" spans="1:3" ht="15">
      <c r="A10848" s="84" t="s">
        <v>234</v>
      </c>
      <c r="B10848" s="83" t="s">
        <v>381</v>
      </c>
      <c r="C10848" s="91" t="s">
        <v>1042</v>
      </c>
    </row>
    <row r="10849" spans="1:3" ht="15">
      <c r="A10849" s="84" t="s">
        <v>234</v>
      </c>
      <c r="B10849" s="83" t="s">
        <v>3445</v>
      </c>
      <c r="C10849" s="91" t="s">
        <v>1042</v>
      </c>
    </row>
    <row r="10850" spans="1:3" ht="15">
      <c r="A10850" s="84" t="s">
        <v>234</v>
      </c>
      <c r="B10850" s="83" t="s">
        <v>383</v>
      </c>
      <c r="C10850" s="91" t="s">
        <v>1042</v>
      </c>
    </row>
    <row r="10851" spans="1:3" ht="15">
      <c r="A10851" s="84" t="s">
        <v>234</v>
      </c>
      <c r="B10851" s="83" t="s">
        <v>430</v>
      </c>
      <c r="C10851" s="91" t="s">
        <v>1042</v>
      </c>
    </row>
    <row r="10852" spans="1:3" ht="15">
      <c r="A10852" s="84" t="s">
        <v>234</v>
      </c>
      <c r="B10852" s="83" t="s">
        <v>3446</v>
      </c>
      <c r="C10852" s="91" t="s">
        <v>1042</v>
      </c>
    </row>
    <row r="10853" spans="1:3" ht="15">
      <c r="A10853" s="84" t="s">
        <v>234</v>
      </c>
      <c r="B10853" s="83" t="s">
        <v>3447</v>
      </c>
      <c r="C10853" s="91" t="s">
        <v>1042</v>
      </c>
    </row>
    <row r="10854" spans="1:3" ht="15">
      <c r="A10854" s="84" t="s">
        <v>233</v>
      </c>
      <c r="B10854" s="83" t="s">
        <v>3436</v>
      </c>
      <c r="C10854" s="91" t="s">
        <v>1041</v>
      </c>
    </row>
    <row r="10855" spans="1:3" ht="15">
      <c r="A10855" s="84" t="s">
        <v>233</v>
      </c>
      <c r="B10855" s="83" t="s">
        <v>2682</v>
      </c>
      <c r="C10855" s="91" t="s">
        <v>1041</v>
      </c>
    </row>
    <row r="10856" spans="1:3" ht="15">
      <c r="A10856" s="84" t="s">
        <v>233</v>
      </c>
      <c r="B10856" s="83" t="s">
        <v>2582</v>
      </c>
      <c r="C10856" s="91" t="s">
        <v>1041</v>
      </c>
    </row>
    <row r="10857" spans="1:3" ht="15">
      <c r="A10857" s="84" t="s">
        <v>233</v>
      </c>
      <c r="B10857" s="83" t="s">
        <v>3437</v>
      </c>
      <c r="C10857" s="91" t="s">
        <v>1041</v>
      </c>
    </row>
    <row r="10858" spans="1:3" ht="15">
      <c r="A10858" s="84" t="s">
        <v>233</v>
      </c>
      <c r="B10858" s="83" t="s">
        <v>3438</v>
      </c>
      <c r="C10858" s="91" t="s">
        <v>1041</v>
      </c>
    </row>
    <row r="10859" spans="1:3" ht="15">
      <c r="A10859" s="84" t="s">
        <v>233</v>
      </c>
      <c r="B10859" s="83" t="s">
        <v>2685</v>
      </c>
      <c r="C10859" s="91" t="s">
        <v>1041</v>
      </c>
    </row>
    <row r="10860" spans="1:3" ht="15">
      <c r="A10860" s="84" t="s">
        <v>233</v>
      </c>
      <c r="B10860" s="83">
        <v>106</v>
      </c>
      <c r="C10860" s="91" t="s">
        <v>1041</v>
      </c>
    </row>
    <row r="10861" spans="1:3" ht="15">
      <c r="A10861" s="84" t="s">
        <v>233</v>
      </c>
      <c r="B10861" s="83" t="s">
        <v>2687</v>
      </c>
      <c r="C10861" s="91" t="s">
        <v>1041</v>
      </c>
    </row>
    <row r="10862" spans="1:3" ht="15">
      <c r="A10862" s="84" t="s">
        <v>233</v>
      </c>
      <c r="B10862" s="83" t="s">
        <v>2688</v>
      </c>
      <c r="C10862" s="91" t="s">
        <v>1041</v>
      </c>
    </row>
    <row r="10863" spans="1:3" ht="15">
      <c r="A10863" s="84" t="s">
        <v>233</v>
      </c>
      <c r="B10863" s="83" t="s">
        <v>3439</v>
      </c>
      <c r="C10863" s="91" t="s">
        <v>1041</v>
      </c>
    </row>
    <row r="10864" spans="1:3" ht="15">
      <c r="A10864" s="84" t="s">
        <v>233</v>
      </c>
      <c r="B10864" s="83" t="s">
        <v>3440</v>
      </c>
      <c r="C10864" s="91" t="s">
        <v>1041</v>
      </c>
    </row>
    <row r="10865" spans="1:3" ht="15">
      <c r="A10865" s="84" t="s">
        <v>233</v>
      </c>
      <c r="B10865" s="83" t="s">
        <v>3213</v>
      </c>
      <c r="C10865" s="91" t="s">
        <v>1041</v>
      </c>
    </row>
    <row r="10866" spans="1:3" ht="15">
      <c r="A10866" s="84" t="s">
        <v>233</v>
      </c>
      <c r="B10866" s="83" t="s">
        <v>3194</v>
      </c>
      <c r="C10866" s="91" t="s">
        <v>1041</v>
      </c>
    </row>
    <row r="10867" spans="1:3" ht="15">
      <c r="A10867" s="84" t="s">
        <v>233</v>
      </c>
      <c r="B10867" s="83" t="s">
        <v>3214</v>
      </c>
      <c r="C10867" s="91" t="s">
        <v>1041</v>
      </c>
    </row>
    <row r="10868" spans="1:3" ht="15">
      <c r="A10868" s="84" t="s">
        <v>233</v>
      </c>
      <c r="B10868" s="83" t="s">
        <v>3441</v>
      </c>
      <c r="C10868" s="91" t="s">
        <v>1041</v>
      </c>
    </row>
    <row r="10869" spans="1:3" ht="15">
      <c r="A10869" s="84" t="s">
        <v>233</v>
      </c>
      <c r="B10869" s="83" t="s">
        <v>3412</v>
      </c>
      <c r="C10869" s="91" t="s">
        <v>1041</v>
      </c>
    </row>
    <row r="10870" spans="1:3" ht="15">
      <c r="A10870" s="84" t="s">
        <v>233</v>
      </c>
      <c r="B10870" s="83" t="s">
        <v>3199</v>
      </c>
      <c r="C10870" s="91" t="s">
        <v>1041</v>
      </c>
    </row>
    <row r="10871" spans="1:3" ht="15">
      <c r="A10871" s="84" t="s">
        <v>233</v>
      </c>
      <c r="B10871" s="83" t="s">
        <v>3442</v>
      </c>
      <c r="C10871" s="91" t="s">
        <v>1041</v>
      </c>
    </row>
    <row r="10872" spans="1:3" ht="15">
      <c r="A10872" s="84" t="s">
        <v>233</v>
      </c>
      <c r="B10872" s="83" t="s">
        <v>3223</v>
      </c>
      <c r="C10872" s="91" t="s">
        <v>1041</v>
      </c>
    </row>
    <row r="10873" spans="1:3" ht="15">
      <c r="A10873" s="84" t="s">
        <v>233</v>
      </c>
      <c r="B10873" s="83" t="s">
        <v>3443</v>
      </c>
      <c r="C10873" s="91" t="s">
        <v>1041</v>
      </c>
    </row>
    <row r="10874" spans="1:3" ht="15">
      <c r="A10874" s="84" t="s">
        <v>233</v>
      </c>
      <c r="B10874" s="83" t="s">
        <v>3444</v>
      </c>
      <c r="C10874" s="91" t="s">
        <v>1041</v>
      </c>
    </row>
    <row r="10875" spans="1:3" ht="15">
      <c r="A10875" s="84" t="s">
        <v>233</v>
      </c>
      <c r="B10875" s="83" t="s">
        <v>381</v>
      </c>
      <c r="C10875" s="91" t="s">
        <v>1041</v>
      </c>
    </row>
    <row r="10876" spans="1:3" ht="15">
      <c r="A10876" s="84" t="s">
        <v>233</v>
      </c>
      <c r="B10876" s="83" t="s">
        <v>3445</v>
      </c>
      <c r="C10876" s="91" t="s">
        <v>1041</v>
      </c>
    </row>
    <row r="10877" spans="1:3" ht="15">
      <c r="A10877" s="84" t="s">
        <v>233</v>
      </c>
      <c r="B10877" s="83" t="s">
        <v>383</v>
      </c>
      <c r="C10877" s="91" t="s">
        <v>1041</v>
      </c>
    </row>
    <row r="10878" spans="1:3" ht="15">
      <c r="A10878" s="84" t="s">
        <v>233</v>
      </c>
      <c r="B10878" s="83" t="s">
        <v>430</v>
      </c>
      <c r="C10878" s="91" t="s">
        <v>1041</v>
      </c>
    </row>
    <row r="10879" spans="1:3" ht="15">
      <c r="A10879" s="84" t="s">
        <v>233</v>
      </c>
      <c r="B10879" s="83" t="s">
        <v>3446</v>
      </c>
      <c r="C10879" s="91" t="s">
        <v>1041</v>
      </c>
    </row>
    <row r="10880" spans="1:3" ht="15">
      <c r="A10880" s="84" t="s">
        <v>233</v>
      </c>
      <c r="B10880" s="83" t="s">
        <v>3447</v>
      </c>
      <c r="C10880" s="91" t="s">
        <v>1041</v>
      </c>
    </row>
    <row r="10881" spans="1:3" ht="15">
      <c r="A10881" s="84" t="s">
        <v>232</v>
      </c>
      <c r="B10881" s="83" t="s">
        <v>3436</v>
      </c>
      <c r="C10881" s="91" t="s">
        <v>1040</v>
      </c>
    </row>
    <row r="10882" spans="1:3" ht="15">
      <c r="A10882" s="84" t="s">
        <v>232</v>
      </c>
      <c r="B10882" s="83" t="s">
        <v>2682</v>
      </c>
      <c r="C10882" s="91" t="s">
        <v>1040</v>
      </c>
    </row>
    <row r="10883" spans="1:3" ht="15">
      <c r="A10883" s="84" t="s">
        <v>232</v>
      </c>
      <c r="B10883" s="83" t="s">
        <v>2582</v>
      </c>
      <c r="C10883" s="91" t="s">
        <v>1040</v>
      </c>
    </row>
    <row r="10884" spans="1:3" ht="15">
      <c r="A10884" s="84" t="s">
        <v>232</v>
      </c>
      <c r="B10884" s="83" t="s">
        <v>3437</v>
      </c>
      <c r="C10884" s="91" t="s">
        <v>1040</v>
      </c>
    </row>
    <row r="10885" spans="1:3" ht="15">
      <c r="A10885" s="84" t="s">
        <v>232</v>
      </c>
      <c r="B10885" s="83" t="s">
        <v>3438</v>
      </c>
      <c r="C10885" s="91" t="s">
        <v>1040</v>
      </c>
    </row>
    <row r="10886" spans="1:3" ht="15">
      <c r="A10886" s="84" t="s">
        <v>232</v>
      </c>
      <c r="B10886" s="83" t="s">
        <v>2685</v>
      </c>
      <c r="C10886" s="91" t="s">
        <v>1040</v>
      </c>
    </row>
    <row r="10887" spans="1:3" ht="15">
      <c r="A10887" s="84" t="s">
        <v>232</v>
      </c>
      <c r="B10887" s="83">
        <v>106</v>
      </c>
      <c r="C10887" s="91" t="s">
        <v>1040</v>
      </c>
    </row>
    <row r="10888" spans="1:3" ht="15">
      <c r="A10888" s="84" t="s">
        <v>232</v>
      </c>
      <c r="B10888" s="83" t="s">
        <v>2687</v>
      </c>
      <c r="C10888" s="91" t="s">
        <v>1040</v>
      </c>
    </row>
    <row r="10889" spans="1:3" ht="15">
      <c r="A10889" s="84" t="s">
        <v>232</v>
      </c>
      <c r="B10889" s="83" t="s">
        <v>2688</v>
      </c>
      <c r="C10889" s="91" t="s">
        <v>1040</v>
      </c>
    </row>
    <row r="10890" spans="1:3" ht="15">
      <c r="A10890" s="84" t="s">
        <v>232</v>
      </c>
      <c r="B10890" s="83" t="s">
        <v>3439</v>
      </c>
      <c r="C10890" s="91" t="s">
        <v>1040</v>
      </c>
    </row>
    <row r="10891" spans="1:3" ht="15">
      <c r="A10891" s="84" t="s">
        <v>232</v>
      </c>
      <c r="B10891" s="83" t="s">
        <v>3440</v>
      </c>
      <c r="C10891" s="91" t="s">
        <v>1040</v>
      </c>
    </row>
    <row r="10892" spans="1:3" ht="15">
      <c r="A10892" s="84" t="s">
        <v>232</v>
      </c>
      <c r="B10892" s="83" t="s">
        <v>3213</v>
      </c>
      <c r="C10892" s="91" t="s">
        <v>1040</v>
      </c>
    </row>
    <row r="10893" spans="1:3" ht="15">
      <c r="A10893" s="84" t="s">
        <v>232</v>
      </c>
      <c r="B10893" s="83" t="s">
        <v>3194</v>
      </c>
      <c r="C10893" s="91" t="s">
        <v>1040</v>
      </c>
    </row>
    <row r="10894" spans="1:3" ht="15">
      <c r="A10894" s="84" t="s">
        <v>232</v>
      </c>
      <c r="B10894" s="83" t="s">
        <v>3214</v>
      </c>
      <c r="C10894" s="91" t="s">
        <v>1040</v>
      </c>
    </row>
    <row r="10895" spans="1:3" ht="15">
      <c r="A10895" s="84" t="s">
        <v>232</v>
      </c>
      <c r="B10895" s="83" t="s">
        <v>3441</v>
      </c>
      <c r="C10895" s="91" t="s">
        <v>1040</v>
      </c>
    </row>
    <row r="10896" spans="1:3" ht="15">
      <c r="A10896" s="84" t="s">
        <v>232</v>
      </c>
      <c r="B10896" s="83" t="s">
        <v>3412</v>
      </c>
      <c r="C10896" s="91" t="s">
        <v>1040</v>
      </c>
    </row>
    <row r="10897" spans="1:3" ht="15">
      <c r="A10897" s="84" t="s">
        <v>232</v>
      </c>
      <c r="B10897" s="83" t="s">
        <v>3199</v>
      </c>
      <c r="C10897" s="91" t="s">
        <v>1040</v>
      </c>
    </row>
    <row r="10898" spans="1:3" ht="15">
      <c r="A10898" s="84" t="s">
        <v>232</v>
      </c>
      <c r="B10898" s="83" t="s">
        <v>3442</v>
      </c>
      <c r="C10898" s="91" t="s">
        <v>1040</v>
      </c>
    </row>
    <row r="10899" spans="1:3" ht="15">
      <c r="A10899" s="84" t="s">
        <v>232</v>
      </c>
      <c r="B10899" s="83" t="s">
        <v>3223</v>
      </c>
      <c r="C10899" s="91" t="s">
        <v>1040</v>
      </c>
    </row>
    <row r="10900" spans="1:3" ht="15">
      <c r="A10900" s="84" t="s">
        <v>232</v>
      </c>
      <c r="B10900" s="83" t="s">
        <v>3443</v>
      </c>
      <c r="C10900" s="91" t="s">
        <v>1040</v>
      </c>
    </row>
    <row r="10901" spans="1:3" ht="15">
      <c r="A10901" s="84" t="s">
        <v>232</v>
      </c>
      <c r="B10901" s="83" t="s">
        <v>3444</v>
      </c>
      <c r="C10901" s="91" t="s">
        <v>1040</v>
      </c>
    </row>
    <row r="10902" spans="1:3" ht="15">
      <c r="A10902" s="84" t="s">
        <v>232</v>
      </c>
      <c r="B10902" s="83" t="s">
        <v>381</v>
      </c>
      <c r="C10902" s="91" t="s">
        <v>1040</v>
      </c>
    </row>
    <row r="10903" spans="1:3" ht="15">
      <c r="A10903" s="84" t="s">
        <v>232</v>
      </c>
      <c r="B10903" s="83" t="s">
        <v>3445</v>
      </c>
      <c r="C10903" s="91" t="s">
        <v>1040</v>
      </c>
    </row>
    <row r="10904" spans="1:3" ht="15">
      <c r="A10904" s="84" t="s">
        <v>232</v>
      </c>
      <c r="B10904" s="83" t="s">
        <v>383</v>
      </c>
      <c r="C10904" s="91" t="s">
        <v>1040</v>
      </c>
    </row>
    <row r="10905" spans="1:3" ht="15">
      <c r="A10905" s="84" t="s">
        <v>232</v>
      </c>
      <c r="B10905" s="83" t="s">
        <v>430</v>
      </c>
      <c r="C10905" s="91" t="s">
        <v>1040</v>
      </c>
    </row>
    <row r="10906" spans="1:3" ht="15">
      <c r="A10906" s="84" t="s">
        <v>232</v>
      </c>
      <c r="B10906" s="83" t="s">
        <v>3446</v>
      </c>
      <c r="C10906" s="91" t="s">
        <v>1040</v>
      </c>
    </row>
    <row r="10907" spans="1:3" ht="15">
      <c r="A10907" s="84" t="s">
        <v>232</v>
      </c>
      <c r="B10907" s="83" t="s">
        <v>3447</v>
      </c>
      <c r="C10907" s="91" t="s">
        <v>1040</v>
      </c>
    </row>
    <row r="10908" spans="1:3" ht="15">
      <c r="A10908" s="84" t="s">
        <v>231</v>
      </c>
      <c r="B10908" s="83" t="s">
        <v>3436</v>
      </c>
      <c r="C10908" s="91" t="s">
        <v>1039</v>
      </c>
    </row>
    <row r="10909" spans="1:3" ht="15">
      <c r="A10909" s="84" t="s">
        <v>231</v>
      </c>
      <c r="B10909" s="83" t="s">
        <v>2682</v>
      </c>
      <c r="C10909" s="91" t="s">
        <v>1039</v>
      </c>
    </row>
    <row r="10910" spans="1:3" ht="15">
      <c r="A10910" s="84" t="s">
        <v>231</v>
      </c>
      <c r="B10910" s="83" t="s">
        <v>2582</v>
      </c>
      <c r="C10910" s="91" t="s">
        <v>1039</v>
      </c>
    </row>
    <row r="10911" spans="1:3" ht="15">
      <c r="A10911" s="84" t="s">
        <v>231</v>
      </c>
      <c r="B10911" s="83" t="s">
        <v>3437</v>
      </c>
      <c r="C10911" s="91" t="s">
        <v>1039</v>
      </c>
    </row>
    <row r="10912" spans="1:3" ht="15">
      <c r="A10912" s="84" t="s">
        <v>231</v>
      </c>
      <c r="B10912" s="83" t="s">
        <v>3438</v>
      </c>
      <c r="C10912" s="91" t="s">
        <v>1039</v>
      </c>
    </row>
    <row r="10913" spans="1:3" ht="15">
      <c r="A10913" s="84" t="s">
        <v>231</v>
      </c>
      <c r="B10913" s="83" t="s">
        <v>2685</v>
      </c>
      <c r="C10913" s="91" t="s">
        <v>1039</v>
      </c>
    </row>
    <row r="10914" spans="1:3" ht="15">
      <c r="A10914" s="84" t="s">
        <v>231</v>
      </c>
      <c r="B10914" s="83">
        <v>106</v>
      </c>
      <c r="C10914" s="91" t="s">
        <v>1039</v>
      </c>
    </row>
    <row r="10915" spans="1:3" ht="15">
      <c r="A10915" s="84" t="s">
        <v>231</v>
      </c>
      <c r="B10915" s="83" t="s">
        <v>2687</v>
      </c>
      <c r="C10915" s="91" t="s">
        <v>1039</v>
      </c>
    </row>
    <row r="10916" spans="1:3" ht="15">
      <c r="A10916" s="84" t="s">
        <v>231</v>
      </c>
      <c r="B10916" s="83" t="s">
        <v>2688</v>
      </c>
      <c r="C10916" s="91" t="s">
        <v>1039</v>
      </c>
    </row>
    <row r="10917" spans="1:3" ht="15">
      <c r="A10917" s="84" t="s">
        <v>231</v>
      </c>
      <c r="B10917" s="83" t="s">
        <v>3439</v>
      </c>
      <c r="C10917" s="91" t="s">
        <v>1039</v>
      </c>
    </row>
    <row r="10918" spans="1:3" ht="15">
      <c r="A10918" s="84" t="s">
        <v>231</v>
      </c>
      <c r="B10918" s="83" t="s">
        <v>3440</v>
      </c>
      <c r="C10918" s="91" t="s">
        <v>1039</v>
      </c>
    </row>
    <row r="10919" spans="1:3" ht="15">
      <c r="A10919" s="84" t="s">
        <v>231</v>
      </c>
      <c r="B10919" s="83" t="s">
        <v>3213</v>
      </c>
      <c r="C10919" s="91" t="s">
        <v>1039</v>
      </c>
    </row>
    <row r="10920" spans="1:3" ht="15">
      <c r="A10920" s="84" t="s">
        <v>231</v>
      </c>
      <c r="B10920" s="83" t="s">
        <v>3194</v>
      </c>
      <c r="C10920" s="91" t="s">
        <v>1039</v>
      </c>
    </row>
    <row r="10921" spans="1:3" ht="15">
      <c r="A10921" s="84" t="s">
        <v>231</v>
      </c>
      <c r="B10921" s="83" t="s">
        <v>3214</v>
      </c>
      <c r="C10921" s="91" t="s">
        <v>1039</v>
      </c>
    </row>
    <row r="10922" spans="1:3" ht="15">
      <c r="A10922" s="84" t="s">
        <v>231</v>
      </c>
      <c r="B10922" s="83" t="s">
        <v>3441</v>
      </c>
      <c r="C10922" s="91" t="s">
        <v>1039</v>
      </c>
    </row>
    <row r="10923" spans="1:3" ht="15">
      <c r="A10923" s="84" t="s">
        <v>231</v>
      </c>
      <c r="B10923" s="83" t="s">
        <v>3412</v>
      </c>
      <c r="C10923" s="91" t="s">
        <v>1039</v>
      </c>
    </row>
    <row r="10924" spans="1:3" ht="15">
      <c r="A10924" s="84" t="s">
        <v>231</v>
      </c>
      <c r="B10924" s="83" t="s">
        <v>3199</v>
      </c>
      <c r="C10924" s="91" t="s">
        <v>1039</v>
      </c>
    </row>
    <row r="10925" spans="1:3" ht="15">
      <c r="A10925" s="84" t="s">
        <v>231</v>
      </c>
      <c r="B10925" s="83" t="s">
        <v>3442</v>
      </c>
      <c r="C10925" s="91" t="s">
        <v>1039</v>
      </c>
    </row>
    <row r="10926" spans="1:3" ht="15">
      <c r="A10926" s="84" t="s">
        <v>231</v>
      </c>
      <c r="B10926" s="83" t="s">
        <v>3223</v>
      </c>
      <c r="C10926" s="91" t="s">
        <v>1039</v>
      </c>
    </row>
    <row r="10927" spans="1:3" ht="15">
      <c r="A10927" s="84" t="s">
        <v>231</v>
      </c>
      <c r="B10927" s="83" t="s">
        <v>3443</v>
      </c>
      <c r="C10927" s="91" t="s">
        <v>1039</v>
      </c>
    </row>
    <row r="10928" spans="1:3" ht="15">
      <c r="A10928" s="84" t="s">
        <v>231</v>
      </c>
      <c r="B10928" s="83" t="s">
        <v>3444</v>
      </c>
      <c r="C10928" s="91" t="s">
        <v>1039</v>
      </c>
    </row>
    <row r="10929" spans="1:3" ht="15">
      <c r="A10929" s="84" t="s">
        <v>231</v>
      </c>
      <c r="B10929" s="83" t="s">
        <v>381</v>
      </c>
      <c r="C10929" s="91" t="s">
        <v>1039</v>
      </c>
    </row>
    <row r="10930" spans="1:3" ht="15">
      <c r="A10930" s="84" t="s">
        <v>231</v>
      </c>
      <c r="B10930" s="83" t="s">
        <v>3445</v>
      </c>
      <c r="C10930" s="91" t="s">
        <v>1039</v>
      </c>
    </row>
    <row r="10931" spans="1:3" ht="15">
      <c r="A10931" s="84" t="s">
        <v>231</v>
      </c>
      <c r="B10931" s="83" t="s">
        <v>383</v>
      </c>
      <c r="C10931" s="91" t="s">
        <v>1039</v>
      </c>
    </row>
    <row r="10932" spans="1:3" ht="15">
      <c r="A10932" s="84" t="s">
        <v>231</v>
      </c>
      <c r="B10932" s="83" t="s">
        <v>430</v>
      </c>
      <c r="C10932" s="91" t="s">
        <v>1039</v>
      </c>
    </row>
    <row r="10933" spans="1:3" ht="15">
      <c r="A10933" s="84" t="s">
        <v>231</v>
      </c>
      <c r="B10933" s="83" t="s">
        <v>3446</v>
      </c>
      <c r="C10933" s="91" t="s">
        <v>1039</v>
      </c>
    </row>
    <row r="10934" spans="1:3" ht="15">
      <c r="A10934" s="84" t="s">
        <v>231</v>
      </c>
      <c r="B10934" s="83" t="s">
        <v>3447</v>
      </c>
      <c r="C10934" s="91" t="s">
        <v>1039</v>
      </c>
    </row>
    <row r="10935" spans="1:3" ht="15">
      <c r="A10935" s="84" t="s">
        <v>384</v>
      </c>
      <c r="B10935" s="83" t="s">
        <v>3436</v>
      </c>
      <c r="C10935" s="91" t="s">
        <v>1249</v>
      </c>
    </row>
    <row r="10936" spans="1:3" ht="15">
      <c r="A10936" s="84" t="s">
        <v>384</v>
      </c>
      <c r="B10936" s="83" t="s">
        <v>2682</v>
      </c>
      <c r="C10936" s="91" t="s">
        <v>1249</v>
      </c>
    </row>
    <row r="10937" spans="1:3" ht="15">
      <c r="A10937" s="84" t="s">
        <v>384</v>
      </c>
      <c r="B10937" s="83" t="s">
        <v>2582</v>
      </c>
      <c r="C10937" s="91" t="s">
        <v>1249</v>
      </c>
    </row>
    <row r="10938" spans="1:3" ht="15">
      <c r="A10938" s="84" t="s">
        <v>384</v>
      </c>
      <c r="B10938" s="83" t="s">
        <v>3437</v>
      </c>
      <c r="C10938" s="91" t="s">
        <v>1249</v>
      </c>
    </row>
    <row r="10939" spans="1:3" ht="15">
      <c r="A10939" s="84" t="s">
        <v>384</v>
      </c>
      <c r="B10939" s="83" t="s">
        <v>3438</v>
      </c>
      <c r="C10939" s="91" t="s">
        <v>1249</v>
      </c>
    </row>
    <row r="10940" spans="1:3" ht="15">
      <c r="A10940" s="84" t="s">
        <v>384</v>
      </c>
      <c r="B10940" s="83" t="s">
        <v>2685</v>
      </c>
      <c r="C10940" s="91" t="s">
        <v>1249</v>
      </c>
    </row>
    <row r="10941" spans="1:3" ht="15">
      <c r="A10941" s="84" t="s">
        <v>384</v>
      </c>
      <c r="B10941" s="83">
        <v>106</v>
      </c>
      <c r="C10941" s="91" t="s">
        <v>1249</v>
      </c>
    </row>
    <row r="10942" spans="1:3" ht="15">
      <c r="A10942" s="84" t="s">
        <v>384</v>
      </c>
      <c r="B10942" s="83" t="s">
        <v>2687</v>
      </c>
      <c r="C10942" s="91" t="s">
        <v>1249</v>
      </c>
    </row>
    <row r="10943" spans="1:3" ht="15">
      <c r="A10943" s="84" t="s">
        <v>384</v>
      </c>
      <c r="B10943" s="83" t="s">
        <v>2688</v>
      </c>
      <c r="C10943" s="91" t="s">
        <v>1249</v>
      </c>
    </row>
    <row r="10944" spans="1:3" ht="15">
      <c r="A10944" s="84" t="s">
        <v>384</v>
      </c>
      <c r="B10944" s="83" t="s">
        <v>3439</v>
      </c>
      <c r="C10944" s="91" t="s">
        <v>1249</v>
      </c>
    </row>
    <row r="10945" spans="1:3" ht="15">
      <c r="A10945" s="84" t="s">
        <v>384</v>
      </c>
      <c r="B10945" s="83" t="s">
        <v>3440</v>
      </c>
      <c r="C10945" s="91" t="s">
        <v>1249</v>
      </c>
    </row>
    <row r="10946" spans="1:3" ht="15">
      <c r="A10946" s="84" t="s">
        <v>384</v>
      </c>
      <c r="B10946" s="83" t="s">
        <v>3213</v>
      </c>
      <c r="C10946" s="91" t="s">
        <v>1249</v>
      </c>
    </row>
    <row r="10947" spans="1:3" ht="15">
      <c r="A10947" s="84" t="s">
        <v>384</v>
      </c>
      <c r="B10947" s="83" t="s">
        <v>3194</v>
      </c>
      <c r="C10947" s="91" t="s">
        <v>1249</v>
      </c>
    </row>
    <row r="10948" spans="1:3" ht="15">
      <c r="A10948" s="84" t="s">
        <v>384</v>
      </c>
      <c r="B10948" s="83" t="s">
        <v>3214</v>
      </c>
      <c r="C10948" s="91" t="s">
        <v>1249</v>
      </c>
    </row>
    <row r="10949" spans="1:3" ht="15">
      <c r="A10949" s="84" t="s">
        <v>384</v>
      </c>
      <c r="B10949" s="83" t="s">
        <v>3441</v>
      </c>
      <c r="C10949" s="91" t="s">
        <v>1249</v>
      </c>
    </row>
    <row r="10950" spans="1:3" ht="15">
      <c r="A10950" s="84" t="s">
        <v>384</v>
      </c>
      <c r="B10950" s="83" t="s">
        <v>3412</v>
      </c>
      <c r="C10950" s="91" t="s">
        <v>1249</v>
      </c>
    </row>
    <row r="10951" spans="1:3" ht="15">
      <c r="A10951" s="84" t="s">
        <v>384</v>
      </c>
      <c r="B10951" s="83" t="s">
        <v>3199</v>
      </c>
      <c r="C10951" s="91" t="s">
        <v>1249</v>
      </c>
    </row>
    <row r="10952" spans="1:3" ht="15">
      <c r="A10952" s="84" t="s">
        <v>384</v>
      </c>
      <c r="B10952" s="83" t="s">
        <v>3442</v>
      </c>
      <c r="C10952" s="91" t="s">
        <v>1249</v>
      </c>
    </row>
    <row r="10953" spans="1:3" ht="15">
      <c r="A10953" s="84" t="s">
        <v>384</v>
      </c>
      <c r="B10953" s="83" t="s">
        <v>3223</v>
      </c>
      <c r="C10953" s="91" t="s">
        <v>1249</v>
      </c>
    </row>
    <row r="10954" spans="1:3" ht="15">
      <c r="A10954" s="84" t="s">
        <v>384</v>
      </c>
      <c r="B10954" s="83" t="s">
        <v>3443</v>
      </c>
      <c r="C10954" s="91" t="s">
        <v>1249</v>
      </c>
    </row>
    <row r="10955" spans="1:3" ht="15">
      <c r="A10955" s="84" t="s">
        <v>384</v>
      </c>
      <c r="B10955" s="83" t="s">
        <v>3444</v>
      </c>
      <c r="C10955" s="91" t="s">
        <v>1249</v>
      </c>
    </row>
    <row r="10956" spans="1:3" ht="15">
      <c r="A10956" s="84" t="s">
        <v>384</v>
      </c>
      <c r="B10956" s="83" t="s">
        <v>381</v>
      </c>
      <c r="C10956" s="91" t="s">
        <v>1249</v>
      </c>
    </row>
    <row r="10957" spans="1:3" ht="15">
      <c r="A10957" s="84" t="s">
        <v>384</v>
      </c>
      <c r="B10957" s="83" t="s">
        <v>3445</v>
      </c>
      <c r="C10957" s="91" t="s">
        <v>1249</v>
      </c>
    </row>
    <row r="10958" spans="1:3" ht="15">
      <c r="A10958" s="84" t="s">
        <v>384</v>
      </c>
      <c r="B10958" s="83" t="s">
        <v>383</v>
      </c>
      <c r="C10958" s="91" t="s">
        <v>1249</v>
      </c>
    </row>
    <row r="10959" spans="1:3" ht="15">
      <c r="A10959" s="84" t="s">
        <v>384</v>
      </c>
      <c r="B10959" s="83" t="s">
        <v>430</v>
      </c>
      <c r="C10959" s="91" t="s">
        <v>1249</v>
      </c>
    </row>
    <row r="10960" spans="1:3" ht="15">
      <c r="A10960" s="84" t="s">
        <v>384</v>
      </c>
      <c r="B10960" s="83" t="s">
        <v>3446</v>
      </c>
      <c r="C10960" s="91" t="s">
        <v>1249</v>
      </c>
    </row>
    <row r="10961" spans="1:3" ht="15">
      <c r="A10961" s="84" t="s">
        <v>384</v>
      </c>
      <c r="B10961" s="83" t="s">
        <v>3447</v>
      </c>
      <c r="C10961" s="91" t="s">
        <v>1249</v>
      </c>
    </row>
    <row r="10962" spans="1:3" ht="15">
      <c r="A10962" s="84" t="s">
        <v>384</v>
      </c>
      <c r="B10962" s="83" t="s">
        <v>3436</v>
      </c>
      <c r="C10962" s="91" t="s">
        <v>1248</v>
      </c>
    </row>
    <row r="10963" spans="1:3" ht="15">
      <c r="A10963" s="84" t="s">
        <v>384</v>
      </c>
      <c r="B10963" s="83" t="s">
        <v>2682</v>
      </c>
      <c r="C10963" s="91" t="s">
        <v>1248</v>
      </c>
    </row>
    <row r="10964" spans="1:3" ht="15">
      <c r="A10964" s="84" t="s">
        <v>384</v>
      </c>
      <c r="B10964" s="83" t="s">
        <v>2582</v>
      </c>
      <c r="C10964" s="91" t="s">
        <v>1248</v>
      </c>
    </row>
    <row r="10965" spans="1:3" ht="15">
      <c r="A10965" s="84" t="s">
        <v>384</v>
      </c>
      <c r="B10965" s="83" t="s">
        <v>3437</v>
      </c>
      <c r="C10965" s="91" t="s">
        <v>1248</v>
      </c>
    </row>
    <row r="10966" spans="1:3" ht="15">
      <c r="A10966" s="84" t="s">
        <v>384</v>
      </c>
      <c r="B10966" s="83" t="s">
        <v>3438</v>
      </c>
      <c r="C10966" s="91" t="s">
        <v>1248</v>
      </c>
    </row>
    <row r="10967" spans="1:3" ht="15">
      <c r="A10967" s="84" t="s">
        <v>384</v>
      </c>
      <c r="B10967" s="83" t="s">
        <v>2685</v>
      </c>
      <c r="C10967" s="91" t="s">
        <v>1248</v>
      </c>
    </row>
    <row r="10968" spans="1:3" ht="15">
      <c r="A10968" s="84" t="s">
        <v>384</v>
      </c>
      <c r="B10968" s="83">
        <v>106</v>
      </c>
      <c r="C10968" s="91" t="s">
        <v>1248</v>
      </c>
    </row>
    <row r="10969" spans="1:3" ht="15">
      <c r="A10969" s="84" t="s">
        <v>384</v>
      </c>
      <c r="B10969" s="83" t="s">
        <v>2687</v>
      </c>
      <c r="C10969" s="91" t="s">
        <v>1248</v>
      </c>
    </row>
    <row r="10970" spans="1:3" ht="15">
      <c r="A10970" s="84" t="s">
        <v>384</v>
      </c>
      <c r="B10970" s="83" t="s">
        <v>2688</v>
      </c>
      <c r="C10970" s="91" t="s">
        <v>1248</v>
      </c>
    </row>
    <row r="10971" spans="1:3" ht="15">
      <c r="A10971" s="84" t="s">
        <v>384</v>
      </c>
      <c r="B10971" s="83" t="s">
        <v>3439</v>
      </c>
      <c r="C10971" s="91" t="s">
        <v>1248</v>
      </c>
    </row>
    <row r="10972" spans="1:3" ht="15">
      <c r="A10972" s="84" t="s">
        <v>384</v>
      </c>
      <c r="B10972" s="83" t="s">
        <v>3440</v>
      </c>
      <c r="C10972" s="91" t="s">
        <v>1248</v>
      </c>
    </row>
    <row r="10973" spans="1:3" ht="15">
      <c r="A10973" s="84" t="s">
        <v>384</v>
      </c>
      <c r="B10973" s="83" t="s">
        <v>3213</v>
      </c>
      <c r="C10973" s="91" t="s">
        <v>1248</v>
      </c>
    </row>
    <row r="10974" spans="1:3" ht="15">
      <c r="A10974" s="84" t="s">
        <v>384</v>
      </c>
      <c r="B10974" s="83" t="s">
        <v>3194</v>
      </c>
      <c r="C10974" s="91" t="s">
        <v>1248</v>
      </c>
    </row>
    <row r="10975" spans="1:3" ht="15">
      <c r="A10975" s="84" t="s">
        <v>384</v>
      </c>
      <c r="B10975" s="83" t="s">
        <v>3214</v>
      </c>
      <c r="C10975" s="91" t="s">
        <v>1248</v>
      </c>
    </row>
    <row r="10976" spans="1:3" ht="15">
      <c r="A10976" s="84" t="s">
        <v>384</v>
      </c>
      <c r="B10976" s="83" t="s">
        <v>3441</v>
      </c>
      <c r="C10976" s="91" t="s">
        <v>1248</v>
      </c>
    </row>
    <row r="10977" spans="1:3" ht="15">
      <c r="A10977" s="84" t="s">
        <v>384</v>
      </c>
      <c r="B10977" s="83" t="s">
        <v>3412</v>
      </c>
      <c r="C10977" s="91" t="s">
        <v>1248</v>
      </c>
    </row>
    <row r="10978" spans="1:3" ht="15">
      <c r="A10978" s="84" t="s">
        <v>384</v>
      </c>
      <c r="B10978" s="83" t="s">
        <v>3199</v>
      </c>
      <c r="C10978" s="91" t="s">
        <v>1248</v>
      </c>
    </row>
    <row r="10979" spans="1:3" ht="15">
      <c r="A10979" s="84" t="s">
        <v>384</v>
      </c>
      <c r="B10979" s="83" t="s">
        <v>3442</v>
      </c>
      <c r="C10979" s="91" t="s">
        <v>1248</v>
      </c>
    </row>
    <row r="10980" spans="1:3" ht="15">
      <c r="A10980" s="84" t="s">
        <v>384</v>
      </c>
      <c r="B10980" s="83" t="s">
        <v>3223</v>
      </c>
      <c r="C10980" s="91" t="s">
        <v>1248</v>
      </c>
    </row>
    <row r="10981" spans="1:3" ht="15">
      <c r="A10981" s="84" t="s">
        <v>384</v>
      </c>
      <c r="B10981" s="83" t="s">
        <v>3443</v>
      </c>
      <c r="C10981" s="91" t="s">
        <v>1248</v>
      </c>
    </row>
    <row r="10982" spans="1:3" ht="15">
      <c r="A10982" s="84" t="s">
        <v>384</v>
      </c>
      <c r="B10982" s="83" t="s">
        <v>3444</v>
      </c>
      <c r="C10982" s="91" t="s">
        <v>1248</v>
      </c>
    </row>
    <row r="10983" spans="1:3" ht="15">
      <c r="A10983" s="84" t="s">
        <v>384</v>
      </c>
      <c r="B10983" s="83" t="s">
        <v>381</v>
      </c>
      <c r="C10983" s="91" t="s">
        <v>1248</v>
      </c>
    </row>
    <row r="10984" spans="1:3" ht="15">
      <c r="A10984" s="84" t="s">
        <v>384</v>
      </c>
      <c r="B10984" s="83" t="s">
        <v>3445</v>
      </c>
      <c r="C10984" s="91" t="s">
        <v>1248</v>
      </c>
    </row>
    <row r="10985" spans="1:3" ht="15">
      <c r="A10985" s="84" t="s">
        <v>384</v>
      </c>
      <c r="B10985" s="83" t="s">
        <v>383</v>
      </c>
      <c r="C10985" s="91" t="s">
        <v>1248</v>
      </c>
    </row>
    <row r="10986" spans="1:3" ht="15">
      <c r="A10986" s="84" t="s">
        <v>384</v>
      </c>
      <c r="B10986" s="83" t="s">
        <v>430</v>
      </c>
      <c r="C10986" s="91" t="s">
        <v>1248</v>
      </c>
    </row>
    <row r="10987" spans="1:3" ht="15">
      <c r="A10987" s="84" t="s">
        <v>384</v>
      </c>
      <c r="B10987" s="83" t="s">
        <v>3446</v>
      </c>
      <c r="C10987" s="91" t="s">
        <v>1248</v>
      </c>
    </row>
    <row r="10988" spans="1:3" ht="15">
      <c r="A10988" s="84" t="s">
        <v>384</v>
      </c>
      <c r="B10988" s="83" t="s">
        <v>3447</v>
      </c>
      <c r="C10988" s="91" t="s">
        <v>1248</v>
      </c>
    </row>
    <row r="10989" spans="1:3" ht="15">
      <c r="A10989" s="84" t="s">
        <v>381</v>
      </c>
      <c r="B10989" s="83" t="s">
        <v>3436</v>
      </c>
      <c r="C10989" s="91" t="s">
        <v>1245</v>
      </c>
    </row>
    <row r="10990" spans="1:3" ht="15">
      <c r="A10990" s="84" t="s">
        <v>381</v>
      </c>
      <c r="B10990" s="83" t="s">
        <v>2682</v>
      </c>
      <c r="C10990" s="91" t="s">
        <v>1245</v>
      </c>
    </row>
    <row r="10991" spans="1:3" ht="15">
      <c r="A10991" s="84" t="s">
        <v>381</v>
      </c>
      <c r="B10991" s="83" t="s">
        <v>2582</v>
      </c>
      <c r="C10991" s="91" t="s">
        <v>1245</v>
      </c>
    </row>
    <row r="10992" spans="1:3" ht="15">
      <c r="A10992" s="84" t="s">
        <v>381</v>
      </c>
      <c r="B10992" s="83" t="s">
        <v>3437</v>
      </c>
      <c r="C10992" s="91" t="s">
        <v>1245</v>
      </c>
    </row>
    <row r="10993" spans="1:3" ht="15">
      <c r="A10993" s="84" t="s">
        <v>381</v>
      </c>
      <c r="B10993" s="83" t="s">
        <v>3438</v>
      </c>
      <c r="C10993" s="91" t="s">
        <v>1245</v>
      </c>
    </row>
    <row r="10994" spans="1:3" ht="15">
      <c r="A10994" s="84" t="s">
        <v>381</v>
      </c>
      <c r="B10994" s="83" t="s">
        <v>2685</v>
      </c>
      <c r="C10994" s="91" t="s">
        <v>1245</v>
      </c>
    </row>
    <row r="10995" spans="1:3" ht="15">
      <c r="A10995" s="84" t="s">
        <v>381</v>
      </c>
      <c r="B10995" s="83">
        <v>106</v>
      </c>
      <c r="C10995" s="91" t="s">
        <v>1245</v>
      </c>
    </row>
    <row r="10996" spans="1:3" ht="15">
      <c r="A10996" s="84" t="s">
        <v>381</v>
      </c>
      <c r="B10996" s="83" t="s">
        <v>2687</v>
      </c>
      <c r="C10996" s="91" t="s">
        <v>1245</v>
      </c>
    </row>
    <row r="10997" spans="1:3" ht="15">
      <c r="A10997" s="84" t="s">
        <v>381</v>
      </c>
      <c r="B10997" s="83" t="s">
        <v>2688</v>
      </c>
      <c r="C10997" s="91" t="s">
        <v>1245</v>
      </c>
    </row>
    <row r="10998" spans="1:3" ht="15">
      <c r="A10998" s="84" t="s">
        <v>381</v>
      </c>
      <c r="B10998" s="83" t="s">
        <v>3439</v>
      </c>
      <c r="C10998" s="91" t="s">
        <v>1245</v>
      </c>
    </row>
    <row r="10999" spans="1:3" ht="15">
      <c r="A10999" s="84" t="s">
        <v>381</v>
      </c>
      <c r="B10999" s="83" t="s">
        <v>3440</v>
      </c>
      <c r="C10999" s="91" t="s">
        <v>1245</v>
      </c>
    </row>
    <row r="11000" spans="1:3" ht="15">
      <c r="A11000" s="84" t="s">
        <v>381</v>
      </c>
      <c r="B11000" s="83" t="s">
        <v>3213</v>
      </c>
      <c r="C11000" s="91" t="s">
        <v>1245</v>
      </c>
    </row>
    <row r="11001" spans="1:3" ht="15">
      <c r="A11001" s="84" t="s">
        <v>381</v>
      </c>
      <c r="B11001" s="83" t="s">
        <v>3194</v>
      </c>
      <c r="C11001" s="91" t="s">
        <v>1245</v>
      </c>
    </row>
    <row r="11002" spans="1:3" ht="15">
      <c r="A11002" s="84" t="s">
        <v>381</v>
      </c>
      <c r="B11002" s="83" t="s">
        <v>3214</v>
      </c>
      <c r="C11002" s="91" t="s">
        <v>1245</v>
      </c>
    </row>
    <row r="11003" spans="1:3" ht="15">
      <c r="A11003" s="84" t="s">
        <v>381</v>
      </c>
      <c r="B11003" s="83" t="s">
        <v>3441</v>
      </c>
      <c r="C11003" s="91" t="s">
        <v>1245</v>
      </c>
    </row>
    <row r="11004" spans="1:3" ht="15">
      <c r="A11004" s="84" t="s">
        <v>381</v>
      </c>
      <c r="B11004" s="83" t="s">
        <v>3412</v>
      </c>
      <c r="C11004" s="91" t="s">
        <v>1245</v>
      </c>
    </row>
    <row r="11005" spans="1:3" ht="15">
      <c r="A11005" s="84" t="s">
        <v>381</v>
      </c>
      <c r="B11005" s="83" t="s">
        <v>3199</v>
      </c>
      <c r="C11005" s="91" t="s">
        <v>1245</v>
      </c>
    </row>
    <row r="11006" spans="1:3" ht="15">
      <c r="A11006" s="84" t="s">
        <v>381</v>
      </c>
      <c r="B11006" s="83" t="s">
        <v>3442</v>
      </c>
      <c r="C11006" s="91" t="s">
        <v>1245</v>
      </c>
    </row>
    <row r="11007" spans="1:3" ht="15">
      <c r="A11007" s="84" t="s">
        <v>381</v>
      </c>
      <c r="B11007" s="83" t="s">
        <v>3223</v>
      </c>
      <c r="C11007" s="91" t="s">
        <v>1245</v>
      </c>
    </row>
    <row r="11008" spans="1:3" ht="15">
      <c r="A11008" s="84" t="s">
        <v>381</v>
      </c>
      <c r="B11008" s="83" t="s">
        <v>3443</v>
      </c>
      <c r="C11008" s="91" t="s">
        <v>1245</v>
      </c>
    </row>
    <row r="11009" spans="1:3" ht="15">
      <c r="A11009" s="84" t="s">
        <v>381</v>
      </c>
      <c r="B11009" s="83" t="s">
        <v>3444</v>
      </c>
      <c r="C11009" s="91" t="s">
        <v>1245</v>
      </c>
    </row>
    <row r="11010" spans="1:3" ht="15">
      <c r="A11010" s="84" t="s">
        <v>381</v>
      </c>
      <c r="B11010" s="83" t="s">
        <v>381</v>
      </c>
      <c r="C11010" s="91" t="s">
        <v>1245</v>
      </c>
    </row>
    <row r="11011" spans="1:3" ht="15">
      <c r="A11011" s="84" t="s">
        <v>381</v>
      </c>
      <c r="B11011" s="83" t="s">
        <v>3445</v>
      </c>
      <c r="C11011" s="91" t="s">
        <v>1245</v>
      </c>
    </row>
    <row r="11012" spans="1:3" ht="15">
      <c r="A11012" s="84" t="s">
        <v>381</v>
      </c>
      <c r="B11012" s="83" t="s">
        <v>383</v>
      </c>
      <c r="C11012" s="91" t="s">
        <v>1245</v>
      </c>
    </row>
    <row r="11013" spans="1:3" ht="15">
      <c r="A11013" s="84" t="s">
        <v>381</v>
      </c>
      <c r="B11013" s="83" t="s">
        <v>430</v>
      </c>
      <c r="C11013" s="91" t="s">
        <v>1245</v>
      </c>
    </row>
    <row r="11014" spans="1:3" ht="15">
      <c r="A11014" s="84" t="s">
        <v>381</v>
      </c>
      <c r="B11014" s="83" t="s">
        <v>3446</v>
      </c>
      <c r="C11014" s="91" t="s">
        <v>1245</v>
      </c>
    </row>
    <row r="11015" spans="1:3" ht="15">
      <c r="A11015" s="84" t="s">
        <v>381</v>
      </c>
      <c r="B11015" s="83" t="s">
        <v>3447</v>
      </c>
      <c r="C11015" s="91" t="s">
        <v>1245</v>
      </c>
    </row>
    <row r="11016" spans="1:3" ht="15">
      <c r="A11016" s="84" t="s">
        <v>380</v>
      </c>
      <c r="B11016" s="83" t="s">
        <v>3436</v>
      </c>
      <c r="C11016" s="91" t="s">
        <v>1244</v>
      </c>
    </row>
    <row r="11017" spans="1:3" ht="15">
      <c r="A11017" s="84" t="s">
        <v>380</v>
      </c>
      <c r="B11017" s="83" t="s">
        <v>2682</v>
      </c>
      <c r="C11017" s="91" t="s">
        <v>1244</v>
      </c>
    </row>
    <row r="11018" spans="1:3" ht="15">
      <c r="A11018" s="84" t="s">
        <v>380</v>
      </c>
      <c r="B11018" s="83" t="s">
        <v>2582</v>
      </c>
      <c r="C11018" s="91" t="s">
        <v>1244</v>
      </c>
    </row>
    <row r="11019" spans="1:3" ht="15">
      <c r="A11019" s="84" t="s">
        <v>380</v>
      </c>
      <c r="B11019" s="83" t="s">
        <v>3437</v>
      </c>
      <c r="C11019" s="91" t="s">
        <v>1244</v>
      </c>
    </row>
    <row r="11020" spans="1:3" ht="15">
      <c r="A11020" s="84" t="s">
        <v>380</v>
      </c>
      <c r="B11020" s="83" t="s">
        <v>3438</v>
      </c>
      <c r="C11020" s="91" t="s">
        <v>1244</v>
      </c>
    </row>
    <row r="11021" spans="1:3" ht="15">
      <c r="A11021" s="84" t="s">
        <v>380</v>
      </c>
      <c r="B11021" s="83" t="s">
        <v>2685</v>
      </c>
      <c r="C11021" s="91" t="s">
        <v>1244</v>
      </c>
    </row>
    <row r="11022" spans="1:3" ht="15">
      <c r="A11022" s="84" t="s">
        <v>380</v>
      </c>
      <c r="B11022" s="83">
        <v>106</v>
      </c>
      <c r="C11022" s="91" t="s">
        <v>1244</v>
      </c>
    </row>
    <row r="11023" spans="1:3" ht="15">
      <c r="A11023" s="84" t="s">
        <v>380</v>
      </c>
      <c r="B11023" s="83" t="s">
        <v>2687</v>
      </c>
      <c r="C11023" s="91" t="s">
        <v>1244</v>
      </c>
    </row>
    <row r="11024" spans="1:3" ht="15">
      <c r="A11024" s="84" t="s">
        <v>380</v>
      </c>
      <c r="B11024" s="83" t="s">
        <v>2688</v>
      </c>
      <c r="C11024" s="91" t="s">
        <v>1244</v>
      </c>
    </row>
    <row r="11025" spans="1:3" ht="15">
      <c r="A11025" s="84" t="s">
        <v>380</v>
      </c>
      <c r="B11025" s="83" t="s">
        <v>3439</v>
      </c>
      <c r="C11025" s="91" t="s">
        <v>1244</v>
      </c>
    </row>
    <row r="11026" spans="1:3" ht="15">
      <c r="A11026" s="84" t="s">
        <v>380</v>
      </c>
      <c r="B11026" s="83" t="s">
        <v>3440</v>
      </c>
      <c r="C11026" s="91" t="s">
        <v>1244</v>
      </c>
    </row>
    <row r="11027" spans="1:3" ht="15">
      <c r="A11027" s="84" t="s">
        <v>380</v>
      </c>
      <c r="B11027" s="83" t="s">
        <v>3213</v>
      </c>
      <c r="C11027" s="91" t="s">
        <v>1244</v>
      </c>
    </row>
    <row r="11028" spans="1:3" ht="15">
      <c r="A11028" s="84" t="s">
        <v>380</v>
      </c>
      <c r="B11028" s="83" t="s">
        <v>3194</v>
      </c>
      <c r="C11028" s="91" t="s">
        <v>1244</v>
      </c>
    </row>
    <row r="11029" spans="1:3" ht="15">
      <c r="A11029" s="84" t="s">
        <v>380</v>
      </c>
      <c r="B11029" s="83" t="s">
        <v>3214</v>
      </c>
      <c r="C11029" s="91" t="s">
        <v>1244</v>
      </c>
    </row>
    <row r="11030" spans="1:3" ht="15">
      <c r="A11030" s="84" t="s">
        <v>380</v>
      </c>
      <c r="B11030" s="83" t="s">
        <v>3441</v>
      </c>
      <c r="C11030" s="91" t="s">
        <v>1244</v>
      </c>
    </row>
    <row r="11031" spans="1:3" ht="15">
      <c r="A11031" s="84" t="s">
        <v>380</v>
      </c>
      <c r="B11031" s="83" t="s">
        <v>3412</v>
      </c>
      <c r="C11031" s="91" t="s">
        <v>1244</v>
      </c>
    </row>
    <row r="11032" spans="1:3" ht="15">
      <c r="A11032" s="84" t="s">
        <v>380</v>
      </c>
      <c r="B11032" s="83" t="s">
        <v>3199</v>
      </c>
      <c r="C11032" s="91" t="s">
        <v>1244</v>
      </c>
    </row>
    <row r="11033" spans="1:3" ht="15">
      <c r="A11033" s="84" t="s">
        <v>380</v>
      </c>
      <c r="B11033" s="83" t="s">
        <v>3442</v>
      </c>
      <c r="C11033" s="91" t="s">
        <v>1244</v>
      </c>
    </row>
    <row r="11034" spans="1:3" ht="15">
      <c r="A11034" s="84" t="s">
        <v>380</v>
      </c>
      <c r="B11034" s="83" t="s">
        <v>3223</v>
      </c>
      <c r="C11034" s="91" t="s">
        <v>1244</v>
      </c>
    </row>
    <row r="11035" spans="1:3" ht="15">
      <c r="A11035" s="84" t="s">
        <v>380</v>
      </c>
      <c r="B11035" s="83" t="s">
        <v>3443</v>
      </c>
      <c r="C11035" s="91" t="s">
        <v>1244</v>
      </c>
    </row>
    <row r="11036" spans="1:3" ht="15">
      <c r="A11036" s="84" t="s">
        <v>380</v>
      </c>
      <c r="B11036" s="83" t="s">
        <v>3444</v>
      </c>
      <c r="C11036" s="91" t="s">
        <v>1244</v>
      </c>
    </row>
    <row r="11037" spans="1:3" ht="15">
      <c r="A11037" s="84" t="s">
        <v>380</v>
      </c>
      <c r="B11037" s="83" t="s">
        <v>381</v>
      </c>
      <c r="C11037" s="91" t="s">
        <v>1244</v>
      </c>
    </row>
    <row r="11038" spans="1:3" ht="15">
      <c r="A11038" s="84" t="s">
        <v>380</v>
      </c>
      <c r="B11038" s="83" t="s">
        <v>3445</v>
      </c>
      <c r="C11038" s="91" t="s">
        <v>1244</v>
      </c>
    </row>
    <row r="11039" spans="1:3" ht="15">
      <c r="A11039" s="84" t="s">
        <v>380</v>
      </c>
      <c r="B11039" s="83" t="s">
        <v>383</v>
      </c>
      <c r="C11039" s="91" t="s">
        <v>1244</v>
      </c>
    </row>
    <row r="11040" spans="1:3" ht="15">
      <c r="A11040" s="84" t="s">
        <v>380</v>
      </c>
      <c r="B11040" s="83" t="s">
        <v>430</v>
      </c>
      <c r="C11040" s="91" t="s">
        <v>1244</v>
      </c>
    </row>
    <row r="11041" spans="1:3" ht="15">
      <c r="A11041" s="84" t="s">
        <v>380</v>
      </c>
      <c r="B11041" s="83" t="s">
        <v>3446</v>
      </c>
      <c r="C11041" s="91" t="s">
        <v>1244</v>
      </c>
    </row>
    <row r="11042" spans="1:3" ht="15">
      <c r="A11042" s="84" t="s">
        <v>380</v>
      </c>
      <c r="B11042" s="83" t="s">
        <v>3447</v>
      </c>
      <c r="C11042" s="91" t="s">
        <v>1244</v>
      </c>
    </row>
    <row r="11043" spans="1:3" ht="15">
      <c r="A11043" s="84" t="s">
        <v>383</v>
      </c>
      <c r="B11043" s="83" t="s">
        <v>3436</v>
      </c>
      <c r="C11043" s="91" t="s">
        <v>1247</v>
      </c>
    </row>
    <row r="11044" spans="1:3" ht="15">
      <c r="A11044" s="84" t="s">
        <v>383</v>
      </c>
      <c r="B11044" s="83" t="s">
        <v>2682</v>
      </c>
      <c r="C11044" s="91" t="s">
        <v>1247</v>
      </c>
    </row>
    <row r="11045" spans="1:3" ht="15">
      <c r="A11045" s="84" t="s">
        <v>383</v>
      </c>
      <c r="B11045" s="83" t="s">
        <v>2582</v>
      </c>
      <c r="C11045" s="91" t="s">
        <v>1247</v>
      </c>
    </row>
    <row r="11046" spans="1:3" ht="15">
      <c r="A11046" s="84" t="s">
        <v>383</v>
      </c>
      <c r="B11046" s="83" t="s">
        <v>3437</v>
      </c>
      <c r="C11046" s="91" t="s">
        <v>1247</v>
      </c>
    </row>
    <row r="11047" spans="1:3" ht="15">
      <c r="A11047" s="84" t="s">
        <v>383</v>
      </c>
      <c r="B11047" s="83" t="s">
        <v>3438</v>
      </c>
      <c r="C11047" s="91" t="s">
        <v>1247</v>
      </c>
    </row>
    <row r="11048" spans="1:3" ht="15">
      <c r="A11048" s="84" t="s">
        <v>383</v>
      </c>
      <c r="B11048" s="83" t="s">
        <v>2685</v>
      </c>
      <c r="C11048" s="91" t="s">
        <v>1247</v>
      </c>
    </row>
    <row r="11049" spans="1:3" ht="15">
      <c r="A11049" s="84" t="s">
        <v>383</v>
      </c>
      <c r="B11049" s="83">
        <v>106</v>
      </c>
      <c r="C11049" s="91" t="s">
        <v>1247</v>
      </c>
    </row>
    <row r="11050" spans="1:3" ht="15">
      <c r="A11050" s="84" t="s">
        <v>383</v>
      </c>
      <c r="B11050" s="83" t="s">
        <v>2687</v>
      </c>
      <c r="C11050" s="91" t="s">
        <v>1247</v>
      </c>
    </row>
    <row r="11051" spans="1:3" ht="15">
      <c r="A11051" s="84" t="s">
        <v>383</v>
      </c>
      <c r="B11051" s="83" t="s">
        <v>2688</v>
      </c>
      <c r="C11051" s="91" t="s">
        <v>1247</v>
      </c>
    </row>
    <row r="11052" spans="1:3" ht="15">
      <c r="A11052" s="84" t="s">
        <v>383</v>
      </c>
      <c r="B11052" s="83" t="s">
        <v>3439</v>
      </c>
      <c r="C11052" s="91" t="s">
        <v>1247</v>
      </c>
    </row>
    <row r="11053" spans="1:3" ht="15">
      <c r="A11053" s="84" t="s">
        <v>383</v>
      </c>
      <c r="B11053" s="83" t="s">
        <v>3440</v>
      </c>
      <c r="C11053" s="91" t="s">
        <v>1247</v>
      </c>
    </row>
    <row r="11054" spans="1:3" ht="15">
      <c r="A11054" s="84" t="s">
        <v>383</v>
      </c>
      <c r="B11054" s="83" t="s">
        <v>3213</v>
      </c>
      <c r="C11054" s="91" t="s">
        <v>1247</v>
      </c>
    </row>
    <row r="11055" spans="1:3" ht="15">
      <c r="A11055" s="84" t="s">
        <v>383</v>
      </c>
      <c r="B11055" s="83" t="s">
        <v>3194</v>
      </c>
      <c r="C11055" s="91" t="s">
        <v>1247</v>
      </c>
    </row>
    <row r="11056" spans="1:3" ht="15">
      <c r="A11056" s="84" t="s">
        <v>383</v>
      </c>
      <c r="B11056" s="83" t="s">
        <v>3214</v>
      </c>
      <c r="C11056" s="91" t="s">
        <v>1247</v>
      </c>
    </row>
    <row r="11057" spans="1:3" ht="15">
      <c r="A11057" s="84" t="s">
        <v>383</v>
      </c>
      <c r="B11057" s="83" t="s">
        <v>3441</v>
      </c>
      <c r="C11057" s="91" t="s">
        <v>1247</v>
      </c>
    </row>
    <row r="11058" spans="1:3" ht="15">
      <c r="A11058" s="84" t="s">
        <v>383</v>
      </c>
      <c r="B11058" s="83" t="s">
        <v>3412</v>
      </c>
      <c r="C11058" s="91" t="s">
        <v>1247</v>
      </c>
    </row>
    <row r="11059" spans="1:3" ht="15">
      <c r="A11059" s="84" t="s">
        <v>383</v>
      </c>
      <c r="B11059" s="83" t="s">
        <v>3199</v>
      </c>
      <c r="C11059" s="91" t="s">
        <v>1247</v>
      </c>
    </row>
    <row r="11060" spans="1:3" ht="15">
      <c r="A11060" s="84" t="s">
        <v>383</v>
      </c>
      <c r="B11060" s="83" t="s">
        <v>3442</v>
      </c>
      <c r="C11060" s="91" t="s">
        <v>1247</v>
      </c>
    </row>
    <row r="11061" spans="1:3" ht="15">
      <c r="A11061" s="84" t="s">
        <v>383</v>
      </c>
      <c r="B11061" s="83" t="s">
        <v>3223</v>
      </c>
      <c r="C11061" s="91" t="s">
        <v>1247</v>
      </c>
    </row>
    <row r="11062" spans="1:3" ht="15">
      <c r="A11062" s="84" t="s">
        <v>383</v>
      </c>
      <c r="B11062" s="83" t="s">
        <v>3443</v>
      </c>
      <c r="C11062" s="91" t="s">
        <v>1247</v>
      </c>
    </row>
    <row r="11063" spans="1:3" ht="15">
      <c r="A11063" s="84" t="s">
        <v>383</v>
      </c>
      <c r="B11063" s="83" t="s">
        <v>3444</v>
      </c>
      <c r="C11063" s="91" t="s">
        <v>1247</v>
      </c>
    </row>
    <row r="11064" spans="1:3" ht="15">
      <c r="A11064" s="84" t="s">
        <v>383</v>
      </c>
      <c r="B11064" s="83" t="s">
        <v>381</v>
      </c>
      <c r="C11064" s="91" t="s">
        <v>1247</v>
      </c>
    </row>
    <row r="11065" spans="1:3" ht="15">
      <c r="A11065" s="84" t="s">
        <v>383</v>
      </c>
      <c r="B11065" s="83" t="s">
        <v>3445</v>
      </c>
      <c r="C11065" s="91" t="s">
        <v>1247</v>
      </c>
    </row>
    <row r="11066" spans="1:3" ht="15">
      <c r="A11066" s="84" t="s">
        <v>383</v>
      </c>
      <c r="B11066" s="83" t="s">
        <v>383</v>
      </c>
      <c r="C11066" s="91" t="s">
        <v>1247</v>
      </c>
    </row>
    <row r="11067" spans="1:3" ht="15">
      <c r="A11067" s="84" t="s">
        <v>383</v>
      </c>
      <c r="B11067" s="83" t="s">
        <v>430</v>
      </c>
      <c r="C11067" s="91" t="s">
        <v>1247</v>
      </c>
    </row>
    <row r="11068" spans="1:3" ht="15">
      <c r="A11068" s="84" t="s">
        <v>383</v>
      </c>
      <c r="B11068" s="83" t="s">
        <v>3446</v>
      </c>
      <c r="C11068" s="91" t="s">
        <v>1247</v>
      </c>
    </row>
    <row r="11069" spans="1:3" ht="15">
      <c r="A11069" s="84" t="s">
        <v>383</v>
      </c>
      <c r="B11069" s="83" t="s">
        <v>3447</v>
      </c>
      <c r="C11069" s="91" t="s">
        <v>1247</v>
      </c>
    </row>
    <row r="11070" spans="1:3" ht="15">
      <c r="A11070" s="84" t="s">
        <v>385</v>
      </c>
      <c r="B11070" s="83" t="s">
        <v>3436</v>
      </c>
      <c r="C11070" s="91" t="s">
        <v>1250</v>
      </c>
    </row>
    <row r="11071" spans="1:3" ht="15">
      <c r="A11071" s="84" t="s">
        <v>385</v>
      </c>
      <c r="B11071" s="83" t="s">
        <v>2682</v>
      </c>
      <c r="C11071" s="91" t="s">
        <v>1250</v>
      </c>
    </row>
    <row r="11072" spans="1:3" ht="15">
      <c r="A11072" s="84" t="s">
        <v>385</v>
      </c>
      <c r="B11072" s="83" t="s">
        <v>2582</v>
      </c>
      <c r="C11072" s="91" t="s">
        <v>1250</v>
      </c>
    </row>
    <row r="11073" spans="1:3" ht="15">
      <c r="A11073" s="84" t="s">
        <v>385</v>
      </c>
      <c r="B11073" s="83" t="s">
        <v>3437</v>
      </c>
      <c r="C11073" s="91" t="s">
        <v>1250</v>
      </c>
    </row>
    <row r="11074" spans="1:3" ht="15">
      <c r="A11074" s="84" t="s">
        <v>385</v>
      </c>
      <c r="B11074" s="83" t="s">
        <v>3438</v>
      </c>
      <c r="C11074" s="91" t="s">
        <v>1250</v>
      </c>
    </row>
    <row r="11075" spans="1:3" ht="15">
      <c r="A11075" s="84" t="s">
        <v>385</v>
      </c>
      <c r="B11075" s="83" t="s">
        <v>2685</v>
      </c>
      <c r="C11075" s="91" t="s">
        <v>1250</v>
      </c>
    </row>
    <row r="11076" spans="1:3" ht="15">
      <c r="A11076" s="84" t="s">
        <v>385</v>
      </c>
      <c r="B11076" s="83">
        <v>106</v>
      </c>
      <c r="C11076" s="91" t="s">
        <v>1250</v>
      </c>
    </row>
    <row r="11077" spans="1:3" ht="15">
      <c r="A11077" s="84" t="s">
        <v>385</v>
      </c>
      <c r="B11077" s="83" t="s">
        <v>2687</v>
      </c>
      <c r="C11077" s="91" t="s">
        <v>1250</v>
      </c>
    </row>
    <row r="11078" spans="1:3" ht="15">
      <c r="A11078" s="84" t="s">
        <v>385</v>
      </c>
      <c r="B11078" s="83" t="s">
        <v>2688</v>
      </c>
      <c r="C11078" s="91" t="s">
        <v>1250</v>
      </c>
    </row>
    <row r="11079" spans="1:3" ht="15">
      <c r="A11079" s="84" t="s">
        <v>385</v>
      </c>
      <c r="B11079" s="83" t="s">
        <v>3439</v>
      </c>
      <c r="C11079" s="91" t="s">
        <v>1250</v>
      </c>
    </row>
    <row r="11080" spans="1:3" ht="15">
      <c r="A11080" s="84" t="s">
        <v>385</v>
      </c>
      <c r="B11080" s="83" t="s">
        <v>3440</v>
      </c>
      <c r="C11080" s="91" t="s">
        <v>1250</v>
      </c>
    </row>
    <row r="11081" spans="1:3" ht="15">
      <c r="A11081" s="84" t="s">
        <v>385</v>
      </c>
      <c r="B11081" s="83" t="s">
        <v>3213</v>
      </c>
      <c r="C11081" s="91" t="s">
        <v>1250</v>
      </c>
    </row>
    <row r="11082" spans="1:3" ht="15">
      <c r="A11082" s="84" t="s">
        <v>385</v>
      </c>
      <c r="B11082" s="83" t="s">
        <v>3194</v>
      </c>
      <c r="C11082" s="91" t="s">
        <v>1250</v>
      </c>
    </row>
    <row r="11083" spans="1:3" ht="15">
      <c r="A11083" s="84" t="s">
        <v>385</v>
      </c>
      <c r="B11083" s="83" t="s">
        <v>3214</v>
      </c>
      <c r="C11083" s="91" t="s">
        <v>1250</v>
      </c>
    </row>
    <row r="11084" spans="1:3" ht="15">
      <c r="A11084" s="84" t="s">
        <v>385</v>
      </c>
      <c r="B11084" s="83" t="s">
        <v>3441</v>
      </c>
      <c r="C11084" s="91" t="s">
        <v>1250</v>
      </c>
    </row>
    <row r="11085" spans="1:3" ht="15">
      <c r="A11085" s="84" t="s">
        <v>385</v>
      </c>
      <c r="B11085" s="83" t="s">
        <v>3412</v>
      </c>
      <c r="C11085" s="91" t="s">
        <v>1250</v>
      </c>
    </row>
    <row r="11086" spans="1:3" ht="15">
      <c r="A11086" s="84" t="s">
        <v>385</v>
      </c>
      <c r="B11086" s="83" t="s">
        <v>3199</v>
      </c>
      <c r="C11086" s="91" t="s">
        <v>1250</v>
      </c>
    </row>
    <row r="11087" spans="1:3" ht="15">
      <c r="A11087" s="84" t="s">
        <v>385</v>
      </c>
      <c r="B11087" s="83" t="s">
        <v>3442</v>
      </c>
      <c r="C11087" s="91" t="s">
        <v>1250</v>
      </c>
    </row>
    <row r="11088" spans="1:3" ht="15">
      <c r="A11088" s="84" t="s">
        <v>385</v>
      </c>
      <c r="B11088" s="83" t="s">
        <v>3223</v>
      </c>
      <c r="C11088" s="91" t="s">
        <v>1250</v>
      </c>
    </row>
    <row r="11089" spans="1:3" ht="15">
      <c r="A11089" s="84" t="s">
        <v>385</v>
      </c>
      <c r="B11089" s="83" t="s">
        <v>3443</v>
      </c>
      <c r="C11089" s="91" t="s">
        <v>1250</v>
      </c>
    </row>
    <row r="11090" spans="1:3" ht="15">
      <c r="A11090" s="84" t="s">
        <v>385</v>
      </c>
      <c r="B11090" s="83" t="s">
        <v>3444</v>
      </c>
      <c r="C11090" s="91" t="s">
        <v>1250</v>
      </c>
    </row>
    <row r="11091" spans="1:3" ht="15">
      <c r="A11091" s="84" t="s">
        <v>385</v>
      </c>
      <c r="B11091" s="83" t="s">
        <v>381</v>
      </c>
      <c r="C11091" s="91" t="s">
        <v>1250</v>
      </c>
    </row>
    <row r="11092" spans="1:3" ht="15">
      <c r="A11092" s="84" t="s">
        <v>385</v>
      </c>
      <c r="B11092" s="83" t="s">
        <v>3445</v>
      </c>
      <c r="C11092" s="91" t="s">
        <v>1250</v>
      </c>
    </row>
    <row r="11093" spans="1:3" ht="15">
      <c r="A11093" s="84" t="s">
        <v>385</v>
      </c>
      <c r="B11093" s="83" t="s">
        <v>383</v>
      </c>
      <c r="C11093" s="91" t="s">
        <v>1250</v>
      </c>
    </row>
    <row r="11094" spans="1:3" ht="15">
      <c r="A11094" s="84" t="s">
        <v>385</v>
      </c>
      <c r="B11094" s="83" t="s">
        <v>430</v>
      </c>
      <c r="C11094" s="91" t="s">
        <v>1250</v>
      </c>
    </row>
    <row r="11095" spans="1:3" ht="15">
      <c r="A11095" s="84" t="s">
        <v>385</v>
      </c>
      <c r="B11095" s="83" t="s">
        <v>3446</v>
      </c>
      <c r="C11095" s="91" t="s">
        <v>1250</v>
      </c>
    </row>
    <row r="11096" spans="1:3" ht="15">
      <c r="A11096" s="84" t="s">
        <v>385</v>
      </c>
      <c r="B11096" s="83" t="s">
        <v>3447</v>
      </c>
      <c r="C11096" s="91" t="s">
        <v>1250</v>
      </c>
    </row>
    <row r="11097" spans="1:3" ht="15">
      <c r="A11097" s="84" t="s">
        <v>382</v>
      </c>
      <c r="B11097" s="83" t="s">
        <v>3436</v>
      </c>
      <c r="C11097" s="91" t="s">
        <v>1246</v>
      </c>
    </row>
    <row r="11098" spans="1:3" ht="15">
      <c r="A11098" s="84" t="s">
        <v>382</v>
      </c>
      <c r="B11098" s="83" t="s">
        <v>2682</v>
      </c>
      <c r="C11098" s="91" t="s">
        <v>1246</v>
      </c>
    </row>
    <row r="11099" spans="1:3" ht="15">
      <c r="A11099" s="84" t="s">
        <v>382</v>
      </c>
      <c r="B11099" s="83" t="s">
        <v>2582</v>
      </c>
      <c r="C11099" s="91" t="s">
        <v>1246</v>
      </c>
    </row>
    <row r="11100" spans="1:3" ht="15">
      <c r="A11100" s="84" t="s">
        <v>382</v>
      </c>
      <c r="B11100" s="83" t="s">
        <v>3437</v>
      </c>
      <c r="C11100" s="91" t="s">
        <v>1246</v>
      </c>
    </row>
    <row r="11101" spans="1:3" ht="15">
      <c r="A11101" s="84" t="s">
        <v>382</v>
      </c>
      <c r="B11101" s="83" t="s">
        <v>3438</v>
      </c>
      <c r="C11101" s="91" t="s">
        <v>1246</v>
      </c>
    </row>
    <row r="11102" spans="1:3" ht="15">
      <c r="A11102" s="84" t="s">
        <v>382</v>
      </c>
      <c r="B11102" s="83" t="s">
        <v>2685</v>
      </c>
      <c r="C11102" s="91" t="s">
        <v>1246</v>
      </c>
    </row>
    <row r="11103" spans="1:3" ht="15">
      <c r="A11103" s="84" t="s">
        <v>382</v>
      </c>
      <c r="B11103" s="83">
        <v>106</v>
      </c>
      <c r="C11103" s="91" t="s">
        <v>1246</v>
      </c>
    </row>
    <row r="11104" spans="1:3" ht="15">
      <c r="A11104" s="84" t="s">
        <v>382</v>
      </c>
      <c r="B11104" s="83" t="s">
        <v>2687</v>
      </c>
      <c r="C11104" s="91" t="s">
        <v>1246</v>
      </c>
    </row>
    <row r="11105" spans="1:3" ht="15">
      <c r="A11105" s="84" t="s">
        <v>382</v>
      </c>
      <c r="B11105" s="83" t="s">
        <v>2688</v>
      </c>
      <c r="C11105" s="91" t="s">
        <v>1246</v>
      </c>
    </row>
    <row r="11106" spans="1:3" ht="15">
      <c r="A11106" s="84" t="s">
        <v>382</v>
      </c>
      <c r="B11106" s="83" t="s">
        <v>3439</v>
      </c>
      <c r="C11106" s="91" t="s">
        <v>1246</v>
      </c>
    </row>
    <row r="11107" spans="1:3" ht="15">
      <c r="A11107" s="84" t="s">
        <v>382</v>
      </c>
      <c r="B11107" s="83" t="s">
        <v>3440</v>
      </c>
      <c r="C11107" s="91" t="s">
        <v>1246</v>
      </c>
    </row>
    <row r="11108" spans="1:3" ht="15">
      <c r="A11108" s="84" t="s">
        <v>382</v>
      </c>
      <c r="B11108" s="83" t="s">
        <v>3213</v>
      </c>
      <c r="C11108" s="91" t="s">
        <v>1246</v>
      </c>
    </row>
    <row r="11109" spans="1:3" ht="15">
      <c r="A11109" s="84" t="s">
        <v>382</v>
      </c>
      <c r="B11109" s="83" t="s">
        <v>3194</v>
      </c>
      <c r="C11109" s="91" t="s">
        <v>1246</v>
      </c>
    </row>
    <row r="11110" spans="1:3" ht="15">
      <c r="A11110" s="84" t="s">
        <v>382</v>
      </c>
      <c r="B11110" s="83" t="s">
        <v>3214</v>
      </c>
      <c r="C11110" s="91" t="s">
        <v>1246</v>
      </c>
    </row>
    <row r="11111" spans="1:3" ht="15">
      <c r="A11111" s="84" t="s">
        <v>382</v>
      </c>
      <c r="B11111" s="83" t="s">
        <v>3441</v>
      </c>
      <c r="C11111" s="91" t="s">
        <v>1246</v>
      </c>
    </row>
    <row r="11112" spans="1:3" ht="15">
      <c r="A11112" s="84" t="s">
        <v>382</v>
      </c>
      <c r="B11112" s="83" t="s">
        <v>3412</v>
      </c>
      <c r="C11112" s="91" t="s">
        <v>1246</v>
      </c>
    </row>
    <row r="11113" spans="1:3" ht="15">
      <c r="A11113" s="84" t="s">
        <v>382</v>
      </c>
      <c r="B11113" s="83" t="s">
        <v>3199</v>
      </c>
      <c r="C11113" s="91" t="s">
        <v>1246</v>
      </c>
    </row>
    <row r="11114" spans="1:3" ht="15">
      <c r="A11114" s="84" t="s">
        <v>382</v>
      </c>
      <c r="B11114" s="83" t="s">
        <v>3442</v>
      </c>
      <c r="C11114" s="91" t="s">
        <v>1246</v>
      </c>
    </row>
    <row r="11115" spans="1:3" ht="15">
      <c r="A11115" s="84" t="s">
        <v>382</v>
      </c>
      <c r="B11115" s="83" t="s">
        <v>3223</v>
      </c>
      <c r="C11115" s="91" t="s">
        <v>1246</v>
      </c>
    </row>
    <row r="11116" spans="1:3" ht="15">
      <c r="A11116" s="84" t="s">
        <v>382</v>
      </c>
      <c r="B11116" s="83" t="s">
        <v>3443</v>
      </c>
      <c r="C11116" s="91" t="s">
        <v>1246</v>
      </c>
    </row>
    <row r="11117" spans="1:3" ht="15">
      <c r="A11117" s="84" t="s">
        <v>382</v>
      </c>
      <c r="B11117" s="83" t="s">
        <v>3444</v>
      </c>
      <c r="C11117" s="91" t="s">
        <v>1246</v>
      </c>
    </row>
    <row r="11118" spans="1:3" ht="15">
      <c r="A11118" s="84" t="s">
        <v>382</v>
      </c>
      <c r="B11118" s="83" t="s">
        <v>381</v>
      </c>
      <c r="C11118" s="91" t="s">
        <v>1246</v>
      </c>
    </row>
    <row r="11119" spans="1:3" ht="15">
      <c r="A11119" s="84" t="s">
        <v>382</v>
      </c>
      <c r="B11119" s="83" t="s">
        <v>3445</v>
      </c>
      <c r="C11119" s="91" t="s">
        <v>1246</v>
      </c>
    </row>
    <row r="11120" spans="1:3" ht="15">
      <c r="A11120" s="84" t="s">
        <v>382</v>
      </c>
      <c r="B11120" s="83" t="s">
        <v>383</v>
      </c>
      <c r="C11120" s="91" t="s">
        <v>1246</v>
      </c>
    </row>
    <row r="11121" spans="1:3" ht="15">
      <c r="A11121" s="84" t="s">
        <v>382</v>
      </c>
      <c r="B11121" s="83" t="s">
        <v>430</v>
      </c>
      <c r="C11121" s="91" t="s">
        <v>1246</v>
      </c>
    </row>
    <row r="11122" spans="1:3" ht="15">
      <c r="A11122" s="84" t="s">
        <v>382</v>
      </c>
      <c r="B11122" s="83" t="s">
        <v>3446</v>
      </c>
      <c r="C11122" s="91" t="s">
        <v>1246</v>
      </c>
    </row>
    <row r="11123" spans="1:3" ht="15">
      <c r="A11123" s="84" t="s">
        <v>382</v>
      </c>
      <c r="B11123" s="83" t="s">
        <v>3447</v>
      </c>
      <c r="C11123" s="91" t="s">
        <v>1246</v>
      </c>
    </row>
    <row r="11124" spans="1:3" ht="15">
      <c r="A11124" s="84" t="s">
        <v>230</v>
      </c>
      <c r="B11124" s="83" t="s">
        <v>3436</v>
      </c>
      <c r="C11124" s="91" t="s">
        <v>1038</v>
      </c>
    </row>
    <row r="11125" spans="1:3" ht="15">
      <c r="A11125" s="84" t="s">
        <v>230</v>
      </c>
      <c r="B11125" s="83" t="s">
        <v>2682</v>
      </c>
      <c r="C11125" s="91" t="s">
        <v>1038</v>
      </c>
    </row>
    <row r="11126" spans="1:3" ht="15">
      <c r="A11126" s="84" t="s">
        <v>230</v>
      </c>
      <c r="B11126" s="83" t="s">
        <v>2582</v>
      </c>
      <c r="C11126" s="91" t="s">
        <v>1038</v>
      </c>
    </row>
    <row r="11127" spans="1:3" ht="15">
      <c r="A11127" s="84" t="s">
        <v>230</v>
      </c>
      <c r="B11127" s="83" t="s">
        <v>3437</v>
      </c>
      <c r="C11127" s="91" t="s">
        <v>1038</v>
      </c>
    </row>
    <row r="11128" spans="1:3" ht="15">
      <c r="A11128" s="84" t="s">
        <v>230</v>
      </c>
      <c r="B11128" s="83" t="s">
        <v>3438</v>
      </c>
      <c r="C11128" s="91" t="s">
        <v>1038</v>
      </c>
    </row>
    <row r="11129" spans="1:3" ht="15">
      <c r="A11129" s="84" t="s">
        <v>230</v>
      </c>
      <c r="B11129" s="83" t="s">
        <v>2685</v>
      </c>
      <c r="C11129" s="91" t="s">
        <v>1038</v>
      </c>
    </row>
    <row r="11130" spans="1:3" ht="15">
      <c r="A11130" s="84" t="s">
        <v>230</v>
      </c>
      <c r="B11130" s="83">
        <v>106</v>
      </c>
      <c r="C11130" s="91" t="s">
        <v>1038</v>
      </c>
    </row>
    <row r="11131" spans="1:3" ht="15">
      <c r="A11131" s="84" t="s">
        <v>230</v>
      </c>
      <c r="B11131" s="83" t="s">
        <v>2687</v>
      </c>
      <c r="C11131" s="91" t="s">
        <v>1038</v>
      </c>
    </row>
    <row r="11132" spans="1:3" ht="15">
      <c r="A11132" s="84" t="s">
        <v>230</v>
      </c>
      <c r="B11132" s="83" t="s">
        <v>2688</v>
      </c>
      <c r="C11132" s="91" t="s">
        <v>1038</v>
      </c>
    </row>
    <row r="11133" spans="1:3" ht="15">
      <c r="A11133" s="84" t="s">
        <v>230</v>
      </c>
      <c r="B11133" s="83" t="s">
        <v>3439</v>
      </c>
      <c r="C11133" s="91" t="s">
        <v>1038</v>
      </c>
    </row>
    <row r="11134" spans="1:3" ht="15">
      <c r="A11134" s="84" t="s">
        <v>230</v>
      </c>
      <c r="B11134" s="83" t="s">
        <v>3440</v>
      </c>
      <c r="C11134" s="91" t="s">
        <v>1038</v>
      </c>
    </row>
    <row r="11135" spans="1:3" ht="15">
      <c r="A11135" s="84" t="s">
        <v>230</v>
      </c>
      <c r="B11135" s="83" t="s">
        <v>3213</v>
      </c>
      <c r="C11135" s="91" t="s">
        <v>1038</v>
      </c>
    </row>
    <row r="11136" spans="1:3" ht="15">
      <c r="A11136" s="84" t="s">
        <v>230</v>
      </c>
      <c r="B11136" s="83" t="s">
        <v>3194</v>
      </c>
      <c r="C11136" s="91" t="s">
        <v>1038</v>
      </c>
    </row>
    <row r="11137" spans="1:3" ht="15">
      <c r="A11137" s="84" t="s">
        <v>230</v>
      </c>
      <c r="B11137" s="83" t="s">
        <v>3214</v>
      </c>
      <c r="C11137" s="91" t="s">
        <v>1038</v>
      </c>
    </row>
    <row r="11138" spans="1:3" ht="15">
      <c r="A11138" s="84" t="s">
        <v>230</v>
      </c>
      <c r="B11138" s="83" t="s">
        <v>3441</v>
      </c>
      <c r="C11138" s="91" t="s">
        <v>1038</v>
      </c>
    </row>
    <row r="11139" spans="1:3" ht="15">
      <c r="A11139" s="84" t="s">
        <v>230</v>
      </c>
      <c r="B11139" s="83" t="s">
        <v>3412</v>
      </c>
      <c r="C11139" s="91" t="s">
        <v>1038</v>
      </c>
    </row>
    <row r="11140" spans="1:3" ht="15">
      <c r="A11140" s="84" t="s">
        <v>230</v>
      </c>
      <c r="B11140" s="83" t="s">
        <v>3199</v>
      </c>
      <c r="C11140" s="91" t="s">
        <v>1038</v>
      </c>
    </row>
    <row r="11141" spans="1:3" ht="15">
      <c r="A11141" s="84" t="s">
        <v>230</v>
      </c>
      <c r="B11141" s="83" t="s">
        <v>3442</v>
      </c>
      <c r="C11141" s="91" t="s">
        <v>1038</v>
      </c>
    </row>
    <row r="11142" spans="1:3" ht="15">
      <c r="A11142" s="84" t="s">
        <v>230</v>
      </c>
      <c r="B11142" s="83" t="s">
        <v>3223</v>
      </c>
      <c r="C11142" s="91" t="s">
        <v>1038</v>
      </c>
    </row>
    <row r="11143" spans="1:3" ht="15">
      <c r="A11143" s="84" t="s">
        <v>230</v>
      </c>
      <c r="B11143" s="83" t="s">
        <v>3443</v>
      </c>
      <c r="C11143" s="91" t="s">
        <v>1038</v>
      </c>
    </row>
    <row r="11144" spans="1:3" ht="15">
      <c r="A11144" s="84" t="s">
        <v>230</v>
      </c>
      <c r="B11144" s="83" t="s">
        <v>3444</v>
      </c>
      <c r="C11144" s="91" t="s">
        <v>1038</v>
      </c>
    </row>
    <row r="11145" spans="1:3" ht="15">
      <c r="A11145" s="84" t="s">
        <v>230</v>
      </c>
      <c r="B11145" s="83" t="s">
        <v>381</v>
      </c>
      <c r="C11145" s="91" t="s">
        <v>1038</v>
      </c>
    </row>
    <row r="11146" spans="1:3" ht="15">
      <c r="A11146" s="84" t="s">
        <v>230</v>
      </c>
      <c r="B11146" s="83" t="s">
        <v>3445</v>
      </c>
      <c r="C11146" s="91" t="s">
        <v>1038</v>
      </c>
    </row>
    <row r="11147" spans="1:3" ht="15">
      <c r="A11147" s="84" t="s">
        <v>230</v>
      </c>
      <c r="B11147" s="83" t="s">
        <v>383</v>
      </c>
      <c r="C11147" s="91" t="s">
        <v>1038</v>
      </c>
    </row>
    <row r="11148" spans="1:3" ht="15">
      <c r="A11148" s="84" t="s">
        <v>230</v>
      </c>
      <c r="B11148" s="83" t="s">
        <v>430</v>
      </c>
      <c r="C11148" s="91" t="s">
        <v>1038</v>
      </c>
    </row>
    <row r="11149" spans="1:3" ht="15">
      <c r="A11149" s="84" t="s">
        <v>230</v>
      </c>
      <c r="B11149" s="83" t="s">
        <v>3446</v>
      </c>
      <c r="C11149" s="91" t="s">
        <v>1038</v>
      </c>
    </row>
    <row r="11150" spans="1:3" ht="15">
      <c r="A11150" s="84" t="s">
        <v>230</v>
      </c>
      <c r="B11150" s="83" t="s">
        <v>3447</v>
      </c>
      <c r="C11150" s="91" t="s">
        <v>1038</v>
      </c>
    </row>
    <row r="11151" spans="1:3" ht="15">
      <c r="A11151" s="84" t="s">
        <v>404</v>
      </c>
      <c r="B11151" s="83" t="s">
        <v>3356</v>
      </c>
      <c r="C11151" s="91" t="s">
        <v>1343</v>
      </c>
    </row>
    <row r="11152" spans="1:3" ht="15">
      <c r="A11152" s="84" t="s">
        <v>404</v>
      </c>
      <c r="B11152" s="83" t="s">
        <v>3357</v>
      </c>
      <c r="C11152" s="91" t="s">
        <v>1343</v>
      </c>
    </row>
    <row r="11153" spans="1:3" ht="15">
      <c r="A11153" s="84" t="s">
        <v>404</v>
      </c>
      <c r="B11153" s="83" t="s">
        <v>3358</v>
      </c>
      <c r="C11153" s="91" t="s">
        <v>1343</v>
      </c>
    </row>
    <row r="11154" spans="1:3" ht="15">
      <c r="A11154" s="84" t="s">
        <v>404</v>
      </c>
      <c r="B11154" s="83" t="s">
        <v>3359</v>
      </c>
      <c r="C11154" s="91" t="s">
        <v>1343</v>
      </c>
    </row>
    <row r="11155" spans="1:3" ht="15">
      <c r="A11155" s="84" t="s">
        <v>404</v>
      </c>
      <c r="B11155" s="83" t="s">
        <v>3360</v>
      </c>
      <c r="C11155" s="91" t="s">
        <v>1343</v>
      </c>
    </row>
    <row r="11156" spans="1:3" ht="15">
      <c r="A11156" s="84" t="s">
        <v>404</v>
      </c>
      <c r="B11156" s="83">
        <v>43</v>
      </c>
      <c r="C11156" s="91" t="s">
        <v>1343</v>
      </c>
    </row>
    <row r="11157" spans="1:3" ht="15">
      <c r="A11157" s="84" t="s">
        <v>404</v>
      </c>
      <c r="B11157" s="83" t="s">
        <v>3361</v>
      </c>
      <c r="C11157" s="91" t="s">
        <v>1343</v>
      </c>
    </row>
    <row r="11158" spans="1:3" ht="15">
      <c r="A11158" s="84" t="s">
        <v>404</v>
      </c>
      <c r="B11158" s="83" t="s">
        <v>3362</v>
      </c>
      <c r="C11158" s="91" t="s">
        <v>1343</v>
      </c>
    </row>
    <row r="11159" spans="1:3" ht="15">
      <c r="A11159" s="84" t="s">
        <v>404</v>
      </c>
      <c r="B11159" s="83" t="s">
        <v>3363</v>
      </c>
      <c r="C11159" s="91" t="s">
        <v>1343</v>
      </c>
    </row>
    <row r="11160" spans="1:3" ht="15">
      <c r="A11160" s="84" t="s">
        <v>404</v>
      </c>
      <c r="B11160" s="83" t="s">
        <v>2580</v>
      </c>
      <c r="C11160" s="91" t="s">
        <v>1343</v>
      </c>
    </row>
    <row r="11161" spans="1:3" ht="15">
      <c r="A11161" s="84" t="s">
        <v>404</v>
      </c>
      <c r="B11161" s="83" t="s">
        <v>3210</v>
      </c>
      <c r="C11161" s="91" t="s">
        <v>1343</v>
      </c>
    </row>
    <row r="11162" spans="1:3" ht="15">
      <c r="A11162" s="84" t="s">
        <v>404</v>
      </c>
      <c r="B11162" s="83">
        <v>19</v>
      </c>
      <c r="C11162" s="91" t="s">
        <v>1343</v>
      </c>
    </row>
    <row r="11163" spans="1:3" ht="15">
      <c r="A11163" s="84" t="s">
        <v>404</v>
      </c>
      <c r="B11163" s="83" t="s">
        <v>3364</v>
      </c>
      <c r="C11163" s="91" t="s">
        <v>1343</v>
      </c>
    </row>
    <row r="11164" spans="1:3" ht="15">
      <c r="A11164" s="84" t="s">
        <v>404</v>
      </c>
      <c r="B11164" s="83" t="s">
        <v>3211</v>
      </c>
      <c r="C11164" s="91" t="s">
        <v>1343</v>
      </c>
    </row>
    <row r="11165" spans="1:3" ht="15">
      <c r="A11165" s="84" t="s">
        <v>404</v>
      </c>
      <c r="B11165" s="83" t="s">
        <v>3212</v>
      </c>
      <c r="C11165" s="91" t="s">
        <v>1343</v>
      </c>
    </row>
    <row r="11166" spans="1:3" ht="15">
      <c r="A11166" s="84" t="s">
        <v>404</v>
      </c>
      <c r="B11166" s="83" t="s">
        <v>3198</v>
      </c>
      <c r="C11166" s="91" t="s">
        <v>1343</v>
      </c>
    </row>
    <row r="11167" spans="1:3" ht="15">
      <c r="A11167" s="84" t="s">
        <v>404</v>
      </c>
      <c r="B11167" s="83" t="s">
        <v>3213</v>
      </c>
      <c r="C11167" s="91" t="s">
        <v>1343</v>
      </c>
    </row>
    <row r="11168" spans="1:3" ht="15">
      <c r="A11168" s="84" t="s">
        <v>404</v>
      </c>
      <c r="B11168" s="83" t="s">
        <v>3214</v>
      </c>
      <c r="C11168" s="91" t="s">
        <v>1343</v>
      </c>
    </row>
    <row r="11169" spans="1:3" ht="15">
      <c r="A11169" s="84" t="s">
        <v>404</v>
      </c>
      <c r="B11169" s="83" t="s">
        <v>3215</v>
      </c>
      <c r="C11169" s="91" t="s">
        <v>1343</v>
      </c>
    </row>
    <row r="11170" spans="1:3" ht="15">
      <c r="A11170" s="84" t="s">
        <v>404</v>
      </c>
      <c r="B11170" s="83" t="s">
        <v>3216</v>
      </c>
      <c r="C11170" s="91" t="s">
        <v>1343</v>
      </c>
    </row>
    <row r="11171" spans="1:3" ht="15">
      <c r="A11171" s="84" t="s">
        <v>404</v>
      </c>
      <c r="B11171" s="83" t="s">
        <v>3199</v>
      </c>
      <c r="C11171" s="91" t="s">
        <v>1343</v>
      </c>
    </row>
    <row r="11172" spans="1:3" ht="15">
      <c r="A11172" s="84" t="s">
        <v>404</v>
      </c>
      <c r="B11172" s="83" t="s">
        <v>3218</v>
      </c>
      <c r="C11172" s="91" t="s">
        <v>1343</v>
      </c>
    </row>
    <row r="11173" spans="1:3" ht="15">
      <c r="A11173" s="84" t="s">
        <v>404</v>
      </c>
      <c r="B11173" s="83" t="s">
        <v>3235</v>
      </c>
      <c r="C11173" s="91" t="s">
        <v>1343</v>
      </c>
    </row>
    <row r="11174" spans="1:3" ht="15">
      <c r="A11174" s="84" t="s">
        <v>404</v>
      </c>
      <c r="B11174" s="83" t="s">
        <v>3236</v>
      </c>
      <c r="C11174" s="91" t="s">
        <v>1343</v>
      </c>
    </row>
    <row r="11175" spans="1:3" ht="15">
      <c r="A11175" s="84" t="s">
        <v>404</v>
      </c>
      <c r="B11175" s="83" t="s">
        <v>3318</v>
      </c>
      <c r="C11175" s="91" t="s">
        <v>1343</v>
      </c>
    </row>
    <row r="11176" spans="1:3" ht="15">
      <c r="A11176" s="84" t="s">
        <v>404</v>
      </c>
      <c r="B11176" s="83" t="s">
        <v>3220</v>
      </c>
      <c r="C11176" s="91" t="s">
        <v>1343</v>
      </c>
    </row>
    <row r="11177" spans="1:3" ht="15">
      <c r="A11177" s="84" t="s">
        <v>404</v>
      </c>
      <c r="B11177" s="83" t="s">
        <v>3221</v>
      </c>
      <c r="C11177" s="91" t="s">
        <v>1343</v>
      </c>
    </row>
    <row r="11178" spans="1:3" ht="15">
      <c r="A11178" s="84" t="s">
        <v>404</v>
      </c>
      <c r="B11178" s="83" t="s">
        <v>3237</v>
      </c>
      <c r="C11178" s="91" t="s">
        <v>1343</v>
      </c>
    </row>
    <row r="11179" spans="1:3" ht="15">
      <c r="A11179" s="84" t="s">
        <v>404</v>
      </c>
      <c r="B11179" s="83" t="s">
        <v>3310</v>
      </c>
      <c r="C11179" s="91" t="s">
        <v>1343</v>
      </c>
    </row>
    <row r="11180" spans="1:3" ht="15">
      <c r="A11180" s="84" t="s">
        <v>404</v>
      </c>
      <c r="B11180" s="83" t="s">
        <v>3335</v>
      </c>
      <c r="C11180" s="91" t="s">
        <v>1343</v>
      </c>
    </row>
    <row r="11181" spans="1:3" ht="15">
      <c r="A11181" s="84" t="s">
        <v>404</v>
      </c>
      <c r="B11181" s="83" t="s">
        <v>3284</v>
      </c>
      <c r="C11181" s="91" t="s">
        <v>1343</v>
      </c>
    </row>
    <row r="11182" spans="1:3" ht="15">
      <c r="A11182" s="84" t="s">
        <v>229</v>
      </c>
      <c r="B11182" s="83" t="s">
        <v>3356</v>
      </c>
      <c r="C11182" s="91" t="s">
        <v>1037</v>
      </c>
    </row>
    <row r="11183" spans="1:3" ht="15">
      <c r="A11183" s="84" t="s">
        <v>229</v>
      </c>
      <c r="B11183" s="83" t="s">
        <v>3357</v>
      </c>
      <c r="C11183" s="91" t="s">
        <v>1037</v>
      </c>
    </row>
    <row r="11184" spans="1:3" ht="15">
      <c r="A11184" s="84" t="s">
        <v>229</v>
      </c>
      <c r="B11184" s="83" t="s">
        <v>3358</v>
      </c>
      <c r="C11184" s="91" t="s">
        <v>1037</v>
      </c>
    </row>
    <row r="11185" spans="1:3" ht="15">
      <c r="A11185" s="84" t="s">
        <v>229</v>
      </c>
      <c r="B11185" s="83" t="s">
        <v>3359</v>
      </c>
      <c r="C11185" s="91" t="s">
        <v>1037</v>
      </c>
    </row>
    <row r="11186" spans="1:3" ht="15">
      <c r="A11186" s="84" t="s">
        <v>229</v>
      </c>
      <c r="B11186" s="83" t="s">
        <v>3360</v>
      </c>
      <c r="C11186" s="91" t="s">
        <v>1037</v>
      </c>
    </row>
    <row r="11187" spans="1:3" ht="15">
      <c r="A11187" s="84" t="s">
        <v>229</v>
      </c>
      <c r="B11187" s="83">
        <v>43</v>
      </c>
      <c r="C11187" s="91" t="s">
        <v>1037</v>
      </c>
    </row>
    <row r="11188" spans="1:3" ht="15">
      <c r="A11188" s="84" t="s">
        <v>229</v>
      </c>
      <c r="B11188" s="83" t="s">
        <v>3361</v>
      </c>
      <c r="C11188" s="91" t="s">
        <v>1037</v>
      </c>
    </row>
    <row r="11189" spans="1:3" ht="15">
      <c r="A11189" s="84" t="s">
        <v>229</v>
      </c>
      <c r="B11189" s="83" t="s">
        <v>3362</v>
      </c>
      <c r="C11189" s="91" t="s">
        <v>1037</v>
      </c>
    </row>
    <row r="11190" spans="1:3" ht="15">
      <c r="A11190" s="84" t="s">
        <v>229</v>
      </c>
      <c r="B11190" s="83" t="s">
        <v>3363</v>
      </c>
      <c r="C11190" s="91" t="s">
        <v>1037</v>
      </c>
    </row>
    <row r="11191" spans="1:3" ht="15">
      <c r="A11191" s="84" t="s">
        <v>229</v>
      </c>
      <c r="B11191" s="83" t="s">
        <v>2580</v>
      </c>
      <c r="C11191" s="91" t="s">
        <v>1037</v>
      </c>
    </row>
    <row r="11192" spans="1:3" ht="15">
      <c r="A11192" s="84" t="s">
        <v>229</v>
      </c>
      <c r="B11192" s="83" t="s">
        <v>3210</v>
      </c>
      <c r="C11192" s="91" t="s">
        <v>1037</v>
      </c>
    </row>
    <row r="11193" spans="1:3" ht="15">
      <c r="A11193" s="84" t="s">
        <v>229</v>
      </c>
      <c r="B11193" s="83">
        <v>19</v>
      </c>
      <c r="C11193" s="91" t="s">
        <v>1037</v>
      </c>
    </row>
    <row r="11194" spans="1:3" ht="15">
      <c r="A11194" s="84" t="s">
        <v>229</v>
      </c>
      <c r="B11194" s="83" t="s">
        <v>3364</v>
      </c>
      <c r="C11194" s="91" t="s">
        <v>1037</v>
      </c>
    </row>
    <row r="11195" spans="1:3" ht="15">
      <c r="A11195" s="84" t="s">
        <v>229</v>
      </c>
      <c r="B11195" s="83" t="s">
        <v>3211</v>
      </c>
      <c r="C11195" s="91" t="s">
        <v>1037</v>
      </c>
    </row>
    <row r="11196" spans="1:3" ht="15">
      <c r="A11196" s="84" t="s">
        <v>229</v>
      </c>
      <c r="B11196" s="83" t="s">
        <v>3212</v>
      </c>
      <c r="C11196" s="91" t="s">
        <v>1037</v>
      </c>
    </row>
    <row r="11197" spans="1:3" ht="15">
      <c r="A11197" s="84" t="s">
        <v>229</v>
      </c>
      <c r="B11197" s="83" t="s">
        <v>3198</v>
      </c>
      <c r="C11197" s="91" t="s">
        <v>1037</v>
      </c>
    </row>
    <row r="11198" spans="1:3" ht="15">
      <c r="A11198" s="84" t="s">
        <v>229</v>
      </c>
      <c r="B11198" s="83" t="s">
        <v>3213</v>
      </c>
      <c r="C11198" s="91" t="s">
        <v>1037</v>
      </c>
    </row>
    <row r="11199" spans="1:3" ht="15">
      <c r="A11199" s="84" t="s">
        <v>229</v>
      </c>
      <c r="B11199" s="83" t="s">
        <v>3214</v>
      </c>
      <c r="C11199" s="91" t="s">
        <v>1037</v>
      </c>
    </row>
    <row r="11200" spans="1:3" ht="15">
      <c r="A11200" s="84" t="s">
        <v>229</v>
      </c>
      <c r="B11200" s="83" t="s">
        <v>3215</v>
      </c>
      <c r="C11200" s="91" t="s">
        <v>1037</v>
      </c>
    </row>
    <row r="11201" spans="1:3" ht="15">
      <c r="A11201" s="84" t="s">
        <v>229</v>
      </c>
      <c r="B11201" s="83" t="s">
        <v>3216</v>
      </c>
      <c r="C11201" s="91" t="s">
        <v>1037</v>
      </c>
    </row>
    <row r="11202" spans="1:3" ht="15">
      <c r="A11202" s="84" t="s">
        <v>229</v>
      </c>
      <c r="B11202" s="83" t="s">
        <v>3199</v>
      </c>
      <c r="C11202" s="91" t="s">
        <v>1037</v>
      </c>
    </row>
    <row r="11203" spans="1:3" ht="15">
      <c r="A11203" s="84" t="s">
        <v>229</v>
      </c>
      <c r="B11203" s="83" t="s">
        <v>3218</v>
      </c>
      <c r="C11203" s="91" t="s">
        <v>1037</v>
      </c>
    </row>
    <row r="11204" spans="1:3" ht="15">
      <c r="A11204" s="84" t="s">
        <v>229</v>
      </c>
      <c r="B11204" s="83" t="s">
        <v>3235</v>
      </c>
      <c r="C11204" s="91" t="s">
        <v>1037</v>
      </c>
    </row>
    <row r="11205" spans="1:3" ht="15">
      <c r="A11205" s="84" t="s">
        <v>229</v>
      </c>
      <c r="B11205" s="83" t="s">
        <v>3236</v>
      </c>
      <c r="C11205" s="91" t="s">
        <v>1037</v>
      </c>
    </row>
    <row r="11206" spans="1:3" ht="15">
      <c r="A11206" s="84" t="s">
        <v>229</v>
      </c>
      <c r="B11206" s="83" t="s">
        <v>3318</v>
      </c>
      <c r="C11206" s="91" t="s">
        <v>1037</v>
      </c>
    </row>
    <row r="11207" spans="1:3" ht="15">
      <c r="A11207" s="84" t="s">
        <v>229</v>
      </c>
      <c r="B11207" s="83" t="s">
        <v>3220</v>
      </c>
      <c r="C11207" s="91" t="s">
        <v>1037</v>
      </c>
    </row>
    <row r="11208" spans="1:3" ht="15">
      <c r="A11208" s="84" t="s">
        <v>229</v>
      </c>
      <c r="B11208" s="83" t="s">
        <v>3221</v>
      </c>
      <c r="C11208" s="91" t="s">
        <v>1037</v>
      </c>
    </row>
    <row r="11209" spans="1:3" ht="15">
      <c r="A11209" s="84" t="s">
        <v>229</v>
      </c>
      <c r="B11209" s="83" t="s">
        <v>3237</v>
      </c>
      <c r="C11209" s="91" t="s">
        <v>1037</v>
      </c>
    </row>
    <row r="11210" spans="1:3" ht="15">
      <c r="A11210" s="84" t="s">
        <v>229</v>
      </c>
      <c r="B11210" s="83" t="s">
        <v>3310</v>
      </c>
      <c r="C11210" s="91" t="s">
        <v>1037</v>
      </c>
    </row>
    <row r="11211" spans="1:3" ht="15">
      <c r="A11211" s="84" t="s">
        <v>229</v>
      </c>
      <c r="B11211" s="83" t="s">
        <v>3335</v>
      </c>
      <c r="C11211" s="91" t="s">
        <v>1037</v>
      </c>
    </row>
    <row r="11212" spans="1:3" ht="15">
      <c r="A11212" s="84" t="s">
        <v>229</v>
      </c>
      <c r="B11212" s="83" t="s">
        <v>3284</v>
      </c>
      <c r="C11212" s="91" t="s">
        <v>1037</v>
      </c>
    </row>
    <row r="11213" spans="1:3" ht="15">
      <c r="A11213" s="84" t="s">
        <v>426</v>
      </c>
      <c r="B11213" s="83" t="s">
        <v>3202</v>
      </c>
      <c r="C11213" s="91" t="s">
        <v>1444</v>
      </c>
    </row>
    <row r="11214" spans="1:3" ht="15">
      <c r="A11214" s="84" t="s">
        <v>426</v>
      </c>
      <c r="B11214" s="83">
        <v>7</v>
      </c>
      <c r="C11214" s="91" t="s">
        <v>1444</v>
      </c>
    </row>
    <row r="11215" spans="1:3" ht="15">
      <c r="A11215" s="84" t="s">
        <v>426</v>
      </c>
      <c r="B11215" s="83" t="s">
        <v>2650</v>
      </c>
      <c r="C11215" s="91" t="s">
        <v>1444</v>
      </c>
    </row>
    <row r="11216" spans="1:3" ht="15">
      <c r="A11216" s="84" t="s">
        <v>426</v>
      </c>
      <c r="B11216" s="83" t="s">
        <v>2693</v>
      </c>
      <c r="C11216" s="91" t="s">
        <v>1444</v>
      </c>
    </row>
    <row r="11217" spans="1:3" ht="15">
      <c r="A11217" s="84" t="s">
        <v>426</v>
      </c>
      <c r="B11217" s="83" t="s">
        <v>2576</v>
      </c>
      <c r="C11217" s="91" t="s">
        <v>1444</v>
      </c>
    </row>
    <row r="11218" spans="1:3" ht="15">
      <c r="A11218" s="84" t="s">
        <v>426</v>
      </c>
      <c r="B11218" s="83" t="s">
        <v>3203</v>
      </c>
      <c r="C11218" s="91" t="s">
        <v>1444</v>
      </c>
    </row>
    <row r="11219" spans="1:3" ht="15">
      <c r="A11219" s="84" t="s">
        <v>426</v>
      </c>
      <c r="B11219" s="83">
        <v>19</v>
      </c>
      <c r="C11219" s="91" t="s">
        <v>1444</v>
      </c>
    </row>
    <row r="11220" spans="1:3" ht="15">
      <c r="A11220" s="84" t="s">
        <v>426</v>
      </c>
      <c r="B11220" s="83" t="s">
        <v>2582</v>
      </c>
      <c r="C11220" s="91" t="s">
        <v>1444</v>
      </c>
    </row>
    <row r="11221" spans="1:3" ht="15">
      <c r="A11221" s="84" t="s">
        <v>426</v>
      </c>
      <c r="B11221" s="83" t="s">
        <v>3204</v>
      </c>
      <c r="C11221" s="91" t="s">
        <v>1444</v>
      </c>
    </row>
    <row r="11222" spans="1:3" ht="15">
      <c r="A11222" s="84" t="s">
        <v>426</v>
      </c>
      <c r="B11222" s="83">
        <v>2680</v>
      </c>
      <c r="C11222" s="91" t="s">
        <v>1444</v>
      </c>
    </row>
    <row r="11223" spans="1:3" ht="15">
      <c r="A11223" s="84" t="s">
        <v>426</v>
      </c>
      <c r="B11223" s="83" t="s">
        <v>3205</v>
      </c>
      <c r="C11223" s="91" t="s">
        <v>1444</v>
      </c>
    </row>
    <row r="11224" spans="1:3" ht="15">
      <c r="A11224" s="84" t="s">
        <v>426</v>
      </c>
      <c r="B11224" s="83" t="s">
        <v>586</v>
      </c>
      <c r="C11224" s="91" t="s">
        <v>1444</v>
      </c>
    </row>
    <row r="11225" spans="1:3" ht="15">
      <c r="A11225" s="84" t="s">
        <v>426</v>
      </c>
      <c r="B11225" s="83" t="s">
        <v>2742</v>
      </c>
      <c r="C11225" s="91" t="s">
        <v>1444</v>
      </c>
    </row>
    <row r="11226" spans="1:3" ht="15">
      <c r="A11226" s="84" t="s">
        <v>426</v>
      </c>
      <c r="B11226" s="83" t="s">
        <v>3202</v>
      </c>
      <c r="C11226" s="91" t="s">
        <v>1443</v>
      </c>
    </row>
    <row r="11227" spans="1:3" ht="15">
      <c r="A11227" s="84" t="s">
        <v>426</v>
      </c>
      <c r="B11227" s="83">
        <v>7</v>
      </c>
      <c r="C11227" s="91" t="s">
        <v>1443</v>
      </c>
    </row>
    <row r="11228" spans="1:3" ht="15">
      <c r="A11228" s="84" t="s">
        <v>426</v>
      </c>
      <c r="B11228" s="83" t="s">
        <v>2650</v>
      </c>
      <c r="C11228" s="91" t="s">
        <v>1443</v>
      </c>
    </row>
    <row r="11229" spans="1:3" ht="15">
      <c r="A11229" s="84" t="s">
        <v>426</v>
      </c>
      <c r="B11229" s="83" t="s">
        <v>2693</v>
      </c>
      <c r="C11229" s="91" t="s">
        <v>1443</v>
      </c>
    </row>
    <row r="11230" spans="1:3" ht="15">
      <c r="A11230" s="84" t="s">
        <v>426</v>
      </c>
      <c r="B11230" s="83" t="s">
        <v>2576</v>
      </c>
      <c r="C11230" s="91" t="s">
        <v>1443</v>
      </c>
    </row>
    <row r="11231" spans="1:3" ht="15">
      <c r="A11231" s="84" t="s">
        <v>426</v>
      </c>
      <c r="B11231" s="83" t="s">
        <v>3203</v>
      </c>
      <c r="C11231" s="91" t="s">
        <v>1443</v>
      </c>
    </row>
    <row r="11232" spans="1:3" ht="15">
      <c r="A11232" s="84" t="s">
        <v>426</v>
      </c>
      <c r="B11232" s="83">
        <v>19</v>
      </c>
      <c r="C11232" s="91" t="s">
        <v>1443</v>
      </c>
    </row>
    <row r="11233" spans="1:3" ht="15">
      <c r="A11233" s="84" t="s">
        <v>426</v>
      </c>
      <c r="B11233" s="83" t="s">
        <v>2582</v>
      </c>
      <c r="C11233" s="91" t="s">
        <v>1443</v>
      </c>
    </row>
    <row r="11234" spans="1:3" ht="15">
      <c r="A11234" s="84" t="s">
        <v>426</v>
      </c>
      <c r="B11234" s="83" t="s">
        <v>3204</v>
      </c>
      <c r="C11234" s="91" t="s">
        <v>1443</v>
      </c>
    </row>
    <row r="11235" spans="1:3" ht="15">
      <c r="A11235" s="84" t="s">
        <v>426</v>
      </c>
      <c r="B11235" s="83">
        <v>2600</v>
      </c>
      <c r="C11235" s="91" t="s">
        <v>1443</v>
      </c>
    </row>
    <row r="11236" spans="1:3" ht="15">
      <c r="A11236" s="84" t="s">
        <v>426</v>
      </c>
      <c r="B11236" s="83" t="s">
        <v>3205</v>
      </c>
      <c r="C11236" s="91" t="s">
        <v>1443</v>
      </c>
    </row>
    <row r="11237" spans="1:3" ht="15">
      <c r="A11237" s="84" t="s">
        <v>426</v>
      </c>
      <c r="B11237" s="83" t="s">
        <v>586</v>
      </c>
      <c r="C11237" s="91" t="s">
        <v>1443</v>
      </c>
    </row>
    <row r="11238" spans="1:3" ht="15">
      <c r="A11238" s="84" t="s">
        <v>426</v>
      </c>
      <c r="B11238" s="83" t="s">
        <v>2742</v>
      </c>
      <c r="C11238" s="91" t="s">
        <v>1443</v>
      </c>
    </row>
    <row r="11239" spans="1:3" ht="15">
      <c r="A11239" s="84" t="s">
        <v>426</v>
      </c>
      <c r="B11239" s="83" t="s">
        <v>3202</v>
      </c>
      <c r="C11239" s="91" t="s">
        <v>1442</v>
      </c>
    </row>
    <row r="11240" spans="1:3" ht="15">
      <c r="A11240" s="84" t="s">
        <v>426</v>
      </c>
      <c r="B11240" s="83">
        <v>7</v>
      </c>
      <c r="C11240" s="91" t="s">
        <v>1442</v>
      </c>
    </row>
    <row r="11241" spans="1:3" ht="15">
      <c r="A11241" s="84" t="s">
        <v>426</v>
      </c>
      <c r="B11241" s="83" t="s">
        <v>2650</v>
      </c>
      <c r="C11241" s="91" t="s">
        <v>1442</v>
      </c>
    </row>
    <row r="11242" spans="1:3" ht="15">
      <c r="A11242" s="84" t="s">
        <v>426</v>
      </c>
      <c r="B11242" s="83" t="s">
        <v>2693</v>
      </c>
      <c r="C11242" s="91" t="s">
        <v>1442</v>
      </c>
    </row>
    <row r="11243" spans="1:3" ht="15">
      <c r="A11243" s="84" t="s">
        <v>426</v>
      </c>
      <c r="B11243" s="83" t="s">
        <v>2576</v>
      </c>
      <c r="C11243" s="91" t="s">
        <v>1442</v>
      </c>
    </row>
    <row r="11244" spans="1:3" ht="15">
      <c r="A11244" s="84" t="s">
        <v>426</v>
      </c>
      <c r="B11244" s="83" t="s">
        <v>3203</v>
      </c>
      <c r="C11244" s="91" t="s">
        <v>1442</v>
      </c>
    </row>
    <row r="11245" spans="1:3" ht="15">
      <c r="A11245" s="84" t="s">
        <v>426</v>
      </c>
      <c r="B11245" s="83">
        <v>19</v>
      </c>
      <c r="C11245" s="91" t="s">
        <v>1442</v>
      </c>
    </row>
    <row r="11246" spans="1:3" ht="15">
      <c r="A11246" s="84" t="s">
        <v>426</v>
      </c>
      <c r="B11246" s="83" t="s">
        <v>2582</v>
      </c>
      <c r="C11246" s="91" t="s">
        <v>1442</v>
      </c>
    </row>
    <row r="11247" spans="1:3" ht="15">
      <c r="A11247" s="84" t="s">
        <v>426</v>
      </c>
      <c r="B11247" s="83" t="s">
        <v>3204</v>
      </c>
      <c r="C11247" s="91" t="s">
        <v>1442</v>
      </c>
    </row>
    <row r="11248" spans="1:3" ht="15">
      <c r="A11248" s="84" t="s">
        <v>426</v>
      </c>
      <c r="B11248" s="83">
        <v>2600</v>
      </c>
      <c r="C11248" s="91" t="s">
        <v>1442</v>
      </c>
    </row>
    <row r="11249" spans="1:3" ht="15">
      <c r="A11249" s="84" t="s">
        <v>426</v>
      </c>
      <c r="B11249" s="83" t="s">
        <v>3205</v>
      </c>
      <c r="C11249" s="91" t="s">
        <v>1442</v>
      </c>
    </row>
    <row r="11250" spans="1:3" ht="15">
      <c r="A11250" s="84" t="s">
        <v>426</v>
      </c>
      <c r="B11250" s="83" t="s">
        <v>586</v>
      </c>
      <c r="C11250" s="91" t="s">
        <v>1442</v>
      </c>
    </row>
    <row r="11251" spans="1:3" ht="15">
      <c r="A11251" s="84" t="s">
        <v>426</v>
      </c>
      <c r="B11251" s="83" t="s">
        <v>2742</v>
      </c>
      <c r="C11251" s="91" t="s">
        <v>1442</v>
      </c>
    </row>
    <row r="11252" spans="1:3" ht="15">
      <c r="A11252" s="84" t="s">
        <v>426</v>
      </c>
      <c r="B11252" s="83" t="s">
        <v>3202</v>
      </c>
      <c r="C11252" s="91" t="s">
        <v>1441</v>
      </c>
    </row>
    <row r="11253" spans="1:3" ht="15">
      <c r="A11253" s="84" t="s">
        <v>426</v>
      </c>
      <c r="B11253" s="83">
        <v>7</v>
      </c>
      <c r="C11253" s="91" t="s">
        <v>1441</v>
      </c>
    </row>
    <row r="11254" spans="1:3" ht="15">
      <c r="A11254" s="84" t="s">
        <v>426</v>
      </c>
      <c r="B11254" s="83" t="s">
        <v>2650</v>
      </c>
      <c r="C11254" s="91" t="s">
        <v>1441</v>
      </c>
    </row>
    <row r="11255" spans="1:3" ht="15">
      <c r="A11255" s="84" t="s">
        <v>426</v>
      </c>
      <c r="B11255" s="83" t="s">
        <v>2693</v>
      </c>
      <c r="C11255" s="91" t="s">
        <v>1441</v>
      </c>
    </row>
    <row r="11256" spans="1:3" ht="15">
      <c r="A11256" s="84" t="s">
        <v>426</v>
      </c>
      <c r="B11256" s="83" t="s">
        <v>2576</v>
      </c>
      <c r="C11256" s="91" t="s">
        <v>1441</v>
      </c>
    </row>
    <row r="11257" spans="1:3" ht="15">
      <c r="A11257" s="84" t="s">
        <v>426</v>
      </c>
      <c r="B11257" s="83" t="s">
        <v>3203</v>
      </c>
      <c r="C11257" s="91" t="s">
        <v>1441</v>
      </c>
    </row>
    <row r="11258" spans="1:3" ht="15">
      <c r="A11258" s="84" t="s">
        <v>426</v>
      </c>
      <c r="B11258" s="83">
        <v>19</v>
      </c>
      <c r="C11258" s="91" t="s">
        <v>1441</v>
      </c>
    </row>
    <row r="11259" spans="1:3" ht="15">
      <c r="A11259" s="84" t="s">
        <v>426</v>
      </c>
      <c r="B11259" s="83" t="s">
        <v>2582</v>
      </c>
      <c r="C11259" s="91" t="s">
        <v>1441</v>
      </c>
    </row>
    <row r="11260" spans="1:3" ht="15">
      <c r="A11260" s="84" t="s">
        <v>426</v>
      </c>
      <c r="B11260" s="83" t="s">
        <v>3204</v>
      </c>
      <c r="C11260" s="91" t="s">
        <v>1441</v>
      </c>
    </row>
    <row r="11261" spans="1:3" ht="15">
      <c r="A11261" s="84" t="s">
        <v>426</v>
      </c>
      <c r="B11261" s="83">
        <v>2600</v>
      </c>
      <c r="C11261" s="91" t="s">
        <v>1441</v>
      </c>
    </row>
    <row r="11262" spans="1:3" ht="15">
      <c r="A11262" s="84" t="s">
        <v>426</v>
      </c>
      <c r="B11262" s="83" t="s">
        <v>3205</v>
      </c>
      <c r="C11262" s="91" t="s">
        <v>1441</v>
      </c>
    </row>
    <row r="11263" spans="1:3" ht="15">
      <c r="A11263" s="84" t="s">
        <v>426</v>
      </c>
      <c r="B11263" s="83" t="s">
        <v>586</v>
      </c>
      <c r="C11263" s="91" t="s">
        <v>1441</v>
      </c>
    </row>
    <row r="11264" spans="1:3" ht="15">
      <c r="A11264" s="84" t="s">
        <v>426</v>
      </c>
      <c r="B11264" s="83" t="s">
        <v>2742</v>
      </c>
      <c r="C11264" s="91" t="s">
        <v>1441</v>
      </c>
    </row>
    <row r="11265" spans="1:3" ht="15">
      <c r="A11265" s="84" t="s">
        <v>426</v>
      </c>
      <c r="B11265" s="83" t="s">
        <v>3202</v>
      </c>
      <c r="C11265" s="91" t="s">
        <v>1440</v>
      </c>
    </row>
    <row r="11266" spans="1:3" ht="15">
      <c r="A11266" s="84" t="s">
        <v>426</v>
      </c>
      <c r="B11266" s="83">
        <v>7</v>
      </c>
      <c r="C11266" s="91" t="s">
        <v>1440</v>
      </c>
    </row>
    <row r="11267" spans="1:3" ht="15">
      <c r="A11267" s="84" t="s">
        <v>426</v>
      </c>
      <c r="B11267" s="83" t="s">
        <v>2650</v>
      </c>
      <c r="C11267" s="91" t="s">
        <v>1440</v>
      </c>
    </row>
    <row r="11268" spans="1:3" ht="15">
      <c r="A11268" s="84" t="s">
        <v>426</v>
      </c>
      <c r="B11268" s="83" t="s">
        <v>2693</v>
      </c>
      <c r="C11268" s="91" t="s">
        <v>1440</v>
      </c>
    </row>
    <row r="11269" spans="1:3" ht="15">
      <c r="A11269" s="84" t="s">
        <v>426</v>
      </c>
      <c r="B11269" s="83" t="s">
        <v>2576</v>
      </c>
      <c r="C11269" s="91" t="s">
        <v>1440</v>
      </c>
    </row>
    <row r="11270" spans="1:3" ht="15">
      <c r="A11270" s="84" t="s">
        <v>426</v>
      </c>
      <c r="B11270" s="83" t="s">
        <v>3203</v>
      </c>
      <c r="C11270" s="91" t="s">
        <v>1440</v>
      </c>
    </row>
    <row r="11271" spans="1:3" ht="15">
      <c r="A11271" s="84" t="s">
        <v>426</v>
      </c>
      <c r="B11271" s="83">
        <v>19</v>
      </c>
      <c r="C11271" s="91" t="s">
        <v>1440</v>
      </c>
    </row>
    <row r="11272" spans="1:3" ht="15">
      <c r="A11272" s="84" t="s">
        <v>426</v>
      </c>
      <c r="B11272" s="83" t="s">
        <v>2582</v>
      </c>
      <c r="C11272" s="91" t="s">
        <v>1440</v>
      </c>
    </row>
    <row r="11273" spans="1:3" ht="15">
      <c r="A11273" s="84" t="s">
        <v>426</v>
      </c>
      <c r="B11273" s="83" t="s">
        <v>3204</v>
      </c>
      <c r="C11273" s="91" t="s">
        <v>1440</v>
      </c>
    </row>
    <row r="11274" spans="1:3" ht="15">
      <c r="A11274" s="84" t="s">
        <v>426</v>
      </c>
      <c r="B11274" s="83">
        <v>2639</v>
      </c>
      <c r="C11274" s="91" t="s">
        <v>1440</v>
      </c>
    </row>
    <row r="11275" spans="1:3" ht="15">
      <c r="A11275" s="84" t="s">
        <v>426</v>
      </c>
      <c r="B11275" s="83" t="s">
        <v>3205</v>
      </c>
      <c r="C11275" s="91" t="s">
        <v>1440</v>
      </c>
    </row>
    <row r="11276" spans="1:3" ht="15">
      <c r="A11276" s="84" t="s">
        <v>426</v>
      </c>
      <c r="B11276" s="83" t="s">
        <v>586</v>
      </c>
      <c r="C11276" s="91" t="s">
        <v>1440</v>
      </c>
    </row>
    <row r="11277" spans="1:3" ht="15">
      <c r="A11277" s="84" t="s">
        <v>426</v>
      </c>
      <c r="B11277" s="83" t="s">
        <v>2742</v>
      </c>
      <c r="C11277" s="91" t="s">
        <v>1440</v>
      </c>
    </row>
    <row r="11278" spans="1:3" ht="15">
      <c r="A11278" s="84" t="s">
        <v>426</v>
      </c>
      <c r="B11278" s="83" t="s">
        <v>3202</v>
      </c>
      <c r="C11278" s="91" t="s">
        <v>1439</v>
      </c>
    </row>
    <row r="11279" spans="1:3" ht="15">
      <c r="A11279" s="84" t="s">
        <v>426</v>
      </c>
      <c r="B11279" s="83">
        <v>7</v>
      </c>
      <c r="C11279" s="91" t="s">
        <v>1439</v>
      </c>
    </row>
    <row r="11280" spans="1:3" ht="15">
      <c r="A11280" s="84" t="s">
        <v>426</v>
      </c>
      <c r="B11280" s="83" t="s">
        <v>2650</v>
      </c>
      <c r="C11280" s="91" t="s">
        <v>1439</v>
      </c>
    </row>
    <row r="11281" spans="1:3" ht="15">
      <c r="A11281" s="84" t="s">
        <v>426</v>
      </c>
      <c r="B11281" s="83" t="s">
        <v>2693</v>
      </c>
      <c r="C11281" s="91" t="s">
        <v>1439</v>
      </c>
    </row>
    <row r="11282" spans="1:3" ht="15">
      <c r="A11282" s="84" t="s">
        <v>426</v>
      </c>
      <c r="B11282" s="83" t="s">
        <v>2576</v>
      </c>
      <c r="C11282" s="91" t="s">
        <v>1439</v>
      </c>
    </row>
    <row r="11283" spans="1:3" ht="15">
      <c r="A11283" s="84" t="s">
        <v>426</v>
      </c>
      <c r="B11283" s="83" t="s">
        <v>3203</v>
      </c>
      <c r="C11283" s="91" t="s">
        <v>1439</v>
      </c>
    </row>
    <row r="11284" spans="1:3" ht="15">
      <c r="A11284" s="84" t="s">
        <v>426</v>
      </c>
      <c r="B11284" s="83">
        <v>19</v>
      </c>
      <c r="C11284" s="91" t="s">
        <v>1439</v>
      </c>
    </row>
    <row r="11285" spans="1:3" ht="15">
      <c r="A11285" s="84" t="s">
        <v>426</v>
      </c>
      <c r="B11285" s="83" t="s">
        <v>2582</v>
      </c>
      <c r="C11285" s="91" t="s">
        <v>1439</v>
      </c>
    </row>
    <row r="11286" spans="1:3" ht="15">
      <c r="A11286" s="84" t="s">
        <v>426</v>
      </c>
      <c r="B11286" s="83" t="s">
        <v>3204</v>
      </c>
      <c r="C11286" s="91" t="s">
        <v>1439</v>
      </c>
    </row>
    <row r="11287" spans="1:3" ht="15">
      <c r="A11287" s="84" t="s">
        <v>426</v>
      </c>
      <c r="B11287" s="83">
        <v>2601</v>
      </c>
      <c r="C11287" s="91" t="s">
        <v>1439</v>
      </c>
    </row>
    <row r="11288" spans="1:3" ht="15">
      <c r="A11288" s="84" t="s">
        <v>426</v>
      </c>
      <c r="B11288" s="83" t="s">
        <v>3205</v>
      </c>
      <c r="C11288" s="91" t="s">
        <v>1439</v>
      </c>
    </row>
    <row r="11289" spans="1:3" ht="15">
      <c r="A11289" s="84" t="s">
        <v>426</v>
      </c>
      <c r="B11289" s="83" t="s">
        <v>586</v>
      </c>
      <c r="C11289" s="91" t="s">
        <v>1439</v>
      </c>
    </row>
    <row r="11290" spans="1:3" ht="15">
      <c r="A11290" s="84" t="s">
        <v>426</v>
      </c>
      <c r="B11290" s="83" t="s">
        <v>2742</v>
      </c>
      <c r="C11290" s="91" t="s">
        <v>1439</v>
      </c>
    </row>
    <row r="11291" spans="1:3" ht="15">
      <c r="A11291" s="84" t="s">
        <v>426</v>
      </c>
      <c r="B11291" s="83" t="s">
        <v>3202</v>
      </c>
      <c r="C11291" s="91" t="s">
        <v>1438</v>
      </c>
    </row>
    <row r="11292" spans="1:3" ht="15">
      <c r="A11292" s="84" t="s">
        <v>426</v>
      </c>
      <c r="B11292" s="83">
        <v>7</v>
      </c>
      <c r="C11292" s="91" t="s">
        <v>1438</v>
      </c>
    </row>
    <row r="11293" spans="1:3" ht="15">
      <c r="A11293" s="84" t="s">
        <v>426</v>
      </c>
      <c r="B11293" s="83" t="s">
        <v>2650</v>
      </c>
      <c r="C11293" s="91" t="s">
        <v>1438</v>
      </c>
    </row>
    <row r="11294" spans="1:3" ht="15">
      <c r="A11294" s="84" t="s">
        <v>426</v>
      </c>
      <c r="B11294" s="83" t="s">
        <v>2693</v>
      </c>
      <c r="C11294" s="91" t="s">
        <v>1438</v>
      </c>
    </row>
    <row r="11295" spans="1:3" ht="15">
      <c r="A11295" s="84" t="s">
        <v>426</v>
      </c>
      <c r="B11295" s="83" t="s">
        <v>2576</v>
      </c>
      <c r="C11295" s="91" t="s">
        <v>1438</v>
      </c>
    </row>
    <row r="11296" spans="1:3" ht="15">
      <c r="A11296" s="84" t="s">
        <v>426</v>
      </c>
      <c r="B11296" s="83" t="s">
        <v>3203</v>
      </c>
      <c r="C11296" s="91" t="s">
        <v>1438</v>
      </c>
    </row>
    <row r="11297" spans="1:3" ht="15">
      <c r="A11297" s="84" t="s">
        <v>426</v>
      </c>
      <c r="B11297" s="83">
        <v>19</v>
      </c>
      <c r="C11297" s="91" t="s">
        <v>1438</v>
      </c>
    </row>
    <row r="11298" spans="1:3" ht="15">
      <c r="A11298" s="84" t="s">
        <v>426</v>
      </c>
      <c r="B11298" s="83" t="s">
        <v>2582</v>
      </c>
      <c r="C11298" s="91" t="s">
        <v>1438</v>
      </c>
    </row>
    <row r="11299" spans="1:3" ht="15">
      <c r="A11299" s="84" t="s">
        <v>426</v>
      </c>
      <c r="B11299" s="83" t="s">
        <v>3204</v>
      </c>
      <c r="C11299" s="91" t="s">
        <v>1438</v>
      </c>
    </row>
    <row r="11300" spans="1:3" ht="15">
      <c r="A11300" s="84" t="s">
        <v>426</v>
      </c>
      <c r="B11300" s="83">
        <v>2383</v>
      </c>
      <c r="C11300" s="91" t="s">
        <v>1438</v>
      </c>
    </row>
    <row r="11301" spans="1:3" ht="15">
      <c r="A11301" s="84" t="s">
        <v>426</v>
      </c>
      <c r="B11301" s="83" t="s">
        <v>3205</v>
      </c>
      <c r="C11301" s="91" t="s">
        <v>1438</v>
      </c>
    </row>
    <row r="11302" spans="1:3" ht="15">
      <c r="A11302" s="84" t="s">
        <v>426</v>
      </c>
      <c r="B11302" s="83" t="s">
        <v>586</v>
      </c>
      <c r="C11302" s="91" t="s">
        <v>1438</v>
      </c>
    </row>
    <row r="11303" spans="1:3" ht="15">
      <c r="A11303" s="84" t="s">
        <v>426</v>
      </c>
      <c r="B11303" s="83" t="s">
        <v>2742</v>
      </c>
      <c r="C11303" s="91" t="s">
        <v>1438</v>
      </c>
    </row>
    <row r="11304" spans="1:3" ht="15">
      <c r="A11304" s="84" t="s">
        <v>426</v>
      </c>
      <c r="B11304" s="83" t="s">
        <v>3202</v>
      </c>
      <c r="C11304" s="91" t="s">
        <v>1437</v>
      </c>
    </row>
    <row r="11305" spans="1:3" ht="15">
      <c r="A11305" s="84" t="s">
        <v>426</v>
      </c>
      <c r="B11305" s="83">
        <v>7</v>
      </c>
      <c r="C11305" s="91" t="s">
        <v>1437</v>
      </c>
    </row>
    <row r="11306" spans="1:3" ht="15">
      <c r="A11306" s="84" t="s">
        <v>426</v>
      </c>
      <c r="B11306" s="83" t="s">
        <v>2650</v>
      </c>
      <c r="C11306" s="91" t="s">
        <v>1437</v>
      </c>
    </row>
    <row r="11307" spans="1:3" ht="15">
      <c r="A11307" s="84" t="s">
        <v>426</v>
      </c>
      <c r="B11307" s="83" t="s">
        <v>2693</v>
      </c>
      <c r="C11307" s="91" t="s">
        <v>1437</v>
      </c>
    </row>
    <row r="11308" spans="1:3" ht="15">
      <c r="A11308" s="84" t="s">
        <v>426</v>
      </c>
      <c r="B11308" s="83" t="s">
        <v>2576</v>
      </c>
      <c r="C11308" s="91" t="s">
        <v>1437</v>
      </c>
    </row>
    <row r="11309" spans="1:3" ht="15">
      <c r="A11309" s="84" t="s">
        <v>426</v>
      </c>
      <c r="B11309" s="83" t="s">
        <v>3203</v>
      </c>
      <c r="C11309" s="91" t="s">
        <v>1437</v>
      </c>
    </row>
    <row r="11310" spans="1:3" ht="15">
      <c r="A11310" s="84" t="s">
        <v>426</v>
      </c>
      <c r="B11310" s="83">
        <v>19</v>
      </c>
      <c r="C11310" s="91" t="s">
        <v>1437</v>
      </c>
    </row>
    <row r="11311" spans="1:3" ht="15">
      <c r="A11311" s="84" t="s">
        <v>426</v>
      </c>
      <c r="B11311" s="83" t="s">
        <v>2582</v>
      </c>
      <c r="C11311" s="91" t="s">
        <v>1437</v>
      </c>
    </row>
    <row r="11312" spans="1:3" ht="15">
      <c r="A11312" s="84" t="s">
        <v>426</v>
      </c>
      <c r="B11312" s="83" t="s">
        <v>3204</v>
      </c>
      <c r="C11312" s="91" t="s">
        <v>1437</v>
      </c>
    </row>
    <row r="11313" spans="1:3" ht="15">
      <c r="A11313" s="84" t="s">
        <v>426</v>
      </c>
      <c r="B11313" s="83">
        <v>2172</v>
      </c>
      <c r="C11313" s="91" t="s">
        <v>1437</v>
      </c>
    </row>
    <row r="11314" spans="1:3" ht="15">
      <c r="A11314" s="84" t="s">
        <v>426</v>
      </c>
      <c r="B11314" s="83" t="s">
        <v>3205</v>
      </c>
      <c r="C11314" s="91" t="s">
        <v>1437</v>
      </c>
    </row>
    <row r="11315" spans="1:3" ht="15">
      <c r="A11315" s="84" t="s">
        <v>426</v>
      </c>
      <c r="B11315" s="83" t="s">
        <v>586</v>
      </c>
      <c r="C11315" s="91" t="s">
        <v>1437</v>
      </c>
    </row>
    <row r="11316" spans="1:3" ht="15">
      <c r="A11316" s="84" t="s">
        <v>426</v>
      </c>
      <c r="B11316" s="83" t="s">
        <v>2742</v>
      </c>
      <c r="C11316" s="91" t="s">
        <v>1437</v>
      </c>
    </row>
    <row r="11317" spans="1:3" ht="15">
      <c r="A11317" s="84" t="s">
        <v>426</v>
      </c>
      <c r="B11317" s="83" t="s">
        <v>3202</v>
      </c>
      <c r="C11317" s="91" t="s">
        <v>1436</v>
      </c>
    </row>
    <row r="11318" spans="1:3" ht="15">
      <c r="A11318" s="84" t="s">
        <v>426</v>
      </c>
      <c r="B11318" s="83">
        <v>7</v>
      </c>
      <c r="C11318" s="91" t="s">
        <v>1436</v>
      </c>
    </row>
    <row r="11319" spans="1:3" ht="15">
      <c r="A11319" s="84" t="s">
        <v>426</v>
      </c>
      <c r="B11319" s="83" t="s">
        <v>2650</v>
      </c>
      <c r="C11319" s="91" t="s">
        <v>1436</v>
      </c>
    </row>
    <row r="11320" spans="1:3" ht="15">
      <c r="A11320" s="84" t="s">
        <v>426</v>
      </c>
      <c r="B11320" s="83" t="s">
        <v>2693</v>
      </c>
      <c r="C11320" s="91" t="s">
        <v>1436</v>
      </c>
    </row>
    <row r="11321" spans="1:3" ht="15">
      <c r="A11321" s="84" t="s">
        <v>426</v>
      </c>
      <c r="B11321" s="83" t="s">
        <v>2576</v>
      </c>
      <c r="C11321" s="91" t="s">
        <v>1436</v>
      </c>
    </row>
    <row r="11322" spans="1:3" ht="15">
      <c r="A11322" s="84" t="s">
        <v>426</v>
      </c>
      <c r="B11322" s="83" t="s">
        <v>3203</v>
      </c>
      <c r="C11322" s="91" t="s">
        <v>1436</v>
      </c>
    </row>
    <row r="11323" spans="1:3" ht="15">
      <c r="A11323" s="84" t="s">
        <v>426</v>
      </c>
      <c r="B11323" s="83">
        <v>19</v>
      </c>
      <c r="C11323" s="91" t="s">
        <v>1436</v>
      </c>
    </row>
    <row r="11324" spans="1:3" ht="15">
      <c r="A11324" s="84" t="s">
        <v>426</v>
      </c>
      <c r="B11324" s="83" t="s">
        <v>2582</v>
      </c>
      <c r="C11324" s="91" t="s">
        <v>1436</v>
      </c>
    </row>
    <row r="11325" spans="1:3" ht="15">
      <c r="A11325" s="84" t="s">
        <v>426</v>
      </c>
      <c r="B11325" s="83" t="s">
        <v>3204</v>
      </c>
      <c r="C11325" s="91" t="s">
        <v>1436</v>
      </c>
    </row>
    <row r="11326" spans="1:3" ht="15">
      <c r="A11326" s="84" t="s">
        <v>426</v>
      </c>
      <c r="B11326" s="83">
        <v>2019</v>
      </c>
      <c r="C11326" s="91" t="s">
        <v>1436</v>
      </c>
    </row>
    <row r="11327" spans="1:3" ht="15">
      <c r="A11327" s="84" t="s">
        <v>426</v>
      </c>
      <c r="B11327" s="83" t="s">
        <v>3205</v>
      </c>
      <c r="C11327" s="91" t="s">
        <v>1436</v>
      </c>
    </row>
    <row r="11328" spans="1:3" ht="15">
      <c r="A11328" s="84" t="s">
        <v>426</v>
      </c>
      <c r="B11328" s="83" t="s">
        <v>586</v>
      </c>
      <c r="C11328" s="91" t="s">
        <v>1436</v>
      </c>
    </row>
    <row r="11329" spans="1:3" ht="15">
      <c r="A11329" s="84" t="s">
        <v>426</v>
      </c>
      <c r="B11329" s="83" t="s">
        <v>2742</v>
      </c>
      <c r="C11329" s="91" t="s">
        <v>1436</v>
      </c>
    </row>
    <row r="11330" spans="1:3" ht="15">
      <c r="A11330" s="84" t="s">
        <v>426</v>
      </c>
      <c r="B11330" s="83" t="s">
        <v>3202</v>
      </c>
      <c r="C11330" s="91" t="s">
        <v>1435</v>
      </c>
    </row>
    <row r="11331" spans="1:3" ht="15">
      <c r="A11331" s="84" t="s">
        <v>426</v>
      </c>
      <c r="B11331" s="83">
        <v>7</v>
      </c>
      <c r="C11331" s="91" t="s">
        <v>1435</v>
      </c>
    </row>
    <row r="11332" spans="1:3" ht="15">
      <c r="A11332" s="84" t="s">
        <v>426</v>
      </c>
      <c r="B11332" s="83" t="s">
        <v>2650</v>
      </c>
      <c r="C11332" s="91" t="s">
        <v>1435</v>
      </c>
    </row>
    <row r="11333" spans="1:3" ht="15">
      <c r="A11333" s="84" t="s">
        <v>426</v>
      </c>
      <c r="B11333" s="83" t="s">
        <v>2693</v>
      </c>
      <c r="C11333" s="91" t="s">
        <v>1435</v>
      </c>
    </row>
    <row r="11334" spans="1:3" ht="15">
      <c r="A11334" s="84" t="s">
        <v>426</v>
      </c>
      <c r="B11334" s="83" t="s">
        <v>2576</v>
      </c>
      <c r="C11334" s="91" t="s">
        <v>1435</v>
      </c>
    </row>
    <row r="11335" spans="1:3" ht="15">
      <c r="A11335" s="84" t="s">
        <v>426</v>
      </c>
      <c r="B11335" s="83" t="s">
        <v>3203</v>
      </c>
      <c r="C11335" s="91" t="s">
        <v>1435</v>
      </c>
    </row>
    <row r="11336" spans="1:3" ht="15">
      <c r="A11336" s="84" t="s">
        <v>426</v>
      </c>
      <c r="B11336" s="83">
        <v>19</v>
      </c>
      <c r="C11336" s="91" t="s">
        <v>1435</v>
      </c>
    </row>
    <row r="11337" spans="1:3" ht="15">
      <c r="A11337" s="84" t="s">
        <v>426</v>
      </c>
      <c r="B11337" s="83" t="s">
        <v>2582</v>
      </c>
      <c r="C11337" s="91" t="s">
        <v>1435</v>
      </c>
    </row>
    <row r="11338" spans="1:3" ht="15">
      <c r="A11338" s="84" t="s">
        <v>426</v>
      </c>
      <c r="B11338" s="83" t="s">
        <v>3204</v>
      </c>
      <c r="C11338" s="91" t="s">
        <v>1435</v>
      </c>
    </row>
    <row r="11339" spans="1:3" ht="15">
      <c r="A11339" s="84" t="s">
        <v>426</v>
      </c>
      <c r="B11339" s="83">
        <v>1870</v>
      </c>
      <c r="C11339" s="91" t="s">
        <v>1435</v>
      </c>
    </row>
    <row r="11340" spans="1:3" ht="15">
      <c r="A11340" s="84" t="s">
        <v>426</v>
      </c>
      <c r="B11340" s="83" t="s">
        <v>3205</v>
      </c>
      <c r="C11340" s="91" t="s">
        <v>1435</v>
      </c>
    </row>
    <row r="11341" spans="1:3" ht="15">
      <c r="A11341" s="84" t="s">
        <v>426</v>
      </c>
      <c r="B11341" s="83" t="s">
        <v>586</v>
      </c>
      <c r="C11341" s="91" t="s">
        <v>1435</v>
      </c>
    </row>
    <row r="11342" spans="1:3" ht="15">
      <c r="A11342" s="84" t="s">
        <v>426</v>
      </c>
      <c r="B11342" s="83" t="s">
        <v>2742</v>
      </c>
      <c r="C11342" s="91" t="s">
        <v>1435</v>
      </c>
    </row>
    <row r="11343" spans="1:3" ht="15">
      <c r="A11343" s="84" t="s">
        <v>426</v>
      </c>
      <c r="B11343" s="83" t="s">
        <v>3202</v>
      </c>
      <c r="C11343" s="91" t="s">
        <v>1434</v>
      </c>
    </row>
    <row r="11344" spans="1:3" ht="15">
      <c r="A11344" s="84" t="s">
        <v>426</v>
      </c>
      <c r="B11344" s="83">
        <v>7</v>
      </c>
      <c r="C11344" s="91" t="s">
        <v>1434</v>
      </c>
    </row>
    <row r="11345" spans="1:3" ht="15">
      <c r="A11345" s="84" t="s">
        <v>426</v>
      </c>
      <c r="B11345" s="83" t="s">
        <v>2650</v>
      </c>
      <c r="C11345" s="91" t="s">
        <v>1434</v>
      </c>
    </row>
    <row r="11346" spans="1:3" ht="15">
      <c r="A11346" s="84" t="s">
        <v>426</v>
      </c>
      <c r="B11346" s="83" t="s">
        <v>2693</v>
      </c>
      <c r="C11346" s="91" t="s">
        <v>1434</v>
      </c>
    </row>
    <row r="11347" spans="1:3" ht="15">
      <c r="A11347" s="84" t="s">
        <v>426</v>
      </c>
      <c r="B11347" s="83" t="s">
        <v>2576</v>
      </c>
      <c r="C11347" s="91" t="s">
        <v>1434</v>
      </c>
    </row>
    <row r="11348" spans="1:3" ht="15">
      <c r="A11348" s="84" t="s">
        <v>426</v>
      </c>
      <c r="B11348" s="83" t="s">
        <v>3203</v>
      </c>
      <c r="C11348" s="91" t="s">
        <v>1434</v>
      </c>
    </row>
    <row r="11349" spans="1:3" ht="15">
      <c r="A11349" s="84" t="s">
        <v>426</v>
      </c>
      <c r="B11349" s="83">
        <v>19</v>
      </c>
      <c r="C11349" s="91" t="s">
        <v>1434</v>
      </c>
    </row>
    <row r="11350" spans="1:3" ht="15">
      <c r="A11350" s="84" t="s">
        <v>426</v>
      </c>
      <c r="B11350" s="83" t="s">
        <v>2582</v>
      </c>
      <c r="C11350" s="91" t="s">
        <v>1434</v>
      </c>
    </row>
    <row r="11351" spans="1:3" ht="15">
      <c r="A11351" s="84" t="s">
        <v>426</v>
      </c>
      <c r="B11351" s="83" t="s">
        <v>3204</v>
      </c>
      <c r="C11351" s="91" t="s">
        <v>1434</v>
      </c>
    </row>
    <row r="11352" spans="1:3" ht="15">
      <c r="A11352" s="84" t="s">
        <v>426</v>
      </c>
      <c r="B11352" s="83">
        <v>1719</v>
      </c>
      <c r="C11352" s="91" t="s">
        <v>1434</v>
      </c>
    </row>
    <row r="11353" spans="1:3" ht="15">
      <c r="A11353" s="84" t="s">
        <v>426</v>
      </c>
      <c r="B11353" s="83" t="s">
        <v>3205</v>
      </c>
      <c r="C11353" s="91" t="s">
        <v>1434</v>
      </c>
    </row>
    <row r="11354" spans="1:3" ht="15">
      <c r="A11354" s="84" t="s">
        <v>426</v>
      </c>
      <c r="B11354" s="83" t="s">
        <v>586</v>
      </c>
      <c r="C11354" s="91" t="s">
        <v>1434</v>
      </c>
    </row>
    <row r="11355" spans="1:3" ht="15">
      <c r="A11355" s="84" t="s">
        <v>426</v>
      </c>
      <c r="B11355" s="83" t="s">
        <v>2742</v>
      </c>
      <c r="C11355" s="91" t="s">
        <v>1434</v>
      </c>
    </row>
    <row r="11356" spans="1:3" ht="15">
      <c r="A11356" s="84" t="s">
        <v>426</v>
      </c>
      <c r="B11356" s="83" t="s">
        <v>3202</v>
      </c>
      <c r="C11356" s="91" t="s">
        <v>1433</v>
      </c>
    </row>
    <row r="11357" spans="1:3" ht="15">
      <c r="A11357" s="84" t="s">
        <v>426</v>
      </c>
      <c r="B11357" s="83">
        <v>7</v>
      </c>
      <c r="C11357" s="91" t="s">
        <v>1433</v>
      </c>
    </row>
    <row r="11358" spans="1:3" ht="15">
      <c r="A11358" s="84" t="s">
        <v>426</v>
      </c>
      <c r="B11358" s="83" t="s">
        <v>2650</v>
      </c>
      <c r="C11358" s="91" t="s">
        <v>1433</v>
      </c>
    </row>
    <row r="11359" spans="1:3" ht="15">
      <c r="A11359" s="84" t="s">
        <v>426</v>
      </c>
      <c r="B11359" s="83" t="s">
        <v>2693</v>
      </c>
      <c r="C11359" s="91" t="s">
        <v>1433</v>
      </c>
    </row>
    <row r="11360" spans="1:3" ht="15">
      <c r="A11360" s="84" t="s">
        <v>426</v>
      </c>
      <c r="B11360" s="83" t="s">
        <v>2576</v>
      </c>
      <c r="C11360" s="91" t="s">
        <v>1433</v>
      </c>
    </row>
    <row r="11361" spans="1:3" ht="15">
      <c r="A11361" s="84" t="s">
        <v>426</v>
      </c>
      <c r="B11361" s="83" t="s">
        <v>3203</v>
      </c>
      <c r="C11361" s="91" t="s">
        <v>1433</v>
      </c>
    </row>
    <row r="11362" spans="1:3" ht="15">
      <c r="A11362" s="84" t="s">
        <v>426</v>
      </c>
      <c r="B11362" s="83">
        <v>19</v>
      </c>
      <c r="C11362" s="91" t="s">
        <v>1433</v>
      </c>
    </row>
    <row r="11363" spans="1:3" ht="15">
      <c r="A11363" s="84" t="s">
        <v>426</v>
      </c>
      <c r="B11363" s="83" t="s">
        <v>2582</v>
      </c>
      <c r="C11363" s="91" t="s">
        <v>1433</v>
      </c>
    </row>
    <row r="11364" spans="1:3" ht="15">
      <c r="A11364" s="84" t="s">
        <v>426</v>
      </c>
      <c r="B11364" s="83" t="s">
        <v>3204</v>
      </c>
      <c r="C11364" s="91" t="s">
        <v>1433</v>
      </c>
    </row>
    <row r="11365" spans="1:3" ht="15">
      <c r="A11365" s="84" t="s">
        <v>426</v>
      </c>
      <c r="B11365" s="83">
        <v>1719</v>
      </c>
      <c r="C11365" s="91" t="s">
        <v>1433</v>
      </c>
    </row>
    <row r="11366" spans="1:3" ht="15">
      <c r="A11366" s="84" t="s">
        <v>426</v>
      </c>
      <c r="B11366" s="83" t="s">
        <v>3205</v>
      </c>
      <c r="C11366" s="91" t="s">
        <v>1433</v>
      </c>
    </row>
    <row r="11367" spans="1:3" ht="15">
      <c r="A11367" s="84" t="s">
        <v>426</v>
      </c>
      <c r="B11367" s="83" t="s">
        <v>586</v>
      </c>
      <c r="C11367" s="91" t="s">
        <v>1433</v>
      </c>
    </row>
    <row r="11368" spans="1:3" ht="15">
      <c r="A11368" s="84" t="s">
        <v>426</v>
      </c>
      <c r="B11368" s="83" t="s">
        <v>2742</v>
      </c>
      <c r="C11368" s="91" t="s">
        <v>1433</v>
      </c>
    </row>
    <row r="11369" spans="1:3" ht="15">
      <c r="A11369" s="84" t="s">
        <v>228</v>
      </c>
      <c r="B11369" s="83" t="s">
        <v>3202</v>
      </c>
      <c r="C11369" s="91" t="s">
        <v>1036</v>
      </c>
    </row>
    <row r="11370" spans="1:3" ht="15">
      <c r="A11370" s="84" t="s">
        <v>228</v>
      </c>
      <c r="B11370" s="83">
        <v>7</v>
      </c>
      <c r="C11370" s="91" t="s">
        <v>1036</v>
      </c>
    </row>
    <row r="11371" spans="1:3" ht="15">
      <c r="A11371" s="84" t="s">
        <v>228</v>
      </c>
      <c r="B11371" s="83" t="s">
        <v>2650</v>
      </c>
      <c r="C11371" s="91" t="s">
        <v>1036</v>
      </c>
    </row>
    <row r="11372" spans="1:3" ht="15">
      <c r="A11372" s="84" t="s">
        <v>228</v>
      </c>
      <c r="B11372" s="83" t="s">
        <v>2693</v>
      </c>
      <c r="C11372" s="91" t="s">
        <v>1036</v>
      </c>
    </row>
    <row r="11373" spans="1:3" ht="15">
      <c r="A11373" s="84" t="s">
        <v>228</v>
      </c>
      <c r="B11373" s="83" t="s">
        <v>2576</v>
      </c>
      <c r="C11373" s="91" t="s">
        <v>1036</v>
      </c>
    </row>
    <row r="11374" spans="1:3" ht="15">
      <c r="A11374" s="84" t="s">
        <v>228</v>
      </c>
      <c r="B11374" s="83" t="s">
        <v>3203</v>
      </c>
      <c r="C11374" s="91" t="s">
        <v>1036</v>
      </c>
    </row>
    <row r="11375" spans="1:3" ht="15">
      <c r="A11375" s="84" t="s">
        <v>228</v>
      </c>
      <c r="B11375" s="83">
        <v>19</v>
      </c>
      <c r="C11375" s="91" t="s">
        <v>1036</v>
      </c>
    </row>
    <row r="11376" spans="1:3" ht="15">
      <c r="A11376" s="84" t="s">
        <v>228</v>
      </c>
      <c r="B11376" s="83" t="s">
        <v>2582</v>
      </c>
      <c r="C11376" s="91" t="s">
        <v>1036</v>
      </c>
    </row>
    <row r="11377" spans="1:3" ht="15">
      <c r="A11377" s="84" t="s">
        <v>228</v>
      </c>
      <c r="B11377" s="83" t="s">
        <v>3204</v>
      </c>
      <c r="C11377" s="91" t="s">
        <v>1036</v>
      </c>
    </row>
    <row r="11378" spans="1:3" ht="15">
      <c r="A11378" s="84" t="s">
        <v>228</v>
      </c>
      <c r="B11378" s="83">
        <v>1719</v>
      </c>
      <c r="C11378" s="91" t="s">
        <v>1036</v>
      </c>
    </row>
    <row r="11379" spans="1:3" ht="15">
      <c r="A11379" s="84" t="s">
        <v>228</v>
      </c>
      <c r="B11379" s="83" t="s">
        <v>3205</v>
      </c>
      <c r="C11379" s="91" t="s">
        <v>1036</v>
      </c>
    </row>
    <row r="11380" spans="1:3" ht="15">
      <c r="A11380" s="84" t="s">
        <v>228</v>
      </c>
      <c r="B11380" s="83" t="s">
        <v>586</v>
      </c>
      <c r="C11380" s="91" t="s">
        <v>1036</v>
      </c>
    </row>
    <row r="11381" spans="1:3" ht="15">
      <c r="A11381" s="84" t="s">
        <v>228</v>
      </c>
      <c r="B11381" s="83" t="s">
        <v>2742</v>
      </c>
      <c r="C11381" s="91" t="s">
        <v>1036</v>
      </c>
    </row>
    <row r="11382" spans="1:3" ht="15">
      <c r="A11382" s="84" t="s">
        <v>427</v>
      </c>
      <c r="B11382" s="83" t="s">
        <v>3657</v>
      </c>
      <c r="C11382" s="91" t="s">
        <v>1449</v>
      </c>
    </row>
    <row r="11383" spans="1:3" ht="15">
      <c r="A11383" s="84" t="s">
        <v>427</v>
      </c>
      <c r="B11383" s="83" t="s">
        <v>3354</v>
      </c>
      <c r="C11383" s="91" t="s">
        <v>1449</v>
      </c>
    </row>
    <row r="11384" spans="1:3" ht="15">
      <c r="A11384" s="84" t="s">
        <v>427</v>
      </c>
      <c r="B11384" s="83" t="s">
        <v>2577</v>
      </c>
      <c r="C11384" s="91" t="s">
        <v>1449</v>
      </c>
    </row>
    <row r="11385" spans="1:3" ht="15">
      <c r="A11385" s="84" t="s">
        <v>427</v>
      </c>
      <c r="B11385" s="83" t="s">
        <v>2589</v>
      </c>
      <c r="C11385" s="91" t="s">
        <v>1449</v>
      </c>
    </row>
    <row r="11386" spans="1:3" ht="15">
      <c r="A11386" s="84" t="s">
        <v>427</v>
      </c>
      <c r="B11386" s="83" t="s">
        <v>3658</v>
      </c>
      <c r="C11386" s="91" t="s">
        <v>1449</v>
      </c>
    </row>
    <row r="11387" spans="1:3" ht="15">
      <c r="A11387" s="84" t="s">
        <v>427</v>
      </c>
      <c r="B11387" s="83" t="s">
        <v>3254</v>
      </c>
      <c r="C11387" s="91" t="s">
        <v>1449</v>
      </c>
    </row>
    <row r="11388" spans="1:3" ht="15">
      <c r="A11388" s="84" t="s">
        <v>427</v>
      </c>
      <c r="B11388" s="83" t="s">
        <v>3215</v>
      </c>
      <c r="C11388" s="91" t="s">
        <v>1449</v>
      </c>
    </row>
    <row r="11389" spans="1:3" ht="15">
      <c r="A11389" s="84" t="s">
        <v>427</v>
      </c>
      <c r="B11389" s="83" t="s">
        <v>3199</v>
      </c>
      <c r="C11389" s="91" t="s">
        <v>1449</v>
      </c>
    </row>
    <row r="11390" spans="1:3" ht="15">
      <c r="A11390" s="84" t="s">
        <v>427</v>
      </c>
      <c r="B11390" s="83" t="s">
        <v>3238</v>
      </c>
      <c r="C11390" s="91" t="s">
        <v>1449</v>
      </c>
    </row>
    <row r="11391" spans="1:3" ht="15">
      <c r="A11391" s="84" t="s">
        <v>427</v>
      </c>
      <c r="B11391" s="83" t="s">
        <v>3255</v>
      </c>
      <c r="C11391" s="91" t="s">
        <v>1449</v>
      </c>
    </row>
    <row r="11392" spans="1:3" ht="15">
      <c r="A11392" s="84" t="s">
        <v>427</v>
      </c>
      <c r="B11392" s="83" t="s">
        <v>3205</v>
      </c>
      <c r="C11392" s="91" t="s">
        <v>1449</v>
      </c>
    </row>
    <row r="11393" spans="1:3" ht="15">
      <c r="A11393" s="84" t="s">
        <v>427</v>
      </c>
      <c r="B11393" s="83" t="s">
        <v>3198</v>
      </c>
      <c r="C11393" s="91" t="s">
        <v>1449</v>
      </c>
    </row>
    <row r="11394" spans="1:3" ht="15">
      <c r="A11394" s="84" t="s">
        <v>427</v>
      </c>
      <c r="B11394" s="83" t="s">
        <v>3257</v>
      </c>
      <c r="C11394" s="91" t="s">
        <v>1449</v>
      </c>
    </row>
    <row r="11395" spans="1:3" ht="15">
      <c r="A11395" s="84" t="s">
        <v>427</v>
      </c>
      <c r="B11395" s="83" t="s">
        <v>3256</v>
      </c>
      <c r="C11395" s="91" t="s">
        <v>1449</v>
      </c>
    </row>
    <row r="11396" spans="1:3" ht="15">
      <c r="A11396" s="84" t="s">
        <v>427</v>
      </c>
      <c r="B11396" s="83" t="s">
        <v>3211</v>
      </c>
      <c r="C11396" s="91" t="s">
        <v>1449</v>
      </c>
    </row>
    <row r="11397" spans="1:3" ht="15">
      <c r="A11397" s="84" t="s">
        <v>427</v>
      </c>
      <c r="B11397" s="83" t="s">
        <v>3292</v>
      </c>
      <c r="C11397" s="91" t="s">
        <v>1449</v>
      </c>
    </row>
    <row r="11398" spans="1:3" ht="15">
      <c r="A11398" s="84" t="s">
        <v>427</v>
      </c>
      <c r="B11398" s="83" t="s">
        <v>2767</v>
      </c>
      <c r="C11398" s="91" t="s">
        <v>1449</v>
      </c>
    </row>
    <row r="11399" spans="1:3" ht="15">
      <c r="A11399" s="84" t="s">
        <v>427</v>
      </c>
      <c r="B11399" s="83" t="s">
        <v>3260</v>
      </c>
      <c r="C11399" s="91" t="s">
        <v>1449</v>
      </c>
    </row>
    <row r="11400" spans="1:3" ht="15">
      <c r="A11400" s="84" t="s">
        <v>427</v>
      </c>
      <c r="B11400" s="83" t="s">
        <v>3245</v>
      </c>
      <c r="C11400" s="91" t="s">
        <v>1448</v>
      </c>
    </row>
    <row r="11401" spans="1:3" ht="15">
      <c r="A11401" s="84" t="s">
        <v>427</v>
      </c>
      <c r="B11401" s="83" t="s">
        <v>3246</v>
      </c>
      <c r="C11401" s="91" t="s">
        <v>1448</v>
      </c>
    </row>
    <row r="11402" spans="1:3" ht="15">
      <c r="A11402" s="84" t="s">
        <v>427</v>
      </c>
      <c r="B11402" s="83" t="s">
        <v>2580</v>
      </c>
      <c r="C11402" s="91" t="s">
        <v>1448</v>
      </c>
    </row>
    <row r="11403" spans="1:3" ht="15">
      <c r="A11403" s="84" t="s">
        <v>427</v>
      </c>
      <c r="B11403" s="83" t="s">
        <v>2589</v>
      </c>
      <c r="C11403" s="91" t="s">
        <v>1448</v>
      </c>
    </row>
    <row r="11404" spans="1:3" ht="15">
      <c r="A11404" s="84" t="s">
        <v>427</v>
      </c>
      <c r="B11404" s="83" t="s">
        <v>3247</v>
      </c>
      <c r="C11404" s="91" t="s">
        <v>1448</v>
      </c>
    </row>
    <row r="11405" spans="1:3" ht="15">
      <c r="A11405" s="84" t="s">
        <v>427</v>
      </c>
      <c r="B11405" s="83" t="s">
        <v>3248</v>
      </c>
      <c r="C11405" s="91" t="s">
        <v>1448</v>
      </c>
    </row>
    <row r="11406" spans="1:3" ht="15">
      <c r="A11406" s="84" t="s">
        <v>427</v>
      </c>
      <c r="B11406" s="83" t="s">
        <v>3249</v>
      </c>
      <c r="C11406" s="91" t="s">
        <v>1448</v>
      </c>
    </row>
    <row r="11407" spans="1:3" ht="15">
      <c r="A11407" s="84" t="s">
        <v>427</v>
      </c>
      <c r="B11407" s="83" t="s">
        <v>3250</v>
      </c>
      <c r="C11407" s="91" t="s">
        <v>1448</v>
      </c>
    </row>
    <row r="11408" spans="1:3" ht="15">
      <c r="A11408" s="84" t="s">
        <v>427</v>
      </c>
      <c r="B11408" s="83" t="s">
        <v>3251</v>
      </c>
      <c r="C11408" s="91" t="s">
        <v>1448</v>
      </c>
    </row>
    <row r="11409" spans="1:3" ht="15">
      <c r="A11409" s="84" t="s">
        <v>427</v>
      </c>
      <c r="B11409" s="83" t="s">
        <v>3252</v>
      </c>
      <c r="C11409" s="91" t="s">
        <v>1448</v>
      </c>
    </row>
    <row r="11410" spans="1:3" ht="15">
      <c r="A11410" s="84" t="s">
        <v>427</v>
      </c>
      <c r="B11410" s="83" t="s">
        <v>2568</v>
      </c>
      <c r="C11410" s="91" t="s">
        <v>1448</v>
      </c>
    </row>
    <row r="11411" spans="1:3" ht="15">
      <c r="A11411" s="84" t="s">
        <v>427</v>
      </c>
      <c r="B11411" s="83" t="s">
        <v>3253</v>
      </c>
      <c r="C11411" s="91" t="s">
        <v>1448</v>
      </c>
    </row>
    <row r="11412" spans="1:3" ht="15">
      <c r="A11412" s="84" t="s">
        <v>427</v>
      </c>
      <c r="B11412" s="83" t="s">
        <v>3254</v>
      </c>
      <c r="C11412" s="91" t="s">
        <v>1448</v>
      </c>
    </row>
    <row r="11413" spans="1:3" ht="15">
      <c r="A11413" s="84" t="s">
        <v>427</v>
      </c>
      <c r="B11413" s="83" t="s">
        <v>3215</v>
      </c>
      <c r="C11413" s="91" t="s">
        <v>1448</v>
      </c>
    </row>
    <row r="11414" spans="1:3" ht="15">
      <c r="A11414" s="84" t="s">
        <v>427</v>
      </c>
      <c r="B11414" s="83" t="s">
        <v>3199</v>
      </c>
      <c r="C11414" s="91" t="s">
        <v>1448</v>
      </c>
    </row>
    <row r="11415" spans="1:3" ht="15">
      <c r="A11415" s="84" t="s">
        <v>427</v>
      </c>
      <c r="B11415" s="83" t="s">
        <v>3238</v>
      </c>
      <c r="C11415" s="91" t="s">
        <v>1448</v>
      </c>
    </row>
    <row r="11416" spans="1:3" ht="15">
      <c r="A11416" s="84" t="s">
        <v>427</v>
      </c>
      <c r="B11416" s="83" t="s">
        <v>3255</v>
      </c>
      <c r="C11416" s="91" t="s">
        <v>1448</v>
      </c>
    </row>
    <row r="11417" spans="1:3" ht="15">
      <c r="A11417" s="84" t="s">
        <v>427</v>
      </c>
      <c r="B11417" s="83" t="s">
        <v>3198</v>
      </c>
      <c r="C11417" s="91" t="s">
        <v>1448</v>
      </c>
    </row>
    <row r="11418" spans="1:3" ht="15">
      <c r="A11418" s="84" t="s">
        <v>427</v>
      </c>
      <c r="B11418" s="83" t="s">
        <v>3256</v>
      </c>
      <c r="C11418" s="91" t="s">
        <v>1448</v>
      </c>
    </row>
    <row r="11419" spans="1:3" ht="15">
      <c r="A11419" s="84" t="s">
        <v>427</v>
      </c>
      <c r="B11419" s="83" t="s">
        <v>3211</v>
      </c>
      <c r="C11419" s="91" t="s">
        <v>1448</v>
      </c>
    </row>
    <row r="11420" spans="1:3" ht="15">
      <c r="A11420" s="84" t="s">
        <v>427</v>
      </c>
      <c r="B11420" s="83" t="s">
        <v>3205</v>
      </c>
      <c r="C11420" s="91" t="s">
        <v>1448</v>
      </c>
    </row>
    <row r="11421" spans="1:3" ht="15">
      <c r="A11421" s="84" t="s">
        <v>427</v>
      </c>
      <c r="B11421" s="83" t="s">
        <v>3214</v>
      </c>
      <c r="C11421" s="91" t="s">
        <v>1448</v>
      </c>
    </row>
    <row r="11422" spans="1:3" ht="15">
      <c r="A11422" s="84" t="s">
        <v>427</v>
      </c>
      <c r="B11422" s="83" t="s">
        <v>3257</v>
      </c>
      <c r="C11422" s="91" t="s">
        <v>1448</v>
      </c>
    </row>
    <row r="11423" spans="1:3" ht="15">
      <c r="A11423" s="84" t="s">
        <v>427</v>
      </c>
      <c r="B11423" s="83" t="s">
        <v>3258</v>
      </c>
      <c r="C11423" s="91" t="s">
        <v>1448</v>
      </c>
    </row>
    <row r="11424" spans="1:3" ht="15">
      <c r="A11424" s="84" t="s">
        <v>427</v>
      </c>
      <c r="B11424" s="83" t="s">
        <v>3259</v>
      </c>
      <c r="C11424" s="91" t="s">
        <v>1448</v>
      </c>
    </row>
    <row r="11425" spans="1:3" ht="15">
      <c r="A11425" s="84" t="s">
        <v>427</v>
      </c>
      <c r="B11425" s="83" t="s">
        <v>3260</v>
      </c>
      <c r="C11425" s="91" t="s">
        <v>1448</v>
      </c>
    </row>
    <row r="11426" spans="1:3" ht="15">
      <c r="A11426" s="84" t="s">
        <v>227</v>
      </c>
      <c r="B11426" s="83" t="s">
        <v>3245</v>
      </c>
      <c r="C11426" s="91" t="s">
        <v>1035</v>
      </c>
    </row>
    <row r="11427" spans="1:3" ht="15">
      <c r="A11427" s="84" t="s">
        <v>227</v>
      </c>
      <c r="B11427" s="83" t="s">
        <v>3246</v>
      </c>
      <c r="C11427" s="91" t="s">
        <v>1035</v>
      </c>
    </row>
    <row r="11428" spans="1:3" ht="15">
      <c r="A11428" s="84" t="s">
        <v>227</v>
      </c>
      <c r="B11428" s="83" t="s">
        <v>2580</v>
      </c>
      <c r="C11428" s="91" t="s">
        <v>1035</v>
      </c>
    </row>
    <row r="11429" spans="1:3" ht="15">
      <c r="A11429" s="84" t="s">
        <v>227</v>
      </c>
      <c r="B11429" s="83" t="s">
        <v>2589</v>
      </c>
      <c r="C11429" s="91" t="s">
        <v>1035</v>
      </c>
    </row>
    <row r="11430" spans="1:3" ht="15">
      <c r="A11430" s="84" t="s">
        <v>227</v>
      </c>
      <c r="B11430" s="83" t="s">
        <v>3247</v>
      </c>
      <c r="C11430" s="91" t="s">
        <v>1035</v>
      </c>
    </row>
    <row r="11431" spans="1:3" ht="15">
      <c r="A11431" s="84" t="s">
        <v>227</v>
      </c>
      <c r="B11431" s="83" t="s">
        <v>3248</v>
      </c>
      <c r="C11431" s="91" t="s">
        <v>1035</v>
      </c>
    </row>
    <row r="11432" spans="1:3" ht="15">
      <c r="A11432" s="84" t="s">
        <v>227</v>
      </c>
      <c r="B11432" s="83" t="s">
        <v>3249</v>
      </c>
      <c r="C11432" s="91" t="s">
        <v>1035</v>
      </c>
    </row>
    <row r="11433" spans="1:3" ht="15">
      <c r="A11433" s="84" t="s">
        <v>227</v>
      </c>
      <c r="B11433" s="83" t="s">
        <v>3250</v>
      </c>
      <c r="C11433" s="91" t="s">
        <v>1035</v>
      </c>
    </row>
    <row r="11434" spans="1:3" ht="15">
      <c r="A11434" s="84" t="s">
        <v>227</v>
      </c>
      <c r="B11434" s="83" t="s">
        <v>3251</v>
      </c>
      <c r="C11434" s="91" t="s">
        <v>1035</v>
      </c>
    </row>
    <row r="11435" spans="1:3" ht="15">
      <c r="A11435" s="84" t="s">
        <v>227</v>
      </c>
      <c r="B11435" s="83" t="s">
        <v>3252</v>
      </c>
      <c r="C11435" s="91" t="s">
        <v>1035</v>
      </c>
    </row>
    <row r="11436" spans="1:3" ht="15">
      <c r="A11436" s="84" t="s">
        <v>227</v>
      </c>
      <c r="B11436" s="83" t="s">
        <v>2568</v>
      </c>
      <c r="C11436" s="91" t="s">
        <v>1035</v>
      </c>
    </row>
    <row r="11437" spans="1:3" ht="15">
      <c r="A11437" s="84" t="s">
        <v>227</v>
      </c>
      <c r="B11437" s="83" t="s">
        <v>3253</v>
      </c>
      <c r="C11437" s="91" t="s">
        <v>1035</v>
      </c>
    </row>
    <row r="11438" spans="1:3" ht="15">
      <c r="A11438" s="84" t="s">
        <v>227</v>
      </c>
      <c r="B11438" s="83" t="s">
        <v>3254</v>
      </c>
      <c r="C11438" s="91" t="s">
        <v>1035</v>
      </c>
    </row>
    <row r="11439" spans="1:3" ht="15">
      <c r="A11439" s="84" t="s">
        <v>227</v>
      </c>
      <c r="B11439" s="83" t="s">
        <v>3215</v>
      </c>
      <c r="C11439" s="91" t="s">
        <v>1035</v>
      </c>
    </row>
    <row r="11440" spans="1:3" ht="15">
      <c r="A11440" s="84" t="s">
        <v>227</v>
      </c>
      <c r="B11440" s="83" t="s">
        <v>3199</v>
      </c>
      <c r="C11440" s="91" t="s">
        <v>1035</v>
      </c>
    </row>
    <row r="11441" spans="1:3" ht="15">
      <c r="A11441" s="84" t="s">
        <v>227</v>
      </c>
      <c r="B11441" s="83" t="s">
        <v>3238</v>
      </c>
      <c r="C11441" s="91" t="s">
        <v>1035</v>
      </c>
    </row>
    <row r="11442" spans="1:3" ht="15">
      <c r="A11442" s="84" t="s">
        <v>227</v>
      </c>
      <c r="B11442" s="83" t="s">
        <v>3255</v>
      </c>
      <c r="C11442" s="91" t="s">
        <v>1035</v>
      </c>
    </row>
    <row r="11443" spans="1:3" ht="15">
      <c r="A11443" s="84" t="s">
        <v>227</v>
      </c>
      <c r="B11443" s="83" t="s">
        <v>3198</v>
      </c>
      <c r="C11443" s="91" t="s">
        <v>1035</v>
      </c>
    </row>
    <row r="11444" spans="1:3" ht="15">
      <c r="A11444" s="84" t="s">
        <v>227</v>
      </c>
      <c r="B11444" s="83" t="s">
        <v>3256</v>
      </c>
      <c r="C11444" s="91" t="s">
        <v>1035</v>
      </c>
    </row>
    <row r="11445" spans="1:3" ht="15">
      <c r="A11445" s="84" t="s">
        <v>227</v>
      </c>
      <c r="B11445" s="83" t="s">
        <v>3211</v>
      </c>
      <c r="C11445" s="91" t="s">
        <v>1035</v>
      </c>
    </row>
    <row r="11446" spans="1:3" ht="15">
      <c r="A11446" s="84" t="s">
        <v>227</v>
      </c>
      <c r="B11446" s="83" t="s">
        <v>3205</v>
      </c>
      <c r="C11446" s="91" t="s">
        <v>1035</v>
      </c>
    </row>
    <row r="11447" spans="1:3" ht="15">
      <c r="A11447" s="84" t="s">
        <v>227</v>
      </c>
      <c r="B11447" s="83" t="s">
        <v>3214</v>
      </c>
      <c r="C11447" s="91" t="s">
        <v>1035</v>
      </c>
    </row>
    <row r="11448" spans="1:3" ht="15">
      <c r="A11448" s="84" t="s">
        <v>227</v>
      </c>
      <c r="B11448" s="83" t="s">
        <v>3257</v>
      </c>
      <c r="C11448" s="91" t="s">
        <v>1035</v>
      </c>
    </row>
    <row r="11449" spans="1:3" ht="15">
      <c r="A11449" s="84" t="s">
        <v>227</v>
      </c>
      <c r="B11449" s="83" t="s">
        <v>3258</v>
      </c>
      <c r="C11449" s="91" t="s">
        <v>1035</v>
      </c>
    </row>
    <row r="11450" spans="1:3" ht="15">
      <c r="A11450" s="84" t="s">
        <v>227</v>
      </c>
      <c r="B11450" s="83" t="s">
        <v>3259</v>
      </c>
      <c r="C11450" s="91" t="s">
        <v>1035</v>
      </c>
    </row>
    <row r="11451" spans="1:3" ht="15">
      <c r="A11451" s="84" t="s">
        <v>227</v>
      </c>
      <c r="B11451" s="83" t="s">
        <v>3260</v>
      </c>
      <c r="C11451" s="91" t="s">
        <v>1035</v>
      </c>
    </row>
    <row r="11452" spans="1:3" ht="15">
      <c r="A11452" s="84" t="s">
        <v>415</v>
      </c>
      <c r="B11452" s="83" t="s">
        <v>3316</v>
      </c>
      <c r="C11452" s="91" t="s">
        <v>1394</v>
      </c>
    </row>
    <row r="11453" spans="1:3" ht="15">
      <c r="A11453" s="84" t="s">
        <v>415</v>
      </c>
      <c r="B11453" s="83" t="s">
        <v>3388</v>
      </c>
      <c r="C11453" s="91" t="s">
        <v>1394</v>
      </c>
    </row>
    <row r="11454" spans="1:3" ht="15">
      <c r="A11454" s="84" t="s">
        <v>415</v>
      </c>
      <c r="B11454" s="83" t="s">
        <v>2580</v>
      </c>
      <c r="C11454" s="91" t="s">
        <v>1394</v>
      </c>
    </row>
    <row r="11455" spans="1:3" ht="15">
      <c r="A11455" s="84" t="s">
        <v>415</v>
      </c>
      <c r="B11455" s="83" t="s">
        <v>3389</v>
      </c>
      <c r="C11455" s="91" t="s">
        <v>1394</v>
      </c>
    </row>
    <row r="11456" spans="1:3" ht="15">
      <c r="A11456" s="84" t="s">
        <v>415</v>
      </c>
      <c r="B11456" s="83" t="s">
        <v>2568</v>
      </c>
      <c r="C11456" s="91" t="s">
        <v>1394</v>
      </c>
    </row>
    <row r="11457" spans="1:3" ht="15">
      <c r="A11457" s="84" t="s">
        <v>415</v>
      </c>
      <c r="B11457" s="83" t="s">
        <v>3390</v>
      </c>
      <c r="C11457" s="91" t="s">
        <v>1394</v>
      </c>
    </row>
    <row r="11458" spans="1:3" ht="15">
      <c r="A11458" s="84" t="s">
        <v>415</v>
      </c>
      <c r="B11458" s="83" t="s">
        <v>3391</v>
      </c>
      <c r="C11458" s="91" t="s">
        <v>1394</v>
      </c>
    </row>
    <row r="11459" spans="1:3" ht="15">
      <c r="A11459" s="84" t="s">
        <v>415</v>
      </c>
      <c r="B11459" s="83" t="s">
        <v>3392</v>
      </c>
      <c r="C11459" s="91" t="s">
        <v>1394</v>
      </c>
    </row>
    <row r="11460" spans="1:3" ht="15">
      <c r="A11460" s="84" t="s">
        <v>415</v>
      </c>
      <c r="B11460" s="83" t="s">
        <v>3198</v>
      </c>
      <c r="C11460" s="91" t="s">
        <v>1394</v>
      </c>
    </row>
    <row r="11461" spans="1:3" ht="15">
      <c r="A11461" s="84" t="s">
        <v>415</v>
      </c>
      <c r="B11461" s="83" t="s">
        <v>3211</v>
      </c>
      <c r="C11461" s="91" t="s">
        <v>1394</v>
      </c>
    </row>
    <row r="11462" spans="1:3" ht="15">
      <c r="A11462" s="84" t="s">
        <v>415</v>
      </c>
      <c r="B11462" s="83" t="s">
        <v>3212</v>
      </c>
      <c r="C11462" s="91" t="s">
        <v>1394</v>
      </c>
    </row>
    <row r="11463" spans="1:3" ht="15">
      <c r="A11463" s="84" t="s">
        <v>415</v>
      </c>
      <c r="B11463" s="83" t="s">
        <v>3213</v>
      </c>
      <c r="C11463" s="91" t="s">
        <v>1394</v>
      </c>
    </row>
    <row r="11464" spans="1:3" ht="15">
      <c r="A11464" s="84" t="s">
        <v>415</v>
      </c>
      <c r="B11464" s="83" t="s">
        <v>3199</v>
      </c>
      <c r="C11464" s="91" t="s">
        <v>1394</v>
      </c>
    </row>
    <row r="11465" spans="1:3" ht="15">
      <c r="A11465" s="84" t="s">
        <v>415</v>
      </c>
      <c r="B11465" s="83" t="s">
        <v>3218</v>
      </c>
      <c r="C11465" s="91" t="s">
        <v>1394</v>
      </c>
    </row>
    <row r="11466" spans="1:3" ht="15">
      <c r="A11466" s="84" t="s">
        <v>415</v>
      </c>
      <c r="B11466" s="83" t="s">
        <v>3235</v>
      </c>
      <c r="C11466" s="91" t="s">
        <v>1394</v>
      </c>
    </row>
    <row r="11467" spans="1:3" ht="15">
      <c r="A11467" s="84" t="s">
        <v>415</v>
      </c>
      <c r="B11467" s="83" t="s">
        <v>3236</v>
      </c>
      <c r="C11467" s="91" t="s">
        <v>1394</v>
      </c>
    </row>
    <row r="11468" spans="1:3" ht="15">
      <c r="A11468" s="84" t="s">
        <v>415</v>
      </c>
      <c r="B11468" s="83" t="s">
        <v>3221</v>
      </c>
      <c r="C11468" s="91" t="s">
        <v>1394</v>
      </c>
    </row>
    <row r="11469" spans="1:3" ht="15">
      <c r="A11469" s="84" t="s">
        <v>415</v>
      </c>
      <c r="B11469" s="83" t="s">
        <v>3222</v>
      </c>
      <c r="C11469" s="91" t="s">
        <v>1394</v>
      </c>
    </row>
    <row r="11470" spans="1:3" ht="15">
      <c r="A11470" s="84" t="s">
        <v>415</v>
      </c>
      <c r="B11470" s="83" t="s">
        <v>3215</v>
      </c>
      <c r="C11470" s="91" t="s">
        <v>1394</v>
      </c>
    </row>
    <row r="11471" spans="1:3" ht="15">
      <c r="A11471" s="84" t="s">
        <v>415</v>
      </c>
      <c r="B11471" s="83" t="s">
        <v>3237</v>
      </c>
      <c r="C11471" s="91" t="s">
        <v>1394</v>
      </c>
    </row>
    <row r="11472" spans="1:3" ht="15">
      <c r="A11472" s="84" t="s">
        <v>415</v>
      </c>
      <c r="B11472" s="83" t="s">
        <v>3310</v>
      </c>
      <c r="C11472" s="91" t="s">
        <v>1394</v>
      </c>
    </row>
    <row r="11473" spans="1:3" ht="15">
      <c r="A11473" s="84" t="s">
        <v>415</v>
      </c>
      <c r="B11473" s="83" t="s">
        <v>3284</v>
      </c>
      <c r="C11473" s="91" t="s">
        <v>1394</v>
      </c>
    </row>
    <row r="11474" spans="1:3" ht="15">
      <c r="A11474" s="84" t="s">
        <v>415</v>
      </c>
      <c r="B11474" s="83" t="s">
        <v>3393</v>
      </c>
      <c r="C11474" s="91" t="s">
        <v>1394</v>
      </c>
    </row>
    <row r="11475" spans="1:3" ht="15">
      <c r="A11475" s="84" t="s">
        <v>415</v>
      </c>
      <c r="B11475" s="83" t="s">
        <v>3319</v>
      </c>
      <c r="C11475" s="91" t="s">
        <v>1394</v>
      </c>
    </row>
    <row r="11476" spans="1:3" ht="15">
      <c r="A11476" s="84" t="s">
        <v>415</v>
      </c>
      <c r="B11476" s="83" t="s">
        <v>3214</v>
      </c>
      <c r="C11476" s="91" t="s">
        <v>1394</v>
      </c>
    </row>
    <row r="11477" spans="1:3" ht="15">
      <c r="A11477" s="84" t="s">
        <v>415</v>
      </c>
      <c r="B11477" s="83" t="s">
        <v>3223</v>
      </c>
      <c r="C11477" s="91" t="s">
        <v>1394</v>
      </c>
    </row>
    <row r="11478" spans="1:3" ht="15">
      <c r="A11478" s="84" t="s">
        <v>415</v>
      </c>
      <c r="B11478" s="83" t="s">
        <v>3316</v>
      </c>
      <c r="C11478" s="91" t="s">
        <v>1393</v>
      </c>
    </row>
    <row r="11479" spans="1:3" ht="15">
      <c r="A11479" s="84" t="s">
        <v>415</v>
      </c>
      <c r="B11479" s="83" t="s">
        <v>2610</v>
      </c>
      <c r="C11479" s="91" t="s">
        <v>1393</v>
      </c>
    </row>
    <row r="11480" spans="1:3" ht="15">
      <c r="A11480" s="84" t="s">
        <v>415</v>
      </c>
      <c r="B11480" s="83" t="s">
        <v>2936</v>
      </c>
      <c r="C11480" s="91" t="s">
        <v>1393</v>
      </c>
    </row>
    <row r="11481" spans="1:3" ht="15">
      <c r="A11481" s="84" t="s">
        <v>415</v>
      </c>
      <c r="B11481" s="83" t="s">
        <v>2937</v>
      </c>
      <c r="C11481" s="91" t="s">
        <v>1393</v>
      </c>
    </row>
    <row r="11482" spans="1:3" ht="15">
      <c r="A11482" s="84" t="s">
        <v>415</v>
      </c>
      <c r="B11482" s="83" t="s">
        <v>2576</v>
      </c>
      <c r="C11482" s="91" t="s">
        <v>1393</v>
      </c>
    </row>
    <row r="11483" spans="1:3" ht="15">
      <c r="A11483" s="84" t="s">
        <v>415</v>
      </c>
      <c r="B11483" s="83" t="s">
        <v>2938</v>
      </c>
      <c r="C11483" s="91" t="s">
        <v>1393</v>
      </c>
    </row>
    <row r="11484" spans="1:3" ht="15">
      <c r="A11484" s="84" t="s">
        <v>415</v>
      </c>
      <c r="B11484" s="83" t="s">
        <v>3203</v>
      </c>
      <c r="C11484" s="91" t="s">
        <v>1393</v>
      </c>
    </row>
    <row r="11485" spans="1:3" ht="15">
      <c r="A11485" s="84" t="s">
        <v>415</v>
      </c>
      <c r="B11485" s="83">
        <v>19</v>
      </c>
      <c r="C11485" s="91" t="s">
        <v>1393</v>
      </c>
    </row>
    <row r="11486" spans="1:3" ht="15">
      <c r="A11486" s="84" t="s">
        <v>415</v>
      </c>
      <c r="B11486" s="83" t="s">
        <v>2939</v>
      </c>
      <c r="C11486" s="91" t="s">
        <v>1393</v>
      </c>
    </row>
    <row r="11487" spans="1:3" ht="15">
      <c r="A11487" s="84" t="s">
        <v>415</v>
      </c>
      <c r="B11487" s="83" t="s">
        <v>2580</v>
      </c>
      <c r="C11487" s="91" t="s">
        <v>1393</v>
      </c>
    </row>
    <row r="11488" spans="1:3" ht="15">
      <c r="A11488" s="84" t="s">
        <v>415</v>
      </c>
      <c r="B11488" s="83" t="s">
        <v>2848</v>
      </c>
      <c r="C11488" s="91" t="s">
        <v>1393</v>
      </c>
    </row>
    <row r="11489" spans="1:3" ht="15">
      <c r="A11489" s="84" t="s">
        <v>415</v>
      </c>
      <c r="B11489" s="83" t="s">
        <v>15</v>
      </c>
      <c r="C11489" s="91" t="s">
        <v>1393</v>
      </c>
    </row>
    <row r="11490" spans="1:3" ht="15">
      <c r="A11490" s="84" t="s">
        <v>415</v>
      </c>
      <c r="B11490" s="83" t="s">
        <v>3317</v>
      </c>
      <c r="C11490" s="91" t="s">
        <v>1393</v>
      </c>
    </row>
    <row r="11491" spans="1:3" ht="15">
      <c r="A11491" s="84" t="s">
        <v>415</v>
      </c>
      <c r="B11491" s="83" t="s">
        <v>2940</v>
      </c>
      <c r="C11491" s="91" t="s">
        <v>1393</v>
      </c>
    </row>
    <row r="11492" spans="1:3" ht="15">
      <c r="A11492" s="84" t="s">
        <v>415</v>
      </c>
      <c r="B11492" s="83" t="s">
        <v>3198</v>
      </c>
      <c r="C11492" s="91" t="s">
        <v>1393</v>
      </c>
    </row>
    <row r="11493" spans="1:3" ht="15">
      <c r="A11493" s="84" t="s">
        <v>415</v>
      </c>
      <c r="B11493" s="83" t="s">
        <v>3211</v>
      </c>
      <c r="C11493" s="91" t="s">
        <v>1393</v>
      </c>
    </row>
    <row r="11494" spans="1:3" ht="15">
      <c r="A11494" s="84" t="s">
        <v>415</v>
      </c>
      <c r="B11494" s="83" t="s">
        <v>3212</v>
      </c>
      <c r="C11494" s="91" t="s">
        <v>1393</v>
      </c>
    </row>
    <row r="11495" spans="1:3" ht="15">
      <c r="A11495" s="84" t="s">
        <v>415</v>
      </c>
      <c r="B11495" s="83" t="s">
        <v>3199</v>
      </c>
      <c r="C11495" s="91" t="s">
        <v>1393</v>
      </c>
    </row>
    <row r="11496" spans="1:3" ht="15">
      <c r="A11496" s="84" t="s">
        <v>415</v>
      </c>
      <c r="B11496" s="83" t="s">
        <v>3218</v>
      </c>
      <c r="C11496" s="91" t="s">
        <v>1393</v>
      </c>
    </row>
    <row r="11497" spans="1:3" ht="15">
      <c r="A11497" s="84" t="s">
        <v>415</v>
      </c>
      <c r="B11497" s="83" t="s">
        <v>3219</v>
      </c>
      <c r="C11497" s="91" t="s">
        <v>1393</v>
      </c>
    </row>
    <row r="11498" spans="1:3" ht="15">
      <c r="A11498" s="84" t="s">
        <v>415</v>
      </c>
      <c r="B11498" s="83" t="s">
        <v>3234</v>
      </c>
      <c r="C11498" s="91" t="s">
        <v>1393</v>
      </c>
    </row>
    <row r="11499" spans="1:3" ht="15">
      <c r="A11499" s="84" t="s">
        <v>415</v>
      </c>
      <c r="B11499" s="83" t="s">
        <v>3235</v>
      </c>
      <c r="C11499" s="91" t="s">
        <v>1393</v>
      </c>
    </row>
    <row r="11500" spans="1:3" ht="15">
      <c r="A11500" s="84" t="s">
        <v>415</v>
      </c>
      <c r="B11500" s="83" t="s">
        <v>3236</v>
      </c>
      <c r="C11500" s="91" t="s">
        <v>1393</v>
      </c>
    </row>
    <row r="11501" spans="1:3" ht="15">
      <c r="A11501" s="84" t="s">
        <v>415</v>
      </c>
      <c r="B11501" s="83" t="s">
        <v>3318</v>
      </c>
      <c r="C11501" s="91" t="s">
        <v>1393</v>
      </c>
    </row>
    <row r="11502" spans="1:3" ht="15">
      <c r="A11502" s="84" t="s">
        <v>415</v>
      </c>
      <c r="B11502" s="83" t="s">
        <v>3221</v>
      </c>
      <c r="C11502" s="91" t="s">
        <v>1393</v>
      </c>
    </row>
    <row r="11503" spans="1:3" ht="15">
      <c r="A11503" s="84" t="s">
        <v>415</v>
      </c>
      <c r="B11503" s="83" t="s">
        <v>3215</v>
      </c>
      <c r="C11503" s="91" t="s">
        <v>1393</v>
      </c>
    </row>
    <row r="11504" spans="1:3" ht="15">
      <c r="A11504" s="84" t="s">
        <v>415</v>
      </c>
      <c r="B11504" s="83" t="s">
        <v>3237</v>
      </c>
      <c r="C11504" s="91" t="s">
        <v>1393</v>
      </c>
    </row>
    <row r="11505" spans="1:3" ht="15">
      <c r="A11505" s="84" t="s">
        <v>415</v>
      </c>
      <c r="B11505" s="83" t="s">
        <v>3214</v>
      </c>
      <c r="C11505" s="91" t="s">
        <v>1393</v>
      </c>
    </row>
    <row r="11506" spans="1:3" ht="15">
      <c r="A11506" s="84" t="s">
        <v>415</v>
      </c>
      <c r="B11506" s="83" t="s">
        <v>3319</v>
      </c>
      <c r="C11506" s="91" t="s">
        <v>1393</v>
      </c>
    </row>
    <row r="11507" spans="1:3" ht="15">
      <c r="A11507" s="84" t="s">
        <v>415</v>
      </c>
      <c r="B11507" s="83" t="s">
        <v>3213</v>
      </c>
      <c r="C11507" s="91" t="s">
        <v>1393</v>
      </c>
    </row>
    <row r="11508" spans="1:3" ht="15">
      <c r="A11508" s="84" t="s">
        <v>226</v>
      </c>
      <c r="B11508" s="83" t="s">
        <v>3316</v>
      </c>
      <c r="C11508" s="91" t="s">
        <v>1034</v>
      </c>
    </row>
    <row r="11509" spans="1:3" ht="15">
      <c r="A11509" s="84" t="s">
        <v>226</v>
      </c>
      <c r="B11509" s="83" t="s">
        <v>2610</v>
      </c>
      <c r="C11509" s="91" t="s">
        <v>1034</v>
      </c>
    </row>
    <row r="11510" spans="1:3" ht="15">
      <c r="A11510" s="84" t="s">
        <v>226</v>
      </c>
      <c r="B11510" s="83" t="s">
        <v>2936</v>
      </c>
      <c r="C11510" s="91" t="s">
        <v>1034</v>
      </c>
    </row>
    <row r="11511" spans="1:3" ht="15">
      <c r="A11511" s="84" t="s">
        <v>226</v>
      </c>
      <c r="B11511" s="83" t="s">
        <v>2937</v>
      </c>
      <c r="C11511" s="91" t="s">
        <v>1034</v>
      </c>
    </row>
    <row r="11512" spans="1:3" ht="15">
      <c r="A11512" s="84" t="s">
        <v>226</v>
      </c>
      <c r="B11512" s="83" t="s">
        <v>2576</v>
      </c>
      <c r="C11512" s="91" t="s">
        <v>1034</v>
      </c>
    </row>
    <row r="11513" spans="1:3" ht="15">
      <c r="A11513" s="84" t="s">
        <v>226</v>
      </c>
      <c r="B11513" s="83" t="s">
        <v>2938</v>
      </c>
      <c r="C11513" s="91" t="s">
        <v>1034</v>
      </c>
    </row>
    <row r="11514" spans="1:3" ht="15">
      <c r="A11514" s="84" t="s">
        <v>226</v>
      </c>
      <c r="B11514" s="83" t="s">
        <v>3203</v>
      </c>
      <c r="C11514" s="91" t="s">
        <v>1034</v>
      </c>
    </row>
    <row r="11515" spans="1:3" ht="15">
      <c r="A11515" s="84" t="s">
        <v>226</v>
      </c>
      <c r="B11515" s="83">
        <v>19</v>
      </c>
      <c r="C11515" s="91" t="s">
        <v>1034</v>
      </c>
    </row>
    <row r="11516" spans="1:3" ht="15">
      <c r="A11516" s="84" t="s">
        <v>226</v>
      </c>
      <c r="B11516" s="83" t="s">
        <v>2939</v>
      </c>
      <c r="C11516" s="91" t="s">
        <v>1034</v>
      </c>
    </row>
    <row r="11517" spans="1:3" ht="15">
      <c r="A11517" s="84" t="s">
        <v>226</v>
      </c>
      <c r="B11517" s="83" t="s">
        <v>2580</v>
      </c>
      <c r="C11517" s="91" t="s">
        <v>1034</v>
      </c>
    </row>
    <row r="11518" spans="1:3" ht="15">
      <c r="A11518" s="84" t="s">
        <v>226</v>
      </c>
      <c r="B11518" s="83" t="s">
        <v>2848</v>
      </c>
      <c r="C11518" s="91" t="s">
        <v>1034</v>
      </c>
    </row>
    <row r="11519" spans="1:3" ht="15">
      <c r="A11519" s="84" t="s">
        <v>226</v>
      </c>
      <c r="B11519" s="83" t="s">
        <v>15</v>
      </c>
      <c r="C11519" s="91" t="s">
        <v>1034</v>
      </c>
    </row>
    <row r="11520" spans="1:3" ht="15">
      <c r="A11520" s="84" t="s">
        <v>226</v>
      </c>
      <c r="B11520" s="83" t="s">
        <v>3317</v>
      </c>
      <c r="C11520" s="91" t="s">
        <v>1034</v>
      </c>
    </row>
    <row r="11521" spans="1:3" ht="15">
      <c r="A11521" s="84" t="s">
        <v>226</v>
      </c>
      <c r="B11521" s="83" t="s">
        <v>2940</v>
      </c>
      <c r="C11521" s="91" t="s">
        <v>1034</v>
      </c>
    </row>
    <row r="11522" spans="1:3" ht="15">
      <c r="A11522" s="84" t="s">
        <v>226</v>
      </c>
      <c r="B11522" s="83" t="s">
        <v>3198</v>
      </c>
      <c r="C11522" s="91" t="s">
        <v>1034</v>
      </c>
    </row>
    <row r="11523" spans="1:3" ht="15">
      <c r="A11523" s="84" t="s">
        <v>226</v>
      </c>
      <c r="B11523" s="83" t="s">
        <v>3211</v>
      </c>
      <c r="C11523" s="91" t="s">
        <v>1034</v>
      </c>
    </row>
    <row r="11524" spans="1:3" ht="15">
      <c r="A11524" s="84" t="s">
        <v>226</v>
      </c>
      <c r="B11524" s="83" t="s">
        <v>3212</v>
      </c>
      <c r="C11524" s="91" t="s">
        <v>1034</v>
      </c>
    </row>
    <row r="11525" spans="1:3" ht="15">
      <c r="A11525" s="84" t="s">
        <v>226</v>
      </c>
      <c r="B11525" s="83" t="s">
        <v>3199</v>
      </c>
      <c r="C11525" s="91" t="s">
        <v>1034</v>
      </c>
    </row>
    <row r="11526" spans="1:3" ht="15">
      <c r="A11526" s="84" t="s">
        <v>226</v>
      </c>
      <c r="B11526" s="83" t="s">
        <v>3218</v>
      </c>
      <c r="C11526" s="91" t="s">
        <v>1034</v>
      </c>
    </row>
    <row r="11527" spans="1:3" ht="15">
      <c r="A11527" s="84" t="s">
        <v>226</v>
      </c>
      <c r="B11527" s="83" t="s">
        <v>3219</v>
      </c>
      <c r="C11527" s="91" t="s">
        <v>1034</v>
      </c>
    </row>
    <row r="11528" spans="1:3" ht="15">
      <c r="A11528" s="84" t="s">
        <v>226</v>
      </c>
      <c r="B11528" s="83" t="s">
        <v>3234</v>
      </c>
      <c r="C11528" s="91" t="s">
        <v>1034</v>
      </c>
    </row>
    <row r="11529" spans="1:3" ht="15">
      <c r="A11529" s="84" t="s">
        <v>226</v>
      </c>
      <c r="B11529" s="83" t="s">
        <v>3235</v>
      </c>
      <c r="C11529" s="91" t="s">
        <v>1034</v>
      </c>
    </row>
    <row r="11530" spans="1:3" ht="15">
      <c r="A11530" s="84" t="s">
        <v>226</v>
      </c>
      <c r="B11530" s="83" t="s">
        <v>3236</v>
      </c>
      <c r="C11530" s="91" t="s">
        <v>1034</v>
      </c>
    </row>
    <row r="11531" spans="1:3" ht="15">
      <c r="A11531" s="84" t="s">
        <v>226</v>
      </c>
      <c r="B11531" s="83" t="s">
        <v>3318</v>
      </c>
      <c r="C11531" s="91" t="s">
        <v>1034</v>
      </c>
    </row>
    <row r="11532" spans="1:3" ht="15">
      <c r="A11532" s="84" t="s">
        <v>226</v>
      </c>
      <c r="B11532" s="83" t="s">
        <v>3221</v>
      </c>
      <c r="C11532" s="91" t="s">
        <v>1034</v>
      </c>
    </row>
    <row r="11533" spans="1:3" ht="15">
      <c r="A11533" s="84" t="s">
        <v>226</v>
      </c>
      <c r="B11533" s="83" t="s">
        <v>3215</v>
      </c>
      <c r="C11533" s="91" t="s">
        <v>1034</v>
      </c>
    </row>
    <row r="11534" spans="1:3" ht="15">
      <c r="A11534" s="84" t="s">
        <v>226</v>
      </c>
      <c r="B11534" s="83" t="s">
        <v>3237</v>
      </c>
      <c r="C11534" s="91" t="s">
        <v>1034</v>
      </c>
    </row>
    <row r="11535" spans="1:3" ht="15">
      <c r="A11535" s="84" t="s">
        <v>226</v>
      </c>
      <c r="B11535" s="83" t="s">
        <v>3214</v>
      </c>
      <c r="C11535" s="91" t="s">
        <v>1034</v>
      </c>
    </row>
    <row r="11536" spans="1:3" ht="15">
      <c r="A11536" s="84" t="s">
        <v>226</v>
      </c>
      <c r="B11536" s="83" t="s">
        <v>3319</v>
      </c>
      <c r="C11536" s="91" t="s">
        <v>1034</v>
      </c>
    </row>
    <row r="11537" spans="1:3" ht="15">
      <c r="A11537" s="84" t="s">
        <v>226</v>
      </c>
      <c r="B11537" s="83" t="s">
        <v>3213</v>
      </c>
      <c r="C11537" s="91" t="s">
        <v>1034</v>
      </c>
    </row>
    <row r="11538" spans="1:3" ht="15">
      <c r="A11538" s="84" t="s">
        <v>225</v>
      </c>
      <c r="B11538" s="83" t="s">
        <v>3487</v>
      </c>
      <c r="C11538" s="91" t="s">
        <v>1033</v>
      </c>
    </row>
    <row r="11539" spans="1:3" ht="15">
      <c r="A11539" s="84" t="s">
        <v>225</v>
      </c>
      <c r="B11539" s="83" t="s">
        <v>2658</v>
      </c>
      <c r="C11539" s="91" t="s">
        <v>1033</v>
      </c>
    </row>
    <row r="11540" spans="1:3" ht="15">
      <c r="A11540" s="84" t="s">
        <v>225</v>
      </c>
      <c r="B11540" s="83" t="s">
        <v>3353</v>
      </c>
      <c r="C11540" s="91" t="s">
        <v>1033</v>
      </c>
    </row>
    <row r="11541" spans="1:3" ht="15">
      <c r="A11541" s="84" t="s">
        <v>225</v>
      </c>
      <c r="B11541" s="83" t="s">
        <v>3659</v>
      </c>
      <c r="C11541" s="91" t="s">
        <v>1033</v>
      </c>
    </row>
    <row r="11542" spans="1:3" ht="15">
      <c r="A11542" s="84" t="s">
        <v>225</v>
      </c>
      <c r="B11542" s="83" t="s">
        <v>2576</v>
      </c>
      <c r="C11542" s="91" t="s">
        <v>1033</v>
      </c>
    </row>
    <row r="11543" spans="1:3" ht="15">
      <c r="A11543" s="84" t="s">
        <v>225</v>
      </c>
      <c r="B11543" s="83" t="s">
        <v>2589</v>
      </c>
      <c r="C11543" s="91" t="s">
        <v>1033</v>
      </c>
    </row>
    <row r="11544" spans="1:3" ht="15">
      <c r="A11544" s="84" t="s">
        <v>225</v>
      </c>
      <c r="B11544" s="83" t="s">
        <v>3143</v>
      </c>
      <c r="C11544" s="91" t="s">
        <v>1033</v>
      </c>
    </row>
    <row r="11545" spans="1:3" ht="15">
      <c r="A11545" s="84" t="s">
        <v>225</v>
      </c>
      <c r="B11545" s="83" t="s">
        <v>2577</v>
      </c>
      <c r="C11545" s="91" t="s">
        <v>1033</v>
      </c>
    </row>
    <row r="11546" spans="1:3" ht="15">
      <c r="A11546" s="84" t="s">
        <v>225</v>
      </c>
      <c r="B11546" s="83" t="s">
        <v>3144</v>
      </c>
      <c r="C11546" s="91" t="s">
        <v>1033</v>
      </c>
    </row>
    <row r="11547" spans="1:3" ht="15">
      <c r="A11547" s="84" t="s">
        <v>225</v>
      </c>
      <c r="B11547" s="83" t="s">
        <v>3145</v>
      </c>
      <c r="C11547" s="91" t="s">
        <v>1033</v>
      </c>
    </row>
    <row r="11548" spans="1:3" ht="15">
      <c r="A11548" s="84" t="s">
        <v>225</v>
      </c>
      <c r="B11548" s="83" t="s">
        <v>2650</v>
      </c>
      <c r="C11548" s="91" t="s">
        <v>1033</v>
      </c>
    </row>
    <row r="11549" spans="1:3" ht="15">
      <c r="A11549" s="84" t="s">
        <v>225</v>
      </c>
      <c r="B11549" s="83" t="s">
        <v>3146</v>
      </c>
      <c r="C11549" s="91" t="s">
        <v>1033</v>
      </c>
    </row>
    <row r="11550" spans="1:3" ht="15">
      <c r="A11550" s="84" t="s">
        <v>225</v>
      </c>
      <c r="B11550" s="83" t="s">
        <v>3227</v>
      </c>
      <c r="C11550" s="91" t="s">
        <v>1033</v>
      </c>
    </row>
    <row r="11551" spans="1:3" ht="15">
      <c r="A11551" s="84" t="s">
        <v>225</v>
      </c>
      <c r="B11551" s="83" t="s">
        <v>3199</v>
      </c>
      <c r="C11551" s="91" t="s">
        <v>1033</v>
      </c>
    </row>
    <row r="11552" spans="1:3" ht="15">
      <c r="A11552" s="84" t="s">
        <v>225</v>
      </c>
      <c r="B11552" s="83" t="s">
        <v>3660</v>
      </c>
      <c r="C11552" s="91" t="s">
        <v>1033</v>
      </c>
    </row>
    <row r="11553" spans="1:3" ht="15">
      <c r="A11553" s="84" t="s">
        <v>225</v>
      </c>
      <c r="B11553" s="83" t="s">
        <v>3390</v>
      </c>
      <c r="C11553" s="91" t="s">
        <v>1033</v>
      </c>
    </row>
    <row r="11554" spans="1:3" ht="15">
      <c r="A11554" s="84" t="s">
        <v>225</v>
      </c>
      <c r="B11554" s="83" t="s">
        <v>3391</v>
      </c>
      <c r="C11554" s="91" t="s">
        <v>1033</v>
      </c>
    </row>
    <row r="11555" spans="1:3" ht="15">
      <c r="A11555" s="84" t="s">
        <v>225</v>
      </c>
      <c r="B11555" s="83" t="s">
        <v>3527</v>
      </c>
      <c r="C11555" s="91" t="s">
        <v>1033</v>
      </c>
    </row>
    <row r="11556" spans="1:3" ht="15">
      <c r="A11556" s="84" t="s">
        <v>225</v>
      </c>
      <c r="B11556" s="83" t="s">
        <v>3147</v>
      </c>
      <c r="C11556" s="91" t="s">
        <v>1033</v>
      </c>
    </row>
    <row r="11557" spans="1:3" ht="15">
      <c r="A11557" s="84" t="s">
        <v>225</v>
      </c>
      <c r="B11557" s="83" t="s">
        <v>2580</v>
      </c>
      <c r="C11557" s="91" t="s">
        <v>1033</v>
      </c>
    </row>
    <row r="11558" spans="1:3" ht="15">
      <c r="A11558" s="84" t="s">
        <v>225</v>
      </c>
      <c r="B11558" s="83" t="s">
        <v>3014</v>
      </c>
      <c r="C11558" s="91" t="s">
        <v>1033</v>
      </c>
    </row>
    <row r="11559" spans="1:3" ht="15">
      <c r="A11559" s="84" t="s">
        <v>225</v>
      </c>
      <c r="B11559" s="83" t="s">
        <v>3148</v>
      </c>
      <c r="C11559" s="91" t="s">
        <v>1033</v>
      </c>
    </row>
    <row r="11560" spans="1:3" ht="15">
      <c r="A11560" s="84" t="s">
        <v>225</v>
      </c>
      <c r="B11560" s="83" t="s">
        <v>2636</v>
      </c>
      <c r="C11560" s="91" t="s">
        <v>1033</v>
      </c>
    </row>
    <row r="11561" spans="1:3" ht="15">
      <c r="A11561" s="84" t="s">
        <v>225</v>
      </c>
      <c r="B11561" s="83" t="s">
        <v>3149</v>
      </c>
      <c r="C11561" s="91" t="s">
        <v>1033</v>
      </c>
    </row>
    <row r="11562" spans="1:3" ht="15">
      <c r="A11562" s="84" t="s">
        <v>225</v>
      </c>
      <c r="B11562" s="83" t="s">
        <v>3285</v>
      </c>
      <c r="C11562" s="91" t="s">
        <v>1033</v>
      </c>
    </row>
    <row r="11563" spans="1:3" ht="15">
      <c r="A11563" s="84" t="s">
        <v>225</v>
      </c>
      <c r="B11563" s="83" t="s">
        <v>3661</v>
      </c>
      <c r="C11563" s="91" t="s">
        <v>1033</v>
      </c>
    </row>
    <row r="11564" spans="1:3" ht="15">
      <c r="A11564" s="84" t="s">
        <v>225</v>
      </c>
      <c r="B11564" s="83" t="s">
        <v>3412</v>
      </c>
      <c r="C11564" s="91" t="s">
        <v>1033</v>
      </c>
    </row>
    <row r="11565" spans="1:3" ht="15">
      <c r="A11565" s="84" t="s">
        <v>225</v>
      </c>
      <c r="B11565" s="83" t="s">
        <v>3214</v>
      </c>
      <c r="C11565" s="91" t="s">
        <v>1033</v>
      </c>
    </row>
    <row r="11566" spans="1:3" ht="15">
      <c r="A11566" s="84" t="s">
        <v>225</v>
      </c>
      <c r="B11566" s="83" t="s">
        <v>3662</v>
      </c>
      <c r="C11566" s="91" t="s">
        <v>1033</v>
      </c>
    </row>
    <row r="11567" spans="1:3" ht="15">
      <c r="A11567" s="84" t="s">
        <v>225</v>
      </c>
      <c r="B11567" s="83" t="s">
        <v>3663</v>
      </c>
      <c r="C11567" s="91" t="s">
        <v>1033</v>
      </c>
    </row>
    <row r="11568" spans="1:3" ht="15">
      <c r="A11568" s="84" t="s">
        <v>225</v>
      </c>
      <c r="B11568" s="83" t="s">
        <v>586</v>
      </c>
      <c r="C11568" s="91" t="s">
        <v>1033</v>
      </c>
    </row>
    <row r="11569" spans="1:3" ht="15">
      <c r="A11569" s="84" t="s">
        <v>225</v>
      </c>
      <c r="B11569" s="83" t="s">
        <v>3664</v>
      </c>
      <c r="C11569" s="91" t="s">
        <v>1033</v>
      </c>
    </row>
    <row r="11570" spans="1:3" ht="15">
      <c r="A11570" s="84" t="s">
        <v>429</v>
      </c>
      <c r="B11570" s="83" t="s">
        <v>3487</v>
      </c>
      <c r="C11570" s="91" t="s">
        <v>1451</v>
      </c>
    </row>
    <row r="11571" spans="1:3" ht="15">
      <c r="A11571" s="84" t="s">
        <v>429</v>
      </c>
      <c r="B11571" s="83" t="s">
        <v>2658</v>
      </c>
      <c r="C11571" s="91" t="s">
        <v>1451</v>
      </c>
    </row>
    <row r="11572" spans="1:3" ht="15">
      <c r="A11572" s="84" t="s">
        <v>429</v>
      </c>
      <c r="B11572" s="83" t="s">
        <v>3353</v>
      </c>
      <c r="C11572" s="91" t="s">
        <v>1451</v>
      </c>
    </row>
    <row r="11573" spans="1:3" ht="15">
      <c r="A11573" s="84" t="s">
        <v>429</v>
      </c>
      <c r="B11573" s="83" t="s">
        <v>3659</v>
      </c>
      <c r="C11573" s="91" t="s">
        <v>1451</v>
      </c>
    </row>
    <row r="11574" spans="1:3" ht="15">
      <c r="A11574" s="84" t="s">
        <v>429</v>
      </c>
      <c r="B11574" s="83" t="s">
        <v>2576</v>
      </c>
      <c r="C11574" s="91" t="s">
        <v>1451</v>
      </c>
    </row>
    <row r="11575" spans="1:3" ht="15">
      <c r="A11575" s="84" t="s">
        <v>429</v>
      </c>
      <c r="B11575" s="83" t="s">
        <v>2589</v>
      </c>
      <c r="C11575" s="91" t="s">
        <v>1451</v>
      </c>
    </row>
    <row r="11576" spans="1:3" ht="15">
      <c r="A11576" s="84" t="s">
        <v>429</v>
      </c>
      <c r="B11576" s="83" t="s">
        <v>3143</v>
      </c>
      <c r="C11576" s="91" t="s">
        <v>1451</v>
      </c>
    </row>
    <row r="11577" spans="1:3" ht="15">
      <c r="A11577" s="84" t="s">
        <v>429</v>
      </c>
      <c r="B11577" s="83" t="s">
        <v>2577</v>
      </c>
      <c r="C11577" s="91" t="s">
        <v>1451</v>
      </c>
    </row>
    <row r="11578" spans="1:3" ht="15">
      <c r="A11578" s="84" t="s">
        <v>429</v>
      </c>
      <c r="B11578" s="83" t="s">
        <v>3144</v>
      </c>
      <c r="C11578" s="91" t="s">
        <v>1451</v>
      </c>
    </row>
    <row r="11579" spans="1:3" ht="15">
      <c r="A11579" s="84" t="s">
        <v>429</v>
      </c>
      <c r="B11579" s="83" t="s">
        <v>3145</v>
      </c>
      <c r="C11579" s="91" t="s">
        <v>1451</v>
      </c>
    </row>
    <row r="11580" spans="1:3" ht="15">
      <c r="A11580" s="84" t="s">
        <v>429</v>
      </c>
      <c r="B11580" s="83" t="s">
        <v>2650</v>
      </c>
      <c r="C11580" s="91" t="s">
        <v>1451</v>
      </c>
    </row>
    <row r="11581" spans="1:3" ht="15">
      <c r="A11581" s="84" t="s">
        <v>429</v>
      </c>
      <c r="B11581" s="83" t="s">
        <v>3146</v>
      </c>
      <c r="C11581" s="91" t="s">
        <v>1451</v>
      </c>
    </row>
    <row r="11582" spans="1:3" ht="15">
      <c r="A11582" s="84" t="s">
        <v>429</v>
      </c>
      <c r="B11582" s="83" t="s">
        <v>3227</v>
      </c>
      <c r="C11582" s="91" t="s">
        <v>1451</v>
      </c>
    </row>
    <row r="11583" spans="1:3" ht="15">
      <c r="A11583" s="84" t="s">
        <v>429</v>
      </c>
      <c r="B11583" s="83" t="s">
        <v>3199</v>
      </c>
      <c r="C11583" s="91" t="s">
        <v>1451</v>
      </c>
    </row>
    <row r="11584" spans="1:3" ht="15">
      <c r="A11584" s="84" t="s">
        <v>429</v>
      </c>
      <c r="B11584" s="83" t="s">
        <v>3660</v>
      </c>
      <c r="C11584" s="91" t="s">
        <v>1451</v>
      </c>
    </row>
    <row r="11585" spans="1:3" ht="15">
      <c r="A11585" s="84" t="s">
        <v>429</v>
      </c>
      <c r="B11585" s="83" t="s">
        <v>3390</v>
      </c>
      <c r="C11585" s="91" t="s">
        <v>1451</v>
      </c>
    </row>
    <row r="11586" spans="1:3" ht="15">
      <c r="A11586" s="84" t="s">
        <v>429</v>
      </c>
      <c r="B11586" s="83" t="s">
        <v>3391</v>
      </c>
      <c r="C11586" s="91" t="s">
        <v>1451</v>
      </c>
    </row>
    <row r="11587" spans="1:3" ht="15">
      <c r="A11587" s="84" t="s">
        <v>429</v>
      </c>
      <c r="B11587" s="83" t="s">
        <v>3527</v>
      </c>
      <c r="C11587" s="91" t="s">
        <v>1451</v>
      </c>
    </row>
    <row r="11588" spans="1:3" ht="15">
      <c r="A11588" s="84" t="s">
        <v>429</v>
      </c>
      <c r="B11588" s="83" t="s">
        <v>3147</v>
      </c>
      <c r="C11588" s="91" t="s">
        <v>1451</v>
      </c>
    </row>
    <row r="11589" spans="1:3" ht="15">
      <c r="A11589" s="84" t="s">
        <v>429</v>
      </c>
      <c r="B11589" s="83" t="s">
        <v>2580</v>
      </c>
      <c r="C11589" s="91" t="s">
        <v>1451</v>
      </c>
    </row>
    <row r="11590" spans="1:3" ht="15">
      <c r="A11590" s="84" t="s">
        <v>429</v>
      </c>
      <c r="B11590" s="83" t="s">
        <v>3014</v>
      </c>
      <c r="C11590" s="91" t="s">
        <v>1451</v>
      </c>
    </row>
    <row r="11591" spans="1:3" ht="15">
      <c r="A11591" s="84" t="s">
        <v>429</v>
      </c>
      <c r="B11591" s="83" t="s">
        <v>3148</v>
      </c>
      <c r="C11591" s="91" t="s">
        <v>1451</v>
      </c>
    </row>
    <row r="11592" spans="1:3" ht="15">
      <c r="A11592" s="84" t="s">
        <v>429</v>
      </c>
      <c r="B11592" s="83" t="s">
        <v>2636</v>
      </c>
      <c r="C11592" s="91" t="s">
        <v>1451</v>
      </c>
    </row>
    <row r="11593" spans="1:3" ht="15">
      <c r="A11593" s="84" t="s">
        <v>429</v>
      </c>
      <c r="B11593" s="83" t="s">
        <v>3149</v>
      </c>
      <c r="C11593" s="91" t="s">
        <v>1451</v>
      </c>
    </row>
    <row r="11594" spans="1:3" ht="15">
      <c r="A11594" s="84" t="s">
        <v>429</v>
      </c>
      <c r="B11594" s="83" t="s">
        <v>3285</v>
      </c>
      <c r="C11594" s="91" t="s">
        <v>1451</v>
      </c>
    </row>
    <row r="11595" spans="1:3" ht="15">
      <c r="A11595" s="84" t="s">
        <v>429</v>
      </c>
      <c r="B11595" s="83" t="s">
        <v>3661</v>
      </c>
      <c r="C11595" s="91" t="s">
        <v>1451</v>
      </c>
    </row>
    <row r="11596" spans="1:3" ht="15">
      <c r="A11596" s="84" t="s">
        <v>429</v>
      </c>
      <c r="B11596" s="83" t="s">
        <v>3412</v>
      </c>
      <c r="C11596" s="91" t="s">
        <v>1451</v>
      </c>
    </row>
    <row r="11597" spans="1:3" ht="15">
      <c r="A11597" s="84" t="s">
        <v>429</v>
      </c>
      <c r="B11597" s="83" t="s">
        <v>3214</v>
      </c>
      <c r="C11597" s="91" t="s">
        <v>1451</v>
      </c>
    </row>
    <row r="11598" spans="1:3" ht="15">
      <c r="A11598" s="84" t="s">
        <v>429</v>
      </c>
      <c r="B11598" s="83" t="s">
        <v>3662</v>
      </c>
      <c r="C11598" s="91" t="s">
        <v>1451</v>
      </c>
    </row>
    <row r="11599" spans="1:3" ht="15">
      <c r="A11599" s="84" t="s">
        <v>429</v>
      </c>
      <c r="B11599" s="83" t="s">
        <v>3663</v>
      </c>
      <c r="C11599" s="91" t="s">
        <v>1451</v>
      </c>
    </row>
    <row r="11600" spans="1:3" ht="15">
      <c r="A11600" s="84" t="s">
        <v>429</v>
      </c>
      <c r="B11600" s="83" t="s">
        <v>586</v>
      </c>
      <c r="C11600" s="91" t="s">
        <v>1451</v>
      </c>
    </row>
    <row r="11601" spans="1:3" ht="15">
      <c r="A11601" s="84" t="s">
        <v>429</v>
      </c>
      <c r="B11601" s="83" t="s">
        <v>3664</v>
      </c>
      <c r="C11601" s="91" t="s">
        <v>1451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CA1FC-6139-4DF3-949D-882B8EE7F3F0}">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2555</v>
      </c>
      <c r="B1" s="13" t="s">
        <v>4415</v>
      </c>
    </row>
    <row r="2" spans="1:2" ht="15">
      <c r="A2" s="83" t="s">
        <v>3665</v>
      </c>
      <c r="B2" s="83" t="s">
        <v>4416</v>
      </c>
    </row>
    <row r="3" spans="1:2" ht="15">
      <c r="A3" s="84" t="s">
        <v>3666</v>
      </c>
      <c r="B3" s="83" t="s">
        <v>4416</v>
      </c>
    </row>
    <row r="4" spans="1:2" ht="15">
      <c r="A4" s="84" t="s">
        <v>3667</v>
      </c>
      <c r="B4" s="83" t="s">
        <v>4416</v>
      </c>
    </row>
    <row r="5" spans="1:2" ht="15">
      <c r="A5" s="84" t="s">
        <v>3668</v>
      </c>
      <c r="B5" s="83" t="s">
        <v>4416</v>
      </c>
    </row>
    <row r="6" spans="1:2" ht="15">
      <c r="A6" s="84" t="s">
        <v>3669</v>
      </c>
      <c r="B6" s="83" t="s">
        <v>4416</v>
      </c>
    </row>
    <row r="7" spans="1:2" ht="15">
      <c r="A7" s="84" t="s">
        <v>3670</v>
      </c>
      <c r="B7" s="83" t="s">
        <v>4416</v>
      </c>
    </row>
    <row r="8" spans="1:2" ht="15">
      <c r="A8" s="84" t="s">
        <v>3671</v>
      </c>
      <c r="B8" s="83" t="s">
        <v>4416</v>
      </c>
    </row>
    <row r="9" spans="1:2" ht="15">
      <c r="A9" s="84" t="s">
        <v>3672</v>
      </c>
      <c r="B9" s="83" t="s">
        <v>4416</v>
      </c>
    </row>
    <row r="10" spans="1:2" ht="15">
      <c r="A10" s="84" t="s">
        <v>3673</v>
      </c>
      <c r="B10" s="83" t="s">
        <v>4416</v>
      </c>
    </row>
    <row r="11" spans="1:2" ht="15">
      <c r="A11" s="84" t="s">
        <v>3674</v>
      </c>
      <c r="B11" s="83" t="s">
        <v>4416</v>
      </c>
    </row>
    <row r="12" spans="1:2" ht="15">
      <c r="A12" s="84" t="s">
        <v>3675</v>
      </c>
      <c r="B12" s="83" t="s">
        <v>4416</v>
      </c>
    </row>
    <row r="13" spans="1:2" ht="15">
      <c r="A13" s="84" t="s">
        <v>3676</v>
      </c>
      <c r="B13" s="83" t="s">
        <v>4416</v>
      </c>
    </row>
    <row r="14" spans="1:2" ht="15">
      <c r="A14" s="84" t="s">
        <v>3677</v>
      </c>
      <c r="B14" s="83" t="s">
        <v>4416</v>
      </c>
    </row>
    <row r="15" spans="1:2" ht="15">
      <c r="A15" s="84" t="s">
        <v>3678</v>
      </c>
      <c r="B15" s="83" t="s">
        <v>4416</v>
      </c>
    </row>
    <row r="16" spans="1:2" ht="15">
      <c r="A16" s="84" t="s">
        <v>3679</v>
      </c>
      <c r="B16" s="83" t="s">
        <v>4416</v>
      </c>
    </row>
    <row r="17" spans="1:2" ht="15">
      <c r="A17" s="84" t="s">
        <v>3680</v>
      </c>
      <c r="B17" s="83" t="s">
        <v>4416</v>
      </c>
    </row>
    <row r="18" spans="1:2" ht="15">
      <c r="A18" s="84" t="s">
        <v>3681</v>
      </c>
      <c r="B18" s="83" t="s">
        <v>4416</v>
      </c>
    </row>
    <row r="19" spans="1:2" ht="15">
      <c r="A19" s="84" t="s">
        <v>3682</v>
      </c>
      <c r="B19" s="83" t="s">
        <v>4416</v>
      </c>
    </row>
    <row r="20" spans="1:2" ht="15">
      <c r="A20" s="84" t="s">
        <v>3683</v>
      </c>
      <c r="B20" s="83" t="s">
        <v>4416</v>
      </c>
    </row>
    <row r="21" spans="1:2" ht="15">
      <c r="A21" s="84" t="s">
        <v>3684</v>
      </c>
      <c r="B21" s="83" t="s">
        <v>4416</v>
      </c>
    </row>
    <row r="22" spans="1:2" ht="15">
      <c r="A22" s="84" t="s">
        <v>3685</v>
      </c>
      <c r="B22" s="83" t="s">
        <v>4416</v>
      </c>
    </row>
    <row r="23" spans="1:2" ht="15">
      <c r="A23" s="84" t="s">
        <v>3686</v>
      </c>
      <c r="B23" s="83" t="s">
        <v>4416</v>
      </c>
    </row>
    <row r="24" spans="1:2" ht="15">
      <c r="A24" s="84" t="s">
        <v>3687</v>
      </c>
      <c r="B24" s="83" t="s">
        <v>4416</v>
      </c>
    </row>
    <row r="25" spans="1:2" ht="15">
      <c r="A25" s="84" t="s">
        <v>3688</v>
      </c>
      <c r="B25" s="83" t="s">
        <v>4416</v>
      </c>
    </row>
    <row r="26" spans="1:2" ht="15">
      <c r="A26" s="84" t="s">
        <v>3689</v>
      </c>
      <c r="B26" s="83" t="s">
        <v>4416</v>
      </c>
    </row>
    <row r="27" spans="1:2" ht="15">
      <c r="A27" s="84" t="s">
        <v>3690</v>
      </c>
      <c r="B27" s="83" t="s">
        <v>4416</v>
      </c>
    </row>
    <row r="28" spans="1:2" ht="15">
      <c r="A28" s="84" t="s">
        <v>3691</v>
      </c>
      <c r="B28" s="83" t="s">
        <v>4416</v>
      </c>
    </row>
    <row r="29" spans="1:2" ht="15">
      <c r="A29" s="84" t="s">
        <v>3692</v>
      </c>
      <c r="B29" s="83" t="s">
        <v>4416</v>
      </c>
    </row>
    <row r="30" spans="1:2" ht="15">
      <c r="A30" s="84" t="s">
        <v>3693</v>
      </c>
      <c r="B30" s="83" t="s">
        <v>4416</v>
      </c>
    </row>
    <row r="31" spans="1:2" ht="15">
      <c r="A31" s="84" t="s">
        <v>3694</v>
      </c>
      <c r="B31" s="83" t="s">
        <v>4416</v>
      </c>
    </row>
    <row r="32" spans="1:2" ht="15">
      <c r="A32" s="84" t="s">
        <v>3695</v>
      </c>
      <c r="B32" s="83" t="s">
        <v>4416</v>
      </c>
    </row>
    <row r="33" spans="1:2" ht="15">
      <c r="A33" s="84" t="s">
        <v>3696</v>
      </c>
      <c r="B33" s="83" t="s">
        <v>4416</v>
      </c>
    </row>
    <row r="34" spans="1:2" ht="15">
      <c r="A34" s="84" t="s">
        <v>3697</v>
      </c>
      <c r="B34" s="83" t="s">
        <v>4416</v>
      </c>
    </row>
    <row r="35" spans="1:2" ht="15">
      <c r="A35" s="84" t="s">
        <v>3698</v>
      </c>
      <c r="B35" s="83" t="s">
        <v>4416</v>
      </c>
    </row>
    <row r="36" spans="1:2" ht="15">
      <c r="A36" s="84" t="s">
        <v>3699</v>
      </c>
      <c r="B36" s="83" t="s">
        <v>4416</v>
      </c>
    </row>
    <row r="37" spans="1:2" ht="15">
      <c r="A37" s="84" t="s">
        <v>3700</v>
      </c>
      <c r="B37" s="83" t="s">
        <v>4416</v>
      </c>
    </row>
    <row r="38" spans="1:2" ht="15">
      <c r="A38" s="84" t="s">
        <v>3701</v>
      </c>
      <c r="B38" s="83" t="s">
        <v>4416</v>
      </c>
    </row>
    <row r="39" spans="1:2" ht="15">
      <c r="A39" s="84" t="s">
        <v>3702</v>
      </c>
      <c r="B39" s="83" t="s">
        <v>4416</v>
      </c>
    </row>
    <row r="40" spans="1:2" ht="15">
      <c r="A40" s="84" t="s">
        <v>3703</v>
      </c>
      <c r="B40" s="83" t="s">
        <v>4416</v>
      </c>
    </row>
    <row r="41" spans="1:2" ht="15">
      <c r="A41" s="84" t="s">
        <v>3704</v>
      </c>
      <c r="B41" s="83" t="s">
        <v>4416</v>
      </c>
    </row>
    <row r="42" spans="1:2" ht="15">
      <c r="A42" s="84" t="s">
        <v>3705</v>
      </c>
      <c r="B42" s="83" t="s">
        <v>4416</v>
      </c>
    </row>
    <row r="43" spans="1:2" ht="15">
      <c r="A43" s="84" t="s">
        <v>3706</v>
      </c>
      <c r="B43" s="83" t="s">
        <v>4416</v>
      </c>
    </row>
    <row r="44" spans="1:2" ht="15">
      <c r="A44" s="84" t="s">
        <v>3707</v>
      </c>
      <c r="B44" s="83" t="s">
        <v>4416</v>
      </c>
    </row>
    <row r="45" spans="1:2" ht="15">
      <c r="A45" s="84" t="s">
        <v>3708</v>
      </c>
      <c r="B45" s="83" t="s">
        <v>4416</v>
      </c>
    </row>
    <row r="46" spans="1:2" ht="15">
      <c r="A46" s="84" t="s">
        <v>3709</v>
      </c>
      <c r="B46" s="83" t="s">
        <v>4416</v>
      </c>
    </row>
    <row r="47" spans="1:2" ht="15">
      <c r="A47" s="84" t="s">
        <v>3710</v>
      </c>
      <c r="B47" s="83" t="s">
        <v>4416</v>
      </c>
    </row>
    <row r="48" spans="1:2" ht="15">
      <c r="A48" s="84" t="s">
        <v>3711</v>
      </c>
      <c r="B48" s="83" t="s">
        <v>4416</v>
      </c>
    </row>
    <row r="49" spans="1:2" ht="15">
      <c r="A49" s="84" t="s">
        <v>3712</v>
      </c>
      <c r="B49" s="83" t="s">
        <v>4416</v>
      </c>
    </row>
    <row r="50" spans="1:2" ht="15">
      <c r="A50" s="84" t="s">
        <v>3713</v>
      </c>
      <c r="B50" s="83" t="s">
        <v>4416</v>
      </c>
    </row>
    <row r="51" spans="1:2" ht="15">
      <c r="A51" s="84" t="s">
        <v>3714</v>
      </c>
      <c r="B51" s="83" t="s">
        <v>4416</v>
      </c>
    </row>
    <row r="52" spans="1:2" ht="15">
      <c r="A52" s="84" t="s">
        <v>3715</v>
      </c>
      <c r="B52" s="83" t="s">
        <v>4416</v>
      </c>
    </row>
    <row r="53" spans="1:2" ht="15">
      <c r="A53" s="84" t="s">
        <v>3716</v>
      </c>
      <c r="B53" s="83" t="s">
        <v>4416</v>
      </c>
    </row>
    <row r="54" spans="1:2" ht="15">
      <c r="A54" s="84" t="s">
        <v>3717</v>
      </c>
      <c r="B54" s="83" t="s">
        <v>4416</v>
      </c>
    </row>
    <row r="55" spans="1:2" ht="15">
      <c r="A55" s="84" t="s">
        <v>3718</v>
      </c>
      <c r="B55" s="83" t="s">
        <v>4416</v>
      </c>
    </row>
    <row r="56" spans="1:2" ht="15">
      <c r="A56" s="84" t="s">
        <v>3719</v>
      </c>
      <c r="B56" s="83" t="s">
        <v>4416</v>
      </c>
    </row>
    <row r="57" spans="1:2" ht="15">
      <c r="A57" s="84" t="s">
        <v>3720</v>
      </c>
      <c r="B57" s="83" t="s">
        <v>4416</v>
      </c>
    </row>
    <row r="58" spans="1:2" ht="15">
      <c r="A58" s="84" t="s">
        <v>3721</v>
      </c>
      <c r="B58" s="83" t="s">
        <v>4416</v>
      </c>
    </row>
    <row r="59" spans="1:2" ht="15">
      <c r="A59" s="84" t="s">
        <v>3722</v>
      </c>
      <c r="B59" s="83" t="s">
        <v>4416</v>
      </c>
    </row>
    <row r="60" spans="1:2" ht="15">
      <c r="A60" s="84" t="s">
        <v>3723</v>
      </c>
      <c r="B60" s="83" t="s">
        <v>4416</v>
      </c>
    </row>
    <row r="61" spans="1:2" ht="15">
      <c r="A61" s="84" t="s">
        <v>3724</v>
      </c>
      <c r="B61" s="83" t="s">
        <v>4416</v>
      </c>
    </row>
    <row r="62" spans="1:2" ht="15">
      <c r="A62" s="84" t="s">
        <v>3725</v>
      </c>
      <c r="B62" s="83" t="s">
        <v>4416</v>
      </c>
    </row>
    <row r="63" spans="1:2" ht="15">
      <c r="A63" s="84" t="s">
        <v>3726</v>
      </c>
      <c r="B63" s="83" t="s">
        <v>4416</v>
      </c>
    </row>
    <row r="64" spans="1:2" ht="15">
      <c r="A64" s="84" t="s">
        <v>3727</v>
      </c>
      <c r="B64" s="83" t="s">
        <v>4416</v>
      </c>
    </row>
    <row r="65" spans="1:2" ht="15">
      <c r="A65" s="84" t="s">
        <v>3728</v>
      </c>
      <c r="B65" s="83" t="s">
        <v>4416</v>
      </c>
    </row>
    <row r="66" spans="1:2" ht="15">
      <c r="A66" s="84" t="s">
        <v>3729</v>
      </c>
      <c r="B66" s="83" t="s">
        <v>4416</v>
      </c>
    </row>
    <row r="67" spans="1:2" ht="15">
      <c r="A67" s="84" t="s">
        <v>3730</v>
      </c>
      <c r="B67" s="83" t="s">
        <v>4416</v>
      </c>
    </row>
    <row r="68" spans="1:2" ht="15">
      <c r="A68" s="84" t="s">
        <v>3731</v>
      </c>
      <c r="B68" s="83" t="s">
        <v>4416</v>
      </c>
    </row>
    <row r="69" spans="1:2" ht="15">
      <c r="A69" s="84" t="s">
        <v>3732</v>
      </c>
      <c r="B69" s="83" t="s">
        <v>4416</v>
      </c>
    </row>
    <row r="70" spans="1:2" ht="15">
      <c r="A70" s="84" t="s">
        <v>3733</v>
      </c>
      <c r="B70" s="83" t="s">
        <v>4416</v>
      </c>
    </row>
    <row r="71" spans="1:2" ht="15">
      <c r="A71" s="84" t="s">
        <v>3734</v>
      </c>
      <c r="B71" s="83" t="s">
        <v>4416</v>
      </c>
    </row>
    <row r="72" spans="1:2" ht="15">
      <c r="A72" s="84" t="s">
        <v>3735</v>
      </c>
      <c r="B72" s="83" t="s">
        <v>4416</v>
      </c>
    </row>
    <row r="73" spans="1:2" ht="15">
      <c r="A73" s="84" t="s">
        <v>3736</v>
      </c>
      <c r="B73" s="83" t="s">
        <v>4416</v>
      </c>
    </row>
    <row r="74" spans="1:2" ht="15">
      <c r="A74" s="84" t="s">
        <v>3737</v>
      </c>
      <c r="B74" s="83" t="s">
        <v>4416</v>
      </c>
    </row>
    <row r="75" spans="1:2" ht="15">
      <c r="A75" s="84" t="s">
        <v>3738</v>
      </c>
      <c r="B75" s="83" t="s">
        <v>4416</v>
      </c>
    </row>
    <row r="76" spans="1:2" ht="15">
      <c r="A76" s="84" t="s">
        <v>3739</v>
      </c>
      <c r="B76" s="83" t="s">
        <v>4416</v>
      </c>
    </row>
    <row r="77" spans="1:2" ht="15">
      <c r="A77" s="84" t="s">
        <v>3740</v>
      </c>
      <c r="B77" s="83" t="s">
        <v>4416</v>
      </c>
    </row>
    <row r="78" spans="1:2" ht="15">
      <c r="A78" s="84" t="s">
        <v>3741</v>
      </c>
      <c r="B78" s="83" t="s">
        <v>4416</v>
      </c>
    </row>
    <row r="79" spans="1:2" ht="15">
      <c r="A79" s="84" t="s">
        <v>3742</v>
      </c>
      <c r="B79" s="83" t="s">
        <v>4416</v>
      </c>
    </row>
    <row r="80" spans="1:2" ht="15">
      <c r="A80" s="84" t="s">
        <v>3743</v>
      </c>
      <c r="B80" s="83" t="s">
        <v>4416</v>
      </c>
    </row>
    <row r="81" spans="1:2" ht="15">
      <c r="A81" s="84" t="s">
        <v>3744</v>
      </c>
      <c r="B81" s="83" t="s">
        <v>4416</v>
      </c>
    </row>
    <row r="82" spans="1:2" ht="15">
      <c r="A82" s="84" t="s">
        <v>3745</v>
      </c>
      <c r="B82" s="83" t="s">
        <v>4416</v>
      </c>
    </row>
    <row r="83" spans="1:2" ht="15">
      <c r="A83" s="84" t="s">
        <v>3746</v>
      </c>
      <c r="B83" s="83" t="s">
        <v>4416</v>
      </c>
    </row>
    <row r="84" spans="1:2" ht="15">
      <c r="A84" s="84" t="s">
        <v>3747</v>
      </c>
      <c r="B84" s="83" t="s">
        <v>4416</v>
      </c>
    </row>
    <row r="85" spans="1:2" ht="15">
      <c r="A85" s="84" t="s">
        <v>3748</v>
      </c>
      <c r="B85" s="83" t="s">
        <v>4416</v>
      </c>
    </row>
    <row r="86" spans="1:2" ht="15">
      <c r="A86" s="84" t="s">
        <v>3749</v>
      </c>
      <c r="B86" s="83" t="s">
        <v>4416</v>
      </c>
    </row>
    <row r="87" spans="1:2" ht="15">
      <c r="A87" s="84" t="s">
        <v>3750</v>
      </c>
      <c r="B87" s="83" t="s">
        <v>4416</v>
      </c>
    </row>
    <row r="88" spans="1:2" ht="15">
      <c r="A88" s="84" t="s">
        <v>3751</v>
      </c>
      <c r="B88" s="83" t="s">
        <v>4416</v>
      </c>
    </row>
    <row r="89" spans="1:2" ht="15">
      <c r="A89" s="84" t="s">
        <v>3752</v>
      </c>
      <c r="B89" s="83" t="s">
        <v>4416</v>
      </c>
    </row>
    <row r="90" spans="1:2" ht="15">
      <c r="A90" s="84" t="s">
        <v>3753</v>
      </c>
      <c r="B90" s="83" t="s">
        <v>4416</v>
      </c>
    </row>
    <row r="91" spans="1:2" ht="15">
      <c r="A91" s="84" t="s">
        <v>3754</v>
      </c>
      <c r="B91" s="83" t="s">
        <v>4416</v>
      </c>
    </row>
    <row r="92" spans="1:2" ht="15">
      <c r="A92" s="84" t="s">
        <v>3755</v>
      </c>
      <c r="B92" s="83" t="s">
        <v>4416</v>
      </c>
    </row>
    <row r="93" spans="1:2" ht="15">
      <c r="A93" s="84" t="s">
        <v>3756</v>
      </c>
      <c r="B93" s="83" t="s">
        <v>4416</v>
      </c>
    </row>
    <row r="94" spans="1:2" ht="15">
      <c r="A94" s="84" t="s">
        <v>1456</v>
      </c>
      <c r="B94" s="83" t="s">
        <v>4416</v>
      </c>
    </row>
    <row r="95" spans="1:2" ht="15">
      <c r="A95" s="84" t="s">
        <v>3757</v>
      </c>
      <c r="B95" s="83" t="s">
        <v>4416</v>
      </c>
    </row>
    <row r="96" spans="1:2" ht="15">
      <c r="A96" s="84" t="s">
        <v>3758</v>
      </c>
      <c r="B96" s="83" t="s">
        <v>4416</v>
      </c>
    </row>
    <row r="97" spans="1:2" ht="15">
      <c r="A97" s="84" t="s">
        <v>3759</v>
      </c>
      <c r="B97" s="83" t="s">
        <v>4416</v>
      </c>
    </row>
    <row r="98" spans="1:2" ht="15">
      <c r="A98" s="84" t="s">
        <v>3760</v>
      </c>
      <c r="B98" s="83" t="s">
        <v>4416</v>
      </c>
    </row>
    <row r="99" spans="1:2" ht="15">
      <c r="A99" s="84" t="s">
        <v>3761</v>
      </c>
      <c r="B99" s="83" t="s">
        <v>4416</v>
      </c>
    </row>
    <row r="100" spans="1:2" ht="15">
      <c r="A100" s="84" t="s">
        <v>3762</v>
      </c>
      <c r="B100" s="83" t="s">
        <v>4416</v>
      </c>
    </row>
    <row r="101" spans="1:2" ht="15">
      <c r="A101" s="84" t="s">
        <v>3763</v>
      </c>
      <c r="B101" s="83" t="s">
        <v>4416</v>
      </c>
    </row>
    <row r="102" spans="1:2" ht="15">
      <c r="A102" s="84" t="s">
        <v>3764</v>
      </c>
      <c r="B102" s="83" t="s">
        <v>4416</v>
      </c>
    </row>
    <row r="103" spans="1:2" ht="15">
      <c r="A103" s="84" t="s">
        <v>3765</v>
      </c>
      <c r="B103" s="83" t="s">
        <v>4416</v>
      </c>
    </row>
    <row r="104" spans="1:2" ht="15">
      <c r="A104" s="84" t="s">
        <v>3766</v>
      </c>
      <c r="B104" s="83" t="s">
        <v>4416</v>
      </c>
    </row>
    <row r="105" spans="1:2" ht="15">
      <c r="A105" s="84" t="s">
        <v>3767</v>
      </c>
      <c r="B105" s="83" t="s">
        <v>4416</v>
      </c>
    </row>
    <row r="106" spans="1:2" ht="15">
      <c r="A106" s="84" t="s">
        <v>3768</v>
      </c>
      <c r="B106" s="83" t="s">
        <v>4416</v>
      </c>
    </row>
    <row r="107" spans="1:2" ht="15">
      <c r="A107" s="84" t="s">
        <v>3769</v>
      </c>
      <c r="B107" s="83" t="s">
        <v>4416</v>
      </c>
    </row>
    <row r="108" spans="1:2" ht="15">
      <c r="A108" s="84" t="s">
        <v>3770</v>
      </c>
      <c r="B108" s="83" t="s">
        <v>4416</v>
      </c>
    </row>
    <row r="109" spans="1:2" ht="15">
      <c r="A109" s="84" t="s">
        <v>3771</v>
      </c>
      <c r="B109" s="83" t="s">
        <v>4416</v>
      </c>
    </row>
    <row r="110" spans="1:2" ht="15">
      <c r="A110" s="84" t="s">
        <v>3772</v>
      </c>
      <c r="B110" s="83" t="s">
        <v>4416</v>
      </c>
    </row>
    <row r="111" spans="1:2" ht="15">
      <c r="A111" s="84" t="s">
        <v>3773</v>
      </c>
      <c r="B111" s="83" t="s">
        <v>4416</v>
      </c>
    </row>
    <row r="112" spans="1:2" ht="15">
      <c r="A112" s="84" t="s">
        <v>3774</v>
      </c>
      <c r="B112" s="83" t="s">
        <v>4416</v>
      </c>
    </row>
    <row r="113" spans="1:2" ht="15">
      <c r="A113" s="84" t="s">
        <v>3775</v>
      </c>
      <c r="B113" s="83" t="s">
        <v>4416</v>
      </c>
    </row>
    <row r="114" spans="1:2" ht="15">
      <c r="A114" s="84" t="s">
        <v>3776</v>
      </c>
      <c r="B114" s="83" t="s">
        <v>4416</v>
      </c>
    </row>
    <row r="115" spans="1:2" ht="15">
      <c r="A115" s="84" t="s">
        <v>3777</v>
      </c>
      <c r="B115" s="83" t="s">
        <v>4416</v>
      </c>
    </row>
    <row r="116" spans="1:2" ht="15">
      <c r="A116" s="84" t="s">
        <v>3778</v>
      </c>
      <c r="B116" s="83" t="s">
        <v>4416</v>
      </c>
    </row>
    <row r="117" spans="1:2" ht="15">
      <c r="A117" s="84" t="s">
        <v>3779</v>
      </c>
      <c r="B117" s="83" t="s">
        <v>4416</v>
      </c>
    </row>
    <row r="118" spans="1:2" ht="15">
      <c r="A118" s="84" t="s">
        <v>3780</v>
      </c>
      <c r="B118" s="83" t="s">
        <v>4416</v>
      </c>
    </row>
    <row r="119" spans="1:2" ht="15">
      <c r="A119" s="84" t="s">
        <v>3781</v>
      </c>
      <c r="B119" s="83" t="s">
        <v>4416</v>
      </c>
    </row>
    <row r="120" spans="1:2" ht="15">
      <c r="A120" s="84" t="s">
        <v>3782</v>
      </c>
      <c r="B120" s="83" t="s">
        <v>4416</v>
      </c>
    </row>
    <row r="121" spans="1:2" ht="15">
      <c r="A121" s="84" t="s">
        <v>3783</v>
      </c>
      <c r="B121" s="83" t="s">
        <v>4416</v>
      </c>
    </row>
    <row r="122" spans="1:2" ht="15">
      <c r="A122" s="84" t="s">
        <v>3784</v>
      </c>
      <c r="B122" s="83" t="s">
        <v>4416</v>
      </c>
    </row>
    <row r="123" spans="1:2" ht="15">
      <c r="A123" s="84" t="s">
        <v>3785</v>
      </c>
      <c r="B123" s="83" t="s">
        <v>4416</v>
      </c>
    </row>
    <row r="124" spans="1:2" ht="15">
      <c r="A124" s="84" t="s">
        <v>3786</v>
      </c>
      <c r="B124" s="83" t="s">
        <v>4416</v>
      </c>
    </row>
    <row r="125" spans="1:2" ht="15">
      <c r="A125" s="84" t="s">
        <v>3787</v>
      </c>
      <c r="B125" s="83" t="s">
        <v>4416</v>
      </c>
    </row>
    <row r="126" spans="1:2" ht="15">
      <c r="A126" s="84" t="s">
        <v>3788</v>
      </c>
      <c r="B126" s="83" t="s">
        <v>4416</v>
      </c>
    </row>
    <row r="127" spans="1:2" ht="15">
      <c r="A127" s="84" t="s">
        <v>3789</v>
      </c>
      <c r="B127" s="83" t="s">
        <v>4416</v>
      </c>
    </row>
    <row r="128" spans="1:2" ht="15">
      <c r="A128" s="84" t="s">
        <v>3790</v>
      </c>
      <c r="B128" s="83" t="s">
        <v>4416</v>
      </c>
    </row>
    <row r="129" spans="1:2" ht="15">
      <c r="A129" s="84" t="s">
        <v>3791</v>
      </c>
      <c r="B129" s="83" t="s">
        <v>4416</v>
      </c>
    </row>
    <row r="130" spans="1:2" ht="15">
      <c r="A130" s="84" t="s">
        <v>3792</v>
      </c>
      <c r="B130" s="83" t="s">
        <v>4416</v>
      </c>
    </row>
    <row r="131" spans="1:2" ht="15">
      <c r="A131" s="84" t="s">
        <v>3793</v>
      </c>
      <c r="B131" s="83" t="s">
        <v>4416</v>
      </c>
    </row>
    <row r="132" spans="1:2" ht="15">
      <c r="A132" s="84" t="s">
        <v>3794</v>
      </c>
      <c r="B132" s="83" t="s">
        <v>4416</v>
      </c>
    </row>
    <row r="133" spans="1:2" ht="15">
      <c r="A133" s="84" t="s">
        <v>3795</v>
      </c>
      <c r="B133" s="83" t="s">
        <v>4416</v>
      </c>
    </row>
    <row r="134" spans="1:2" ht="15">
      <c r="A134" s="84" t="s">
        <v>3796</v>
      </c>
      <c r="B134" s="83" t="s">
        <v>4416</v>
      </c>
    </row>
    <row r="135" spans="1:2" ht="15">
      <c r="A135" s="84" t="s">
        <v>3797</v>
      </c>
      <c r="B135" s="83" t="s">
        <v>4416</v>
      </c>
    </row>
    <row r="136" spans="1:2" ht="15">
      <c r="A136" s="84" t="s">
        <v>3798</v>
      </c>
      <c r="B136" s="83" t="s">
        <v>4416</v>
      </c>
    </row>
    <row r="137" spans="1:2" ht="15">
      <c r="A137" s="84" t="s">
        <v>3799</v>
      </c>
      <c r="B137" s="83" t="s">
        <v>4416</v>
      </c>
    </row>
    <row r="138" spans="1:2" ht="15">
      <c r="A138" s="84" t="s">
        <v>3800</v>
      </c>
      <c r="B138" s="83" t="s">
        <v>4416</v>
      </c>
    </row>
    <row r="139" spans="1:2" ht="15">
      <c r="A139" s="84" t="s">
        <v>3801</v>
      </c>
      <c r="B139" s="83" t="s">
        <v>4416</v>
      </c>
    </row>
    <row r="140" spans="1:2" ht="15">
      <c r="A140" s="84" t="s">
        <v>3802</v>
      </c>
      <c r="B140" s="83" t="s">
        <v>4416</v>
      </c>
    </row>
    <row r="141" spans="1:2" ht="15">
      <c r="A141" s="84" t="s">
        <v>3803</v>
      </c>
      <c r="B141" s="83" t="s">
        <v>4416</v>
      </c>
    </row>
    <row r="142" spans="1:2" ht="15">
      <c r="A142" s="84" t="s">
        <v>3804</v>
      </c>
      <c r="B142" s="83" t="s">
        <v>4416</v>
      </c>
    </row>
    <row r="143" spans="1:2" ht="15">
      <c r="A143" s="84" t="s">
        <v>3805</v>
      </c>
      <c r="B143" s="83" t="s">
        <v>4416</v>
      </c>
    </row>
    <row r="144" spans="1:2" ht="15">
      <c r="A144" s="84" t="s">
        <v>3806</v>
      </c>
      <c r="B144" s="83" t="s">
        <v>4416</v>
      </c>
    </row>
    <row r="145" spans="1:2" ht="15">
      <c r="A145" s="84" t="s">
        <v>3807</v>
      </c>
      <c r="B145" s="83" t="s">
        <v>4416</v>
      </c>
    </row>
    <row r="146" spans="1:2" ht="15">
      <c r="A146" s="84" t="s">
        <v>3808</v>
      </c>
      <c r="B146" s="83" t="s">
        <v>4416</v>
      </c>
    </row>
    <row r="147" spans="1:2" ht="15">
      <c r="A147" s="84" t="s">
        <v>3809</v>
      </c>
      <c r="B147" s="83" t="s">
        <v>4416</v>
      </c>
    </row>
    <row r="148" spans="1:2" ht="15">
      <c r="A148" s="84" t="s">
        <v>3810</v>
      </c>
      <c r="B148" s="83" t="s">
        <v>4416</v>
      </c>
    </row>
    <row r="149" spans="1:2" ht="15">
      <c r="A149" s="84" t="s">
        <v>3811</v>
      </c>
      <c r="B149" s="83" t="s">
        <v>4416</v>
      </c>
    </row>
    <row r="150" spans="1:2" ht="15">
      <c r="A150" s="84" t="s">
        <v>3812</v>
      </c>
      <c r="B150" s="83" t="s">
        <v>4416</v>
      </c>
    </row>
    <row r="151" spans="1:2" ht="15">
      <c r="A151" s="84" t="s">
        <v>3813</v>
      </c>
      <c r="B151" s="83" t="s">
        <v>4416</v>
      </c>
    </row>
    <row r="152" spans="1:2" ht="15">
      <c r="A152" s="84" t="s">
        <v>3814</v>
      </c>
      <c r="B152" s="83" t="s">
        <v>4416</v>
      </c>
    </row>
    <row r="153" spans="1:2" ht="15">
      <c r="A153" s="84" t="s">
        <v>3815</v>
      </c>
      <c r="B153" s="83" t="s">
        <v>4416</v>
      </c>
    </row>
    <row r="154" spans="1:2" ht="15">
      <c r="A154" s="84" t="s">
        <v>3816</v>
      </c>
      <c r="B154" s="83" t="s">
        <v>4416</v>
      </c>
    </row>
    <row r="155" spans="1:2" ht="15">
      <c r="A155" s="84" t="s">
        <v>3817</v>
      </c>
      <c r="B155" s="83" t="s">
        <v>4416</v>
      </c>
    </row>
    <row r="156" spans="1:2" ht="15">
      <c r="A156" s="84" t="s">
        <v>3818</v>
      </c>
      <c r="B156" s="83" t="s">
        <v>4416</v>
      </c>
    </row>
    <row r="157" spans="1:2" ht="15">
      <c r="A157" s="84" t="s">
        <v>3819</v>
      </c>
      <c r="B157" s="83" t="s">
        <v>4416</v>
      </c>
    </row>
    <row r="158" spans="1:2" ht="15">
      <c r="A158" s="84" t="s">
        <v>3820</v>
      </c>
      <c r="B158" s="83" t="s">
        <v>4416</v>
      </c>
    </row>
    <row r="159" spans="1:2" ht="15">
      <c r="A159" s="84" t="s">
        <v>3821</v>
      </c>
      <c r="B159" s="83" t="s">
        <v>4416</v>
      </c>
    </row>
    <row r="160" spans="1:2" ht="15">
      <c r="A160" s="84" t="s">
        <v>3822</v>
      </c>
      <c r="B160" s="83" t="s">
        <v>4416</v>
      </c>
    </row>
    <row r="161" spans="1:2" ht="15">
      <c r="A161" s="84" t="s">
        <v>3823</v>
      </c>
      <c r="B161" s="83" t="s">
        <v>4416</v>
      </c>
    </row>
    <row r="162" spans="1:2" ht="15">
      <c r="A162" s="84" t="s">
        <v>3824</v>
      </c>
      <c r="B162" s="83" t="s">
        <v>4416</v>
      </c>
    </row>
    <row r="163" spans="1:2" ht="15">
      <c r="A163" s="84" t="s">
        <v>3825</v>
      </c>
      <c r="B163" s="83" t="s">
        <v>4416</v>
      </c>
    </row>
    <row r="164" spans="1:2" ht="15">
      <c r="A164" s="84" t="s">
        <v>3826</v>
      </c>
      <c r="B164" s="83" t="s">
        <v>4416</v>
      </c>
    </row>
    <row r="165" spans="1:2" ht="15">
      <c r="A165" s="84" t="s">
        <v>3827</v>
      </c>
      <c r="B165" s="83" t="s">
        <v>4416</v>
      </c>
    </row>
    <row r="166" spans="1:2" ht="15">
      <c r="A166" s="84" t="s">
        <v>3828</v>
      </c>
      <c r="B166" s="83" t="s">
        <v>4416</v>
      </c>
    </row>
    <row r="167" spans="1:2" ht="15">
      <c r="A167" s="84" t="s">
        <v>3829</v>
      </c>
      <c r="B167" s="83" t="s">
        <v>4416</v>
      </c>
    </row>
    <row r="168" spans="1:2" ht="15">
      <c r="A168" s="84" t="s">
        <v>3830</v>
      </c>
      <c r="B168" s="83" t="s">
        <v>4416</v>
      </c>
    </row>
    <row r="169" spans="1:2" ht="15">
      <c r="A169" s="84" t="s">
        <v>3831</v>
      </c>
      <c r="B169" s="83" t="s">
        <v>4416</v>
      </c>
    </row>
    <row r="170" spans="1:2" ht="15">
      <c r="A170" s="84" t="s">
        <v>3832</v>
      </c>
      <c r="B170" s="83" t="s">
        <v>4416</v>
      </c>
    </row>
    <row r="171" spans="1:2" ht="15">
      <c r="A171" s="84" t="s">
        <v>3833</v>
      </c>
      <c r="B171" s="83" t="s">
        <v>4416</v>
      </c>
    </row>
    <row r="172" spans="1:2" ht="15">
      <c r="A172" s="84" t="s">
        <v>3834</v>
      </c>
      <c r="B172" s="83" t="s">
        <v>4416</v>
      </c>
    </row>
    <row r="173" spans="1:2" ht="15">
      <c r="A173" s="84" t="s">
        <v>3835</v>
      </c>
      <c r="B173" s="83" t="s">
        <v>4416</v>
      </c>
    </row>
    <row r="174" spans="1:2" ht="15">
      <c r="A174" s="84" t="s">
        <v>3836</v>
      </c>
      <c r="B174" s="83" t="s">
        <v>4416</v>
      </c>
    </row>
    <row r="175" spans="1:2" ht="15">
      <c r="A175" s="84" t="s">
        <v>3837</v>
      </c>
      <c r="B175" s="83" t="s">
        <v>4416</v>
      </c>
    </row>
    <row r="176" spans="1:2" ht="15">
      <c r="A176" s="84" t="s">
        <v>3838</v>
      </c>
      <c r="B176" s="83" t="s">
        <v>4416</v>
      </c>
    </row>
    <row r="177" spans="1:2" ht="15">
      <c r="A177" s="84" t="s">
        <v>3839</v>
      </c>
      <c r="B177" s="83" t="s">
        <v>4416</v>
      </c>
    </row>
    <row r="178" spans="1:2" ht="15">
      <c r="A178" s="84" t="s">
        <v>3840</v>
      </c>
      <c r="B178" s="83" t="s">
        <v>4416</v>
      </c>
    </row>
    <row r="179" spans="1:2" ht="15">
      <c r="A179" s="84" t="s">
        <v>3841</v>
      </c>
      <c r="B179" s="83" t="s">
        <v>4416</v>
      </c>
    </row>
    <row r="180" spans="1:2" ht="15">
      <c r="A180" s="84" t="s">
        <v>3842</v>
      </c>
      <c r="B180" s="83" t="s">
        <v>4416</v>
      </c>
    </row>
    <row r="181" spans="1:2" ht="15">
      <c r="A181" s="84" t="s">
        <v>3843</v>
      </c>
      <c r="B181" s="83" t="s">
        <v>4416</v>
      </c>
    </row>
    <row r="182" spans="1:2" ht="15">
      <c r="A182" s="84" t="s">
        <v>3844</v>
      </c>
      <c r="B182" s="83" t="s">
        <v>4416</v>
      </c>
    </row>
    <row r="183" spans="1:2" ht="15">
      <c r="A183" s="84" t="s">
        <v>3845</v>
      </c>
      <c r="B183" s="83" t="s">
        <v>4416</v>
      </c>
    </row>
    <row r="184" spans="1:2" ht="15">
      <c r="A184" s="84" t="s">
        <v>3846</v>
      </c>
      <c r="B184" s="83" t="s">
        <v>4416</v>
      </c>
    </row>
    <row r="185" spans="1:2" ht="15">
      <c r="A185" s="84" t="s">
        <v>3847</v>
      </c>
      <c r="B185" s="83" t="s">
        <v>4416</v>
      </c>
    </row>
    <row r="186" spans="1:2" ht="15">
      <c r="A186" s="84" t="s">
        <v>3848</v>
      </c>
      <c r="B186" s="83" t="s">
        <v>4416</v>
      </c>
    </row>
    <row r="187" spans="1:2" ht="15">
      <c r="A187" s="84" t="s">
        <v>3849</v>
      </c>
      <c r="B187" s="83" t="s">
        <v>4416</v>
      </c>
    </row>
    <row r="188" spans="1:2" ht="15">
      <c r="A188" s="84" t="s">
        <v>3850</v>
      </c>
      <c r="B188" s="83" t="s">
        <v>4416</v>
      </c>
    </row>
    <row r="189" spans="1:2" ht="15">
      <c r="A189" s="84" t="s">
        <v>3851</v>
      </c>
      <c r="B189" s="83" t="s">
        <v>4416</v>
      </c>
    </row>
    <row r="190" spans="1:2" ht="15">
      <c r="A190" s="84" t="s">
        <v>3852</v>
      </c>
      <c r="B190" s="83" t="s">
        <v>4416</v>
      </c>
    </row>
    <row r="191" spans="1:2" ht="15">
      <c r="A191" s="84" t="s">
        <v>1462</v>
      </c>
      <c r="B191" s="83" t="s">
        <v>4416</v>
      </c>
    </row>
    <row r="192" spans="1:2" ht="15">
      <c r="A192" s="84" t="s">
        <v>3853</v>
      </c>
      <c r="B192" s="83" t="s">
        <v>4416</v>
      </c>
    </row>
    <row r="193" spans="1:2" ht="15">
      <c r="A193" s="84" t="s">
        <v>3854</v>
      </c>
      <c r="B193" s="83" t="s">
        <v>4416</v>
      </c>
    </row>
    <row r="194" spans="1:2" ht="15">
      <c r="A194" s="84" t="s">
        <v>3855</v>
      </c>
      <c r="B194" s="83" t="s">
        <v>4416</v>
      </c>
    </row>
    <row r="195" spans="1:2" ht="15">
      <c r="A195" s="84" t="s">
        <v>3856</v>
      </c>
      <c r="B195" s="83" t="s">
        <v>4416</v>
      </c>
    </row>
    <row r="196" spans="1:2" ht="15">
      <c r="A196" s="84" t="s">
        <v>3857</v>
      </c>
      <c r="B196" s="83" t="s">
        <v>4416</v>
      </c>
    </row>
    <row r="197" spans="1:2" ht="15">
      <c r="A197" s="84" t="s">
        <v>3858</v>
      </c>
      <c r="B197" s="83" t="s">
        <v>4416</v>
      </c>
    </row>
    <row r="198" spans="1:2" ht="15">
      <c r="A198" s="84" t="s">
        <v>3859</v>
      </c>
      <c r="B198" s="83" t="s">
        <v>4416</v>
      </c>
    </row>
    <row r="199" spans="1:2" ht="15">
      <c r="A199" s="84" t="s">
        <v>3860</v>
      </c>
      <c r="B199" s="83" t="s">
        <v>4416</v>
      </c>
    </row>
    <row r="200" spans="1:2" ht="15">
      <c r="A200" s="84" t="s">
        <v>3861</v>
      </c>
      <c r="B200" s="83" t="s">
        <v>4416</v>
      </c>
    </row>
    <row r="201" spans="1:2" ht="15">
      <c r="A201" s="84" t="s">
        <v>3862</v>
      </c>
      <c r="B201" s="83" t="s">
        <v>4416</v>
      </c>
    </row>
    <row r="202" spans="1:2" ht="15">
      <c r="A202" s="84" t="s">
        <v>3863</v>
      </c>
      <c r="B202" s="83" t="s">
        <v>4416</v>
      </c>
    </row>
    <row r="203" spans="1:2" ht="15">
      <c r="A203" s="84" t="s">
        <v>3864</v>
      </c>
      <c r="B203" s="83" t="s">
        <v>4416</v>
      </c>
    </row>
    <row r="204" spans="1:2" ht="15">
      <c r="A204" s="84" t="s">
        <v>3865</v>
      </c>
      <c r="B204" s="83" t="s">
        <v>4416</v>
      </c>
    </row>
    <row r="205" spans="1:2" ht="15">
      <c r="A205" s="84" t="s">
        <v>3866</v>
      </c>
      <c r="B205" s="83" t="s">
        <v>4416</v>
      </c>
    </row>
    <row r="206" spans="1:2" ht="15">
      <c r="A206" s="84" t="s">
        <v>3867</v>
      </c>
      <c r="B206" s="83" t="s">
        <v>4416</v>
      </c>
    </row>
    <row r="207" spans="1:2" ht="15">
      <c r="A207" s="84" t="s">
        <v>3868</v>
      </c>
      <c r="B207" s="83" t="s">
        <v>4416</v>
      </c>
    </row>
    <row r="208" spans="1:2" ht="15">
      <c r="A208" s="84" t="s">
        <v>3869</v>
      </c>
      <c r="B208" s="83" t="s">
        <v>4416</v>
      </c>
    </row>
    <row r="209" spans="1:2" ht="15">
      <c r="A209" s="84" t="s">
        <v>3870</v>
      </c>
      <c r="B209" s="83" t="s">
        <v>4416</v>
      </c>
    </row>
    <row r="210" spans="1:2" ht="15">
      <c r="A210" s="84" t="s">
        <v>3871</v>
      </c>
      <c r="B210" s="83" t="s">
        <v>4416</v>
      </c>
    </row>
    <row r="211" spans="1:2" ht="15">
      <c r="A211" s="84" t="s">
        <v>3872</v>
      </c>
      <c r="B211" s="83" t="s">
        <v>4416</v>
      </c>
    </row>
    <row r="212" spans="1:2" ht="15">
      <c r="A212" s="84" t="s">
        <v>3873</v>
      </c>
      <c r="B212" s="83" t="s">
        <v>4416</v>
      </c>
    </row>
    <row r="213" spans="1:2" ht="15">
      <c r="A213" s="84" t="s">
        <v>3874</v>
      </c>
      <c r="B213" s="83" t="s">
        <v>4416</v>
      </c>
    </row>
    <row r="214" spans="1:2" ht="15">
      <c r="A214" s="84" t="s">
        <v>3875</v>
      </c>
      <c r="B214" s="83" t="s">
        <v>4416</v>
      </c>
    </row>
    <row r="215" spans="1:2" ht="15">
      <c r="A215" s="84" t="s">
        <v>3876</v>
      </c>
      <c r="B215" s="83" t="s">
        <v>4416</v>
      </c>
    </row>
    <row r="216" spans="1:2" ht="15">
      <c r="A216" s="84" t="s">
        <v>3877</v>
      </c>
      <c r="B216" s="83" t="s">
        <v>4416</v>
      </c>
    </row>
    <row r="217" spans="1:2" ht="15">
      <c r="A217" s="84" t="s">
        <v>3878</v>
      </c>
      <c r="B217" s="83" t="s">
        <v>4416</v>
      </c>
    </row>
    <row r="218" spans="1:2" ht="15">
      <c r="A218" s="84" t="s">
        <v>3879</v>
      </c>
      <c r="B218" s="83" t="s">
        <v>4416</v>
      </c>
    </row>
    <row r="219" spans="1:2" ht="15">
      <c r="A219" s="84" t="s">
        <v>3880</v>
      </c>
      <c r="B219" s="83" t="s">
        <v>4416</v>
      </c>
    </row>
    <row r="220" spans="1:2" ht="15">
      <c r="A220" s="84" t="s">
        <v>3881</v>
      </c>
      <c r="B220" s="83" t="s">
        <v>4416</v>
      </c>
    </row>
    <row r="221" spans="1:2" ht="15">
      <c r="A221" s="84" t="s">
        <v>3882</v>
      </c>
      <c r="B221" s="83" t="s">
        <v>4416</v>
      </c>
    </row>
    <row r="222" spans="1:2" ht="15">
      <c r="A222" s="84" t="s">
        <v>3883</v>
      </c>
      <c r="B222" s="83" t="s">
        <v>4416</v>
      </c>
    </row>
    <row r="223" spans="1:2" ht="15">
      <c r="A223" s="84" t="s">
        <v>3884</v>
      </c>
      <c r="B223" s="83" t="s">
        <v>4416</v>
      </c>
    </row>
    <row r="224" spans="1:2" ht="15">
      <c r="A224" s="84" t="s">
        <v>3885</v>
      </c>
      <c r="B224" s="83" t="s">
        <v>4416</v>
      </c>
    </row>
    <row r="225" spans="1:2" ht="15">
      <c r="A225" s="84" t="s">
        <v>3886</v>
      </c>
      <c r="B225" s="83" t="s">
        <v>4416</v>
      </c>
    </row>
    <row r="226" spans="1:2" ht="15">
      <c r="A226" s="84" t="s">
        <v>3887</v>
      </c>
      <c r="B226" s="83" t="s">
        <v>4416</v>
      </c>
    </row>
    <row r="227" spans="1:2" ht="15">
      <c r="A227" s="84" t="s">
        <v>3888</v>
      </c>
      <c r="B227" s="83" t="s">
        <v>4416</v>
      </c>
    </row>
    <row r="228" spans="1:2" ht="15">
      <c r="A228" s="84" t="s">
        <v>3889</v>
      </c>
      <c r="B228" s="83" t="s">
        <v>4416</v>
      </c>
    </row>
    <row r="229" spans="1:2" ht="15">
      <c r="A229" s="84" t="s">
        <v>3890</v>
      </c>
      <c r="B229" s="83" t="s">
        <v>4416</v>
      </c>
    </row>
    <row r="230" spans="1:2" ht="15">
      <c r="A230" s="84" t="s">
        <v>3891</v>
      </c>
      <c r="B230" s="83" t="s">
        <v>4416</v>
      </c>
    </row>
    <row r="231" spans="1:2" ht="15">
      <c r="A231" s="84" t="s">
        <v>3892</v>
      </c>
      <c r="B231" s="83" t="s">
        <v>4416</v>
      </c>
    </row>
    <row r="232" spans="1:2" ht="15">
      <c r="A232" s="84" t="s">
        <v>3893</v>
      </c>
      <c r="B232" s="83" t="s">
        <v>4416</v>
      </c>
    </row>
    <row r="233" spans="1:2" ht="15">
      <c r="A233" s="84" t="s">
        <v>3894</v>
      </c>
      <c r="B233" s="83" t="s">
        <v>4416</v>
      </c>
    </row>
    <row r="234" spans="1:2" ht="15">
      <c r="A234" s="84" t="s">
        <v>3895</v>
      </c>
      <c r="B234" s="83" t="s">
        <v>4416</v>
      </c>
    </row>
    <row r="235" spans="1:2" ht="15">
      <c r="A235" s="84" t="s">
        <v>3896</v>
      </c>
      <c r="B235" s="83" t="s">
        <v>4416</v>
      </c>
    </row>
    <row r="236" spans="1:2" ht="15">
      <c r="A236" s="84" t="s">
        <v>3897</v>
      </c>
      <c r="B236" s="83" t="s">
        <v>4416</v>
      </c>
    </row>
    <row r="237" spans="1:2" ht="15">
      <c r="A237" s="84" t="s">
        <v>3898</v>
      </c>
      <c r="B237" s="83" t="s">
        <v>4416</v>
      </c>
    </row>
    <row r="238" spans="1:2" ht="15">
      <c r="A238" s="84" t="s">
        <v>3899</v>
      </c>
      <c r="B238" s="83" t="s">
        <v>4416</v>
      </c>
    </row>
    <row r="239" spans="1:2" ht="15">
      <c r="A239" s="84" t="s">
        <v>3900</v>
      </c>
      <c r="B239" s="83" t="s">
        <v>4416</v>
      </c>
    </row>
    <row r="240" spans="1:2" ht="15">
      <c r="A240" s="84" t="s">
        <v>3901</v>
      </c>
      <c r="B240" s="83" t="s">
        <v>4416</v>
      </c>
    </row>
    <row r="241" spans="1:2" ht="15">
      <c r="A241" s="84" t="s">
        <v>3902</v>
      </c>
      <c r="B241" s="83" t="s">
        <v>4416</v>
      </c>
    </row>
    <row r="242" spans="1:2" ht="15">
      <c r="A242" s="84" t="s">
        <v>3903</v>
      </c>
      <c r="B242" s="83" t="s">
        <v>4416</v>
      </c>
    </row>
    <row r="243" spans="1:2" ht="15">
      <c r="A243" s="84" t="s">
        <v>3904</v>
      </c>
      <c r="B243" s="83" t="s">
        <v>4416</v>
      </c>
    </row>
    <row r="244" spans="1:2" ht="15">
      <c r="A244" s="84" t="s">
        <v>3905</v>
      </c>
      <c r="B244" s="83" t="s">
        <v>4416</v>
      </c>
    </row>
    <row r="245" spans="1:2" ht="15">
      <c r="A245" s="84" t="s">
        <v>3906</v>
      </c>
      <c r="B245" s="83" t="s">
        <v>4416</v>
      </c>
    </row>
    <row r="246" spans="1:2" ht="15">
      <c r="A246" s="84" t="s">
        <v>3907</v>
      </c>
      <c r="B246" s="83" t="s">
        <v>4416</v>
      </c>
    </row>
    <row r="247" spans="1:2" ht="15">
      <c r="A247" s="84" t="s">
        <v>3908</v>
      </c>
      <c r="B247" s="83" t="s">
        <v>4416</v>
      </c>
    </row>
    <row r="248" spans="1:2" ht="15">
      <c r="A248" s="84" t="s">
        <v>3909</v>
      </c>
      <c r="B248" s="83" t="s">
        <v>4416</v>
      </c>
    </row>
    <row r="249" spans="1:2" ht="15">
      <c r="A249" s="84" t="s">
        <v>3910</v>
      </c>
      <c r="B249" s="83" t="s">
        <v>4416</v>
      </c>
    </row>
    <row r="250" spans="1:2" ht="15">
      <c r="A250" s="84" t="s">
        <v>3911</v>
      </c>
      <c r="B250" s="83" t="s">
        <v>4416</v>
      </c>
    </row>
    <row r="251" spans="1:2" ht="15">
      <c r="A251" s="84" t="s">
        <v>3912</v>
      </c>
      <c r="B251" s="83" t="s">
        <v>4416</v>
      </c>
    </row>
    <row r="252" spans="1:2" ht="15">
      <c r="A252" s="84" t="s">
        <v>3913</v>
      </c>
      <c r="B252" s="83" t="s">
        <v>4416</v>
      </c>
    </row>
    <row r="253" spans="1:2" ht="15">
      <c r="A253" s="84" t="s">
        <v>3914</v>
      </c>
      <c r="B253" s="83" t="s">
        <v>4416</v>
      </c>
    </row>
    <row r="254" spans="1:2" ht="15">
      <c r="A254" s="84" t="s">
        <v>3915</v>
      </c>
      <c r="B254" s="83" t="s">
        <v>4416</v>
      </c>
    </row>
    <row r="255" spans="1:2" ht="15">
      <c r="A255" s="84" t="s">
        <v>3916</v>
      </c>
      <c r="B255" s="83" t="s">
        <v>4416</v>
      </c>
    </row>
    <row r="256" spans="1:2" ht="15">
      <c r="A256" s="84" t="s">
        <v>3917</v>
      </c>
      <c r="B256" s="83" t="s">
        <v>4416</v>
      </c>
    </row>
    <row r="257" spans="1:2" ht="15">
      <c r="A257" s="84" t="s">
        <v>3918</v>
      </c>
      <c r="B257" s="83" t="s">
        <v>4416</v>
      </c>
    </row>
    <row r="258" spans="1:2" ht="15">
      <c r="A258" s="84" t="s">
        <v>3919</v>
      </c>
      <c r="B258" s="83" t="s">
        <v>4416</v>
      </c>
    </row>
    <row r="259" spans="1:2" ht="15">
      <c r="A259" s="84" t="s">
        <v>3920</v>
      </c>
      <c r="B259" s="83" t="s">
        <v>4416</v>
      </c>
    </row>
    <row r="260" spans="1:2" ht="15">
      <c r="A260" s="84" t="s">
        <v>3921</v>
      </c>
      <c r="B260" s="83" t="s">
        <v>4416</v>
      </c>
    </row>
    <row r="261" spans="1:2" ht="15">
      <c r="A261" s="84" t="s">
        <v>3922</v>
      </c>
      <c r="B261" s="83" t="s">
        <v>4416</v>
      </c>
    </row>
    <row r="262" spans="1:2" ht="15">
      <c r="A262" s="84" t="s">
        <v>3923</v>
      </c>
      <c r="B262" s="83" t="s">
        <v>4416</v>
      </c>
    </row>
    <row r="263" spans="1:2" ht="15">
      <c r="A263" s="84" t="s">
        <v>3924</v>
      </c>
      <c r="B263" s="83" t="s">
        <v>4416</v>
      </c>
    </row>
    <row r="264" spans="1:2" ht="15">
      <c r="A264" s="84" t="s">
        <v>3925</v>
      </c>
      <c r="B264" s="83" t="s">
        <v>4416</v>
      </c>
    </row>
    <row r="265" spans="1:2" ht="15">
      <c r="A265" s="84" t="s">
        <v>3926</v>
      </c>
      <c r="B265" s="83" t="s">
        <v>4416</v>
      </c>
    </row>
    <row r="266" spans="1:2" ht="15">
      <c r="A266" s="84" t="s">
        <v>3927</v>
      </c>
      <c r="B266" s="83" t="s">
        <v>4416</v>
      </c>
    </row>
    <row r="267" spans="1:2" ht="15">
      <c r="A267" s="84" t="s">
        <v>3928</v>
      </c>
      <c r="B267" s="83" t="s">
        <v>4416</v>
      </c>
    </row>
    <row r="268" spans="1:2" ht="15">
      <c r="A268" s="84" t="s">
        <v>3929</v>
      </c>
      <c r="B268" s="83" t="s">
        <v>4416</v>
      </c>
    </row>
    <row r="269" spans="1:2" ht="15">
      <c r="A269" s="84" t="s">
        <v>3930</v>
      </c>
      <c r="B269" s="83" t="s">
        <v>4416</v>
      </c>
    </row>
    <row r="270" spans="1:2" ht="15">
      <c r="A270" s="84" t="s">
        <v>3931</v>
      </c>
      <c r="B270" s="83" t="s">
        <v>4416</v>
      </c>
    </row>
    <row r="271" spans="1:2" ht="15">
      <c r="A271" s="84" t="s">
        <v>3932</v>
      </c>
      <c r="B271" s="83" t="s">
        <v>4416</v>
      </c>
    </row>
    <row r="272" spans="1:2" ht="15">
      <c r="A272" s="84" t="s">
        <v>3933</v>
      </c>
      <c r="B272" s="83" t="s">
        <v>4416</v>
      </c>
    </row>
    <row r="273" spans="1:2" ht="15">
      <c r="A273" s="84" t="s">
        <v>3934</v>
      </c>
      <c r="B273" s="83" t="s">
        <v>4416</v>
      </c>
    </row>
    <row r="274" spans="1:2" ht="15">
      <c r="A274" s="84" t="s">
        <v>3935</v>
      </c>
      <c r="B274" s="83" t="s">
        <v>4416</v>
      </c>
    </row>
    <row r="275" spans="1:2" ht="15">
      <c r="A275" s="84" t="s">
        <v>3936</v>
      </c>
      <c r="B275" s="83" t="s">
        <v>4416</v>
      </c>
    </row>
    <row r="276" spans="1:2" ht="15">
      <c r="A276" s="84" t="s">
        <v>3937</v>
      </c>
      <c r="B276" s="83" t="s">
        <v>4416</v>
      </c>
    </row>
    <row r="277" spans="1:2" ht="15">
      <c r="A277" s="84" t="s">
        <v>3938</v>
      </c>
      <c r="B277" s="83" t="s">
        <v>4416</v>
      </c>
    </row>
    <row r="278" spans="1:2" ht="15">
      <c r="A278" s="84" t="s">
        <v>3939</v>
      </c>
      <c r="B278" s="83" t="s">
        <v>4416</v>
      </c>
    </row>
    <row r="279" spans="1:2" ht="15">
      <c r="A279" s="84" t="s">
        <v>3940</v>
      </c>
      <c r="B279" s="83" t="s">
        <v>4416</v>
      </c>
    </row>
    <row r="280" spans="1:2" ht="15">
      <c r="A280" s="84" t="s">
        <v>3941</v>
      </c>
      <c r="B280" s="83" t="s">
        <v>4416</v>
      </c>
    </row>
    <row r="281" spans="1:2" ht="15">
      <c r="A281" s="84" t="s">
        <v>3942</v>
      </c>
      <c r="B281" s="83" t="s">
        <v>4416</v>
      </c>
    </row>
    <row r="282" spans="1:2" ht="15">
      <c r="A282" s="84" t="s">
        <v>3943</v>
      </c>
      <c r="B282" s="83" t="s">
        <v>4416</v>
      </c>
    </row>
    <row r="283" spans="1:2" ht="15">
      <c r="A283" s="84" t="s">
        <v>3944</v>
      </c>
      <c r="B283" s="83" t="s">
        <v>4416</v>
      </c>
    </row>
    <row r="284" spans="1:2" ht="15">
      <c r="A284" s="84" t="s">
        <v>3945</v>
      </c>
      <c r="B284" s="83" t="s">
        <v>4416</v>
      </c>
    </row>
    <row r="285" spans="1:2" ht="15">
      <c r="A285" s="84" t="s">
        <v>3946</v>
      </c>
      <c r="B285" s="83" t="s">
        <v>4416</v>
      </c>
    </row>
    <row r="286" spans="1:2" ht="15">
      <c r="A286" s="84" t="s">
        <v>3947</v>
      </c>
      <c r="B286" s="83" t="s">
        <v>4416</v>
      </c>
    </row>
    <row r="287" spans="1:2" ht="15">
      <c r="A287" s="84" t="s">
        <v>3948</v>
      </c>
      <c r="B287" s="83" t="s">
        <v>4416</v>
      </c>
    </row>
    <row r="288" spans="1:2" ht="15">
      <c r="A288" s="84" t="s">
        <v>3949</v>
      </c>
      <c r="B288" s="83" t="s">
        <v>4416</v>
      </c>
    </row>
    <row r="289" spans="1:2" ht="15">
      <c r="A289" s="84" t="s">
        <v>3950</v>
      </c>
      <c r="B289" s="83" t="s">
        <v>4416</v>
      </c>
    </row>
    <row r="290" spans="1:2" ht="15">
      <c r="A290" s="84" t="s">
        <v>3951</v>
      </c>
      <c r="B290" s="83" t="s">
        <v>4416</v>
      </c>
    </row>
    <row r="291" spans="1:2" ht="15">
      <c r="A291" s="84" t="s">
        <v>3952</v>
      </c>
      <c r="B291" s="83" t="s">
        <v>4416</v>
      </c>
    </row>
    <row r="292" spans="1:2" ht="15">
      <c r="A292" s="84" t="s">
        <v>3953</v>
      </c>
      <c r="B292" s="83" t="s">
        <v>4416</v>
      </c>
    </row>
    <row r="293" spans="1:2" ht="15">
      <c r="A293" s="84" t="s">
        <v>3954</v>
      </c>
      <c r="B293" s="83" t="s">
        <v>4416</v>
      </c>
    </row>
    <row r="294" spans="1:2" ht="15">
      <c r="A294" s="84" t="s">
        <v>3955</v>
      </c>
      <c r="B294" s="83" t="s">
        <v>4416</v>
      </c>
    </row>
    <row r="295" spans="1:2" ht="15">
      <c r="A295" s="84" t="s">
        <v>3956</v>
      </c>
      <c r="B295" s="83" t="s">
        <v>4416</v>
      </c>
    </row>
    <row r="296" spans="1:2" ht="15">
      <c r="A296" s="84" t="s">
        <v>3957</v>
      </c>
      <c r="B296" s="83" t="s">
        <v>4416</v>
      </c>
    </row>
    <row r="297" spans="1:2" ht="15">
      <c r="A297" s="84" t="s">
        <v>3958</v>
      </c>
      <c r="B297" s="83" t="s">
        <v>4416</v>
      </c>
    </row>
    <row r="298" spans="1:2" ht="15">
      <c r="A298" s="84" t="s">
        <v>3959</v>
      </c>
      <c r="B298" s="83" t="s">
        <v>4416</v>
      </c>
    </row>
    <row r="299" spans="1:2" ht="15">
      <c r="A299" s="84" t="s">
        <v>3960</v>
      </c>
      <c r="B299" s="83" t="s">
        <v>4416</v>
      </c>
    </row>
    <row r="300" spans="1:2" ht="15">
      <c r="A300" s="84" t="s">
        <v>3961</v>
      </c>
      <c r="B300" s="83" t="s">
        <v>4416</v>
      </c>
    </row>
    <row r="301" spans="1:2" ht="15">
      <c r="A301" s="84" t="s">
        <v>3962</v>
      </c>
      <c r="B301" s="83" t="s">
        <v>4416</v>
      </c>
    </row>
    <row r="302" spans="1:2" ht="15">
      <c r="A302" s="84" t="s">
        <v>3963</v>
      </c>
      <c r="B302" s="83" t="s">
        <v>4416</v>
      </c>
    </row>
    <row r="303" spans="1:2" ht="15">
      <c r="A303" s="84" t="s">
        <v>3964</v>
      </c>
      <c r="B303" s="83" t="s">
        <v>4416</v>
      </c>
    </row>
    <row r="304" spans="1:2" ht="15">
      <c r="A304" s="84" t="s">
        <v>3965</v>
      </c>
      <c r="B304" s="83" t="s">
        <v>4416</v>
      </c>
    </row>
    <row r="305" spans="1:2" ht="15">
      <c r="A305" s="84" t="s">
        <v>3966</v>
      </c>
      <c r="B305" s="83" t="s">
        <v>4416</v>
      </c>
    </row>
    <row r="306" spans="1:2" ht="15">
      <c r="A306" s="84" t="s">
        <v>3967</v>
      </c>
      <c r="B306" s="83" t="s">
        <v>4416</v>
      </c>
    </row>
    <row r="307" spans="1:2" ht="15">
      <c r="A307" s="84" t="s">
        <v>3968</v>
      </c>
      <c r="B307" s="83" t="s">
        <v>4416</v>
      </c>
    </row>
    <row r="308" spans="1:2" ht="15">
      <c r="A308" s="84" t="s">
        <v>3969</v>
      </c>
      <c r="B308" s="83" t="s">
        <v>4416</v>
      </c>
    </row>
    <row r="309" spans="1:2" ht="15">
      <c r="A309" s="84" t="s">
        <v>3970</v>
      </c>
      <c r="B309" s="83" t="s">
        <v>4416</v>
      </c>
    </row>
    <row r="310" spans="1:2" ht="15">
      <c r="A310" s="84" t="s">
        <v>3971</v>
      </c>
      <c r="B310" s="83" t="s">
        <v>4416</v>
      </c>
    </row>
    <row r="311" spans="1:2" ht="15">
      <c r="A311" s="84" t="s">
        <v>3972</v>
      </c>
      <c r="B311" s="83" t="s">
        <v>4416</v>
      </c>
    </row>
    <row r="312" spans="1:2" ht="15">
      <c r="A312" s="84" t="s">
        <v>3973</v>
      </c>
      <c r="B312" s="83" t="s">
        <v>4416</v>
      </c>
    </row>
    <row r="313" spans="1:2" ht="15">
      <c r="A313" s="84" t="s">
        <v>3974</v>
      </c>
      <c r="B313" s="83" t="s">
        <v>4416</v>
      </c>
    </row>
    <row r="314" spans="1:2" ht="15">
      <c r="A314" s="84" t="s">
        <v>3975</v>
      </c>
      <c r="B314" s="83" t="s">
        <v>4416</v>
      </c>
    </row>
    <row r="315" spans="1:2" ht="15">
      <c r="A315" s="84" t="s">
        <v>3976</v>
      </c>
      <c r="B315" s="83" t="s">
        <v>4416</v>
      </c>
    </row>
    <row r="316" spans="1:2" ht="15">
      <c r="A316" s="84" t="s">
        <v>3977</v>
      </c>
      <c r="B316" s="83" t="s">
        <v>4416</v>
      </c>
    </row>
    <row r="317" spans="1:2" ht="15">
      <c r="A317" s="84" t="s">
        <v>3978</v>
      </c>
      <c r="B317" s="83" t="s">
        <v>4416</v>
      </c>
    </row>
    <row r="318" spans="1:2" ht="15">
      <c r="A318" s="84" t="s">
        <v>3979</v>
      </c>
      <c r="B318" s="83" t="s">
        <v>4416</v>
      </c>
    </row>
    <row r="319" spans="1:2" ht="15">
      <c r="A319" s="84" t="s">
        <v>3980</v>
      </c>
      <c r="B319" s="83" t="s">
        <v>4416</v>
      </c>
    </row>
    <row r="320" spans="1:2" ht="15">
      <c r="A320" s="84" t="s">
        <v>3981</v>
      </c>
      <c r="B320" s="83" t="s">
        <v>4416</v>
      </c>
    </row>
    <row r="321" spans="1:2" ht="15">
      <c r="A321" s="84" t="s">
        <v>3982</v>
      </c>
      <c r="B321" s="83" t="s">
        <v>4416</v>
      </c>
    </row>
    <row r="322" spans="1:2" ht="15">
      <c r="A322" s="84" t="s">
        <v>3983</v>
      </c>
      <c r="B322" s="83" t="s">
        <v>4416</v>
      </c>
    </row>
    <row r="323" spans="1:2" ht="15">
      <c r="A323" s="84" t="s">
        <v>3984</v>
      </c>
      <c r="B323" s="83" t="s">
        <v>4416</v>
      </c>
    </row>
    <row r="324" spans="1:2" ht="15">
      <c r="A324" s="84" t="s">
        <v>3985</v>
      </c>
      <c r="B324" s="83" t="s">
        <v>4416</v>
      </c>
    </row>
    <row r="325" spans="1:2" ht="15">
      <c r="A325" s="84" t="s">
        <v>3986</v>
      </c>
      <c r="B325" s="83" t="s">
        <v>4416</v>
      </c>
    </row>
    <row r="326" spans="1:2" ht="15">
      <c r="A326" s="84" t="s">
        <v>3987</v>
      </c>
      <c r="B326" s="83" t="s">
        <v>4416</v>
      </c>
    </row>
    <row r="327" spans="1:2" ht="15">
      <c r="A327" s="84" t="s">
        <v>3988</v>
      </c>
      <c r="B327" s="83" t="s">
        <v>4416</v>
      </c>
    </row>
    <row r="328" spans="1:2" ht="15">
      <c r="A328" s="84" t="s">
        <v>3989</v>
      </c>
      <c r="B328" s="83" t="s">
        <v>4416</v>
      </c>
    </row>
    <row r="329" spans="1:2" ht="15">
      <c r="A329" s="84" t="s">
        <v>3990</v>
      </c>
      <c r="B329" s="83" t="s">
        <v>4416</v>
      </c>
    </row>
    <row r="330" spans="1:2" ht="15">
      <c r="A330" s="84" t="s">
        <v>3991</v>
      </c>
      <c r="B330" s="83" t="s">
        <v>4416</v>
      </c>
    </row>
    <row r="331" spans="1:2" ht="15">
      <c r="A331" s="84" t="s">
        <v>3992</v>
      </c>
      <c r="B331" s="83" t="s">
        <v>4416</v>
      </c>
    </row>
    <row r="332" spans="1:2" ht="15">
      <c r="A332" s="84" t="s">
        <v>3993</v>
      </c>
      <c r="B332" s="83" t="s">
        <v>4416</v>
      </c>
    </row>
    <row r="333" spans="1:2" ht="15">
      <c r="A333" s="84" t="s">
        <v>3994</v>
      </c>
      <c r="B333" s="83" t="s">
        <v>4416</v>
      </c>
    </row>
    <row r="334" spans="1:2" ht="15">
      <c r="A334" s="84" t="s">
        <v>3995</v>
      </c>
      <c r="B334" s="83" t="s">
        <v>4416</v>
      </c>
    </row>
    <row r="335" spans="1:2" ht="15">
      <c r="A335" s="84" t="s">
        <v>3996</v>
      </c>
      <c r="B335" s="83" t="s">
        <v>4416</v>
      </c>
    </row>
    <row r="336" spans="1:2" ht="15">
      <c r="A336" s="84" t="s">
        <v>3997</v>
      </c>
      <c r="B336" s="83" t="s">
        <v>4416</v>
      </c>
    </row>
    <row r="337" spans="1:2" ht="15">
      <c r="A337" s="84" t="s">
        <v>3998</v>
      </c>
      <c r="B337" s="83" t="s">
        <v>4416</v>
      </c>
    </row>
    <row r="338" spans="1:2" ht="15">
      <c r="A338" s="84" t="s">
        <v>3999</v>
      </c>
      <c r="B338" s="83" t="s">
        <v>4416</v>
      </c>
    </row>
    <row r="339" spans="1:2" ht="15">
      <c r="A339" s="84" t="s">
        <v>4000</v>
      </c>
      <c r="B339" s="83" t="s">
        <v>4416</v>
      </c>
    </row>
    <row r="340" spans="1:2" ht="15">
      <c r="A340" s="84" t="s">
        <v>4001</v>
      </c>
      <c r="B340" s="83" t="s">
        <v>4416</v>
      </c>
    </row>
    <row r="341" spans="1:2" ht="15">
      <c r="A341" s="84" t="s">
        <v>4002</v>
      </c>
      <c r="B341" s="83" t="s">
        <v>4416</v>
      </c>
    </row>
    <row r="342" spans="1:2" ht="15">
      <c r="A342" s="84" t="s">
        <v>4003</v>
      </c>
      <c r="B342" s="83" t="s">
        <v>4416</v>
      </c>
    </row>
    <row r="343" spans="1:2" ht="15">
      <c r="A343" s="84" t="s">
        <v>4004</v>
      </c>
      <c r="B343" s="83" t="s">
        <v>4416</v>
      </c>
    </row>
    <row r="344" spans="1:2" ht="15">
      <c r="A344" s="84" t="s">
        <v>4005</v>
      </c>
      <c r="B344" s="83" t="s">
        <v>4416</v>
      </c>
    </row>
    <row r="345" spans="1:2" ht="15">
      <c r="A345" s="84" t="s">
        <v>4006</v>
      </c>
      <c r="B345" s="83" t="s">
        <v>4416</v>
      </c>
    </row>
    <row r="346" spans="1:2" ht="15">
      <c r="A346" s="84" t="s">
        <v>4007</v>
      </c>
      <c r="B346" s="83" t="s">
        <v>4416</v>
      </c>
    </row>
    <row r="347" spans="1:2" ht="15">
      <c r="A347" s="84" t="s">
        <v>4008</v>
      </c>
      <c r="B347" s="83" t="s">
        <v>4416</v>
      </c>
    </row>
    <row r="348" spans="1:2" ht="15">
      <c r="A348" s="84" t="s">
        <v>4009</v>
      </c>
      <c r="B348" s="83" t="s">
        <v>4416</v>
      </c>
    </row>
    <row r="349" spans="1:2" ht="15">
      <c r="A349" s="84" t="s">
        <v>4010</v>
      </c>
      <c r="B349" s="83" t="s">
        <v>4416</v>
      </c>
    </row>
    <row r="350" spans="1:2" ht="15">
      <c r="A350" s="84" t="s">
        <v>4011</v>
      </c>
      <c r="B350" s="83" t="s">
        <v>4416</v>
      </c>
    </row>
    <row r="351" spans="1:2" ht="15">
      <c r="A351" s="84" t="s">
        <v>4012</v>
      </c>
      <c r="B351" s="83" t="s">
        <v>4416</v>
      </c>
    </row>
    <row r="352" spans="1:2" ht="15">
      <c r="A352" s="84" t="s">
        <v>4013</v>
      </c>
      <c r="B352" s="83" t="s">
        <v>4416</v>
      </c>
    </row>
    <row r="353" spans="1:2" ht="15">
      <c r="A353" s="84" t="s">
        <v>4014</v>
      </c>
      <c r="B353" s="83" t="s">
        <v>4416</v>
      </c>
    </row>
    <row r="354" spans="1:2" ht="15">
      <c r="A354" s="84" t="s">
        <v>4015</v>
      </c>
      <c r="B354" s="83" t="s">
        <v>4416</v>
      </c>
    </row>
    <row r="355" spans="1:2" ht="15">
      <c r="A355" s="84" t="s">
        <v>4016</v>
      </c>
      <c r="B355" s="83" t="s">
        <v>4416</v>
      </c>
    </row>
    <row r="356" spans="1:2" ht="15">
      <c r="A356" s="84" t="s">
        <v>4017</v>
      </c>
      <c r="B356" s="83" t="s">
        <v>4416</v>
      </c>
    </row>
    <row r="357" spans="1:2" ht="15">
      <c r="A357" s="84" t="s">
        <v>4018</v>
      </c>
      <c r="B357" s="83" t="s">
        <v>4416</v>
      </c>
    </row>
    <row r="358" spans="1:2" ht="15">
      <c r="A358" s="84" t="s">
        <v>4019</v>
      </c>
      <c r="B358" s="83" t="s">
        <v>4416</v>
      </c>
    </row>
    <row r="359" spans="1:2" ht="15">
      <c r="A359" s="84" t="s">
        <v>4020</v>
      </c>
      <c r="B359" s="83" t="s">
        <v>4416</v>
      </c>
    </row>
    <row r="360" spans="1:2" ht="15">
      <c r="A360" s="84" t="s">
        <v>4021</v>
      </c>
      <c r="B360" s="83" t="s">
        <v>4416</v>
      </c>
    </row>
    <row r="361" spans="1:2" ht="15">
      <c r="A361" s="84" t="s">
        <v>4022</v>
      </c>
      <c r="B361" s="83" t="s">
        <v>4416</v>
      </c>
    </row>
    <row r="362" spans="1:2" ht="15">
      <c r="A362" s="84" t="s">
        <v>4023</v>
      </c>
      <c r="B362" s="83" t="s">
        <v>4416</v>
      </c>
    </row>
    <row r="363" spans="1:2" ht="15">
      <c r="A363" s="84" t="s">
        <v>3450</v>
      </c>
      <c r="B363" s="83" t="s">
        <v>4416</v>
      </c>
    </row>
    <row r="364" spans="1:2" ht="15">
      <c r="A364" s="84" t="s">
        <v>4024</v>
      </c>
      <c r="B364" s="83" t="s">
        <v>4416</v>
      </c>
    </row>
    <row r="365" spans="1:2" ht="15">
      <c r="A365" s="84" t="s">
        <v>4025</v>
      </c>
      <c r="B365" s="83" t="s">
        <v>4416</v>
      </c>
    </row>
    <row r="366" spans="1:2" ht="15">
      <c r="A366" s="84" t="s">
        <v>4026</v>
      </c>
      <c r="B366" s="83" t="s">
        <v>4416</v>
      </c>
    </row>
    <row r="367" spans="1:2" ht="15">
      <c r="A367" s="84" t="s">
        <v>4027</v>
      </c>
      <c r="B367" s="83" t="s">
        <v>4416</v>
      </c>
    </row>
    <row r="368" spans="1:2" ht="15">
      <c r="A368" s="84" t="s">
        <v>4028</v>
      </c>
      <c r="B368" s="83" t="s">
        <v>4416</v>
      </c>
    </row>
    <row r="369" spans="1:2" ht="15">
      <c r="A369" s="84" t="s">
        <v>4029</v>
      </c>
      <c r="B369" s="83" t="s">
        <v>4416</v>
      </c>
    </row>
    <row r="370" spans="1:2" ht="15">
      <c r="A370" s="84" t="s">
        <v>4030</v>
      </c>
      <c r="B370" s="83" t="s">
        <v>4416</v>
      </c>
    </row>
    <row r="371" spans="1:2" ht="15">
      <c r="A371" s="84" t="s">
        <v>4031</v>
      </c>
      <c r="B371" s="83" t="s">
        <v>4416</v>
      </c>
    </row>
    <row r="372" spans="1:2" ht="15">
      <c r="A372" s="84" t="s">
        <v>4032</v>
      </c>
      <c r="B372" s="83" t="s">
        <v>4416</v>
      </c>
    </row>
    <row r="373" spans="1:2" ht="15">
      <c r="A373" s="84" t="s">
        <v>4033</v>
      </c>
      <c r="B373" s="83" t="s">
        <v>4416</v>
      </c>
    </row>
    <row r="374" spans="1:2" ht="15">
      <c r="A374" s="84" t="s">
        <v>4034</v>
      </c>
      <c r="B374" s="83" t="s">
        <v>4416</v>
      </c>
    </row>
    <row r="375" spans="1:2" ht="15">
      <c r="A375" s="84" t="s">
        <v>4035</v>
      </c>
      <c r="B375" s="83" t="s">
        <v>4416</v>
      </c>
    </row>
    <row r="376" spans="1:2" ht="15">
      <c r="A376" s="84" t="s">
        <v>4036</v>
      </c>
      <c r="B376" s="83" t="s">
        <v>4416</v>
      </c>
    </row>
    <row r="377" spans="1:2" ht="15">
      <c r="A377" s="84" t="s">
        <v>4037</v>
      </c>
      <c r="B377" s="83" t="s">
        <v>4416</v>
      </c>
    </row>
    <row r="378" spans="1:2" ht="15">
      <c r="A378" s="84" t="s">
        <v>4038</v>
      </c>
      <c r="B378" s="83" t="s">
        <v>4416</v>
      </c>
    </row>
    <row r="379" spans="1:2" ht="15">
      <c r="A379" s="84" t="s">
        <v>4039</v>
      </c>
      <c r="B379" s="83" t="s">
        <v>4416</v>
      </c>
    </row>
    <row r="380" spans="1:2" ht="15">
      <c r="A380" s="84" t="s">
        <v>4040</v>
      </c>
      <c r="B380" s="83" t="s">
        <v>4416</v>
      </c>
    </row>
    <row r="381" spans="1:2" ht="15">
      <c r="A381" s="84" t="s">
        <v>4041</v>
      </c>
      <c r="B381" s="83" t="s">
        <v>4416</v>
      </c>
    </row>
    <row r="382" spans="1:2" ht="15">
      <c r="A382" s="84" t="s">
        <v>4042</v>
      </c>
      <c r="B382" s="83" t="s">
        <v>4416</v>
      </c>
    </row>
    <row r="383" spans="1:2" ht="15">
      <c r="A383" s="84" t="s">
        <v>4043</v>
      </c>
      <c r="B383" s="83" t="s">
        <v>4416</v>
      </c>
    </row>
    <row r="384" spans="1:2" ht="15">
      <c r="A384" s="84" t="s">
        <v>4044</v>
      </c>
      <c r="B384" s="83" t="s">
        <v>4416</v>
      </c>
    </row>
    <row r="385" spans="1:2" ht="15">
      <c r="A385" s="84" t="s">
        <v>4045</v>
      </c>
      <c r="B385" s="83" t="s">
        <v>4416</v>
      </c>
    </row>
    <row r="386" spans="1:2" ht="15">
      <c r="A386" s="84" t="s">
        <v>4046</v>
      </c>
      <c r="B386" s="83" t="s">
        <v>4416</v>
      </c>
    </row>
    <row r="387" spans="1:2" ht="15">
      <c r="A387" s="84" t="s">
        <v>4047</v>
      </c>
      <c r="B387" s="83" t="s">
        <v>4416</v>
      </c>
    </row>
    <row r="388" spans="1:2" ht="15">
      <c r="A388" s="84" t="s">
        <v>4048</v>
      </c>
      <c r="B388" s="83" t="s">
        <v>4416</v>
      </c>
    </row>
    <row r="389" spans="1:2" ht="15">
      <c r="A389" s="84" t="s">
        <v>4049</v>
      </c>
      <c r="B389" s="83" t="s">
        <v>4416</v>
      </c>
    </row>
    <row r="390" spans="1:2" ht="15">
      <c r="A390" s="84" t="s">
        <v>4050</v>
      </c>
      <c r="B390" s="83" t="s">
        <v>4416</v>
      </c>
    </row>
    <row r="391" spans="1:2" ht="15">
      <c r="A391" s="84" t="s">
        <v>4051</v>
      </c>
      <c r="B391" s="83" t="s">
        <v>4416</v>
      </c>
    </row>
    <row r="392" spans="1:2" ht="15">
      <c r="A392" s="84" t="s">
        <v>4052</v>
      </c>
      <c r="B392" s="83" t="s">
        <v>4416</v>
      </c>
    </row>
    <row r="393" spans="1:2" ht="15">
      <c r="A393" s="84" t="s">
        <v>4053</v>
      </c>
      <c r="B393" s="83" t="s">
        <v>4416</v>
      </c>
    </row>
    <row r="394" spans="1:2" ht="15">
      <c r="A394" s="84" t="s">
        <v>4054</v>
      </c>
      <c r="B394" s="83" t="s">
        <v>4416</v>
      </c>
    </row>
    <row r="395" spans="1:2" ht="15">
      <c r="A395" s="84" t="s">
        <v>4055</v>
      </c>
      <c r="B395" s="83" t="s">
        <v>4416</v>
      </c>
    </row>
    <row r="396" spans="1:2" ht="15">
      <c r="A396" s="84" t="s">
        <v>4056</v>
      </c>
      <c r="B396" s="83" t="s">
        <v>4416</v>
      </c>
    </row>
    <row r="397" spans="1:2" ht="15">
      <c r="A397" s="84" t="s">
        <v>4057</v>
      </c>
      <c r="B397" s="83" t="s">
        <v>4416</v>
      </c>
    </row>
    <row r="398" spans="1:2" ht="15">
      <c r="A398" s="84" t="s">
        <v>4058</v>
      </c>
      <c r="B398" s="83" t="s">
        <v>4416</v>
      </c>
    </row>
    <row r="399" spans="1:2" ht="15">
      <c r="A399" s="84" t="s">
        <v>4059</v>
      </c>
      <c r="B399" s="83" t="s">
        <v>4416</v>
      </c>
    </row>
    <row r="400" spans="1:2" ht="15">
      <c r="A400" s="84" t="s">
        <v>4060</v>
      </c>
      <c r="B400" s="83" t="s">
        <v>4416</v>
      </c>
    </row>
    <row r="401" spans="1:2" ht="15">
      <c r="A401" s="84" t="s">
        <v>4061</v>
      </c>
      <c r="B401" s="83" t="s">
        <v>4416</v>
      </c>
    </row>
    <row r="402" spans="1:2" ht="15">
      <c r="A402" s="84" t="s">
        <v>4062</v>
      </c>
      <c r="B402" s="83" t="s">
        <v>4416</v>
      </c>
    </row>
    <row r="403" spans="1:2" ht="15">
      <c r="A403" s="84" t="s">
        <v>4063</v>
      </c>
      <c r="B403" s="83" t="s">
        <v>4416</v>
      </c>
    </row>
    <row r="404" spans="1:2" ht="15">
      <c r="A404" s="84" t="s">
        <v>4064</v>
      </c>
      <c r="B404" s="83" t="s">
        <v>4416</v>
      </c>
    </row>
    <row r="405" spans="1:2" ht="15">
      <c r="A405" s="84" t="s">
        <v>4065</v>
      </c>
      <c r="B405" s="83" t="s">
        <v>4416</v>
      </c>
    </row>
    <row r="406" spans="1:2" ht="15">
      <c r="A406" s="84" t="s">
        <v>4066</v>
      </c>
      <c r="B406" s="83" t="s">
        <v>4416</v>
      </c>
    </row>
    <row r="407" spans="1:2" ht="15">
      <c r="A407" s="84" t="s">
        <v>4067</v>
      </c>
      <c r="B407" s="83" t="s">
        <v>4416</v>
      </c>
    </row>
    <row r="408" spans="1:2" ht="15">
      <c r="A408" s="84" t="s">
        <v>4068</v>
      </c>
      <c r="B408" s="83" t="s">
        <v>4416</v>
      </c>
    </row>
    <row r="409" spans="1:2" ht="15">
      <c r="A409" s="84" t="s">
        <v>4069</v>
      </c>
      <c r="B409" s="83" t="s">
        <v>4416</v>
      </c>
    </row>
    <row r="410" spans="1:2" ht="15">
      <c r="A410" s="84" t="s">
        <v>4070</v>
      </c>
      <c r="B410" s="83" t="s">
        <v>4416</v>
      </c>
    </row>
    <row r="411" spans="1:2" ht="15">
      <c r="A411" s="84" t="s">
        <v>4071</v>
      </c>
      <c r="B411" s="83" t="s">
        <v>4416</v>
      </c>
    </row>
    <row r="412" spans="1:2" ht="15">
      <c r="A412" s="84" t="s">
        <v>4072</v>
      </c>
      <c r="B412" s="83" t="s">
        <v>4416</v>
      </c>
    </row>
    <row r="413" spans="1:2" ht="15">
      <c r="A413" s="84" t="s">
        <v>4073</v>
      </c>
      <c r="B413" s="83" t="s">
        <v>4416</v>
      </c>
    </row>
    <row r="414" spans="1:2" ht="15">
      <c r="A414" s="84" t="s">
        <v>4074</v>
      </c>
      <c r="B414" s="83" t="s">
        <v>4416</v>
      </c>
    </row>
    <row r="415" spans="1:2" ht="15">
      <c r="A415" s="84" t="s">
        <v>4075</v>
      </c>
      <c r="B415" s="83" t="s">
        <v>4416</v>
      </c>
    </row>
    <row r="416" spans="1:2" ht="15">
      <c r="A416" s="84" t="s">
        <v>4076</v>
      </c>
      <c r="B416" s="83" t="s">
        <v>4416</v>
      </c>
    </row>
    <row r="417" spans="1:2" ht="15">
      <c r="A417" s="84" t="s">
        <v>4077</v>
      </c>
      <c r="B417" s="83" t="s">
        <v>4416</v>
      </c>
    </row>
    <row r="418" spans="1:2" ht="15">
      <c r="A418" s="84" t="s">
        <v>4078</v>
      </c>
      <c r="B418" s="83" t="s">
        <v>4416</v>
      </c>
    </row>
    <row r="419" spans="1:2" ht="15">
      <c r="A419" s="84" t="s">
        <v>4079</v>
      </c>
      <c r="B419" s="83" t="s">
        <v>4416</v>
      </c>
    </row>
    <row r="420" spans="1:2" ht="15">
      <c r="A420" s="84" t="s">
        <v>4080</v>
      </c>
      <c r="B420" s="83" t="s">
        <v>4416</v>
      </c>
    </row>
    <row r="421" spans="1:2" ht="15">
      <c r="A421" s="84" t="s">
        <v>4081</v>
      </c>
      <c r="B421" s="83" t="s">
        <v>4416</v>
      </c>
    </row>
    <row r="422" spans="1:2" ht="15">
      <c r="A422" s="84" t="s">
        <v>4082</v>
      </c>
      <c r="B422" s="83" t="s">
        <v>4416</v>
      </c>
    </row>
    <row r="423" spans="1:2" ht="15">
      <c r="A423" s="84" t="s">
        <v>4083</v>
      </c>
      <c r="B423" s="83" t="s">
        <v>4416</v>
      </c>
    </row>
    <row r="424" spans="1:2" ht="15">
      <c r="A424" s="84" t="s">
        <v>4084</v>
      </c>
      <c r="B424" s="83" t="s">
        <v>4416</v>
      </c>
    </row>
    <row r="425" spans="1:2" ht="15">
      <c r="A425" s="84" t="s">
        <v>4085</v>
      </c>
      <c r="B425" s="83" t="s">
        <v>4416</v>
      </c>
    </row>
    <row r="426" spans="1:2" ht="15">
      <c r="A426" s="84" t="s">
        <v>4086</v>
      </c>
      <c r="B426" s="83" t="s">
        <v>4416</v>
      </c>
    </row>
    <row r="427" spans="1:2" ht="15">
      <c r="A427" s="84" t="s">
        <v>4087</v>
      </c>
      <c r="B427" s="83" t="s">
        <v>4416</v>
      </c>
    </row>
    <row r="428" spans="1:2" ht="15">
      <c r="A428" s="84" t="s">
        <v>4088</v>
      </c>
      <c r="B428" s="83" t="s">
        <v>4416</v>
      </c>
    </row>
    <row r="429" spans="1:2" ht="15">
      <c r="A429" s="84" t="s">
        <v>4089</v>
      </c>
      <c r="B429" s="83" t="s">
        <v>4416</v>
      </c>
    </row>
    <row r="430" spans="1:2" ht="15">
      <c r="A430" s="84" t="s">
        <v>4090</v>
      </c>
      <c r="B430" s="83" t="s">
        <v>4416</v>
      </c>
    </row>
    <row r="431" spans="1:2" ht="15">
      <c r="A431" s="84" t="s">
        <v>4091</v>
      </c>
      <c r="B431" s="83" t="s">
        <v>4416</v>
      </c>
    </row>
    <row r="432" spans="1:2" ht="15">
      <c r="A432" s="84" t="s">
        <v>4092</v>
      </c>
      <c r="B432" s="83" t="s">
        <v>4416</v>
      </c>
    </row>
    <row r="433" spans="1:2" ht="15">
      <c r="A433" s="84" t="s">
        <v>4093</v>
      </c>
      <c r="B433" s="83" t="s">
        <v>4416</v>
      </c>
    </row>
    <row r="434" spans="1:2" ht="15">
      <c r="A434" s="84" t="s">
        <v>4094</v>
      </c>
      <c r="B434" s="83" t="s">
        <v>4416</v>
      </c>
    </row>
    <row r="435" spans="1:2" ht="15">
      <c r="A435" s="84" t="s">
        <v>4095</v>
      </c>
      <c r="B435" s="83" t="s">
        <v>4416</v>
      </c>
    </row>
    <row r="436" spans="1:2" ht="15">
      <c r="A436" s="84" t="s">
        <v>4096</v>
      </c>
      <c r="B436" s="83" t="s">
        <v>4416</v>
      </c>
    </row>
    <row r="437" spans="1:2" ht="15">
      <c r="A437" s="84" t="s">
        <v>4097</v>
      </c>
      <c r="B437" s="83" t="s">
        <v>4416</v>
      </c>
    </row>
    <row r="438" spans="1:2" ht="15">
      <c r="A438" s="84" t="s">
        <v>4098</v>
      </c>
      <c r="B438" s="83" t="s">
        <v>4416</v>
      </c>
    </row>
    <row r="439" spans="1:2" ht="15">
      <c r="A439" s="84" t="s">
        <v>4099</v>
      </c>
      <c r="B439" s="83" t="s">
        <v>4416</v>
      </c>
    </row>
    <row r="440" spans="1:2" ht="15">
      <c r="A440" s="84" t="s">
        <v>4100</v>
      </c>
      <c r="B440" s="83" t="s">
        <v>4416</v>
      </c>
    </row>
    <row r="441" spans="1:2" ht="15">
      <c r="A441" s="84" t="s">
        <v>4101</v>
      </c>
      <c r="B441" s="83" t="s">
        <v>4416</v>
      </c>
    </row>
    <row r="442" spans="1:2" ht="15">
      <c r="A442" s="84" t="s">
        <v>4102</v>
      </c>
      <c r="B442" s="83" t="s">
        <v>4416</v>
      </c>
    </row>
    <row r="443" spans="1:2" ht="15">
      <c r="A443" s="84" t="s">
        <v>4103</v>
      </c>
      <c r="B443" s="83" t="s">
        <v>4416</v>
      </c>
    </row>
    <row r="444" spans="1:2" ht="15">
      <c r="A444" s="84" t="s">
        <v>4104</v>
      </c>
      <c r="B444" s="83" t="s">
        <v>4416</v>
      </c>
    </row>
    <row r="445" spans="1:2" ht="15">
      <c r="A445" s="84" t="s">
        <v>4105</v>
      </c>
      <c r="B445" s="83" t="s">
        <v>4416</v>
      </c>
    </row>
    <row r="446" spans="1:2" ht="15">
      <c r="A446" s="84" t="s">
        <v>4106</v>
      </c>
      <c r="B446" s="83" t="s">
        <v>4416</v>
      </c>
    </row>
    <row r="447" spans="1:2" ht="15">
      <c r="A447" s="84" t="s">
        <v>4107</v>
      </c>
      <c r="B447" s="83" t="s">
        <v>4416</v>
      </c>
    </row>
    <row r="448" spans="1:2" ht="15">
      <c r="A448" s="84" t="s">
        <v>4108</v>
      </c>
      <c r="B448" s="83" t="s">
        <v>4416</v>
      </c>
    </row>
    <row r="449" spans="1:2" ht="15">
      <c r="A449" s="84" t="s">
        <v>4109</v>
      </c>
      <c r="B449" s="83" t="s">
        <v>4416</v>
      </c>
    </row>
    <row r="450" spans="1:2" ht="15">
      <c r="A450" s="84" t="s">
        <v>4110</v>
      </c>
      <c r="B450" s="83" t="s">
        <v>4416</v>
      </c>
    </row>
    <row r="451" spans="1:2" ht="15">
      <c r="A451" s="84" t="s">
        <v>4111</v>
      </c>
      <c r="B451" s="83" t="s">
        <v>4416</v>
      </c>
    </row>
    <row r="452" spans="1:2" ht="15">
      <c r="A452" s="84" t="s">
        <v>4112</v>
      </c>
      <c r="B452" s="83" t="s">
        <v>4416</v>
      </c>
    </row>
    <row r="453" spans="1:2" ht="15">
      <c r="A453" s="84" t="s">
        <v>4113</v>
      </c>
      <c r="B453" s="83" t="s">
        <v>4416</v>
      </c>
    </row>
    <row r="454" spans="1:2" ht="15">
      <c r="A454" s="84" t="s">
        <v>4114</v>
      </c>
      <c r="B454" s="83" t="s">
        <v>4416</v>
      </c>
    </row>
    <row r="455" spans="1:2" ht="15">
      <c r="A455" s="84" t="s">
        <v>4115</v>
      </c>
      <c r="B455" s="83" t="s">
        <v>4416</v>
      </c>
    </row>
    <row r="456" spans="1:2" ht="15">
      <c r="A456" s="84" t="s">
        <v>4116</v>
      </c>
      <c r="B456" s="83" t="s">
        <v>4416</v>
      </c>
    </row>
    <row r="457" spans="1:2" ht="15">
      <c r="A457" s="84" t="s">
        <v>4117</v>
      </c>
      <c r="B457" s="83" t="s">
        <v>4416</v>
      </c>
    </row>
    <row r="458" spans="1:2" ht="15">
      <c r="A458" s="84" t="s">
        <v>4118</v>
      </c>
      <c r="B458" s="83" t="s">
        <v>4416</v>
      </c>
    </row>
    <row r="459" spans="1:2" ht="15">
      <c r="A459" s="84" t="s">
        <v>4119</v>
      </c>
      <c r="B459" s="83" t="s">
        <v>4416</v>
      </c>
    </row>
    <row r="460" spans="1:2" ht="15">
      <c r="A460" s="84" t="s">
        <v>4120</v>
      </c>
      <c r="B460" s="83" t="s">
        <v>4416</v>
      </c>
    </row>
    <row r="461" spans="1:2" ht="15">
      <c r="A461" s="84" t="s">
        <v>4121</v>
      </c>
      <c r="B461" s="83" t="s">
        <v>4416</v>
      </c>
    </row>
    <row r="462" spans="1:2" ht="15">
      <c r="A462" s="84" t="s">
        <v>4122</v>
      </c>
      <c r="B462" s="83" t="s">
        <v>4416</v>
      </c>
    </row>
    <row r="463" spans="1:2" ht="15">
      <c r="A463" s="84" t="s">
        <v>4123</v>
      </c>
      <c r="B463" s="83" t="s">
        <v>4416</v>
      </c>
    </row>
    <row r="464" spans="1:2" ht="15">
      <c r="A464" s="84" t="s">
        <v>4124</v>
      </c>
      <c r="B464" s="83" t="s">
        <v>4416</v>
      </c>
    </row>
    <row r="465" spans="1:2" ht="15">
      <c r="A465" s="84" t="s">
        <v>4125</v>
      </c>
      <c r="B465" s="83" t="s">
        <v>4416</v>
      </c>
    </row>
    <row r="466" spans="1:2" ht="15">
      <c r="A466" s="84" t="s">
        <v>4126</v>
      </c>
      <c r="B466" s="83" t="s">
        <v>4416</v>
      </c>
    </row>
    <row r="467" spans="1:2" ht="15">
      <c r="A467" s="84" t="s">
        <v>4127</v>
      </c>
      <c r="B467" s="83" t="s">
        <v>4416</v>
      </c>
    </row>
    <row r="468" spans="1:2" ht="15">
      <c r="A468" s="84" t="s">
        <v>4128</v>
      </c>
      <c r="B468" s="83" t="s">
        <v>4416</v>
      </c>
    </row>
    <row r="469" spans="1:2" ht="15">
      <c r="A469" s="84" t="s">
        <v>4129</v>
      </c>
      <c r="B469" s="83" t="s">
        <v>4416</v>
      </c>
    </row>
    <row r="470" spans="1:2" ht="15">
      <c r="A470" s="84" t="s">
        <v>4130</v>
      </c>
      <c r="B470" s="83" t="s">
        <v>4416</v>
      </c>
    </row>
    <row r="471" spans="1:2" ht="15">
      <c r="A471" s="84" t="s">
        <v>4131</v>
      </c>
      <c r="B471" s="83" t="s">
        <v>4416</v>
      </c>
    </row>
    <row r="472" spans="1:2" ht="15">
      <c r="A472" s="84" t="s">
        <v>4132</v>
      </c>
      <c r="B472" s="83" t="s">
        <v>4416</v>
      </c>
    </row>
    <row r="473" spans="1:2" ht="15">
      <c r="A473" s="84" t="s">
        <v>4133</v>
      </c>
      <c r="B473" s="83" t="s">
        <v>4416</v>
      </c>
    </row>
    <row r="474" spans="1:2" ht="15">
      <c r="A474" s="84" t="s">
        <v>4134</v>
      </c>
      <c r="B474" s="83" t="s">
        <v>4416</v>
      </c>
    </row>
    <row r="475" spans="1:2" ht="15">
      <c r="A475" s="84" t="s">
        <v>4135</v>
      </c>
      <c r="B475" s="83" t="s">
        <v>4416</v>
      </c>
    </row>
    <row r="476" spans="1:2" ht="15">
      <c r="A476" s="84" t="s">
        <v>4136</v>
      </c>
      <c r="B476" s="83" t="s">
        <v>4416</v>
      </c>
    </row>
    <row r="477" spans="1:2" ht="15">
      <c r="A477" s="84" t="s">
        <v>4137</v>
      </c>
      <c r="B477" s="83" t="s">
        <v>4416</v>
      </c>
    </row>
    <row r="478" spans="1:2" ht="15">
      <c r="A478" s="84" t="s">
        <v>4138</v>
      </c>
      <c r="B478" s="83" t="s">
        <v>4416</v>
      </c>
    </row>
    <row r="479" spans="1:2" ht="15">
      <c r="A479" s="84" t="s">
        <v>4139</v>
      </c>
      <c r="B479" s="83" t="s">
        <v>4416</v>
      </c>
    </row>
    <row r="480" spans="1:2" ht="15">
      <c r="A480" s="84" t="s">
        <v>4140</v>
      </c>
      <c r="B480" s="83" t="s">
        <v>4416</v>
      </c>
    </row>
    <row r="481" spans="1:2" ht="15">
      <c r="A481" s="84" t="s">
        <v>4141</v>
      </c>
      <c r="B481" s="83" t="s">
        <v>4416</v>
      </c>
    </row>
    <row r="482" spans="1:2" ht="15">
      <c r="A482" s="84" t="s">
        <v>4142</v>
      </c>
      <c r="B482" s="83" t="s">
        <v>4416</v>
      </c>
    </row>
    <row r="483" spans="1:2" ht="15">
      <c r="A483" s="84" t="s">
        <v>4143</v>
      </c>
      <c r="B483" s="83" t="s">
        <v>4416</v>
      </c>
    </row>
    <row r="484" spans="1:2" ht="15">
      <c r="A484" s="84" t="s">
        <v>4144</v>
      </c>
      <c r="B484" s="83" t="s">
        <v>4416</v>
      </c>
    </row>
    <row r="485" spans="1:2" ht="15">
      <c r="A485" s="84" t="s">
        <v>4145</v>
      </c>
      <c r="B485" s="83" t="s">
        <v>4416</v>
      </c>
    </row>
    <row r="486" spans="1:2" ht="15">
      <c r="A486" s="84" t="s">
        <v>4146</v>
      </c>
      <c r="B486" s="83" t="s">
        <v>4416</v>
      </c>
    </row>
    <row r="487" spans="1:2" ht="15">
      <c r="A487" s="84" t="s">
        <v>4147</v>
      </c>
      <c r="B487" s="83" t="s">
        <v>4416</v>
      </c>
    </row>
    <row r="488" spans="1:2" ht="15">
      <c r="A488" s="84" t="s">
        <v>4148</v>
      </c>
      <c r="B488" s="83" t="s">
        <v>4416</v>
      </c>
    </row>
    <row r="489" spans="1:2" ht="15">
      <c r="A489" s="84" t="s">
        <v>4149</v>
      </c>
      <c r="B489" s="83" t="s">
        <v>4416</v>
      </c>
    </row>
    <row r="490" spans="1:2" ht="15">
      <c r="A490" s="84" t="s">
        <v>4150</v>
      </c>
      <c r="B490" s="83" t="s">
        <v>4416</v>
      </c>
    </row>
    <row r="491" spans="1:2" ht="15">
      <c r="A491" s="84" t="s">
        <v>4151</v>
      </c>
      <c r="B491" s="83" t="s">
        <v>4416</v>
      </c>
    </row>
    <row r="492" spans="1:2" ht="15">
      <c r="A492" s="84" t="s">
        <v>4152</v>
      </c>
      <c r="B492" s="83" t="s">
        <v>4416</v>
      </c>
    </row>
    <row r="493" spans="1:2" ht="15">
      <c r="A493" s="84" t="s">
        <v>4153</v>
      </c>
      <c r="B493" s="83" t="s">
        <v>4416</v>
      </c>
    </row>
    <row r="494" spans="1:2" ht="15">
      <c r="A494" s="84" t="s">
        <v>4154</v>
      </c>
      <c r="B494" s="83" t="s">
        <v>4416</v>
      </c>
    </row>
    <row r="495" spans="1:2" ht="15">
      <c r="A495" s="84" t="s">
        <v>4155</v>
      </c>
      <c r="B495" s="83" t="s">
        <v>4416</v>
      </c>
    </row>
    <row r="496" spans="1:2" ht="15">
      <c r="A496" s="84" t="s">
        <v>4156</v>
      </c>
      <c r="B496" s="83" t="s">
        <v>4416</v>
      </c>
    </row>
    <row r="497" spans="1:2" ht="15">
      <c r="A497" s="84" t="s">
        <v>4157</v>
      </c>
      <c r="B497" s="83" t="s">
        <v>4416</v>
      </c>
    </row>
    <row r="498" spans="1:2" ht="15">
      <c r="A498" s="84" t="s">
        <v>4158</v>
      </c>
      <c r="B498" s="83" t="s">
        <v>4416</v>
      </c>
    </row>
    <row r="499" spans="1:2" ht="15">
      <c r="A499" s="84" t="s">
        <v>4159</v>
      </c>
      <c r="B499" s="83" t="s">
        <v>4416</v>
      </c>
    </row>
    <row r="500" spans="1:2" ht="15">
      <c r="A500" s="84" t="s">
        <v>4160</v>
      </c>
      <c r="B500" s="83" t="s">
        <v>4416</v>
      </c>
    </row>
    <row r="501" spans="1:2" ht="15">
      <c r="A501" s="84" t="s">
        <v>4161</v>
      </c>
      <c r="B501" s="83" t="s">
        <v>4416</v>
      </c>
    </row>
    <row r="502" spans="1:2" ht="15">
      <c r="A502" s="84" t="s">
        <v>3227</v>
      </c>
      <c r="B502" s="83" t="s">
        <v>4416</v>
      </c>
    </row>
    <row r="503" spans="1:2" ht="15">
      <c r="A503" s="84" t="s">
        <v>4162</v>
      </c>
      <c r="B503" s="83" t="s">
        <v>4416</v>
      </c>
    </row>
    <row r="504" spans="1:2" ht="15">
      <c r="A504" s="84" t="s">
        <v>4163</v>
      </c>
      <c r="B504" s="83" t="s">
        <v>4416</v>
      </c>
    </row>
    <row r="505" spans="1:2" ht="15">
      <c r="A505" s="84" t="s">
        <v>4164</v>
      </c>
      <c r="B505" s="83" t="s">
        <v>4416</v>
      </c>
    </row>
    <row r="506" spans="1:2" ht="15">
      <c r="A506" s="84" t="s">
        <v>4165</v>
      </c>
      <c r="B506" s="83" t="s">
        <v>4416</v>
      </c>
    </row>
    <row r="507" spans="1:2" ht="15">
      <c r="A507" s="84" t="s">
        <v>4166</v>
      </c>
      <c r="B507" s="83" t="s">
        <v>4416</v>
      </c>
    </row>
    <row r="508" spans="1:2" ht="15">
      <c r="A508" s="84" t="s">
        <v>4167</v>
      </c>
      <c r="B508" s="83" t="s">
        <v>4416</v>
      </c>
    </row>
    <row r="509" spans="1:2" ht="15">
      <c r="A509" s="84" t="s">
        <v>4168</v>
      </c>
      <c r="B509" s="83" t="s">
        <v>4416</v>
      </c>
    </row>
    <row r="510" spans="1:2" ht="15">
      <c r="A510" s="84" t="s">
        <v>4169</v>
      </c>
      <c r="B510" s="83" t="s">
        <v>4416</v>
      </c>
    </row>
    <row r="511" spans="1:2" ht="15">
      <c r="A511" s="84" t="s">
        <v>4170</v>
      </c>
      <c r="B511" s="83" t="s">
        <v>4416</v>
      </c>
    </row>
    <row r="512" spans="1:2" ht="15">
      <c r="A512" s="84" t="s">
        <v>4171</v>
      </c>
      <c r="B512" s="83" t="s">
        <v>4416</v>
      </c>
    </row>
    <row r="513" spans="1:2" ht="15">
      <c r="A513" s="84" t="s">
        <v>4172</v>
      </c>
      <c r="B513" s="83" t="s">
        <v>4416</v>
      </c>
    </row>
    <row r="514" spans="1:2" ht="15">
      <c r="A514" s="84" t="s">
        <v>4173</v>
      </c>
      <c r="B514" s="83" t="s">
        <v>4416</v>
      </c>
    </row>
    <row r="515" spans="1:2" ht="15">
      <c r="A515" s="84" t="s">
        <v>4174</v>
      </c>
      <c r="B515" s="83" t="s">
        <v>4416</v>
      </c>
    </row>
    <row r="516" spans="1:2" ht="15">
      <c r="A516" s="84" t="s">
        <v>4175</v>
      </c>
      <c r="B516" s="83" t="s">
        <v>4416</v>
      </c>
    </row>
    <row r="517" spans="1:2" ht="15">
      <c r="A517" s="84" t="s">
        <v>4176</v>
      </c>
      <c r="B517" s="83" t="s">
        <v>4416</v>
      </c>
    </row>
    <row r="518" spans="1:2" ht="15">
      <c r="A518" s="84" t="s">
        <v>4177</v>
      </c>
      <c r="B518" s="83" t="s">
        <v>4416</v>
      </c>
    </row>
    <row r="519" spans="1:2" ht="15">
      <c r="A519" s="84" t="s">
        <v>4178</v>
      </c>
      <c r="B519" s="83" t="s">
        <v>4416</v>
      </c>
    </row>
    <row r="520" spans="1:2" ht="15">
      <c r="A520" s="84" t="s">
        <v>4179</v>
      </c>
      <c r="B520" s="83" t="s">
        <v>4416</v>
      </c>
    </row>
    <row r="521" spans="1:2" ht="15">
      <c r="A521" s="84" t="s">
        <v>4180</v>
      </c>
      <c r="B521" s="83" t="s">
        <v>4416</v>
      </c>
    </row>
    <row r="522" spans="1:2" ht="15">
      <c r="A522" s="84" t="s">
        <v>4181</v>
      </c>
      <c r="B522" s="83" t="s">
        <v>4416</v>
      </c>
    </row>
    <row r="523" spans="1:2" ht="15">
      <c r="A523" s="84" t="s">
        <v>4182</v>
      </c>
      <c r="B523" s="83" t="s">
        <v>4416</v>
      </c>
    </row>
    <row r="524" spans="1:2" ht="15">
      <c r="A524" s="84" t="s">
        <v>4183</v>
      </c>
      <c r="B524" s="83" t="s">
        <v>4416</v>
      </c>
    </row>
    <row r="525" spans="1:2" ht="15">
      <c r="A525" s="84" t="s">
        <v>4184</v>
      </c>
      <c r="B525" s="83" t="s">
        <v>4416</v>
      </c>
    </row>
    <row r="526" spans="1:2" ht="15">
      <c r="A526" s="84" t="s">
        <v>4185</v>
      </c>
      <c r="B526" s="83" t="s">
        <v>4416</v>
      </c>
    </row>
    <row r="527" spans="1:2" ht="15">
      <c r="A527" s="84" t="s">
        <v>4186</v>
      </c>
      <c r="B527" s="83" t="s">
        <v>4416</v>
      </c>
    </row>
    <row r="528" spans="1:2" ht="15">
      <c r="A528" s="84" t="s">
        <v>4187</v>
      </c>
      <c r="B528" s="83" t="s">
        <v>4416</v>
      </c>
    </row>
    <row r="529" spans="1:2" ht="15">
      <c r="A529" s="84" t="s">
        <v>4188</v>
      </c>
      <c r="B529" s="83" t="s">
        <v>4416</v>
      </c>
    </row>
    <row r="530" spans="1:2" ht="15">
      <c r="A530" s="84" t="s">
        <v>4189</v>
      </c>
      <c r="B530" s="83" t="s">
        <v>4416</v>
      </c>
    </row>
    <row r="531" spans="1:2" ht="15">
      <c r="A531" s="84" t="s">
        <v>4190</v>
      </c>
      <c r="B531" s="83" t="s">
        <v>4416</v>
      </c>
    </row>
    <row r="532" spans="1:2" ht="15">
      <c r="A532" s="84" t="s">
        <v>4191</v>
      </c>
      <c r="B532" s="83" t="s">
        <v>4416</v>
      </c>
    </row>
    <row r="533" spans="1:2" ht="15">
      <c r="A533" s="84" t="s">
        <v>4192</v>
      </c>
      <c r="B533" s="83" t="s">
        <v>4416</v>
      </c>
    </row>
    <row r="534" spans="1:2" ht="15">
      <c r="A534" s="84" t="s">
        <v>4193</v>
      </c>
      <c r="B534" s="83" t="s">
        <v>4416</v>
      </c>
    </row>
    <row r="535" spans="1:2" ht="15">
      <c r="A535" s="84" t="s">
        <v>4194</v>
      </c>
      <c r="B535" s="83" t="s">
        <v>4416</v>
      </c>
    </row>
    <row r="536" spans="1:2" ht="15">
      <c r="A536" s="84" t="s">
        <v>4195</v>
      </c>
      <c r="B536" s="83" t="s">
        <v>4416</v>
      </c>
    </row>
    <row r="537" spans="1:2" ht="15">
      <c r="A537" s="84" t="s">
        <v>4196</v>
      </c>
      <c r="B537" s="83" t="s">
        <v>4416</v>
      </c>
    </row>
    <row r="538" spans="1:2" ht="15">
      <c r="A538" s="84" t="s">
        <v>4197</v>
      </c>
      <c r="B538" s="83" t="s">
        <v>4416</v>
      </c>
    </row>
    <row r="539" spans="1:2" ht="15">
      <c r="A539" s="84" t="s">
        <v>4198</v>
      </c>
      <c r="B539" s="83" t="s">
        <v>4416</v>
      </c>
    </row>
    <row r="540" spans="1:2" ht="15">
      <c r="A540" s="84" t="s">
        <v>4199</v>
      </c>
      <c r="B540" s="83" t="s">
        <v>4416</v>
      </c>
    </row>
    <row r="541" spans="1:2" ht="15">
      <c r="A541" s="84" t="s">
        <v>4200</v>
      </c>
      <c r="B541" s="83" t="s">
        <v>4416</v>
      </c>
    </row>
    <row r="542" spans="1:2" ht="15">
      <c r="A542" s="84" t="s">
        <v>4201</v>
      </c>
      <c r="B542" s="83" t="s">
        <v>4416</v>
      </c>
    </row>
    <row r="543" spans="1:2" ht="15">
      <c r="A543" s="84" t="s">
        <v>4202</v>
      </c>
      <c r="B543" s="83" t="s">
        <v>4416</v>
      </c>
    </row>
    <row r="544" spans="1:2" ht="15">
      <c r="A544" s="84" t="s">
        <v>4203</v>
      </c>
      <c r="B544" s="83" t="s">
        <v>4416</v>
      </c>
    </row>
    <row r="545" spans="1:2" ht="15">
      <c r="A545" s="84" t="s">
        <v>3622</v>
      </c>
      <c r="B545" s="83" t="s">
        <v>4416</v>
      </c>
    </row>
    <row r="546" spans="1:2" ht="15">
      <c r="A546" s="84" t="s">
        <v>4204</v>
      </c>
      <c r="B546" s="83" t="s">
        <v>4416</v>
      </c>
    </row>
    <row r="547" spans="1:2" ht="15">
      <c r="A547" s="84" t="s">
        <v>4205</v>
      </c>
      <c r="B547" s="83" t="s">
        <v>4416</v>
      </c>
    </row>
    <row r="548" spans="1:2" ht="15">
      <c r="A548" s="84" t="s">
        <v>4206</v>
      </c>
      <c r="B548" s="83" t="s">
        <v>4416</v>
      </c>
    </row>
    <row r="549" spans="1:2" ht="15">
      <c r="A549" s="84" t="s">
        <v>4207</v>
      </c>
      <c r="B549" s="83" t="s">
        <v>4416</v>
      </c>
    </row>
    <row r="550" spans="1:2" ht="15">
      <c r="A550" s="84" t="s">
        <v>4208</v>
      </c>
      <c r="B550" s="83" t="s">
        <v>4416</v>
      </c>
    </row>
    <row r="551" spans="1:2" ht="15">
      <c r="A551" s="84" t="s">
        <v>4209</v>
      </c>
      <c r="B551" s="83" t="s">
        <v>4416</v>
      </c>
    </row>
    <row r="552" spans="1:2" ht="15">
      <c r="A552" s="84" t="s">
        <v>4210</v>
      </c>
      <c r="B552" s="83" t="s">
        <v>4416</v>
      </c>
    </row>
    <row r="553" spans="1:2" ht="15">
      <c r="A553" s="84" t="s">
        <v>4211</v>
      </c>
      <c r="B553" s="83" t="s">
        <v>4416</v>
      </c>
    </row>
    <row r="554" spans="1:2" ht="15">
      <c r="A554" s="84" t="s">
        <v>4212</v>
      </c>
      <c r="B554" s="83" t="s">
        <v>4416</v>
      </c>
    </row>
    <row r="555" spans="1:2" ht="15">
      <c r="A555" s="84" t="s">
        <v>4213</v>
      </c>
      <c r="B555" s="83" t="s">
        <v>4416</v>
      </c>
    </row>
    <row r="556" spans="1:2" ht="15">
      <c r="A556" s="84" t="s">
        <v>4214</v>
      </c>
      <c r="B556" s="83" t="s">
        <v>4416</v>
      </c>
    </row>
    <row r="557" spans="1:2" ht="15">
      <c r="A557" s="84" t="s">
        <v>4215</v>
      </c>
      <c r="B557" s="83" t="s">
        <v>4416</v>
      </c>
    </row>
    <row r="558" spans="1:2" ht="15">
      <c r="A558" s="84" t="s">
        <v>4216</v>
      </c>
      <c r="B558" s="83" t="s">
        <v>4416</v>
      </c>
    </row>
    <row r="559" spans="1:2" ht="15">
      <c r="A559" s="84" t="s">
        <v>4217</v>
      </c>
      <c r="B559" s="83" t="s">
        <v>4416</v>
      </c>
    </row>
    <row r="560" spans="1:2" ht="15">
      <c r="A560" s="84" t="s">
        <v>4218</v>
      </c>
      <c r="B560" s="83" t="s">
        <v>4416</v>
      </c>
    </row>
    <row r="561" spans="1:2" ht="15">
      <c r="A561" s="84" t="s">
        <v>4219</v>
      </c>
      <c r="B561" s="83" t="s">
        <v>4416</v>
      </c>
    </row>
    <row r="562" spans="1:2" ht="15">
      <c r="A562" s="84" t="s">
        <v>4220</v>
      </c>
      <c r="B562" s="83" t="s">
        <v>4416</v>
      </c>
    </row>
    <row r="563" spans="1:2" ht="15">
      <c r="A563" s="84" t="s">
        <v>4221</v>
      </c>
      <c r="B563" s="83" t="s">
        <v>4416</v>
      </c>
    </row>
    <row r="564" spans="1:2" ht="15">
      <c r="A564" s="84" t="s">
        <v>4222</v>
      </c>
      <c r="B564" s="83" t="s">
        <v>4416</v>
      </c>
    </row>
    <row r="565" spans="1:2" ht="15">
      <c r="A565" s="84" t="s">
        <v>4223</v>
      </c>
      <c r="B565" s="83" t="s">
        <v>4416</v>
      </c>
    </row>
    <row r="566" spans="1:2" ht="15">
      <c r="A566" s="84" t="s">
        <v>4224</v>
      </c>
      <c r="B566" s="83" t="s">
        <v>4416</v>
      </c>
    </row>
    <row r="567" spans="1:2" ht="15">
      <c r="A567" s="84" t="s">
        <v>4225</v>
      </c>
      <c r="B567" s="83" t="s">
        <v>4416</v>
      </c>
    </row>
    <row r="568" spans="1:2" ht="15">
      <c r="A568" s="84" t="s">
        <v>4226</v>
      </c>
      <c r="B568" s="83" t="s">
        <v>4416</v>
      </c>
    </row>
    <row r="569" spans="1:2" ht="15">
      <c r="A569" s="84" t="s">
        <v>4227</v>
      </c>
      <c r="B569" s="83" t="s">
        <v>4416</v>
      </c>
    </row>
    <row r="570" spans="1:2" ht="15">
      <c r="A570" s="84" t="s">
        <v>4228</v>
      </c>
      <c r="B570" s="83" t="s">
        <v>4416</v>
      </c>
    </row>
    <row r="571" spans="1:2" ht="15">
      <c r="A571" s="84" t="s">
        <v>4229</v>
      </c>
      <c r="B571" s="83" t="s">
        <v>4416</v>
      </c>
    </row>
    <row r="572" spans="1:2" ht="15">
      <c r="A572" s="84" t="s">
        <v>4230</v>
      </c>
      <c r="B572" s="83" t="s">
        <v>4416</v>
      </c>
    </row>
    <row r="573" spans="1:2" ht="15">
      <c r="A573" s="84" t="s">
        <v>4231</v>
      </c>
      <c r="B573" s="83" t="s">
        <v>4416</v>
      </c>
    </row>
    <row r="574" spans="1:2" ht="15">
      <c r="A574" s="84" t="s">
        <v>4232</v>
      </c>
      <c r="B574" s="83" t="s">
        <v>4416</v>
      </c>
    </row>
    <row r="575" spans="1:2" ht="15">
      <c r="A575" s="84" t="s">
        <v>4233</v>
      </c>
      <c r="B575" s="83" t="s">
        <v>4416</v>
      </c>
    </row>
    <row r="576" spans="1:2" ht="15">
      <c r="A576" s="84" t="s">
        <v>4234</v>
      </c>
      <c r="B576" s="83" t="s">
        <v>4416</v>
      </c>
    </row>
    <row r="577" spans="1:2" ht="15">
      <c r="A577" s="84" t="s">
        <v>4235</v>
      </c>
      <c r="B577" s="83" t="s">
        <v>4416</v>
      </c>
    </row>
    <row r="578" spans="1:2" ht="15">
      <c r="A578" s="84" t="s">
        <v>4236</v>
      </c>
      <c r="B578" s="83" t="s">
        <v>4416</v>
      </c>
    </row>
    <row r="579" spans="1:2" ht="15">
      <c r="A579" s="84" t="s">
        <v>4237</v>
      </c>
      <c r="B579" s="83" t="s">
        <v>4416</v>
      </c>
    </row>
    <row r="580" spans="1:2" ht="15">
      <c r="A580" s="84" t="s">
        <v>4238</v>
      </c>
      <c r="B580" s="83" t="s">
        <v>4416</v>
      </c>
    </row>
    <row r="581" spans="1:2" ht="15">
      <c r="A581" s="84" t="s">
        <v>4239</v>
      </c>
      <c r="B581" s="83" t="s">
        <v>4416</v>
      </c>
    </row>
    <row r="582" spans="1:2" ht="15">
      <c r="A582" s="84" t="s">
        <v>4240</v>
      </c>
      <c r="B582" s="83" t="s">
        <v>4416</v>
      </c>
    </row>
    <row r="583" spans="1:2" ht="15">
      <c r="A583" s="84" t="s">
        <v>4241</v>
      </c>
      <c r="B583" s="83" t="s">
        <v>4416</v>
      </c>
    </row>
    <row r="584" spans="1:2" ht="15">
      <c r="A584" s="84" t="s">
        <v>4242</v>
      </c>
      <c r="B584" s="83" t="s">
        <v>4416</v>
      </c>
    </row>
    <row r="585" spans="1:2" ht="15">
      <c r="A585" s="84" t="s">
        <v>4243</v>
      </c>
      <c r="B585" s="83" t="s">
        <v>4416</v>
      </c>
    </row>
    <row r="586" spans="1:2" ht="15">
      <c r="A586" s="84" t="s">
        <v>4244</v>
      </c>
      <c r="B586" s="83" t="s">
        <v>4416</v>
      </c>
    </row>
    <row r="587" spans="1:2" ht="15">
      <c r="A587" s="84" t="s">
        <v>4245</v>
      </c>
      <c r="B587" s="83" t="s">
        <v>4416</v>
      </c>
    </row>
    <row r="588" spans="1:2" ht="15">
      <c r="A588" s="84" t="s">
        <v>4246</v>
      </c>
      <c r="B588" s="83" t="s">
        <v>4416</v>
      </c>
    </row>
    <row r="589" spans="1:2" ht="15">
      <c r="A589" s="84" t="s">
        <v>4247</v>
      </c>
      <c r="B589" s="83" t="s">
        <v>4416</v>
      </c>
    </row>
    <row r="590" spans="1:2" ht="15">
      <c r="A590" s="84" t="s">
        <v>4248</v>
      </c>
      <c r="B590" s="83" t="s">
        <v>4416</v>
      </c>
    </row>
    <row r="591" spans="1:2" ht="15">
      <c r="A591" s="84" t="s">
        <v>4249</v>
      </c>
      <c r="B591" s="83" t="s">
        <v>4416</v>
      </c>
    </row>
    <row r="592" spans="1:2" ht="15">
      <c r="A592" s="84" t="s">
        <v>4250</v>
      </c>
      <c r="B592" s="83" t="s">
        <v>4416</v>
      </c>
    </row>
    <row r="593" spans="1:2" ht="15">
      <c r="A593" s="84" t="s">
        <v>4251</v>
      </c>
      <c r="B593" s="83" t="s">
        <v>4416</v>
      </c>
    </row>
    <row r="594" spans="1:2" ht="15">
      <c r="A594" s="84" t="s">
        <v>4252</v>
      </c>
      <c r="B594" s="83" t="s">
        <v>4416</v>
      </c>
    </row>
    <row r="595" spans="1:2" ht="15">
      <c r="A595" s="84" t="s">
        <v>4253</v>
      </c>
      <c r="B595" s="83" t="s">
        <v>4416</v>
      </c>
    </row>
    <row r="596" spans="1:2" ht="15">
      <c r="A596" s="84" t="s">
        <v>4254</v>
      </c>
      <c r="B596" s="83" t="s">
        <v>4416</v>
      </c>
    </row>
    <row r="597" spans="1:2" ht="15">
      <c r="A597" s="84" t="s">
        <v>4255</v>
      </c>
      <c r="B597" s="83" t="s">
        <v>4416</v>
      </c>
    </row>
    <row r="598" spans="1:2" ht="15">
      <c r="A598" s="84" t="s">
        <v>4256</v>
      </c>
      <c r="B598" s="83" t="s">
        <v>4416</v>
      </c>
    </row>
    <row r="599" spans="1:2" ht="15">
      <c r="A599" s="84" t="s">
        <v>4257</v>
      </c>
      <c r="B599" s="83" t="s">
        <v>4416</v>
      </c>
    </row>
    <row r="600" spans="1:2" ht="15">
      <c r="A600" s="84" t="s">
        <v>4258</v>
      </c>
      <c r="B600" s="83" t="s">
        <v>4416</v>
      </c>
    </row>
    <row r="601" spans="1:2" ht="15">
      <c r="A601" s="84" t="s">
        <v>4259</v>
      </c>
      <c r="B601" s="83" t="s">
        <v>4416</v>
      </c>
    </row>
    <row r="602" spans="1:2" ht="15">
      <c r="A602" s="84" t="s">
        <v>4260</v>
      </c>
      <c r="B602" s="83" t="s">
        <v>4416</v>
      </c>
    </row>
    <row r="603" spans="1:2" ht="15">
      <c r="A603" s="84" t="s">
        <v>4261</v>
      </c>
      <c r="B603" s="83" t="s">
        <v>4416</v>
      </c>
    </row>
    <row r="604" spans="1:2" ht="15">
      <c r="A604" s="84" t="s">
        <v>4262</v>
      </c>
      <c r="B604" s="83" t="s">
        <v>4416</v>
      </c>
    </row>
    <row r="605" spans="1:2" ht="15">
      <c r="A605" s="84" t="s">
        <v>4263</v>
      </c>
      <c r="B605" s="83" t="s">
        <v>4416</v>
      </c>
    </row>
    <row r="606" spans="1:2" ht="15">
      <c r="A606" s="84" t="s">
        <v>4264</v>
      </c>
      <c r="B606" s="83" t="s">
        <v>4416</v>
      </c>
    </row>
    <row r="607" spans="1:2" ht="15">
      <c r="A607" s="84" t="s">
        <v>4265</v>
      </c>
      <c r="B607" s="83" t="s">
        <v>4416</v>
      </c>
    </row>
    <row r="608" spans="1:2" ht="15">
      <c r="A608" s="84" t="s">
        <v>4266</v>
      </c>
      <c r="B608" s="83" t="s">
        <v>4416</v>
      </c>
    </row>
    <row r="609" spans="1:2" ht="15">
      <c r="A609" s="84" t="s">
        <v>4267</v>
      </c>
      <c r="B609" s="83" t="s">
        <v>4416</v>
      </c>
    </row>
    <row r="610" spans="1:2" ht="15">
      <c r="A610" s="84" t="s">
        <v>4268</v>
      </c>
      <c r="B610" s="83" t="s">
        <v>4416</v>
      </c>
    </row>
    <row r="611" spans="1:2" ht="15">
      <c r="A611" s="84" t="s">
        <v>4269</v>
      </c>
      <c r="B611" s="83" t="s">
        <v>4416</v>
      </c>
    </row>
    <row r="612" spans="1:2" ht="15">
      <c r="A612" s="84" t="s">
        <v>4270</v>
      </c>
      <c r="B612" s="83" t="s">
        <v>4416</v>
      </c>
    </row>
    <row r="613" spans="1:2" ht="15">
      <c r="A613" s="84" t="s">
        <v>4271</v>
      </c>
      <c r="B613" s="83" t="s">
        <v>4416</v>
      </c>
    </row>
    <row r="614" spans="1:2" ht="15">
      <c r="A614" s="84" t="s">
        <v>4272</v>
      </c>
      <c r="B614" s="83" t="s">
        <v>4416</v>
      </c>
    </row>
    <row r="615" spans="1:2" ht="15">
      <c r="A615" s="84" t="s">
        <v>4273</v>
      </c>
      <c r="B615" s="83" t="s">
        <v>4416</v>
      </c>
    </row>
    <row r="616" spans="1:2" ht="15">
      <c r="A616" s="84" t="s">
        <v>4274</v>
      </c>
      <c r="B616" s="83" t="s">
        <v>4416</v>
      </c>
    </row>
    <row r="617" spans="1:2" ht="15">
      <c r="A617" s="84" t="s">
        <v>4275</v>
      </c>
      <c r="B617" s="83" t="s">
        <v>4416</v>
      </c>
    </row>
    <row r="618" spans="1:2" ht="15">
      <c r="A618" s="84" t="s">
        <v>4276</v>
      </c>
      <c r="B618" s="83" t="s">
        <v>4416</v>
      </c>
    </row>
    <row r="619" spans="1:2" ht="15">
      <c r="A619" s="84" t="s">
        <v>4277</v>
      </c>
      <c r="B619" s="83" t="s">
        <v>4416</v>
      </c>
    </row>
    <row r="620" spans="1:2" ht="15">
      <c r="A620" s="84" t="s">
        <v>4278</v>
      </c>
      <c r="B620" s="83" t="s">
        <v>4416</v>
      </c>
    </row>
    <row r="621" spans="1:2" ht="15">
      <c r="A621" s="84" t="s">
        <v>4279</v>
      </c>
      <c r="B621" s="83" t="s">
        <v>4416</v>
      </c>
    </row>
    <row r="622" spans="1:2" ht="15">
      <c r="A622" s="84" t="s">
        <v>4280</v>
      </c>
      <c r="B622" s="83" t="s">
        <v>4416</v>
      </c>
    </row>
    <row r="623" spans="1:2" ht="15">
      <c r="A623" s="84" t="s">
        <v>4281</v>
      </c>
      <c r="B623" s="83" t="s">
        <v>4416</v>
      </c>
    </row>
    <row r="624" spans="1:2" ht="15">
      <c r="A624" s="84" t="s">
        <v>4282</v>
      </c>
      <c r="B624" s="83" t="s">
        <v>4416</v>
      </c>
    </row>
    <row r="625" spans="1:2" ht="15">
      <c r="A625" s="84" t="s">
        <v>4283</v>
      </c>
      <c r="B625" s="83" t="s">
        <v>4416</v>
      </c>
    </row>
    <row r="626" spans="1:2" ht="15">
      <c r="A626" s="84" t="s">
        <v>4284</v>
      </c>
      <c r="B626" s="83" t="s">
        <v>4416</v>
      </c>
    </row>
    <row r="627" spans="1:2" ht="15">
      <c r="A627" s="84" t="s">
        <v>4285</v>
      </c>
      <c r="B627" s="83" t="s">
        <v>4416</v>
      </c>
    </row>
    <row r="628" spans="1:2" ht="15">
      <c r="A628" s="84" t="s">
        <v>4286</v>
      </c>
      <c r="B628" s="83" t="s">
        <v>4416</v>
      </c>
    </row>
    <row r="629" spans="1:2" ht="15">
      <c r="A629" s="84" t="s">
        <v>4287</v>
      </c>
      <c r="B629" s="83" t="s">
        <v>4416</v>
      </c>
    </row>
    <row r="630" spans="1:2" ht="15">
      <c r="A630" s="84" t="s">
        <v>4288</v>
      </c>
      <c r="B630" s="83" t="s">
        <v>4416</v>
      </c>
    </row>
    <row r="631" spans="1:2" ht="15">
      <c r="A631" s="84" t="s">
        <v>4289</v>
      </c>
      <c r="B631" s="83" t="s">
        <v>4416</v>
      </c>
    </row>
    <row r="632" spans="1:2" ht="15">
      <c r="A632" s="84" t="s">
        <v>4290</v>
      </c>
      <c r="B632" s="83" t="s">
        <v>4416</v>
      </c>
    </row>
    <row r="633" spans="1:2" ht="15">
      <c r="A633" s="84" t="s">
        <v>4291</v>
      </c>
      <c r="B633" s="83" t="s">
        <v>4416</v>
      </c>
    </row>
    <row r="634" spans="1:2" ht="15">
      <c r="A634" s="84" t="s">
        <v>4292</v>
      </c>
      <c r="B634" s="83" t="s">
        <v>4416</v>
      </c>
    </row>
    <row r="635" spans="1:2" ht="15">
      <c r="A635" s="84" t="s">
        <v>4293</v>
      </c>
      <c r="B635" s="83" t="s">
        <v>4416</v>
      </c>
    </row>
    <row r="636" spans="1:2" ht="15">
      <c r="A636" s="84" t="s">
        <v>4294</v>
      </c>
      <c r="B636" s="83" t="s">
        <v>4416</v>
      </c>
    </row>
    <row r="637" spans="1:2" ht="15">
      <c r="A637" s="84" t="s">
        <v>4295</v>
      </c>
      <c r="B637" s="83" t="s">
        <v>4416</v>
      </c>
    </row>
    <row r="638" spans="1:2" ht="15">
      <c r="A638" s="84" t="s">
        <v>4296</v>
      </c>
      <c r="B638" s="83" t="s">
        <v>4416</v>
      </c>
    </row>
    <row r="639" spans="1:2" ht="15">
      <c r="A639" s="84" t="s">
        <v>4297</v>
      </c>
      <c r="B639" s="83" t="s">
        <v>4416</v>
      </c>
    </row>
    <row r="640" spans="1:2" ht="15">
      <c r="A640" s="84" t="s">
        <v>4298</v>
      </c>
      <c r="B640" s="83" t="s">
        <v>4416</v>
      </c>
    </row>
    <row r="641" spans="1:2" ht="15">
      <c r="A641" s="84" t="s">
        <v>4299</v>
      </c>
      <c r="B641" s="83" t="s">
        <v>4416</v>
      </c>
    </row>
    <row r="642" spans="1:2" ht="15">
      <c r="A642" s="84" t="s">
        <v>4300</v>
      </c>
      <c r="B642" s="83" t="s">
        <v>4416</v>
      </c>
    </row>
    <row r="643" spans="1:2" ht="15">
      <c r="A643" s="84" t="s">
        <v>4301</v>
      </c>
      <c r="B643" s="83" t="s">
        <v>4416</v>
      </c>
    </row>
    <row r="644" spans="1:2" ht="15">
      <c r="A644" s="84" t="s">
        <v>4302</v>
      </c>
      <c r="B644" s="83" t="s">
        <v>4416</v>
      </c>
    </row>
    <row r="645" spans="1:2" ht="15">
      <c r="A645" s="84" t="s">
        <v>4303</v>
      </c>
      <c r="B645" s="83" t="s">
        <v>4416</v>
      </c>
    </row>
    <row r="646" spans="1:2" ht="15">
      <c r="A646" s="84" t="s">
        <v>4304</v>
      </c>
      <c r="B646" s="83" t="s">
        <v>4416</v>
      </c>
    </row>
    <row r="647" spans="1:2" ht="15">
      <c r="A647" s="84" t="s">
        <v>4305</v>
      </c>
      <c r="B647" s="83" t="s">
        <v>4416</v>
      </c>
    </row>
    <row r="648" spans="1:2" ht="15">
      <c r="A648" s="84" t="s">
        <v>4306</v>
      </c>
      <c r="B648" s="83" t="s">
        <v>4416</v>
      </c>
    </row>
    <row r="649" spans="1:2" ht="15">
      <c r="A649" s="84" t="s">
        <v>4307</v>
      </c>
      <c r="B649" s="83" t="s">
        <v>4416</v>
      </c>
    </row>
    <row r="650" spans="1:2" ht="15">
      <c r="A650" s="84" t="s">
        <v>4308</v>
      </c>
      <c r="B650" s="83" t="s">
        <v>4416</v>
      </c>
    </row>
    <row r="651" spans="1:2" ht="15">
      <c r="A651" s="84" t="s">
        <v>4309</v>
      </c>
      <c r="B651" s="83" t="s">
        <v>4416</v>
      </c>
    </row>
    <row r="652" spans="1:2" ht="15">
      <c r="A652" s="84" t="s">
        <v>4310</v>
      </c>
      <c r="B652" s="83" t="s">
        <v>4416</v>
      </c>
    </row>
    <row r="653" spans="1:2" ht="15">
      <c r="A653" s="84" t="s">
        <v>4311</v>
      </c>
      <c r="B653" s="83" t="s">
        <v>4416</v>
      </c>
    </row>
    <row r="654" spans="1:2" ht="15">
      <c r="A654" s="84" t="s">
        <v>4312</v>
      </c>
      <c r="B654" s="83" t="s">
        <v>4416</v>
      </c>
    </row>
    <row r="655" spans="1:2" ht="15">
      <c r="A655" s="84" t="s">
        <v>4313</v>
      </c>
      <c r="B655" s="83" t="s">
        <v>4416</v>
      </c>
    </row>
    <row r="656" spans="1:2" ht="15">
      <c r="A656" s="84" t="s">
        <v>4314</v>
      </c>
      <c r="B656" s="83" t="s">
        <v>4416</v>
      </c>
    </row>
    <row r="657" spans="1:2" ht="15">
      <c r="A657" s="84" t="s">
        <v>4315</v>
      </c>
      <c r="B657" s="83" t="s">
        <v>4416</v>
      </c>
    </row>
    <row r="658" spans="1:2" ht="15">
      <c r="A658" s="84" t="s">
        <v>4316</v>
      </c>
      <c r="B658" s="83" t="s">
        <v>4416</v>
      </c>
    </row>
    <row r="659" spans="1:2" ht="15">
      <c r="A659" s="84" t="s">
        <v>4317</v>
      </c>
      <c r="B659" s="83" t="s">
        <v>4416</v>
      </c>
    </row>
    <row r="660" spans="1:2" ht="15">
      <c r="A660" s="84" t="s">
        <v>4318</v>
      </c>
      <c r="B660" s="83" t="s">
        <v>4416</v>
      </c>
    </row>
    <row r="661" spans="1:2" ht="15">
      <c r="A661" s="84" t="s">
        <v>4319</v>
      </c>
      <c r="B661" s="83" t="s">
        <v>4416</v>
      </c>
    </row>
    <row r="662" spans="1:2" ht="15">
      <c r="A662" s="84" t="s">
        <v>4320</v>
      </c>
      <c r="B662" s="83" t="s">
        <v>4416</v>
      </c>
    </row>
    <row r="663" spans="1:2" ht="15">
      <c r="A663" s="84" t="s">
        <v>4321</v>
      </c>
      <c r="B663" s="83" t="s">
        <v>4416</v>
      </c>
    </row>
    <row r="664" spans="1:2" ht="15">
      <c r="A664" s="84" t="s">
        <v>4322</v>
      </c>
      <c r="B664" s="83" t="s">
        <v>4416</v>
      </c>
    </row>
    <row r="665" spans="1:2" ht="15">
      <c r="A665" s="84" t="s">
        <v>4323</v>
      </c>
      <c r="B665" s="83" t="s">
        <v>4416</v>
      </c>
    </row>
    <row r="666" spans="1:2" ht="15">
      <c r="A666" s="84" t="s">
        <v>4324</v>
      </c>
      <c r="B666" s="83" t="s">
        <v>4416</v>
      </c>
    </row>
    <row r="667" spans="1:2" ht="15">
      <c r="A667" s="84" t="s">
        <v>4325</v>
      </c>
      <c r="B667" s="83" t="s">
        <v>4416</v>
      </c>
    </row>
    <row r="668" spans="1:2" ht="15">
      <c r="A668" s="84" t="s">
        <v>4326</v>
      </c>
      <c r="B668" s="83" t="s">
        <v>4416</v>
      </c>
    </row>
    <row r="669" spans="1:2" ht="15">
      <c r="A669" s="84" t="s">
        <v>4327</v>
      </c>
      <c r="B669" s="83" t="s">
        <v>4416</v>
      </c>
    </row>
    <row r="670" spans="1:2" ht="15">
      <c r="A670" s="84" t="s">
        <v>4328</v>
      </c>
      <c r="B670" s="83" t="s">
        <v>4416</v>
      </c>
    </row>
    <row r="671" spans="1:2" ht="15">
      <c r="A671" s="84" t="s">
        <v>4329</v>
      </c>
      <c r="B671" s="83" t="s">
        <v>4416</v>
      </c>
    </row>
    <row r="672" spans="1:2" ht="15">
      <c r="A672" s="84" t="s">
        <v>4330</v>
      </c>
      <c r="B672" s="83" t="s">
        <v>4416</v>
      </c>
    </row>
    <row r="673" spans="1:2" ht="15">
      <c r="A673" s="84" t="s">
        <v>4331</v>
      </c>
      <c r="B673" s="83" t="s">
        <v>4416</v>
      </c>
    </row>
    <row r="674" spans="1:2" ht="15">
      <c r="A674" s="84" t="s">
        <v>4332</v>
      </c>
      <c r="B674" s="83" t="s">
        <v>4416</v>
      </c>
    </row>
    <row r="675" spans="1:2" ht="15">
      <c r="A675" s="84" t="s">
        <v>4333</v>
      </c>
      <c r="B675" s="83" t="s">
        <v>4416</v>
      </c>
    </row>
    <row r="676" spans="1:2" ht="15">
      <c r="A676" s="84" t="s">
        <v>4334</v>
      </c>
      <c r="B676" s="83" t="s">
        <v>4416</v>
      </c>
    </row>
    <row r="677" spans="1:2" ht="15">
      <c r="A677" s="84" t="s">
        <v>4335</v>
      </c>
      <c r="B677" s="83" t="s">
        <v>4416</v>
      </c>
    </row>
    <row r="678" spans="1:2" ht="15">
      <c r="A678" s="84" t="s">
        <v>4336</v>
      </c>
      <c r="B678" s="83" t="s">
        <v>4416</v>
      </c>
    </row>
    <row r="679" spans="1:2" ht="15">
      <c r="A679" s="84" t="s">
        <v>4337</v>
      </c>
      <c r="B679" s="83" t="s">
        <v>4416</v>
      </c>
    </row>
    <row r="680" spans="1:2" ht="15">
      <c r="A680" s="84" t="s">
        <v>4338</v>
      </c>
      <c r="B680" s="83" t="s">
        <v>4416</v>
      </c>
    </row>
    <row r="681" spans="1:2" ht="15">
      <c r="A681" s="84" t="s">
        <v>4339</v>
      </c>
      <c r="B681" s="83" t="s">
        <v>4416</v>
      </c>
    </row>
    <row r="682" spans="1:2" ht="15">
      <c r="A682" s="84" t="s">
        <v>4340</v>
      </c>
      <c r="B682" s="83" t="s">
        <v>4416</v>
      </c>
    </row>
    <row r="683" spans="1:2" ht="15">
      <c r="A683" s="84" t="s">
        <v>4341</v>
      </c>
      <c r="B683" s="83" t="s">
        <v>4416</v>
      </c>
    </row>
    <row r="684" spans="1:2" ht="15">
      <c r="A684" s="84" t="s">
        <v>4342</v>
      </c>
      <c r="B684" s="83" t="s">
        <v>4416</v>
      </c>
    </row>
    <row r="685" spans="1:2" ht="15">
      <c r="A685" s="84" t="s">
        <v>4343</v>
      </c>
      <c r="B685" s="83" t="s">
        <v>4416</v>
      </c>
    </row>
    <row r="686" spans="1:2" ht="15">
      <c r="A686" s="84" t="s">
        <v>4344</v>
      </c>
      <c r="B686" s="83" t="s">
        <v>4416</v>
      </c>
    </row>
    <row r="687" spans="1:2" ht="15">
      <c r="A687" s="84" t="s">
        <v>4345</v>
      </c>
      <c r="B687" s="83" t="s">
        <v>4416</v>
      </c>
    </row>
    <row r="688" spans="1:2" ht="15">
      <c r="A688" s="84" t="s">
        <v>4346</v>
      </c>
      <c r="B688" s="83" t="s">
        <v>4416</v>
      </c>
    </row>
    <row r="689" spans="1:2" ht="15">
      <c r="A689" s="84" t="s">
        <v>4347</v>
      </c>
      <c r="B689" s="83" t="s">
        <v>4416</v>
      </c>
    </row>
    <row r="690" spans="1:2" ht="15">
      <c r="A690" s="84" t="s">
        <v>4348</v>
      </c>
      <c r="B690" s="83" t="s">
        <v>4416</v>
      </c>
    </row>
    <row r="691" spans="1:2" ht="15">
      <c r="A691" s="84" t="s">
        <v>4349</v>
      </c>
      <c r="B691" s="83" t="s">
        <v>4416</v>
      </c>
    </row>
    <row r="692" spans="1:2" ht="15">
      <c r="A692" s="84" t="s">
        <v>4350</v>
      </c>
      <c r="B692" s="83" t="s">
        <v>4416</v>
      </c>
    </row>
    <row r="693" spans="1:2" ht="15">
      <c r="A693" s="84" t="s">
        <v>4351</v>
      </c>
      <c r="B693" s="83" t="s">
        <v>4416</v>
      </c>
    </row>
    <row r="694" spans="1:2" ht="15">
      <c r="A694" s="84" t="s">
        <v>4352</v>
      </c>
      <c r="B694" s="83" t="s">
        <v>4416</v>
      </c>
    </row>
    <row r="695" spans="1:2" ht="15">
      <c r="A695" s="84" t="s">
        <v>4353</v>
      </c>
      <c r="B695" s="83" t="s">
        <v>4416</v>
      </c>
    </row>
    <row r="696" spans="1:2" ht="15">
      <c r="A696" s="84" t="s">
        <v>4354</v>
      </c>
      <c r="B696" s="83" t="s">
        <v>4416</v>
      </c>
    </row>
    <row r="697" spans="1:2" ht="15">
      <c r="A697" s="84" t="s">
        <v>4355</v>
      </c>
      <c r="B697" s="83" t="s">
        <v>4416</v>
      </c>
    </row>
    <row r="698" spans="1:2" ht="15">
      <c r="A698" s="84" t="s">
        <v>4356</v>
      </c>
      <c r="B698" s="83" t="s">
        <v>4416</v>
      </c>
    </row>
    <row r="699" spans="1:2" ht="15">
      <c r="A699" s="84" t="s">
        <v>4357</v>
      </c>
      <c r="B699" s="83" t="s">
        <v>4416</v>
      </c>
    </row>
    <row r="700" spans="1:2" ht="15">
      <c r="A700" s="84" t="s">
        <v>4358</v>
      </c>
      <c r="B700" s="83" t="s">
        <v>4416</v>
      </c>
    </row>
    <row r="701" spans="1:2" ht="15">
      <c r="A701" s="84" t="s">
        <v>4359</v>
      </c>
      <c r="B701" s="83" t="s">
        <v>4416</v>
      </c>
    </row>
    <row r="702" spans="1:2" ht="15">
      <c r="A702" s="84" t="s">
        <v>4360</v>
      </c>
      <c r="B702" s="83" t="s">
        <v>4416</v>
      </c>
    </row>
    <row r="703" spans="1:2" ht="15">
      <c r="A703" s="84" t="s">
        <v>4361</v>
      </c>
      <c r="B703" s="83" t="s">
        <v>4416</v>
      </c>
    </row>
    <row r="704" spans="1:2" ht="15">
      <c r="A704" s="84" t="s">
        <v>4362</v>
      </c>
      <c r="B704" s="83" t="s">
        <v>4416</v>
      </c>
    </row>
    <row r="705" spans="1:2" ht="15">
      <c r="A705" s="84" t="s">
        <v>4363</v>
      </c>
      <c r="B705" s="83" t="s">
        <v>4416</v>
      </c>
    </row>
    <row r="706" spans="1:2" ht="15">
      <c r="A706" s="84" t="s">
        <v>4364</v>
      </c>
      <c r="B706" s="83" t="s">
        <v>4416</v>
      </c>
    </row>
    <row r="707" spans="1:2" ht="15">
      <c r="A707" s="84" t="s">
        <v>4365</v>
      </c>
      <c r="B707" s="83" t="s">
        <v>4416</v>
      </c>
    </row>
    <row r="708" spans="1:2" ht="15">
      <c r="A708" s="84" t="s">
        <v>4366</v>
      </c>
      <c r="B708" s="83" t="s">
        <v>4416</v>
      </c>
    </row>
    <row r="709" spans="1:2" ht="15">
      <c r="A709" s="84" t="s">
        <v>4367</v>
      </c>
      <c r="B709" s="83" t="s">
        <v>4416</v>
      </c>
    </row>
    <row r="710" spans="1:2" ht="15">
      <c r="A710" s="84" t="s">
        <v>4368</v>
      </c>
      <c r="B710" s="83" t="s">
        <v>4416</v>
      </c>
    </row>
    <row r="711" spans="1:2" ht="15">
      <c r="A711" s="84" t="s">
        <v>4369</v>
      </c>
      <c r="B711" s="83" t="s">
        <v>4416</v>
      </c>
    </row>
    <row r="712" spans="1:2" ht="15">
      <c r="A712" s="84" t="s">
        <v>4370</v>
      </c>
      <c r="B712" s="83" t="s">
        <v>4416</v>
      </c>
    </row>
    <row r="713" spans="1:2" ht="15">
      <c r="A713" s="84" t="s">
        <v>4371</v>
      </c>
      <c r="B713" s="83" t="s">
        <v>4416</v>
      </c>
    </row>
    <row r="714" spans="1:2" ht="15">
      <c r="A714" s="84" t="s">
        <v>4372</v>
      </c>
      <c r="B714" s="83" t="s">
        <v>4416</v>
      </c>
    </row>
    <row r="715" spans="1:2" ht="15">
      <c r="A715" s="84" t="s">
        <v>4373</v>
      </c>
      <c r="B715" s="83" t="s">
        <v>4416</v>
      </c>
    </row>
    <row r="716" spans="1:2" ht="15">
      <c r="A716" s="84" t="s">
        <v>4374</v>
      </c>
      <c r="B716" s="83" t="s">
        <v>4416</v>
      </c>
    </row>
    <row r="717" spans="1:2" ht="15">
      <c r="A717" s="84" t="s">
        <v>4375</v>
      </c>
      <c r="B717" s="83" t="s">
        <v>4416</v>
      </c>
    </row>
    <row r="718" spans="1:2" ht="15">
      <c r="A718" s="84" t="s">
        <v>4376</v>
      </c>
      <c r="B718" s="83" t="s">
        <v>4416</v>
      </c>
    </row>
    <row r="719" spans="1:2" ht="15">
      <c r="A719" s="84" t="s">
        <v>4377</v>
      </c>
      <c r="B719" s="83" t="s">
        <v>4416</v>
      </c>
    </row>
    <row r="720" spans="1:2" ht="15">
      <c r="A720" s="84" t="s">
        <v>4378</v>
      </c>
      <c r="B720" s="83" t="s">
        <v>4416</v>
      </c>
    </row>
    <row r="721" spans="1:2" ht="15">
      <c r="A721" s="84" t="s">
        <v>4379</v>
      </c>
      <c r="B721" s="83" t="s">
        <v>4416</v>
      </c>
    </row>
    <row r="722" spans="1:2" ht="15">
      <c r="A722" s="84" t="s">
        <v>4380</v>
      </c>
      <c r="B722" s="83" t="s">
        <v>4416</v>
      </c>
    </row>
    <row r="723" spans="1:2" ht="15">
      <c r="A723" s="84" t="s">
        <v>4381</v>
      </c>
      <c r="B723" s="83" t="s">
        <v>4416</v>
      </c>
    </row>
    <row r="724" spans="1:2" ht="15">
      <c r="A724" s="84" t="s">
        <v>4382</v>
      </c>
      <c r="B724" s="83" t="s">
        <v>4416</v>
      </c>
    </row>
    <row r="725" spans="1:2" ht="15">
      <c r="A725" s="84" t="s">
        <v>4383</v>
      </c>
      <c r="B725" s="83" t="s">
        <v>4416</v>
      </c>
    </row>
    <row r="726" spans="1:2" ht="15">
      <c r="A726" s="84" t="s">
        <v>4384</v>
      </c>
      <c r="B726" s="83" t="s">
        <v>4416</v>
      </c>
    </row>
    <row r="727" spans="1:2" ht="15">
      <c r="A727" s="84" t="s">
        <v>4385</v>
      </c>
      <c r="B727" s="83" t="s">
        <v>4416</v>
      </c>
    </row>
    <row r="728" spans="1:2" ht="15">
      <c r="A728" s="84" t="s">
        <v>4386</v>
      </c>
      <c r="B728" s="83" t="s">
        <v>4416</v>
      </c>
    </row>
    <row r="729" spans="1:2" ht="15">
      <c r="A729" s="84" t="s">
        <v>4387</v>
      </c>
      <c r="B729" s="83" t="s">
        <v>4416</v>
      </c>
    </row>
    <row r="730" spans="1:2" ht="15">
      <c r="A730" s="84" t="s">
        <v>4388</v>
      </c>
      <c r="B730" s="83" t="s">
        <v>4416</v>
      </c>
    </row>
    <row r="731" spans="1:2" ht="15">
      <c r="A731" s="84" t="s">
        <v>4389</v>
      </c>
      <c r="B731" s="83" t="s">
        <v>4416</v>
      </c>
    </row>
    <row r="732" spans="1:2" ht="15">
      <c r="A732" s="84" t="s">
        <v>4390</v>
      </c>
      <c r="B732" s="83" t="s">
        <v>4416</v>
      </c>
    </row>
    <row r="733" spans="1:2" ht="15">
      <c r="A733" s="84" t="s">
        <v>4391</v>
      </c>
      <c r="B733" s="83" t="s">
        <v>4416</v>
      </c>
    </row>
    <row r="734" spans="1:2" ht="15">
      <c r="A734" s="84" t="s">
        <v>4392</v>
      </c>
      <c r="B734" s="83" t="s">
        <v>4416</v>
      </c>
    </row>
    <row r="735" spans="1:2" ht="15">
      <c r="A735" s="84" t="s">
        <v>4393</v>
      </c>
      <c r="B735" s="83" t="s">
        <v>4416</v>
      </c>
    </row>
    <row r="736" spans="1:2" ht="15">
      <c r="A736" s="84" t="s">
        <v>4394</v>
      </c>
      <c r="B736" s="83" t="s">
        <v>4416</v>
      </c>
    </row>
    <row r="737" spans="1:2" ht="15">
      <c r="A737" s="84" t="s">
        <v>4395</v>
      </c>
      <c r="B737" s="83" t="s">
        <v>4416</v>
      </c>
    </row>
    <row r="738" spans="1:2" ht="15">
      <c r="A738" s="84" t="s">
        <v>4396</v>
      </c>
      <c r="B738" s="83" t="s">
        <v>4416</v>
      </c>
    </row>
    <row r="739" spans="1:2" ht="15">
      <c r="A739" s="84" t="s">
        <v>4397</v>
      </c>
      <c r="B739" s="83" t="s">
        <v>4416</v>
      </c>
    </row>
    <row r="740" spans="1:2" ht="15">
      <c r="A740" s="84" t="s">
        <v>4398</v>
      </c>
      <c r="B740" s="83" t="s">
        <v>4416</v>
      </c>
    </row>
    <row r="741" spans="1:2" ht="15">
      <c r="A741" s="84" t="s">
        <v>4399</v>
      </c>
      <c r="B741" s="83" t="s">
        <v>4416</v>
      </c>
    </row>
    <row r="742" spans="1:2" ht="15">
      <c r="A742" s="84" t="s">
        <v>4400</v>
      </c>
      <c r="B742" s="83" t="s">
        <v>4416</v>
      </c>
    </row>
    <row r="743" spans="1:2" ht="15">
      <c r="A743" s="84" t="s">
        <v>4401</v>
      </c>
      <c r="B743" s="83" t="s">
        <v>4416</v>
      </c>
    </row>
    <row r="744" spans="1:2" ht="15">
      <c r="A744" s="84" t="s">
        <v>4402</v>
      </c>
      <c r="B744" s="83" t="s">
        <v>4416</v>
      </c>
    </row>
    <row r="745" spans="1:2" ht="15">
      <c r="A745" s="84" t="s">
        <v>4403</v>
      </c>
      <c r="B745" s="83" t="s">
        <v>4416</v>
      </c>
    </row>
    <row r="746" spans="1:2" ht="15">
      <c r="A746" s="84" t="s">
        <v>4404</v>
      </c>
      <c r="B746" s="83" t="s">
        <v>4416</v>
      </c>
    </row>
    <row r="747" spans="1:2" ht="15">
      <c r="A747" s="84" t="s">
        <v>4405</v>
      </c>
      <c r="B747" s="83" t="s">
        <v>4416</v>
      </c>
    </row>
    <row r="748" spans="1:2" ht="15">
      <c r="A748" s="84" t="s">
        <v>4406</v>
      </c>
      <c r="B748" s="83" t="s">
        <v>4416</v>
      </c>
    </row>
    <row r="749" spans="1:2" ht="15">
      <c r="A749" s="84" t="s">
        <v>4407</v>
      </c>
      <c r="B749" s="83" t="s">
        <v>4417</v>
      </c>
    </row>
    <row r="750" spans="1:2" ht="15">
      <c r="A750" s="84" t="s">
        <v>4408</v>
      </c>
      <c r="B750" s="83" t="s">
        <v>4417</v>
      </c>
    </row>
    <row r="751" spans="1:2" ht="15">
      <c r="A751" s="84" t="s">
        <v>4409</v>
      </c>
      <c r="B751" s="83" t="s">
        <v>4418</v>
      </c>
    </row>
    <row r="752" spans="1:2" ht="15">
      <c r="A752" s="84" t="s">
        <v>4410</v>
      </c>
      <c r="B752" s="83" t="s">
        <v>4418</v>
      </c>
    </row>
    <row r="753" spans="1:2" ht="15">
      <c r="A753" s="84" t="s">
        <v>4411</v>
      </c>
      <c r="B753" s="83" t="s">
        <v>4418</v>
      </c>
    </row>
    <row r="754" spans="1:2" ht="15">
      <c r="A754" s="84" t="s">
        <v>4412</v>
      </c>
      <c r="B754" s="83" t="s">
        <v>4419</v>
      </c>
    </row>
    <row r="755" spans="1:2" ht="15">
      <c r="A755" s="84" t="s">
        <v>4413</v>
      </c>
      <c r="B755" s="83" t="s">
        <v>4419</v>
      </c>
    </row>
    <row r="756" spans="1:2" ht="15">
      <c r="A756" s="84" t="s">
        <v>4414</v>
      </c>
      <c r="B756" s="83" t="s">
        <v>4419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37CAB-0CD6-4B3B-BB18-B914C23E9963}">
  <dimension ref="A1:C4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4420</v>
      </c>
      <c r="B2" s="117" t="s">
        <v>4421</v>
      </c>
      <c r="C2" s="54" t="s">
        <v>4422</v>
      </c>
    </row>
    <row r="3" spans="1:3" ht="15">
      <c r="A3" s="116" t="s">
        <v>2518</v>
      </c>
      <c r="B3" s="116" t="s">
        <v>2518</v>
      </c>
      <c r="C3" s="35">
        <v>219</v>
      </c>
    </row>
    <row r="4" spans="1:3" ht="15">
      <c r="A4" s="116" t="s">
        <v>2518</v>
      </c>
      <c r="B4" s="116" t="s">
        <v>2519</v>
      </c>
      <c r="C4" s="35">
        <v>10</v>
      </c>
    </row>
    <row r="5" spans="1:3" ht="15">
      <c r="A5" s="116" t="s">
        <v>2518</v>
      </c>
      <c r="B5" s="116" t="s">
        <v>2520</v>
      </c>
      <c r="C5" s="35">
        <v>3</v>
      </c>
    </row>
    <row r="6" spans="1:3" ht="15">
      <c r="A6" s="116" t="s">
        <v>2518</v>
      </c>
      <c r="B6" s="116" t="s">
        <v>2522</v>
      </c>
      <c r="C6" s="35">
        <v>2</v>
      </c>
    </row>
    <row r="7" spans="1:3" ht="15">
      <c r="A7" s="116" t="s">
        <v>2518</v>
      </c>
      <c r="B7" s="116" t="s">
        <v>2525</v>
      </c>
      <c r="C7" s="35">
        <v>7</v>
      </c>
    </row>
    <row r="8" spans="1:3" ht="15">
      <c r="A8" s="116" t="s">
        <v>2518</v>
      </c>
      <c r="B8" s="116" t="s">
        <v>2526</v>
      </c>
      <c r="C8" s="35">
        <v>6</v>
      </c>
    </row>
    <row r="9" spans="1:3" ht="15">
      <c r="A9" s="116" t="s">
        <v>2518</v>
      </c>
      <c r="B9" s="116" t="s">
        <v>2527</v>
      </c>
      <c r="C9" s="35">
        <v>3</v>
      </c>
    </row>
    <row r="10" spans="1:3" ht="15">
      <c r="A10" s="116" t="s">
        <v>2519</v>
      </c>
      <c r="B10" s="116" t="s">
        <v>2518</v>
      </c>
      <c r="C10" s="35">
        <v>5</v>
      </c>
    </row>
    <row r="11" spans="1:3" ht="15">
      <c r="A11" s="116" t="s">
        <v>2519</v>
      </c>
      <c r="B11" s="116" t="s">
        <v>2519</v>
      </c>
      <c r="C11" s="35">
        <v>27</v>
      </c>
    </row>
    <row r="12" spans="1:3" ht="15">
      <c r="A12" s="116" t="s">
        <v>2519</v>
      </c>
      <c r="B12" s="116" t="s">
        <v>2520</v>
      </c>
      <c r="C12" s="35">
        <v>1</v>
      </c>
    </row>
    <row r="13" spans="1:3" ht="15">
      <c r="A13" s="116" t="s">
        <v>2520</v>
      </c>
      <c r="B13" s="116" t="s">
        <v>2518</v>
      </c>
      <c r="C13" s="35">
        <v>2</v>
      </c>
    </row>
    <row r="14" spans="1:3" ht="15">
      <c r="A14" s="116" t="s">
        <v>2520</v>
      </c>
      <c r="B14" s="116" t="s">
        <v>2520</v>
      </c>
      <c r="C14" s="35">
        <v>27</v>
      </c>
    </row>
    <row r="15" spans="1:3" ht="15">
      <c r="A15" s="116" t="s">
        <v>2521</v>
      </c>
      <c r="B15" s="116" t="s">
        <v>2521</v>
      </c>
      <c r="C15" s="35">
        <v>165</v>
      </c>
    </row>
    <row r="16" spans="1:3" ht="15">
      <c r="A16" s="116" t="s">
        <v>2522</v>
      </c>
      <c r="B16" s="116" t="s">
        <v>2518</v>
      </c>
      <c r="C16" s="35">
        <v>15</v>
      </c>
    </row>
    <row r="17" spans="1:3" ht="15">
      <c r="A17" s="116" t="s">
        <v>2522</v>
      </c>
      <c r="B17" s="116" t="s">
        <v>2520</v>
      </c>
      <c r="C17" s="35">
        <v>8</v>
      </c>
    </row>
    <row r="18" spans="1:3" ht="15">
      <c r="A18" s="116" t="s">
        <v>2522</v>
      </c>
      <c r="B18" s="116" t="s">
        <v>2521</v>
      </c>
      <c r="C18" s="35">
        <v>18</v>
      </c>
    </row>
    <row r="19" spans="1:3" ht="15">
      <c r="A19" s="116" t="s">
        <v>2522</v>
      </c>
      <c r="B19" s="116" t="s">
        <v>2522</v>
      </c>
      <c r="C19" s="35">
        <v>23</v>
      </c>
    </row>
    <row r="20" spans="1:3" ht="15">
      <c r="A20" s="116" t="s">
        <v>2523</v>
      </c>
      <c r="B20" s="116" t="s">
        <v>2523</v>
      </c>
      <c r="C20" s="35">
        <v>20</v>
      </c>
    </row>
    <row r="21" spans="1:3" ht="15">
      <c r="A21" s="116" t="s">
        <v>2524</v>
      </c>
      <c r="B21" s="116" t="s">
        <v>2518</v>
      </c>
      <c r="C21" s="35">
        <v>2</v>
      </c>
    </row>
    <row r="22" spans="1:3" ht="15">
      <c r="A22" s="116" t="s">
        <v>2524</v>
      </c>
      <c r="B22" s="116" t="s">
        <v>2520</v>
      </c>
      <c r="C22" s="35">
        <v>1</v>
      </c>
    </row>
    <row r="23" spans="1:3" ht="15">
      <c r="A23" s="116" t="s">
        <v>2524</v>
      </c>
      <c r="B23" s="116" t="s">
        <v>2522</v>
      </c>
      <c r="C23" s="35">
        <v>1</v>
      </c>
    </row>
    <row r="24" spans="1:3" ht="15">
      <c r="A24" s="116" t="s">
        <v>2524</v>
      </c>
      <c r="B24" s="116" t="s">
        <v>2524</v>
      </c>
      <c r="C24" s="35">
        <v>26</v>
      </c>
    </row>
    <row r="25" spans="1:3" ht="15">
      <c r="A25" s="116" t="s">
        <v>2525</v>
      </c>
      <c r="B25" s="116" t="s">
        <v>2518</v>
      </c>
      <c r="C25" s="35">
        <v>2</v>
      </c>
    </row>
    <row r="26" spans="1:3" ht="15">
      <c r="A26" s="116" t="s">
        <v>2525</v>
      </c>
      <c r="B26" s="116" t="s">
        <v>2519</v>
      </c>
      <c r="C26" s="35">
        <v>1</v>
      </c>
    </row>
    <row r="27" spans="1:3" ht="15">
      <c r="A27" s="116" t="s">
        <v>2525</v>
      </c>
      <c r="B27" s="116" t="s">
        <v>2525</v>
      </c>
      <c r="C27" s="35">
        <v>16</v>
      </c>
    </row>
    <row r="28" spans="1:3" ht="15">
      <c r="A28" s="116" t="s">
        <v>2526</v>
      </c>
      <c r="B28" s="116" t="s">
        <v>2518</v>
      </c>
      <c r="C28" s="35">
        <v>1</v>
      </c>
    </row>
    <row r="29" spans="1:3" ht="15">
      <c r="A29" s="116" t="s">
        <v>2526</v>
      </c>
      <c r="B29" s="116" t="s">
        <v>2520</v>
      </c>
      <c r="C29" s="35">
        <v>3</v>
      </c>
    </row>
    <row r="30" spans="1:3" ht="15">
      <c r="A30" s="116" t="s">
        <v>2526</v>
      </c>
      <c r="B30" s="116" t="s">
        <v>2522</v>
      </c>
      <c r="C30" s="35">
        <v>1</v>
      </c>
    </row>
    <row r="31" spans="1:3" ht="15">
      <c r="A31" s="116" t="s">
        <v>2526</v>
      </c>
      <c r="B31" s="116" t="s">
        <v>2526</v>
      </c>
      <c r="C31" s="35">
        <v>14</v>
      </c>
    </row>
    <row r="32" spans="1:3" ht="15">
      <c r="A32" s="116" t="s">
        <v>2527</v>
      </c>
      <c r="B32" s="116" t="s">
        <v>2527</v>
      </c>
      <c r="C32" s="35">
        <v>4</v>
      </c>
    </row>
    <row r="33" spans="1:3" ht="15">
      <c r="A33" s="116" t="s">
        <v>2528</v>
      </c>
      <c r="B33" s="116" t="s">
        <v>2518</v>
      </c>
      <c r="C33" s="35">
        <v>1</v>
      </c>
    </row>
    <row r="34" spans="1:3" ht="15">
      <c r="A34" s="116" t="s">
        <v>2528</v>
      </c>
      <c r="B34" s="116" t="s">
        <v>2528</v>
      </c>
      <c r="C34" s="35">
        <v>3</v>
      </c>
    </row>
    <row r="35" spans="1:3" ht="15">
      <c r="A35" s="116" t="s">
        <v>2529</v>
      </c>
      <c r="B35" s="116" t="s">
        <v>2518</v>
      </c>
      <c r="C35" s="35">
        <v>1</v>
      </c>
    </row>
    <row r="36" spans="1:3" ht="15">
      <c r="A36" s="116" t="s">
        <v>2529</v>
      </c>
      <c r="B36" s="116" t="s">
        <v>2529</v>
      </c>
      <c r="C36" s="35">
        <v>3</v>
      </c>
    </row>
    <row r="37" spans="1:3" ht="15">
      <c r="A37" s="116" t="s">
        <v>2530</v>
      </c>
      <c r="B37" s="116" t="s">
        <v>2530</v>
      </c>
      <c r="C37" s="35">
        <v>3</v>
      </c>
    </row>
    <row r="38" spans="1:3" ht="15">
      <c r="A38" s="116" t="s">
        <v>2531</v>
      </c>
      <c r="B38" s="116" t="s">
        <v>2531</v>
      </c>
      <c r="C38" s="35">
        <v>2</v>
      </c>
    </row>
    <row r="39" spans="1:3" ht="15">
      <c r="A39" s="116" t="s">
        <v>2532</v>
      </c>
      <c r="B39" s="116" t="s">
        <v>2532</v>
      </c>
      <c r="C39" s="35">
        <v>2</v>
      </c>
    </row>
    <row r="40" spans="1:3" ht="15">
      <c r="A40" s="116" t="s">
        <v>2533</v>
      </c>
      <c r="B40" s="116" t="s">
        <v>2533</v>
      </c>
      <c r="C40" s="35">
        <v>2</v>
      </c>
    </row>
    <row r="41" spans="1:3" ht="15">
      <c r="A41" s="116" t="s">
        <v>2534</v>
      </c>
      <c r="B41" s="116" t="s">
        <v>2534</v>
      </c>
      <c r="C41" s="35">
        <v>1</v>
      </c>
    </row>
    <row r="42" spans="1:3" ht="15">
      <c r="A42" s="116" t="s">
        <v>2535</v>
      </c>
      <c r="B42" s="116" t="s">
        <v>2535</v>
      </c>
      <c r="C42" s="35">
        <v>3</v>
      </c>
    </row>
    <row r="43" spans="1:3" ht="15">
      <c r="A43" s="116" t="s">
        <v>2536</v>
      </c>
      <c r="B43" s="116" t="s">
        <v>2536</v>
      </c>
      <c r="C43" s="35">
        <v>2</v>
      </c>
    </row>
    <row r="44" spans="1:3" ht="15">
      <c r="A44" s="116" t="s">
        <v>2537</v>
      </c>
      <c r="B44" s="116" t="s">
        <v>2537</v>
      </c>
      <c r="C44" s="35">
        <v>1</v>
      </c>
    </row>
    <row r="45" spans="1:3" ht="15">
      <c r="A45" s="116" t="s">
        <v>2538</v>
      </c>
      <c r="B45" s="116" t="s">
        <v>2538</v>
      </c>
      <c r="C45"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5CFF7-2F88-4E85-B487-66E7955860B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4441</v>
      </c>
      <c r="B1" s="13" t="s">
        <v>17</v>
      </c>
    </row>
    <row r="2" spans="1:2" ht="15">
      <c r="A2" s="83" t="s">
        <v>4442</v>
      </c>
      <c r="B2" s="83" t="s">
        <v>4448</v>
      </c>
    </row>
    <row r="3" spans="1:2" ht="15">
      <c r="A3" s="84" t="s">
        <v>4443</v>
      </c>
      <c r="B3" s="83" t="s">
        <v>4449</v>
      </c>
    </row>
    <row r="4" spans="1:2" ht="15">
      <c r="A4" s="84" t="s">
        <v>4444</v>
      </c>
      <c r="B4" s="83" t="s">
        <v>4450</v>
      </c>
    </row>
    <row r="5" spans="1:2" ht="15">
      <c r="A5" s="84" t="s">
        <v>4445</v>
      </c>
      <c r="B5" s="83" t="s">
        <v>4449</v>
      </c>
    </row>
    <row r="6" spans="1:2" ht="15">
      <c r="A6" s="84" t="s">
        <v>4446</v>
      </c>
      <c r="B6" s="83" t="s">
        <v>4451</v>
      </c>
    </row>
    <row r="7" spans="1:2" ht="15">
      <c r="A7" s="84" t="s">
        <v>4447</v>
      </c>
      <c r="B7" s="83" t="s">
        <v>4449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1F703-7092-4FD8-B6C8-D03AFF479735}">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4452</v>
      </c>
      <c r="B1" s="13" t="s">
        <v>34</v>
      </c>
    </row>
    <row r="2" spans="1:2" ht="15">
      <c r="A2" s="109" t="s">
        <v>423</v>
      </c>
      <c r="B2" s="83">
        <v>9875.672274</v>
      </c>
    </row>
    <row r="3" spans="1:2" ht="15">
      <c r="A3" s="112" t="s">
        <v>389</v>
      </c>
      <c r="B3" s="83">
        <v>8986.413223</v>
      </c>
    </row>
    <row r="4" spans="1:2" ht="15">
      <c r="A4" s="112" t="s">
        <v>390</v>
      </c>
      <c r="B4" s="83">
        <v>8867.355263</v>
      </c>
    </row>
    <row r="5" spans="1:2" ht="15">
      <c r="A5" s="112" t="s">
        <v>386</v>
      </c>
      <c r="B5" s="83">
        <v>8320.757172</v>
      </c>
    </row>
    <row r="6" spans="1:2" ht="15">
      <c r="A6" s="112" t="s">
        <v>417</v>
      </c>
      <c r="B6" s="83">
        <v>4155.71705</v>
      </c>
    </row>
    <row r="7" spans="1:2" ht="15">
      <c r="A7" s="112" t="s">
        <v>265</v>
      </c>
      <c r="B7" s="83">
        <v>3076.499844</v>
      </c>
    </row>
    <row r="8" spans="1:2" ht="15">
      <c r="A8" s="112" t="s">
        <v>421</v>
      </c>
      <c r="B8" s="83">
        <v>2867.675729</v>
      </c>
    </row>
    <row r="9" spans="1:2" ht="15">
      <c r="A9" s="112" t="s">
        <v>387</v>
      </c>
      <c r="B9" s="83">
        <v>2187.312698</v>
      </c>
    </row>
    <row r="10" spans="1:2" ht="15">
      <c r="A10" s="112" t="s">
        <v>405</v>
      </c>
      <c r="B10" s="83">
        <v>2109.010233</v>
      </c>
    </row>
    <row r="11" spans="1:2" ht="15">
      <c r="A11" s="112" t="s">
        <v>416</v>
      </c>
      <c r="B11" s="83">
        <v>2054.370791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A8AB5-7DC7-4A16-B7E6-E720A233EF85}">
  <dimension ref="A1:V93"/>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4453</v>
      </c>
      <c r="B1" s="13" t="s">
        <v>4464</v>
      </c>
      <c r="C1" s="13" t="s">
        <v>4465</v>
      </c>
      <c r="D1" s="13" t="s">
        <v>4470</v>
      </c>
      <c r="E1" s="13" t="s">
        <v>4469</v>
      </c>
      <c r="F1" s="13" t="s">
        <v>4473</v>
      </c>
      <c r="G1" s="13" t="s">
        <v>4472</v>
      </c>
      <c r="H1" s="13" t="s">
        <v>4477</v>
      </c>
      <c r="I1" s="13" t="s">
        <v>4476</v>
      </c>
      <c r="J1" s="13" t="s">
        <v>4479</v>
      </c>
      <c r="K1" s="13" t="s">
        <v>4478</v>
      </c>
      <c r="L1" s="13" t="s">
        <v>4485</v>
      </c>
      <c r="M1" s="13" t="s">
        <v>4484</v>
      </c>
      <c r="N1" s="13" t="s">
        <v>4497</v>
      </c>
      <c r="O1" s="13" t="s">
        <v>4496</v>
      </c>
      <c r="P1" s="13" t="s">
        <v>4500</v>
      </c>
      <c r="Q1" s="13" t="s">
        <v>4499</v>
      </c>
      <c r="R1" s="13" t="s">
        <v>4506</v>
      </c>
      <c r="S1" s="13" t="s">
        <v>4505</v>
      </c>
      <c r="T1" s="13" t="s">
        <v>4510</v>
      </c>
      <c r="U1" s="13" t="s">
        <v>4509</v>
      </c>
      <c r="V1" s="13" t="s">
        <v>4512</v>
      </c>
    </row>
    <row r="2" spans="1:22" ht="15">
      <c r="A2" s="88" t="s">
        <v>4454</v>
      </c>
      <c r="B2" s="83">
        <v>22</v>
      </c>
      <c r="C2" s="88" t="s">
        <v>4454</v>
      </c>
      <c r="D2" s="83">
        <v>19</v>
      </c>
      <c r="E2" s="88" t="s">
        <v>4455</v>
      </c>
      <c r="F2" s="83">
        <v>13</v>
      </c>
      <c r="G2" s="88" t="s">
        <v>4457</v>
      </c>
      <c r="H2" s="83">
        <v>13</v>
      </c>
      <c r="I2" s="88" t="s">
        <v>4456</v>
      </c>
      <c r="J2" s="83">
        <v>19</v>
      </c>
      <c r="K2" s="88" t="s">
        <v>4480</v>
      </c>
      <c r="L2" s="83">
        <v>8</v>
      </c>
      <c r="M2" s="88" t="s">
        <v>4486</v>
      </c>
      <c r="N2" s="83">
        <v>1</v>
      </c>
      <c r="O2" s="88" t="s">
        <v>4498</v>
      </c>
      <c r="P2" s="83">
        <v>4</v>
      </c>
      <c r="Q2" s="88" t="s">
        <v>4458</v>
      </c>
      <c r="R2" s="83">
        <v>12</v>
      </c>
      <c r="S2" s="88" t="s">
        <v>4493</v>
      </c>
      <c r="T2" s="83">
        <v>3</v>
      </c>
      <c r="U2" s="88" t="s">
        <v>4511</v>
      </c>
      <c r="V2" s="83">
        <v>4</v>
      </c>
    </row>
    <row r="3" spans="1:22" ht="15">
      <c r="A3" s="87" t="s">
        <v>4455</v>
      </c>
      <c r="B3" s="83">
        <v>22</v>
      </c>
      <c r="C3" s="88" t="s">
        <v>4459</v>
      </c>
      <c r="D3" s="83">
        <v>17</v>
      </c>
      <c r="E3" s="88" t="s">
        <v>4471</v>
      </c>
      <c r="F3" s="83">
        <v>4</v>
      </c>
      <c r="G3" s="88" t="s">
        <v>4460</v>
      </c>
      <c r="H3" s="83">
        <v>11</v>
      </c>
      <c r="I3" s="83"/>
      <c r="J3" s="83"/>
      <c r="K3" s="88" t="s">
        <v>4481</v>
      </c>
      <c r="L3" s="83">
        <v>6</v>
      </c>
      <c r="M3" s="88" t="s">
        <v>4487</v>
      </c>
      <c r="N3" s="83">
        <v>1</v>
      </c>
      <c r="O3" s="88" t="s">
        <v>4481</v>
      </c>
      <c r="P3" s="83">
        <v>1</v>
      </c>
      <c r="Q3" s="88" t="s">
        <v>4501</v>
      </c>
      <c r="R3" s="83">
        <v>1</v>
      </c>
      <c r="S3" s="88" t="s">
        <v>4460</v>
      </c>
      <c r="T3" s="83">
        <v>3</v>
      </c>
      <c r="U3" s="83"/>
      <c r="V3" s="83"/>
    </row>
    <row r="4" spans="1:22" ht="15">
      <c r="A4" s="87" t="s">
        <v>4456</v>
      </c>
      <c r="B4" s="83">
        <v>21</v>
      </c>
      <c r="C4" s="88" t="s">
        <v>4461</v>
      </c>
      <c r="D4" s="83">
        <v>11</v>
      </c>
      <c r="E4" s="88" t="s">
        <v>4462</v>
      </c>
      <c r="F4" s="83">
        <v>1</v>
      </c>
      <c r="G4" s="88" t="s">
        <v>4474</v>
      </c>
      <c r="H4" s="83">
        <v>2</v>
      </c>
      <c r="I4" s="83"/>
      <c r="J4" s="83"/>
      <c r="K4" s="88" t="s">
        <v>4482</v>
      </c>
      <c r="L4" s="83">
        <v>6</v>
      </c>
      <c r="M4" s="88" t="s">
        <v>4488</v>
      </c>
      <c r="N4" s="83">
        <v>1</v>
      </c>
      <c r="O4" s="88" t="s">
        <v>4475</v>
      </c>
      <c r="P4" s="83">
        <v>1</v>
      </c>
      <c r="Q4" s="88" t="s">
        <v>4502</v>
      </c>
      <c r="R4" s="83">
        <v>1</v>
      </c>
      <c r="S4" s="88" t="s">
        <v>4507</v>
      </c>
      <c r="T4" s="83">
        <v>2</v>
      </c>
      <c r="U4" s="83"/>
      <c r="V4" s="83"/>
    </row>
    <row r="5" spans="1:22" ht="15">
      <c r="A5" s="87" t="s">
        <v>4457</v>
      </c>
      <c r="B5" s="83">
        <v>20</v>
      </c>
      <c r="C5" s="88" t="s">
        <v>4462</v>
      </c>
      <c r="D5" s="83">
        <v>9</v>
      </c>
      <c r="E5" s="88" t="s">
        <v>4459</v>
      </c>
      <c r="F5" s="83">
        <v>1</v>
      </c>
      <c r="G5" s="88" t="s">
        <v>4475</v>
      </c>
      <c r="H5" s="83">
        <v>1</v>
      </c>
      <c r="I5" s="83"/>
      <c r="J5" s="83"/>
      <c r="K5" s="88" t="s">
        <v>4457</v>
      </c>
      <c r="L5" s="83">
        <v>4</v>
      </c>
      <c r="M5" s="88" t="s">
        <v>4489</v>
      </c>
      <c r="N5" s="83">
        <v>1</v>
      </c>
      <c r="O5" s="83"/>
      <c r="P5" s="83"/>
      <c r="Q5" s="88" t="s">
        <v>4503</v>
      </c>
      <c r="R5" s="83">
        <v>1</v>
      </c>
      <c r="S5" s="88" t="s">
        <v>4508</v>
      </c>
      <c r="T5" s="83">
        <v>2</v>
      </c>
      <c r="U5" s="83"/>
      <c r="V5" s="83"/>
    </row>
    <row r="6" spans="1:22" ht="15">
      <c r="A6" s="87" t="s">
        <v>4458</v>
      </c>
      <c r="B6" s="83">
        <v>19</v>
      </c>
      <c r="C6" s="88" t="s">
        <v>4455</v>
      </c>
      <c r="D6" s="83">
        <v>8</v>
      </c>
      <c r="E6" s="88" t="s">
        <v>4454</v>
      </c>
      <c r="F6" s="83">
        <v>1</v>
      </c>
      <c r="G6" s="88" t="s">
        <v>4463</v>
      </c>
      <c r="H6" s="83">
        <v>1</v>
      </c>
      <c r="I6" s="83"/>
      <c r="J6" s="83"/>
      <c r="K6" s="88" t="s">
        <v>4483</v>
      </c>
      <c r="L6" s="83">
        <v>3</v>
      </c>
      <c r="M6" s="88" t="s">
        <v>4490</v>
      </c>
      <c r="N6" s="83">
        <v>1</v>
      </c>
      <c r="O6" s="83"/>
      <c r="P6" s="83"/>
      <c r="Q6" s="88" t="s">
        <v>4455</v>
      </c>
      <c r="R6" s="83">
        <v>1</v>
      </c>
      <c r="S6" s="88" t="s">
        <v>4481</v>
      </c>
      <c r="T6" s="83">
        <v>1</v>
      </c>
      <c r="U6" s="83"/>
      <c r="V6" s="83"/>
    </row>
    <row r="7" spans="1:22" ht="15">
      <c r="A7" s="87" t="s">
        <v>4459</v>
      </c>
      <c r="B7" s="83">
        <v>19</v>
      </c>
      <c r="C7" s="88" t="s">
        <v>4466</v>
      </c>
      <c r="D7" s="83">
        <v>8</v>
      </c>
      <c r="E7" s="88" t="s">
        <v>4457</v>
      </c>
      <c r="F7" s="83">
        <v>1</v>
      </c>
      <c r="G7" s="88" t="s">
        <v>4467</v>
      </c>
      <c r="H7" s="83">
        <v>1</v>
      </c>
      <c r="I7" s="83"/>
      <c r="J7" s="83"/>
      <c r="K7" s="88" t="s">
        <v>4454</v>
      </c>
      <c r="L7" s="83">
        <v>2</v>
      </c>
      <c r="M7" s="88" t="s">
        <v>4491</v>
      </c>
      <c r="N7" s="83">
        <v>1</v>
      </c>
      <c r="O7" s="83"/>
      <c r="P7" s="83"/>
      <c r="Q7" s="88" t="s">
        <v>4462</v>
      </c>
      <c r="R7" s="83">
        <v>1</v>
      </c>
      <c r="S7" s="88" t="s">
        <v>4457</v>
      </c>
      <c r="T7" s="83">
        <v>1</v>
      </c>
      <c r="U7" s="83"/>
      <c r="V7" s="83"/>
    </row>
    <row r="8" spans="1:22" ht="15">
      <c r="A8" s="87" t="s">
        <v>4460</v>
      </c>
      <c r="B8" s="83">
        <v>18</v>
      </c>
      <c r="C8" s="88" t="s">
        <v>4463</v>
      </c>
      <c r="D8" s="83">
        <v>8</v>
      </c>
      <c r="E8" s="83"/>
      <c r="F8" s="83"/>
      <c r="G8" s="83"/>
      <c r="H8" s="83"/>
      <c r="I8" s="83"/>
      <c r="J8" s="83"/>
      <c r="K8" s="88" t="s">
        <v>4456</v>
      </c>
      <c r="L8" s="83">
        <v>2</v>
      </c>
      <c r="M8" s="88" t="s">
        <v>4492</v>
      </c>
      <c r="N8" s="83">
        <v>1</v>
      </c>
      <c r="O8" s="83"/>
      <c r="P8" s="83"/>
      <c r="Q8" s="88" t="s">
        <v>4504</v>
      </c>
      <c r="R8" s="83">
        <v>1</v>
      </c>
      <c r="S8" s="88" t="s">
        <v>4474</v>
      </c>
      <c r="T8" s="83">
        <v>1</v>
      </c>
      <c r="U8" s="83"/>
      <c r="V8" s="83"/>
    </row>
    <row r="9" spans="1:22" ht="15">
      <c r="A9" s="87" t="s">
        <v>4461</v>
      </c>
      <c r="B9" s="83">
        <v>11</v>
      </c>
      <c r="C9" s="88" t="s">
        <v>4467</v>
      </c>
      <c r="D9" s="83">
        <v>8</v>
      </c>
      <c r="E9" s="83"/>
      <c r="F9" s="83"/>
      <c r="G9" s="83"/>
      <c r="H9" s="83"/>
      <c r="I9" s="83"/>
      <c r="J9" s="83"/>
      <c r="K9" s="88" t="s">
        <v>4475</v>
      </c>
      <c r="L9" s="83">
        <v>2</v>
      </c>
      <c r="M9" s="88" t="s">
        <v>4493</v>
      </c>
      <c r="N9" s="83">
        <v>1</v>
      </c>
      <c r="O9" s="83"/>
      <c r="P9" s="83"/>
      <c r="Q9" s="83"/>
      <c r="R9" s="83"/>
      <c r="S9" s="83"/>
      <c r="T9" s="83"/>
      <c r="U9" s="83"/>
      <c r="V9" s="83"/>
    </row>
    <row r="10" spans="1:22" ht="15">
      <c r="A10" s="87" t="s">
        <v>4462</v>
      </c>
      <c r="B10" s="83">
        <v>11</v>
      </c>
      <c r="C10" s="88" t="s">
        <v>4458</v>
      </c>
      <c r="D10" s="83">
        <v>7</v>
      </c>
      <c r="E10" s="83"/>
      <c r="F10" s="83"/>
      <c r="G10" s="83"/>
      <c r="H10" s="83"/>
      <c r="I10" s="83"/>
      <c r="J10" s="83"/>
      <c r="K10" s="88" t="s">
        <v>4460</v>
      </c>
      <c r="L10" s="83">
        <v>2</v>
      </c>
      <c r="M10" s="88" t="s">
        <v>4494</v>
      </c>
      <c r="N10" s="83">
        <v>1</v>
      </c>
      <c r="O10" s="83"/>
      <c r="P10" s="83"/>
      <c r="Q10" s="83"/>
      <c r="R10" s="83"/>
      <c r="S10" s="83"/>
      <c r="T10" s="83"/>
      <c r="U10" s="83"/>
      <c r="V10" s="83"/>
    </row>
    <row r="11" spans="1:22" ht="15">
      <c r="A11" s="87" t="s">
        <v>4463</v>
      </c>
      <c r="B11" s="83">
        <v>9</v>
      </c>
      <c r="C11" s="88" t="s">
        <v>4468</v>
      </c>
      <c r="D11" s="83">
        <v>3</v>
      </c>
      <c r="E11" s="83"/>
      <c r="F11" s="83"/>
      <c r="G11" s="83"/>
      <c r="H11" s="83"/>
      <c r="I11" s="83"/>
      <c r="J11" s="83"/>
      <c r="K11" s="88" t="s">
        <v>4468</v>
      </c>
      <c r="L11" s="83">
        <v>1</v>
      </c>
      <c r="M11" s="88" t="s">
        <v>4495</v>
      </c>
      <c r="N11" s="83">
        <v>1</v>
      </c>
      <c r="O11" s="83"/>
      <c r="P11" s="83"/>
      <c r="Q11" s="83"/>
      <c r="R11" s="83"/>
      <c r="S11" s="83"/>
      <c r="T11" s="83"/>
      <c r="U11" s="83"/>
      <c r="V11" s="83"/>
    </row>
    <row r="14" spans="1:22" ht="14.4" customHeight="1">
      <c r="A14" s="13" t="s">
        <v>4527</v>
      </c>
      <c r="B14" s="13" t="s">
        <v>4464</v>
      </c>
      <c r="C14" s="13" t="s">
        <v>4529</v>
      </c>
      <c r="D14" s="13" t="s">
        <v>4470</v>
      </c>
      <c r="E14" s="13" t="s">
        <v>4530</v>
      </c>
      <c r="F14" s="13" t="s">
        <v>4473</v>
      </c>
      <c r="G14" s="13" t="s">
        <v>4531</v>
      </c>
      <c r="H14" s="13" t="s">
        <v>4477</v>
      </c>
      <c r="I14" s="13" t="s">
        <v>4532</v>
      </c>
      <c r="J14" s="13" t="s">
        <v>4479</v>
      </c>
      <c r="K14" s="13" t="s">
        <v>4533</v>
      </c>
      <c r="L14" s="13" t="s">
        <v>4485</v>
      </c>
      <c r="M14" s="13" t="s">
        <v>4534</v>
      </c>
      <c r="N14" s="13" t="s">
        <v>4497</v>
      </c>
      <c r="O14" s="13" t="s">
        <v>4535</v>
      </c>
      <c r="P14" s="13" t="s">
        <v>4500</v>
      </c>
      <c r="Q14" s="13" t="s">
        <v>4536</v>
      </c>
      <c r="R14" s="13" t="s">
        <v>4506</v>
      </c>
      <c r="S14" s="13" t="s">
        <v>4537</v>
      </c>
      <c r="T14" s="13" t="s">
        <v>4510</v>
      </c>
      <c r="U14" s="13" t="s">
        <v>4538</v>
      </c>
      <c r="V14" s="13" t="s">
        <v>4512</v>
      </c>
    </row>
    <row r="15" spans="1:22" ht="15">
      <c r="A15" s="83" t="s">
        <v>541</v>
      </c>
      <c r="B15" s="83">
        <v>45</v>
      </c>
      <c r="C15" s="83" t="s">
        <v>551</v>
      </c>
      <c r="D15" s="83">
        <v>19</v>
      </c>
      <c r="E15" s="83" t="s">
        <v>533</v>
      </c>
      <c r="F15" s="83">
        <v>13</v>
      </c>
      <c r="G15" s="83" t="s">
        <v>541</v>
      </c>
      <c r="H15" s="83">
        <v>27</v>
      </c>
      <c r="I15" s="83" t="s">
        <v>532</v>
      </c>
      <c r="J15" s="83">
        <v>19</v>
      </c>
      <c r="K15" s="83" t="s">
        <v>543</v>
      </c>
      <c r="L15" s="83">
        <v>8</v>
      </c>
      <c r="M15" s="83" t="s">
        <v>545</v>
      </c>
      <c r="N15" s="83">
        <v>2</v>
      </c>
      <c r="O15" s="83" t="s">
        <v>539</v>
      </c>
      <c r="P15" s="83">
        <v>4</v>
      </c>
      <c r="Q15" s="83" t="s">
        <v>547</v>
      </c>
      <c r="R15" s="83">
        <v>12</v>
      </c>
      <c r="S15" s="83" t="s">
        <v>541</v>
      </c>
      <c r="T15" s="83">
        <v>5</v>
      </c>
      <c r="U15" s="83" t="s">
        <v>536</v>
      </c>
      <c r="V15" s="83">
        <v>4</v>
      </c>
    </row>
    <row r="16" spans="1:22" ht="15">
      <c r="A16" s="84" t="s">
        <v>533</v>
      </c>
      <c r="B16" s="83">
        <v>23</v>
      </c>
      <c r="C16" s="83" t="s">
        <v>549</v>
      </c>
      <c r="D16" s="83">
        <v>17</v>
      </c>
      <c r="E16" s="83" t="s">
        <v>538</v>
      </c>
      <c r="F16" s="83">
        <v>4</v>
      </c>
      <c r="G16" s="83" t="s">
        <v>4528</v>
      </c>
      <c r="H16" s="83">
        <v>2</v>
      </c>
      <c r="I16" s="83"/>
      <c r="J16" s="83"/>
      <c r="K16" s="83" t="s">
        <v>541</v>
      </c>
      <c r="L16" s="83">
        <v>8</v>
      </c>
      <c r="M16" s="83" t="s">
        <v>534</v>
      </c>
      <c r="N16" s="83">
        <v>1</v>
      </c>
      <c r="O16" s="83" t="s">
        <v>544</v>
      </c>
      <c r="P16" s="83">
        <v>1</v>
      </c>
      <c r="Q16" s="83" t="s">
        <v>530</v>
      </c>
      <c r="R16" s="83">
        <v>4</v>
      </c>
      <c r="S16" s="83" t="s">
        <v>550</v>
      </c>
      <c r="T16" s="83">
        <v>3</v>
      </c>
      <c r="U16" s="83"/>
      <c r="V16" s="83"/>
    </row>
    <row r="17" spans="1:22" ht="15">
      <c r="A17" s="84" t="s">
        <v>551</v>
      </c>
      <c r="B17" s="83">
        <v>22</v>
      </c>
      <c r="C17" s="83" t="s">
        <v>4528</v>
      </c>
      <c r="D17" s="83">
        <v>16</v>
      </c>
      <c r="E17" s="83" t="s">
        <v>548</v>
      </c>
      <c r="F17" s="83">
        <v>1</v>
      </c>
      <c r="G17" s="83"/>
      <c r="H17" s="83"/>
      <c r="I17" s="83"/>
      <c r="J17" s="83"/>
      <c r="K17" s="83" t="s">
        <v>544</v>
      </c>
      <c r="L17" s="83">
        <v>6</v>
      </c>
      <c r="M17" s="83" t="s">
        <v>540</v>
      </c>
      <c r="N17" s="83">
        <v>1</v>
      </c>
      <c r="O17" s="83" t="s">
        <v>541</v>
      </c>
      <c r="P17" s="83">
        <v>1</v>
      </c>
      <c r="Q17" s="83" t="s">
        <v>533</v>
      </c>
      <c r="R17" s="83">
        <v>1</v>
      </c>
      <c r="S17" s="83" t="s">
        <v>559</v>
      </c>
      <c r="T17" s="83">
        <v>2</v>
      </c>
      <c r="U17" s="83"/>
      <c r="V17" s="83"/>
    </row>
    <row r="18" spans="1:22" ht="15">
      <c r="A18" s="84" t="s">
        <v>547</v>
      </c>
      <c r="B18" s="83">
        <v>21</v>
      </c>
      <c r="C18" s="83" t="s">
        <v>560</v>
      </c>
      <c r="D18" s="83">
        <v>11</v>
      </c>
      <c r="E18" s="83" t="s">
        <v>549</v>
      </c>
      <c r="F18" s="83">
        <v>1</v>
      </c>
      <c r="G18" s="83"/>
      <c r="H18" s="83"/>
      <c r="I18" s="83"/>
      <c r="J18" s="83"/>
      <c r="K18" s="83" t="s">
        <v>535</v>
      </c>
      <c r="L18" s="83">
        <v>6</v>
      </c>
      <c r="M18" s="83" t="s">
        <v>542</v>
      </c>
      <c r="N18" s="83">
        <v>1</v>
      </c>
      <c r="O18" s="83"/>
      <c r="P18" s="83"/>
      <c r="Q18" s="83" t="s">
        <v>548</v>
      </c>
      <c r="R18" s="83">
        <v>1</v>
      </c>
      <c r="S18" s="83" t="s">
        <v>529</v>
      </c>
      <c r="T18" s="83">
        <v>2</v>
      </c>
      <c r="U18" s="83"/>
      <c r="V18" s="83"/>
    </row>
    <row r="19" spans="1:22" ht="15">
      <c r="A19" s="84" t="s">
        <v>532</v>
      </c>
      <c r="B19" s="83">
        <v>21</v>
      </c>
      <c r="C19" s="83" t="s">
        <v>547</v>
      </c>
      <c r="D19" s="83">
        <v>9</v>
      </c>
      <c r="E19" s="83" t="s">
        <v>551</v>
      </c>
      <c r="F19" s="83">
        <v>1</v>
      </c>
      <c r="G19" s="83"/>
      <c r="H19" s="83"/>
      <c r="I19" s="83"/>
      <c r="J19" s="83"/>
      <c r="K19" s="83" t="s">
        <v>531</v>
      </c>
      <c r="L19" s="83">
        <v>3</v>
      </c>
      <c r="M19" s="83" t="s">
        <v>546</v>
      </c>
      <c r="N19" s="83">
        <v>1</v>
      </c>
      <c r="O19" s="83"/>
      <c r="P19" s="83"/>
      <c r="Q19" s="83"/>
      <c r="R19" s="83"/>
      <c r="S19" s="83" t="s">
        <v>544</v>
      </c>
      <c r="T19" s="83">
        <v>1</v>
      </c>
      <c r="U19" s="83"/>
      <c r="V19" s="83"/>
    </row>
    <row r="20" spans="1:22" ht="15">
      <c r="A20" s="84" t="s">
        <v>549</v>
      </c>
      <c r="B20" s="83">
        <v>19</v>
      </c>
      <c r="C20" s="83" t="s">
        <v>548</v>
      </c>
      <c r="D20" s="83">
        <v>9</v>
      </c>
      <c r="E20" s="83" t="s">
        <v>541</v>
      </c>
      <c r="F20" s="83">
        <v>1</v>
      </c>
      <c r="G20" s="83"/>
      <c r="H20" s="83"/>
      <c r="I20" s="83"/>
      <c r="J20" s="83"/>
      <c r="K20" s="83" t="s">
        <v>551</v>
      </c>
      <c r="L20" s="83">
        <v>2</v>
      </c>
      <c r="M20" s="83" t="s">
        <v>533</v>
      </c>
      <c r="N20" s="83">
        <v>1</v>
      </c>
      <c r="O20" s="83"/>
      <c r="P20" s="83"/>
      <c r="Q20" s="83"/>
      <c r="R20" s="83"/>
      <c r="S20" s="83"/>
      <c r="T20" s="83"/>
      <c r="U20" s="83"/>
      <c r="V20" s="83"/>
    </row>
    <row r="21" spans="1:22" ht="15">
      <c r="A21" s="84" t="s">
        <v>4528</v>
      </c>
      <c r="B21" s="83">
        <v>18</v>
      </c>
      <c r="C21" s="83" t="s">
        <v>533</v>
      </c>
      <c r="D21" s="83">
        <v>8</v>
      </c>
      <c r="E21" s="83"/>
      <c r="F21" s="83"/>
      <c r="G21" s="83"/>
      <c r="H21" s="83"/>
      <c r="I21" s="83"/>
      <c r="J21" s="83"/>
      <c r="K21" s="83" t="s">
        <v>532</v>
      </c>
      <c r="L21" s="83">
        <v>2</v>
      </c>
      <c r="M21" s="83" t="s">
        <v>550</v>
      </c>
      <c r="N21" s="83">
        <v>1</v>
      </c>
      <c r="O21" s="83"/>
      <c r="P21" s="83"/>
      <c r="Q21" s="83"/>
      <c r="R21" s="83"/>
      <c r="S21" s="83"/>
      <c r="T21" s="83"/>
      <c r="U21" s="83"/>
      <c r="V21" s="83"/>
    </row>
    <row r="22" spans="1:22" ht="15">
      <c r="A22" s="84" t="s">
        <v>560</v>
      </c>
      <c r="B22" s="83">
        <v>11</v>
      </c>
      <c r="C22" s="83" t="s">
        <v>558</v>
      </c>
      <c r="D22" s="83">
        <v>8</v>
      </c>
      <c r="E22" s="83"/>
      <c r="F22" s="83"/>
      <c r="G22" s="83"/>
      <c r="H22" s="83"/>
      <c r="I22" s="83"/>
      <c r="J22" s="83"/>
      <c r="K22" s="83" t="s">
        <v>553</v>
      </c>
      <c r="L22" s="83">
        <v>1</v>
      </c>
      <c r="M22" s="83" t="s">
        <v>556</v>
      </c>
      <c r="N22" s="83">
        <v>1</v>
      </c>
      <c r="O22" s="83"/>
      <c r="P22" s="83"/>
      <c r="Q22" s="83"/>
      <c r="R22" s="83"/>
      <c r="S22" s="83"/>
      <c r="T22" s="83"/>
      <c r="U22" s="83"/>
      <c r="V22" s="83"/>
    </row>
    <row r="23" spans="1:22" ht="15">
      <c r="A23" s="84" t="s">
        <v>548</v>
      </c>
      <c r="B23" s="83">
        <v>11</v>
      </c>
      <c r="C23" s="83" t="s">
        <v>553</v>
      </c>
      <c r="D23" s="83">
        <v>4</v>
      </c>
      <c r="E23" s="83"/>
      <c r="F23" s="83"/>
      <c r="G23" s="83"/>
      <c r="H23" s="83"/>
      <c r="I23" s="83"/>
      <c r="J23" s="83"/>
      <c r="K23" s="83" t="s">
        <v>549</v>
      </c>
      <c r="L23" s="83">
        <v>1</v>
      </c>
      <c r="M23" s="83" t="s">
        <v>557</v>
      </c>
      <c r="N23" s="83">
        <v>1</v>
      </c>
      <c r="O23" s="83"/>
      <c r="P23" s="83"/>
      <c r="Q23" s="83"/>
      <c r="R23" s="83"/>
      <c r="S23" s="83"/>
      <c r="T23" s="83"/>
      <c r="U23" s="83"/>
      <c r="V23" s="83"/>
    </row>
    <row r="24" spans="1:22" ht="15">
      <c r="A24" s="84" t="s">
        <v>535</v>
      </c>
      <c r="B24" s="83">
        <v>9</v>
      </c>
      <c r="C24" s="83" t="s">
        <v>529</v>
      </c>
      <c r="D24" s="83">
        <v>3</v>
      </c>
      <c r="E24" s="83"/>
      <c r="F24" s="83"/>
      <c r="G24" s="83"/>
      <c r="H24" s="83"/>
      <c r="I24" s="83"/>
      <c r="J24" s="83"/>
      <c r="K24" s="83"/>
      <c r="L24" s="83"/>
      <c r="M24" s="83" t="s">
        <v>562</v>
      </c>
      <c r="N24" s="83">
        <v>1</v>
      </c>
      <c r="O24" s="83"/>
      <c r="P24" s="83"/>
      <c r="Q24" s="83"/>
      <c r="R24" s="83"/>
      <c r="S24" s="83"/>
      <c r="T24" s="83"/>
      <c r="U24" s="83"/>
      <c r="V24" s="83"/>
    </row>
    <row r="27" spans="1:22" ht="14.4" customHeight="1">
      <c r="A27" s="13" t="s">
        <v>4548</v>
      </c>
      <c r="B27" s="13" t="s">
        <v>4464</v>
      </c>
      <c r="C27" s="13" t="s">
        <v>4552</v>
      </c>
      <c r="D27" s="13" t="s">
        <v>4470</v>
      </c>
      <c r="E27" s="13" t="s">
        <v>4554</v>
      </c>
      <c r="F27" s="13" t="s">
        <v>4473</v>
      </c>
      <c r="G27" s="13" t="s">
        <v>4555</v>
      </c>
      <c r="H27" s="13" t="s">
        <v>4477</v>
      </c>
      <c r="I27" s="13" t="s">
        <v>4562</v>
      </c>
      <c r="J27" s="13" t="s">
        <v>4479</v>
      </c>
      <c r="K27" s="13" t="s">
        <v>4565</v>
      </c>
      <c r="L27" s="13" t="s">
        <v>4485</v>
      </c>
      <c r="M27" s="13" t="s">
        <v>4566</v>
      </c>
      <c r="N27" s="13" t="s">
        <v>4497</v>
      </c>
      <c r="O27" s="13" t="s">
        <v>4569</v>
      </c>
      <c r="P27" s="13" t="s">
        <v>4500</v>
      </c>
      <c r="Q27" s="13" t="s">
        <v>4573</v>
      </c>
      <c r="R27" s="13" t="s">
        <v>4506</v>
      </c>
      <c r="S27" s="13" t="s">
        <v>4575</v>
      </c>
      <c r="T27" s="13" t="s">
        <v>4510</v>
      </c>
      <c r="U27" s="13" t="s">
        <v>4576</v>
      </c>
      <c r="V27" s="13" t="s">
        <v>4512</v>
      </c>
    </row>
    <row r="28" spans="1:22" ht="15">
      <c r="A28" s="83" t="s">
        <v>586</v>
      </c>
      <c r="B28" s="83">
        <v>272</v>
      </c>
      <c r="C28" s="83" t="s">
        <v>3315</v>
      </c>
      <c r="D28" s="83">
        <v>124</v>
      </c>
      <c r="E28" s="83" t="s">
        <v>2678</v>
      </c>
      <c r="F28" s="83">
        <v>12</v>
      </c>
      <c r="G28" s="83" t="s">
        <v>3313</v>
      </c>
      <c r="H28" s="83">
        <v>27</v>
      </c>
      <c r="I28" s="83" t="s">
        <v>3315</v>
      </c>
      <c r="J28" s="83">
        <v>19</v>
      </c>
      <c r="K28" s="83" t="s">
        <v>3313</v>
      </c>
      <c r="L28" s="83">
        <v>33</v>
      </c>
      <c r="M28" s="83" t="s">
        <v>586</v>
      </c>
      <c r="N28" s="83">
        <v>20</v>
      </c>
      <c r="O28" s="83" t="s">
        <v>586</v>
      </c>
      <c r="P28" s="83">
        <v>28</v>
      </c>
      <c r="Q28" s="83" t="s">
        <v>586</v>
      </c>
      <c r="R28" s="83">
        <v>17</v>
      </c>
      <c r="S28" s="83" t="s">
        <v>3424</v>
      </c>
      <c r="T28" s="83">
        <v>13</v>
      </c>
      <c r="U28" s="83" t="s">
        <v>4577</v>
      </c>
      <c r="V28" s="83">
        <v>4</v>
      </c>
    </row>
    <row r="29" spans="1:22" ht="15">
      <c r="A29" s="84" t="s">
        <v>3315</v>
      </c>
      <c r="B29" s="83">
        <v>189</v>
      </c>
      <c r="C29" s="83" t="s">
        <v>586</v>
      </c>
      <c r="D29" s="83">
        <v>121</v>
      </c>
      <c r="E29" s="83" t="s">
        <v>586</v>
      </c>
      <c r="F29" s="83">
        <v>12</v>
      </c>
      <c r="G29" s="83" t="s">
        <v>3424</v>
      </c>
      <c r="H29" s="83">
        <v>27</v>
      </c>
      <c r="I29" s="83" t="s">
        <v>4563</v>
      </c>
      <c r="J29" s="83">
        <v>19</v>
      </c>
      <c r="K29" s="83" t="s">
        <v>586</v>
      </c>
      <c r="L29" s="83">
        <v>27</v>
      </c>
      <c r="M29" s="83" t="s">
        <v>4563</v>
      </c>
      <c r="N29" s="83">
        <v>9</v>
      </c>
      <c r="O29" s="83" t="s">
        <v>3044</v>
      </c>
      <c r="P29" s="83">
        <v>17</v>
      </c>
      <c r="Q29" s="83" t="s">
        <v>4549</v>
      </c>
      <c r="R29" s="83">
        <v>17</v>
      </c>
      <c r="S29" s="83" t="s">
        <v>3313</v>
      </c>
      <c r="T29" s="83">
        <v>12</v>
      </c>
      <c r="U29" s="83" t="s">
        <v>4550</v>
      </c>
      <c r="V29" s="83">
        <v>4</v>
      </c>
    </row>
    <row r="30" spans="1:22" ht="15">
      <c r="A30" s="84" t="s">
        <v>3258</v>
      </c>
      <c r="B30" s="83">
        <v>156</v>
      </c>
      <c r="C30" s="83" t="s">
        <v>4549</v>
      </c>
      <c r="D30" s="83">
        <v>109</v>
      </c>
      <c r="E30" s="83" t="s">
        <v>3313</v>
      </c>
      <c r="F30" s="83">
        <v>7</v>
      </c>
      <c r="G30" s="83" t="s">
        <v>4556</v>
      </c>
      <c r="H30" s="83">
        <v>26</v>
      </c>
      <c r="I30" s="83" t="s">
        <v>3424</v>
      </c>
      <c r="J30" s="83">
        <v>1</v>
      </c>
      <c r="K30" s="83" t="s">
        <v>3424</v>
      </c>
      <c r="L30" s="83">
        <v>26</v>
      </c>
      <c r="M30" s="83" t="s">
        <v>2569</v>
      </c>
      <c r="N30" s="83">
        <v>8</v>
      </c>
      <c r="O30" s="83" t="s">
        <v>2742</v>
      </c>
      <c r="P30" s="83">
        <v>17</v>
      </c>
      <c r="Q30" s="83" t="s">
        <v>3258</v>
      </c>
      <c r="R30" s="83">
        <v>16</v>
      </c>
      <c r="S30" s="83" t="s">
        <v>586</v>
      </c>
      <c r="T30" s="83">
        <v>11</v>
      </c>
      <c r="U30" s="83" t="s">
        <v>3656</v>
      </c>
      <c r="V30" s="83">
        <v>4</v>
      </c>
    </row>
    <row r="31" spans="1:22" ht="15">
      <c r="A31" s="84" t="s">
        <v>3290</v>
      </c>
      <c r="B31" s="83">
        <v>153</v>
      </c>
      <c r="C31" s="83" t="s">
        <v>3290</v>
      </c>
      <c r="D31" s="83">
        <v>107</v>
      </c>
      <c r="E31" s="83" t="s">
        <v>2569</v>
      </c>
      <c r="F31" s="83">
        <v>6</v>
      </c>
      <c r="G31" s="83" t="s">
        <v>4557</v>
      </c>
      <c r="H31" s="83">
        <v>14</v>
      </c>
      <c r="I31" s="83" t="s">
        <v>4564</v>
      </c>
      <c r="J31" s="83">
        <v>1</v>
      </c>
      <c r="K31" s="83" t="s">
        <v>3315</v>
      </c>
      <c r="L31" s="83">
        <v>23</v>
      </c>
      <c r="M31" s="83" t="s">
        <v>3489</v>
      </c>
      <c r="N31" s="83">
        <v>7</v>
      </c>
      <c r="O31" s="83" t="s">
        <v>3313</v>
      </c>
      <c r="P31" s="83">
        <v>7</v>
      </c>
      <c r="Q31" s="83" t="s">
        <v>3109</v>
      </c>
      <c r="R31" s="83">
        <v>12</v>
      </c>
      <c r="S31" s="83" t="s">
        <v>4556</v>
      </c>
      <c r="T31" s="83">
        <v>10</v>
      </c>
      <c r="U31" s="83" t="s">
        <v>4578</v>
      </c>
      <c r="V31" s="83">
        <v>4</v>
      </c>
    </row>
    <row r="32" spans="1:22" ht="15">
      <c r="A32" s="84" t="s">
        <v>3313</v>
      </c>
      <c r="B32" s="83">
        <v>150</v>
      </c>
      <c r="C32" s="83" t="s">
        <v>3258</v>
      </c>
      <c r="D32" s="83">
        <v>104</v>
      </c>
      <c r="E32" s="83" t="s">
        <v>3258</v>
      </c>
      <c r="F32" s="83">
        <v>5</v>
      </c>
      <c r="G32" s="83" t="s">
        <v>4558</v>
      </c>
      <c r="H32" s="83">
        <v>14</v>
      </c>
      <c r="I32" s="83" t="s">
        <v>4557</v>
      </c>
      <c r="J32" s="83">
        <v>1</v>
      </c>
      <c r="K32" s="83" t="s">
        <v>3290</v>
      </c>
      <c r="L32" s="83">
        <v>19</v>
      </c>
      <c r="M32" s="83" t="s">
        <v>3490</v>
      </c>
      <c r="N32" s="83">
        <v>7</v>
      </c>
      <c r="O32" s="83" t="s">
        <v>3336</v>
      </c>
      <c r="P32" s="83">
        <v>6</v>
      </c>
      <c r="Q32" s="83" t="s">
        <v>3290</v>
      </c>
      <c r="R32" s="83">
        <v>6</v>
      </c>
      <c r="S32" s="83" t="s">
        <v>4559</v>
      </c>
      <c r="T32" s="83">
        <v>9</v>
      </c>
      <c r="U32" s="83" t="s">
        <v>4579</v>
      </c>
      <c r="V32" s="83">
        <v>4</v>
      </c>
    </row>
    <row r="33" spans="1:22" ht="15">
      <c r="A33" s="84" t="s">
        <v>4549</v>
      </c>
      <c r="B33" s="83">
        <v>149</v>
      </c>
      <c r="C33" s="83" t="s">
        <v>4550</v>
      </c>
      <c r="D33" s="83">
        <v>70</v>
      </c>
      <c r="E33" s="83" t="s">
        <v>3354</v>
      </c>
      <c r="F33" s="83">
        <v>5</v>
      </c>
      <c r="G33" s="83" t="s">
        <v>4559</v>
      </c>
      <c r="H33" s="83">
        <v>14</v>
      </c>
      <c r="I33" s="83" t="s">
        <v>586</v>
      </c>
      <c r="J33" s="83">
        <v>1</v>
      </c>
      <c r="K33" s="83" t="s">
        <v>4556</v>
      </c>
      <c r="L33" s="83">
        <v>16</v>
      </c>
      <c r="M33" s="83" t="s">
        <v>3491</v>
      </c>
      <c r="N33" s="83">
        <v>7</v>
      </c>
      <c r="O33" s="83" t="s">
        <v>4556</v>
      </c>
      <c r="P33" s="83">
        <v>6</v>
      </c>
      <c r="Q33" s="83" t="s">
        <v>3044</v>
      </c>
      <c r="R33" s="83">
        <v>5</v>
      </c>
      <c r="S33" s="83" t="s">
        <v>3290</v>
      </c>
      <c r="T33" s="83">
        <v>8</v>
      </c>
      <c r="U33" s="83" t="s">
        <v>398</v>
      </c>
      <c r="V33" s="83">
        <v>4</v>
      </c>
    </row>
    <row r="34" spans="1:22" ht="15">
      <c r="A34" s="84" t="s">
        <v>3424</v>
      </c>
      <c r="B34" s="83">
        <v>99</v>
      </c>
      <c r="C34" s="83" t="s">
        <v>4551</v>
      </c>
      <c r="D34" s="83">
        <v>65</v>
      </c>
      <c r="E34" s="83" t="s">
        <v>2766</v>
      </c>
      <c r="F34" s="83">
        <v>5</v>
      </c>
      <c r="G34" s="83" t="s">
        <v>3290</v>
      </c>
      <c r="H34" s="83">
        <v>6</v>
      </c>
      <c r="I34" s="83" t="s">
        <v>3442</v>
      </c>
      <c r="J34" s="83">
        <v>1</v>
      </c>
      <c r="K34" s="83" t="s">
        <v>4551</v>
      </c>
      <c r="L34" s="83">
        <v>13</v>
      </c>
      <c r="M34" s="83" t="s">
        <v>3044</v>
      </c>
      <c r="N34" s="83">
        <v>3</v>
      </c>
      <c r="O34" s="83" t="s">
        <v>4570</v>
      </c>
      <c r="P34" s="83">
        <v>4</v>
      </c>
      <c r="Q34" s="83" t="s">
        <v>4574</v>
      </c>
      <c r="R34" s="83">
        <v>4</v>
      </c>
      <c r="S34" s="83" t="s">
        <v>3315</v>
      </c>
      <c r="T34" s="83">
        <v>8</v>
      </c>
      <c r="U34" s="83" t="s">
        <v>3382</v>
      </c>
      <c r="V34" s="83">
        <v>4</v>
      </c>
    </row>
    <row r="35" spans="1:22" ht="15">
      <c r="A35" s="84" t="s">
        <v>3336</v>
      </c>
      <c r="B35" s="83">
        <v>92</v>
      </c>
      <c r="C35" s="83" t="s">
        <v>3401</v>
      </c>
      <c r="D35" s="83">
        <v>65</v>
      </c>
      <c r="E35" s="83" t="s">
        <v>3119</v>
      </c>
      <c r="F35" s="83">
        <v>5</v>
      </c>
      <c r="G35" s="83" t="s">
        <v>586</v>
      </c>
      <c r="H35" s="83">
        <v>6</v>
      </c>
      <c r="I35" s="83" t="s">
        <v>4560</v>
      </c>
      <c r="J35" s="83">
        <v>1</v>
      </c>
      <c r="K35" s="83" t="s">
        <v>3258</v>
      </c>
      <c r="L35" s="83">
        <v>12</v>
      </c>
      <c r="M35" s="83" t="s">
        <v>3313</v>
      </c>
      <c r="N35" s="83">
        <v>3</v>
      </c>
      <c r="O35" s="83" t="s">
        <v>3119</v>
      </c>
      <c r="P35" s="83">
        <v>4</v>
      </c>
      <c r="Q35" s="83" t="s">
        <v>4559</v>
      </c>
      <c r="R35" s="83">
        <v>4</v>
      </c>
      <c r="S35" s="83" t="s">
        <v>3314</v>
      </c>
      <c r="T35" s="83">
        <v>7</v>
      </c>
      <c r="U35" s="83" t="s">
        <v>4580</v>
      </c>
      <c r="V35" s="83">
        <v>4</v>
      </c>
    </row>
    <row r="36" spans="1:22" ht="15">
      <c r="A36" s="84" t="s">
        <v>4550</v>
      </c>
      <c r="B36" s="83">
        <v>91</v>
      </c>
      <c r="C36" s="83" t="s">
        <v>4553</v>
      </c>
      <c r="D36" s="83">
        <v>62</v>
      </c>
      <c r="E36" s="83" t="s">
        <v>2972</v>
      </c>
      <c r="F36" s="83">
        <v>5</v>
      </c>
      <c r="G36" s="83" t="s">
        <v>4560</v>
      </c>
      <c r="H36" s="83">
        <v>4</v>
      </c>
      <c r="I36" s="83"/>
      <c r="J36" s="83"/>
      <c r="K36" s="83" t="s">
        <v>4553</v>
      </c>
      <c r="L36" s="83">
        <v>12</v>
      </c>
      <c r="M36" s="83" t="s">
        <v>4567</v>
      </c>
      <c r="N36" s="83">
        <v>3</v>
      </c>
      <c r="O36" s="83" t="s">
        <v>4571</v>
      </c>
      <c r="P36" s="83">
        <v>4</v>
      </c>
      <c r="Q36" s="83" t="s">
        <v>3255</v>
      </c>
      <c r="R36" s="83">
        <v>4</v>
      </c>
      <c r="S36" s="83" t="s">
        <v>3258</v>
      </c>
      <c r="T36" s="83">
        <v>7</v>
      </c>
      <c r="U36" s="83" t="s">
        <v>3384</v>
      </c>
      <c r="V36" s="83">
        <v>4</v>
      </c>
    </row>
    <row r="37" spans="1:22" ht="15">
      <c r="A37" s="84" t="s">
        <v>4551</v>
      </c>
      <c r="B37" s="83">
        <v>89</v>
      </c>
      <c r="C37" s="83" t="s">
        <v>3336</v>
      </c>
      <c r="D37" s="83">
        <v>61</v>
      </c>
      <c r="E37" s="83" t="s">
        <v>3336</v>
      </c>
      <c r="F37" s="83">
        <v>5</v>
      </c>
      <c r="G37" s="83" t="s">
        <v>4561</v>
      </c>
      <c r="H37" s="83">
        <v>4</v>
      </c>
      <c r="I37" s="83"/>
      <c r="J37" s="83"/>
      <c r="K37" s="83" t="s">
        <v>3401</v>
      </c>
      <c r="L37" s="83">
        <v>12</v>
      </c>
      <c r="M37" s="83" t="s">
        <v>4568</v>
      </c>
      <c r="N37" s="83">
        <v>3</v>
      </c>
      <c r="O37" s="83" t="s">
        <v>4572</v>
      </c>
      <c r="P37" s="83">
        <v>4</v>
      </c>
      <c r="Q37" s="83" t="s">
        <v>3313</v>
      </c>
      <c r="R37" s="83">
        <v>4</v>
      </c>
      <c r="S37" s="83" t="s">
        <v>3430</v>
      </c>
      <c r="T37" s="83">
        <v>7</v>
      </c>
      <c r="U37" s="83" t="s">
        <v>3385</v>
      </c>
      <c r="V37" s="83">
        <v>4</v>
      </c>
    </row>
    <row r="40" spans="1:22" ht="14.4" customHeight="1">
      <c r="A40" s="13" t="s">
        <v>4595</v>
      </c>
      <c r="B40" s="13" t="s">
        <v>4464</v>
      </c>
      <c r="C40" s="13" t="s">
        <v>4596</v>
      </c>
      <c r="D40" s="13" t="s">
        <v>4470</v>
      </c>
      <c r="E40" s="13" t="s">
        <v>4597</v>
      </c>
      <c r="F40" s="13" t="s">
        <v>4473</v>
      </c>
      <c r="G40" s="13" t="s">
        <v>4598</v>
      </c>
      <c r="H40" s="13" t="s">
        <v>4477</v>
      </c>
      <c r="I40" s="13" t="s">
        <v>4599</v>
      </c>
      <c r="J40" s="13" t="s">
        <v>4479</v>
      </c>
      <c r="K40" s="13" t="s">
        <v>4600</v>
      </c>
      <c r="L40" s="13" t="s">
        <v>4485</v>
      </c>
      <c r="M40" s="13" t="s">
        <v>4601</v>
      </c>
      <c r="N40" s="13" t="s">
        <v>4497</v>
      </c>
      <c r="O40" s="13" t="s">
        <v>4602</v>
      </c>
      <c r="P40" s="13" t="s">
        <v>4500</v>
      </c>
      <c r="Q40" s="13" t="s">
        <v>4603</v>
      </c>
      <c r="R40" s="13" t="s">
        <v>4506</v>
      </c>
      <c r="S40" s="13" t="s">
        <v>4604</v>
      </c>
      <c r="T40" s="13" t="s">
        <v>4510</v>
      </c>
      <c r="U40" s="13" t="s">
        <v>4605</v>
      </c>
      <c r="V40" s="13" t="s">
        <v>4512</v>
      </c>
    </row>
    <row r="41" spans="1:22" ht="15">
      <c r="A41" s="91" t="s">
        <v>2564</v>
      </c>
      <c r="B41" s="91">
        <v>419</v>
      </c>
      <c r="C41" s="91" t="s">
        <v>2564</v>
      </c>
      <c r="D41" s="91">
        <v>180</v>
      </c>
      <c r="E41" s="91" t="s">
        <v>2578</v>
      </c>
      <c r="F41" s="91">
        <v>38</v>
      </c>
      <c r="G41" s="91" t="s">
        <v>2565</v>
      </c>
      <c r="H41" s="91">
        <v>29</v>
      </c>
      <c r="I41" s="91" t="s">
        <v>2582</v>
      </c>
      <c r="J41" s="91">
        <v>38</v>
      </c>
      <c r="K41" s="91" t="s">
        <v>2564</v>
      </c>
      <c r="L41" s="91">
        <v>45</v>
      </c>
      <c r="M41" s="91" t="s">
        <v>2564</v>
      </c>
      <c r="N41" s="91">
        <v>20</v>
      </c>
      <c r="O41" s="91" t="s">
        <v>2564</v>
      </c>
      <c r="P41" s="91">
        <v>30</v>
      </c>
      <c r="Q41" s="91" t="s">
        <v>2568</v>
      </c>
      <c r="R41" s="91">
        <v>29</v>
      </c>
      <c r="S41" s="91" t="s">
        <v>2564</v>
      </c>
      <c r="T41" s="91">
        <v>16</v>
      </c>
      <c r="U41" s="91" t="s">
        <v>2582</v>
      </c>
      <c r="V41" s="91">
        <v>8</v>
      </c>
    </row>
    <row r="42" spans="1:22" ht="15">
      <c r="A42" s="92" t="s">
        <v>2565</v>
      </c>
      <c r="B42" s="91">
        <v>232</v>
      </c>
      <c r="C42" s="91" t="s">
        <v>2566</v>
      </c>
      <c r="D42" s="91">
        <v>158</v>
      </c>
      <c r="E42" s="91" t="s">
        <v>2564</v>
      </c>
      <c r="F42" s="91">
        <v>31</v>
      </c>
      <c r="G42" s="91" t="s">
        <v>2564</v>
      </c>
      <c r="H42" s="91">
        <v>29</v>
      </c>
      <c r="I42" s="91" t="s">
        <v>2681</v>
      </c>
      <c r="J42" s="91">
        <v>19</v>
      </c>
      <c r="K42" s="91" t="s">
        <v>2573</v>
      </c>
      <c r="L42" s="91">
        <v>36</v>
      </c>
      <c r="M42" s="91" t="s">
        <v>2646</v>
      </c>
      <c r="N42" s="91">
        <v>9</v>
      </c>
      <c r="O42" s="91" t="s">
        <v>2569</v>
      </c>
      <c r="P42" s="91">
        <v>28</v>
      </c>
      <c r="Q42" s="91" t="s">
        <v>2580</v>
      </c>
      <c r="R42" s="91">
        <v>28</v>
      </c>
      <c r="S42" s="91" t="s">
        <v>2573</v>
      </c>
      <c r="T42" s="91">
        <v>14</v>
      </c>
      <c r="U42" s="91" t="s">
        <v>2720</v>
      </c>
      <c r="V42" s="91">
        <v>8</v>
      </c>
    </row>
    <row r="43" spans="1:22" ht="15">
      <c r="A43" s="92" t="s">
        <v>2566</v>
      </c>
      <c r="B43" s="91">
        <v>230</v>
      </c>
      <c r="C43" s="91" t="s">
        <v>2570</v>
      </c>
      <c r="D43" s="91">
        <v>158</v>
      </c>
      <c r="E43" s="91" t="s">
        <v>2612</v>
      </c>
      <c r="F43" s="91">
        <v>27</v>
      </c>
      <c r="G43" s="91" t="s">
        <v>2569</v>
      </c>
      <c r="H43" s="91">
        <v>28</v>
      </c>
      <c r="I43" s="91" t="s">
        <v>2682</v>
      </c>
      <c r="J43" s="91">
        <v>19</v>
      </c>
      <c r="K43" s="91" t="s">
        <v>2571</v>
      </c>
      <c r="L43" s="91">
        <v>34</v>
      </c>
      <c r="M43" s="91" t="s">
        <v>2620</v>
      </c>
      <c r="N43" s="91">
        <v>8</v>
      </c>
      <c r="O43" s="91" t="s">
        <v>2572</v>
      </c>
      <c r="P43" s="91">
        <v>23</v>
      </c>
      <c r="Q43" s="91" t="s">
        <v>2577</v>
      </c>
      <c r="R43" s="91">
        <v>26</v>
      </c>
      <c r="S43" s="91" t="s">
        <v>2571</v>
      </c>
      <c r="T43" s="91">
        <v>12</v>
      </c>
      <c r="U43" s="91" t="s">
        <v>2860</v>
      </c>
      <c r="V43" s="91">
        <v>4</v>
      </c>
    </row>
    <row r="44" spans="1:22" ht="15">
      <c r="A44" s="92" t="s">
        <v>2567</v>
      </c>
      <c r="B44" s="91">
        <v>217</v>
      </c>
      <c r="C44" s="91" t="s">
        <v>2567</v>
      </c>
      <c r="D44" s="91">
        <v>137</v>
      </c>
      <c r="E44" s="91" t="s">
        <v>2568</v>
      </c>
      <c r="F44" s="91">
        <v>25</v>
      </c>
      <c r="G44" s="91" t="s">
        <v>2571</v>
      </c>
      <c r="H44" s="91">
        <v>27</v>
      </c>
      <c r="I44" s="91" t="s">
        <v>2683</v>
      </c>
      <c r="J44" s="91">
        <v>19</v>
      </c>
      <c r="K44" s="91" t="s">
        <v>2569</v>
      </c>
      <c r="L44" s="91">
        <v>31</v>
      </c>
      <c r="M44" s="91" t="s">
        <v>2568</v>
      </c>
      <c r="N44" s="91">
        <v>7</v>
      </c>
      <c r="O44" s="91" t="s">
        <v>2582</v>
      </c>
      <c r="P44" s="91">
        <v>23</v>
      </c>
      <c r="Q44" s="91" t="s">
        <v>2564</v>
      </c>
      <c r="R44" s="91">
        <v>19</v>
      </c>
      <c r="S44" s="91" t="s">
        <v>2565</v>
      </c>
      <c r="T44" s="91">
        <v>12</v>
      </c>
      <c r="U44" s="91" t="s">
        <v>2861</v>
      </c>
      <c r="V44" s="91">
        <v>4</v>
      </c>
    </row>
    <row r="45" spans="1:22" ht="15">
      <c r="A45" s="92" t="s">
        <v>2568</v>
      </c>
      <c r="B45" s="91">
        <v>212</v>
      </c>
      <c r="C45" s="91" t="s">
        <v>2565</v>
      </c>
      <c r="D45" s="91">
        <v>133</v>
      </c>
      <c r="E45" s="91" t="s">
        <v>2569</v>
      </c>
      <c r="F45" s="91">
        <v>24</v>
      </c>
      <c r="G45" s="91" t="s">
        <v>2573</v>
      </c>
      <c r="H45" s="91">
        <v>27</v>
      </c>
      <c r="I45" s="91" t="s">
        <v>2684</v>
      </c>
      <c r="J45" s="91">
        <v>19</v>
      </c>
      <c r="K45" s="91" t="s">
        <v>2591</v>
      </c>
      <c r="L45" s="91">
        <v>30</v>
      </c>
      <c r="M45" s="91" t="s">
        <v>2876</v>
      </c>
      <c r="N45" s="91">
        <v>7</v>
      </c>
      <c r="O45" s="91" t="s">
        <v>2576</v>
      </c>
      <c r="P45" s="91">
        <v>20</v>
      </c>
      <c r="Q45" s="91" t="s">
        <v>2570</v>
      </c>
      <c r="R45" s="91">
        <v>18</v>
      </c>
      <c r="S45" s="91" t="s">
        <v>2588</v>
      </c>
      <c r="T45" s="91">
        <v>12</v>
      </c>
      <c r="U45" s="91" t="s">
        <v>2862</v>
      </c>
      <c r="V45" s="91">
        <v>4</v>
      </c>
    </row>
    <row r="46" spans="1:22" ht="15">
      <c r="A46" s="92" t="s">
        <v>2569</v>
      </c>
      <c r="B46" s="91">
        <v>207</v>
      </c>
      <c r="C46" s="91" t="s">
        <v>2575</v>
      </c>
      <c r="D46" s="91">
        <v>116</v>
      </c>
      <c r="E46" s="91" t="s">
        <v>2571</v>
      </c>
      <c r="F46" s="91">
        <v>21</v>
      </c>
      <c r="G46" s="91" t="s">
        <v>2594</v>
      </c>
      <c r="H46" s="91">
        <v>27</v>
      </c>
      <c r="I46" s="91" t="s">
        <v>2685</v>
      </c>
      <c r="J46" s="91">
        <v>19</v>
      </c>
      <c r="K46" s="91" t="s">
        <v>2572</v>
      </c>
      <c r="L46" s="91">
        <v>29</v>
      </c>
      <c r="M46" s="91" t="s">
        <v>2877</v>
      </c>
      <c r="N46" s="91">
        <v>7</v>
      </c>
      <c r="O46" s="91" t="s">
        <v>2724</v>
      </c>
      <c r="P46" s="91">
        <v>17</v>
      </c>
      <c r="Q46" s="91" t="s">
        <v>2566</v>
      </c>
      <c r="R46" s="91">
        <v>18</v>
      </c>
      <c r="S46" s="91" t="s">
        <v>2579</v>
      </c>
      <c r="T46" s="91">
        <v>12</v>
      </c>
      <c r="U46" s="91" t="s">
        <v>2736</v>
      </c>
      <c r="V46" s="91">
        <v>4</v>
      </c>
    </row>
    <row r="47" spans="1:22" ht="15">
      <c r="A47" s="92" t="s">
        <v>2570</v>
      </c>
      <c r="B47" s="91">
        <v>205</v>
      </c>
      <c r="C47" s="91" t="s">
        <v>2574</v>
      </c>
      <c r="D47" s="91">
        <v>114</v>
      </c>
      <c r="E47" s="91" t="s">
        <v>2577</v>
      </c>
      <c r="F47" s="91">
        <v>20</v>
      </c>
      <c r="G47" s="91" t="s">
        <v>2624</v>
      </c>
      <c r="H47" s="91">
        <v>27</v>
      </c>
      <c r="I47" s="91" t="s">
        <v>2686</v>
      </c>
      <c r="J47" s="91">
        <v>19</v>
      </c>
      <c r="K47" s="91" t="s">
        <v>2565</v>
      </c>
      <c r="L47" s="91">
        <v>29</v>
      </c>
      <c r="M47" s="91" t="s">
        <v>2878</v>
      </c>
      <c r="N47" s="91">
        <v>7</v>
      </c>
      <c r="O47" s="91" t="s">
        <v>2725</v>
      </c>
      <c r="P47" s="91">
        <v>17</v>
      </c>
      <c r="Q47" s="91" t="s">
        <v>2581</v>
      </c>
      <c r="R47" s="91">
        <v>13</v>
      </c>
      <c r="S47" s="91" t="s">
        <v>2594</v>
      </c>
      <c r="T47" s="91">
        <v>11</v>
      </c>
      <c r="U47" s="91" t="s">
        <v>2587</v>
      </c>
      <c r="V47" s="91">
        <v>4</v>
      </c>
    </row>
    <row r="48" spans="1:22" ht="15">
      <c r="A48" s="92" t="s">
        <v>2571</v>
      </c>
      <c r="B48" s="91">
        <v>203</v>
      </c>
      <c r="C48" s="91" t="s">
        <v>2568</v>
      </c>
      <c r="D48" s="91">
        <v>107</v>
      </c>
      <c r="E48" s="91" t="s">
        <v>2566</v>
      </c>
      <c r="F48" s="91">
        <v>20</v>
      </c>
      <c r="G48" s="91" t="s">
        <v>2625</v>
      </c>
      <c r="H48" s="91">
        <v>27</v>
      </c>
      <c r="I48" s="91" t="s">
        <v>2687</v>
      </c>
      <c r="J48" s="91">
        <v>19</v>
      </c>
      <c r="K48" s="91" t="s">
        <v>2567</v>
      </c>
      <c r="L48" s="91">
        <v>23</v>
      </c>
      <c r="M48" s="91" t="s">
        <v>2879</v>
      </c>
      <c r="N48" s="91">
        <v>7</v>
      </c>
      <c r="O48" s="91" t="s">
        <v>2650</v>
      </c>
      <c r="P48" s="91">
        <v>17</v>
      </c>
      <c r="Q48" s="91" t="s">
        <v>2586</v>
      </c>
      <c r="R48" s="91">
        <v>13</v>
      </c>
      <c r="S48" s="91" t="s">
        <v>2569</v>
      </c>
      <c r="T48" s="91">
        <v>11</v>
      </c>
      <c r="U48" s="91" t="s">
        <v>2719</v>
      </c>
      <c r="V48" s="91">
        <v>4</v>
      </c>
    </row>
    <row r="49" spans="1:22" ht="15">
      <c r="A49" s="92" t="s">
        <v>2572</v>
      </c>
      <c r="B49" s="91">
        <v>174</v>
      </c>
      <c r="C49" s="91" t="s">
        <v>2581</v>
      </c>
      <c r="D49" s="91">
        <v>90</v>
      </c>
      <c r="E49" s="91" t="s">
        <v>2580</v>
      </c>
      <c r="F49" s="91">
        <v>19</v>
      </c>
      <c r="G49" s="91" t="s">
        <v>2626</v>
      </c>
      <c r="H49" s="91">
        <v>27</v>
      </c>
      <c r="I49" s="91" t="s">
        <v>2688</v>
      </c>
      <c r="J49" s="91">
        <v>19</v>
      </c>
      <c r="K49" s="91" t="s">
        <v>2574</v>
      </c>
      <c r="L49" s="91">
        <v>21</v>
      </c>
      <c r="M49" s="91" t="s">
        <v>2880</v>
      </c>
      <c r="N49" s="91">
        <v>7</v>
      </c>
      <c r="O49" s="91" t="s">
        <v>2693</v>
      </c>
      <c r="P49" s="91">
        <v>17</v>
      </c>
      <c r="Q49" s="91" t="s">
        <v>2576</v>
      </c>
      <c r="R49" s="91">
        <v>13</v>
      </c>
      <c r="S49" s="91" t="s">
        <v>2578</v>
      </c>
      <c r="T49" s="91">
        <v>9</v>
      </c>
      <c r="U49" s="91" t="s">
        <v>2648</v>
      </c>
      <c r="V49" s="91">
        <v>4</v>
      </c>
    </row>
    <row r="50" spans="1:22" ht="15">
      <c r="A50" s="92" t="s">
        <v>2573</v>
      </c>
      <c r="B50" s="91">
        <v>165</v>
      </c>
      <c r="C50" s="91" t="s">
        <v>2571</v>
      </c>
      <c r="D50" s="91">
        <v>90</v>
      </c>
      <c r="E50" s="91" t="s">
        <v>2572</v>
      </c>
      <c r="F50" s="91">
        <v>18</v>
      </c>
      <c r="G50" s="91" t="s">
        <v>2627</v>
      </c>
      <c r="H50" s="91">
        <v>27</v>
      </c>
      <c r="I50" s="91" t="s">
        <v>2647</v>
      </c>
      <c r="J50" s="91">
        <v>19</v>
      </c>
      <c r="K50" s="91" t="s">
        <v>2579</v>
      </c>
      <c r="L50" s="91">
        <v>20</v>
      </c>
      <c r="M50" s="91" t="s">
        <v>2881</v>
      </c>
      <c r="N50" s="91">
        <v>7</v>
      </c>
      <c r="O50" s="91" t="s">
        <v>2726</v>
      </c>
      <c r="P50" s="91">
        <v>17</v>
      </c>
      <c r="Q50" s="91" t="s">
        <v>2569</v>
      </c>
      <c r="R50" s="91">
        <v>13</v>
      </c>
      <c r="S50" s="91" t="s">
        <v>2618</v>
      </c>
      <c r="T50" s="91">
        <v>9</v>
      </c>
      <c r="U50" s="91" t="s">
        <v>2831</v>
      </c>
      <c r="V50" s="91">
        <v>4</v>
      </c>
    </row>
    <row r="53" spans="1:22" ht="14.4" customHeight="1">
      <c r="A53" s="13" t="s">
        <v>4627</v>
      </c>
      <c r="B53" s="13" t="s">
        <v>4464</v>
      </c>
      <c r="C53" s="13" t="s">
        <v>4638</v>
      </c>
      <c r="D53" s="13" t="s">
        <v>4470</v>
      </c>
      <c r="E53" s="13" t="s">
        <v>4640</v>
      </c>
      <c r="F53" s="13" t="s">
        <v>4473</v>
      </c>
      <c r="G53" s="13" t="s">
        <v>4650</v>
      </c>
      <c r="H53" s="13" t="s">
        <v>4477</v>
      </c>
      <c r="I53" s="13" t="s">
        <v>4661</v>
      </c>
      <c r="J53" s="13" t="s">
        <v>4479</v>
      </c>
      <c r="K53" s="13" t="s">
        <v>4672</v>
      </c>
      <c r="L53" s="13" t="s">
        <v>4485</v>
      </c>
      <c r="M53" s="13" t="s">
        <v>4679</v>
      </c>
      <c r="N53" s="13" t="s">
        <v>4497</v>
      </c>
      <c r="O53" s="13" t="s">
        <v>4690</v>
      </c>
      <c r="P53" s="13" t="s">
        <v>4500</v>
      </c>
      <c r="Q53" s="13" t="s">
        <v>4700</v>
      </c>
      <c r="R53" s="13" t="s">
        <v>4506</v>
      </c>
      <c r="S53" s="13" t="s">
        <v>4708</v>
      </c>
      <c r="T53" s="13" t="s">
        <v>4510</v>
      </c>
      <c r="U53" s="13" t="s">
        <v>4714</v>
      </c>
      <c r="V53" s="13" t="s">
        <v>4512</v>
      </c>
    </row>
    <row r="54" spans="1:22" ht="15">
      <c r="A54" s="91" t="s">
        <v>4628</v>
      </c>
      <c r="B54" s="91">
        <v>174</v>
      </c>
      <c r="C54" s="91" t="s">
        <v>4629</v>
      </c>
      <c r="D54" s="91">
        <v>80</v>
      </c>
      <c r="E54" s="91" t="s">
        <v>4628</v>
      </c>
      <c r="F54" s="91">
        <v>18</v>
      </c>
      <c r="G54" s="91" t="s">
        <v>4651</v>
      </c>
      <c r="H54" s="91">
        <v>27</v>
      </c>
      <c r="I54" s="91" t="s">
        <v>4662</v>
      </c>
      <c r="J54" s="91">
        <v>19</v>
      </c>
      <c r="K54" s="91" t="s">
        <v>4628</v>
      </c>
      <c r="L54" s="91">
        <v>29</v>
      </c>
      <c r="M54" s="91" t="s">
        <v>4680</v>
      </c>
      <c r="N54" s="91">
        <v>7</v>
      </c>
      <c r="O54" s="91" t="s">
        <v>4628</v>
      </c>
      <c r="P54" s="91">
        <v>23</v>
      </c>
      <c r="Q54" s="91" t="s">
        <v>4632</v>
      </c>
      <c r="R54" s="91">
        <v>13</v>
      </c>
      <c r="S54" s="91" t="s">
        <v>4628</v>
      </c>
      <c r="T54" s="91">
        <v>8</v>
      </c>
      <c r="U54" s="91" t="s">
        <v>4715</v>
      </c>
      <c r="V54" s="91">
        <v>4</v>
      </c>
    </row>
    <row r="55" spans="1:22" ht="15">
      <c r="A55" s="92" t="s">
        <v>4629</v>
      </c>
      <c r="B55" s="91">
        <v>114</v>
      </c>
      <c r="C55" s="91" t="s">
        <v>4630</v>
      </c>
      <c r="D55" s="91">
        <v>80</v>
      </c>
      <c r="E55" s="91" t="s">
        <v>4641</v>
      </c>
      <c r="F55" s="91">
        <v>17</v>
      </c>
      <c r="G55" s="91" t="s">
        <v>4652</v>
      </c>
      <c r="H55" s="91">
        <v>27</v>
      </c>
      <c r="I55" s="91" t="s">
        <v>4663</v>
      </c>
      <c r="J55" s="91">
        <v>19</v>
      </c>
      <c r="K55" s="91" t="s">
        <v>4629</v>
      </c>
      <c r="L55" s="91">
        <v>20</v>
      </c>
      <c r="M55" s="91" t="s">
        <v>4681</v>
      </c>
      <c r="N55" s="91">
        <v>7</v>
      </c>
      <c r="O55" s="91" t="s">
        <v>4691</v>
      </c>
      <c r="P55" s="91">
        <v>18</v>
      </c>
      <c r="Q55" s="91" t="s">
        <v>4628</v>
      </c>
      <c r="R55" s="91">
        <v>13</v>
      </c>
      <c r="S55" s="91" t="s">
        <v>4709</v>
      </c>
      <c r="T55" s="91">
        <v>7</v>
      </c>
      <c r="U55" s="91" t="s">
        <v>4716</v>
      </c>
      <c r="V55" s="91">
        <v>4</v>
      </c>
    </row>
    <row r="56" spans="1:22" ht="15">
      <c r="A56" s="92" t="s">
        <v>4630</v>
      </c>
      <c r="B56" s="91">
        <v>106</v>
      </c>
      <c r="C56" s="91" t="s">
        <v>4631</v>
      </c>
      <c r="D56" s="91">
        <v>74</v>
      </c>
      <c r="E56" s="91" t="s">
        <v>4642</v>
      </c>
      <c r="F56" s="91">
        <v>13</v>
      </c>
      <c r="G56" s="91" t="s">
        <v>4653</v>
      </c>
      <c r="H56" s="91">
        <v>27</v>
      </c>
      <c r="I56" s="91" t="s">
        <v>4664</v>
      </c>
      <c r="J56" s="91">
        <v>19</v>
      </c>
      <c r="K56" s="91" t="s">
        <v>4673</v>
      </c>
      <c r="L56" s="91">
        <v>16</v>
      </c>
      <c r="M56" s="91" t="s">
        <v>4682</v>
      </c>
      <c r="N56" s="91">
        <v>7</v>
      </c>
      <c r="O56" s="91" t="s">
        <v>4692</v>
      </c>
      <c r="P56" s="91">
        <v>17</v>
      </c>
      <c r="Q56" s="91" t="s">
        <v>4641</v>
      </c>
      <c r="R56" s="91">
        <v>13</v>
      </c>
      <c r="S56" s="91" t="s">
        <v>4629</v>
      </c>
      <c r="T56" s="91">
        <v>7</v>
      </c>
      <c r="U56" s="91" t="s">
        <v>4717</v>
      </c>
      <c r="V56" s="91">
        <v>4</v>
      </c>
    </row>
    <row r="57" spans="1:22" ht="15">
      <c r="A57" s="92" t="s">
        <v>4631</v>
      </c>
      <c r="B57" s="91">
        <v>91</v>
      </c>
      <c r="C57" s="91" t="s">
        <v>4634</v>
      </c>
      <c r="D57" s="91">
        <v>63</v>
      </c>
      <c r="E57" s="91" t="s">
        <v>4643</v>
      </c>
      <c r="F57" s="91">
        <v>13</v>
      </c>
      <c r="G57" s="91" t="s">
        <v>4654</v>
      </c>
      <c r="H57" s="91">
        <v>27</v>
      </c>
      <c r="I57" s="91" t="s">
        <v>4665</v>
      </c>
      <c r="J57" s="91">
        <v>19</v>
      </c>
      <c r="K57" s="91" t="s">
        <v>4630</v>
      </c>
      <c r="L57" s="91">
        <v>14</v>
      </c>
      <c r="M57" s="91" t="s">
        <v>4683</v>
      </c>
      <c r="N57" s="91">
        <v>7</v>
      </c>
      <c r="O57" s="91" t="s">
        <v>4693</v>
      </c>
      <c r="P57" s="91">
        <v>17</v>
      </c>
      <c r="Q57" s="91" t="s">
        <v>4701</v>
      </c>
      <c r="R57" s="91">
        <v>12</v>
      </c>
      <c r="S57" s="91" t="s">
        <v>4710</v>
      </c>
      <c r="T57" s="91">
        <v>6</v>
      </c>
      <c r="U57" s="91" t="s">
        <v>4718</v>
      </c>
      <c r="V57" s="91">
        <v>4</v>
      </c>
    </row>
    <row r="58" spans="1:22" ht="15">
      <c r="A58" s="92" t="s">
        <v>4632</v>
      </c>
      <c r="B58" s="91">
        <v>88</v>
      </c>
      <c r="C58" s="91" t="s">
        <v>4632</v>
      </c>
      <c r="D58" s="91">
        <v>62</v>
      </c>
      <c r="E58" s="91" t="s">
        <v>4644</v>
      </c>
      <c r="F58" s="91">
        <v>13</v>
      </c>
      <c r="G58" s="91" t="s">
        <v>4655</v>
      </c>
      <c r="H58" s="91">
        <v>27</v>
      </c>
      <c r="I58" s="91" t="s">
        <v>4666</v>
      </c>
      <c r="J58" s="91">
        <v>19</v>
      </c>
      <c r="K58" s="91" t="s">
        <v>4674</v>
      </c>
      <c r="L58" s="91">
        <v>14</v>
      </c>
      <c r="M58" s="91" t="s">
        <v>4684</v>
      </c>
      <c r="N58" s="91">
        <v>7</v>
      </c>
      <c r="O58" s="91" t="s">
        <v>4694</v>
      </c>
      <c r="P58" s="91">
        <v>17</v>
      </c>
      <c r="Q58" s="91" t="s">
        <v>4702</v>
      </c>
      <c r="R58" s="91">
        <v>12</v>
      </c>
      <c r="S58" s="91" t="s">
        <v>4630</v>
      </c>
      <c r="T58" s="91">
        <v>6</v>
      </c>
      <c r="U58" s="91" t="s">
        <v>4719</v>
      </c>
      <c r="V58" s="91">
        <v>4</v>
      </c>
    </row>
    <row r="59" spans="1:22" ht="15">
      <c r="A59" s="92" t="s">
        <v>4633</v>
      </c>
      <c r="B59" s="91">
        <v>80</v>
      </c>
      <c r="C59" s="91" t="s">
        <v>4633</v>
      </c>
      <c r="D59" s="91">
        <v>61</v>
      </c>
      <c r="E59" s="91" t="s">
        <v>4645</v>
      </c>
      <c r="F59" s="91">
        <v>13</v>
      </c>
      <c r="G59" s="91" t="s">
        <v>4656</v>
      </c>
      <c r="H59" s="91">
        <v>27</v>
      </c>
      <c r="I59" s="91" t="s">
        <v>4667</v>
      </c>
      <c r="J59" s="91">
        <v>19</v>
      </c>
      <c r="K59" s="91" t="s">
        <v>4675</v>
      </c>
      <c r="L59" s="91">
        <v>14</v>
      </c>
      <c r="M59" s="91" t="s">
        <v>4685</v>
      </c>
      <c r="N59" s="91">
        <v>7</v>
      </c>
      <c r="O59" s="91" t="s">
        <v>4695</v>
      </c>
      <c r="P59" s="91">
        <v>17</v>
      </c>
      <c r="Q59" s="91" t="s">
        <v>4703</v>
      </c>
      <c r="R59" s="91">
        <v>12</v>
      </c>
      <c r="S59" s="91" t="s">
        <v>4711</v>
      </c>
      <c r="T59" s="91">
        <v>6</v>
      </c>
      <c r="U59" s="91" t="s">
        <v>4720</v>
      </c>
      <c r="V59" s="91">
        <v>4</v>
      </c>
    </row>
    <row r="60" spans="1:22" ht="15">
      <c r="A60" s="92" t="s">
        <v>4634</v>
      </c>
      <c r="B60" s="91">
        <v>78</v>
      </c>
      <c r="C60" s="91" t="s">
        <v>4635</v>
      </c>
      <c r="D60" s="91">
        <v>55</v>
      </c>
      <c r="E60" s="91" t="s">
        <v>4646</v>
      </c>
      <c r="F60" s="91">
        <v>13</v>
      </c>
      <c r="G60" s="91" t="s">
        <v>4657</v>
      </c>
      <c r="H60" s="91">
        <v>27</v>
      </c>
      <c r="I60" s="91" t="s">
        <v>4668</v>
      </c>
      <c r="J60" s="91">
        <v>19</v>
      </c>
      <c r="K60" s="91" t="s">
        <v>4676</v>
      </c>
      <c r="L60" s="91">
        <v>14</v>
      </c>
      <c r="M60" s="91" t="s">
        <v>4686</v>
      </c>
      <c r="N60" s="91">
        <v>7</v>
      </c>
      <c r="O60" s="91" t="s">
        <v>4696</v>
      </c>
      <c r="P60" s="91">
        <v>17</v>
      </c>
      <c r="Q60" s="91" t="s">
        <v>4704</v>
      </c>
      <c r="R60" s="91">
        <v>12</v>
      </c>
      <c r="S60" s="91" t="s">
        <v>4712</v>
      </c>
      <c r="T60" s="91">
        <v>6</v>
      </c>
      <c r="U60" s="91" t="s">
        <v>4721</v>
      </c>
      <c r="V60" s="91">
        <v>4</v>
      </c>
    </row>
    <row r="61" spans="1:22" ht="15">
      <c r="A61" s="92" t="s">
        <v>4635</v>
      </c>
      <c r="B61" s="91">
        <v>69</v>
      </c>
      <c r="C61" s="91" t="s">
        <v>4636</v>
      </c>
      <c r="D61" s="91">
        <v>55</v>
      </c>
      <c r="E61" s="91" t="s">
        <v>4647</v>
      </c>
      <c r="F61" s="91">
        <v>13</v>
      </c>
      <c r="G61" s="91" t="s">
        <v>4658</v>
      </c>
      <c r="H61" s="91">
        <v>27</v>
      </c>
      <c r="I61" s="91" t="s">
        <v>4669</v>
      </c>
      <c r="J61" s="91">
        <v>19</v>
      </c>
      <c r="K61" s="91" t="s">
        <v>4677</v>
      </c>
      <c r="L61" s="91">
        <v>14</v>
      </c>
      <c r="M61" s="91" t="s">
        <v>4687</v>
      </c>
      <c r="N61" s="91">
        <v>7</v>
      </c>
      <c r="O61" s="91" t="s">
        <v>4697</v>
      </c>
      <c r="P61" s="91">
        <v>17</v>
      </c>
      <c r="Q61" s="91" t="s">
        <v>4705</v>
      </c>
      <c r="R61" s="91">
        <v>12</v>
      </c>
      <c r="S61" s="91" t="s">
        <v>4713</v>
      </c>
      <c r="T61" s="91">
        <v>5</v>
      </c>
      <c r="U61" s="91" t="s">
        <v>4722</v>
      </c>
      <c r="V61" s="91">
        <v>4</v>
      </c>
    </row>
    <row r="62" spans="1:22" ht="15">
      <c r="A62" s="92" t="s">
        <v>4636</v>
      </c>
      <c r="B62" s="91">
        <v>69</v>
      </c>
      <c r="C62" s="91" t="s">
        <v>4637</v>
      </c>
      <c r="D62" s="91">
        <v>55</v>
      </c>
      <c r="E62" s="91" t="s">
        <v>4648</v>
      </c>
      <c r="F62" s="91">
        <v>13</v>
      </c>
      <c r="G62" s="91" t="s">
        <v>4659</v>
      </c>
      <c r="H62" s="91">
        <v>27</v>
      </c>
      <c r="I62" s="91" t="s">
        <v>4670</v>
      </c>
      <c r="J62" s="91">
        <v>19</v>
      </c>
      <c r="K62" s="91" t="s">
        <v>4678</v>
      </c>
      <c r="L62" s="91">
        <v>11</v>
      </c>
      <c r="M62" s="91" t="s">
        <v>4688</v>
      </c>
      <c r="N62" s="91">
        <v>7</v>
      </c>
      <c r="O62" s="91" t="s">
        <v>4698</v>
      </c>
      <c r="P62" s="91">
        <v>17</v>
      </c>
      <c r="Q62" s="91" t="s">
        <v>4706</v>
      </c>
      <c r="R62" s="91">
        <v>12</v>
      </c>
      <c r="S62" s="91" t="s">
        <v>4654</v>
      </c>
      <c r="T62" s="91">
        <v>5</v>
      </c>
      <c r="U62" s="91" t="s">
        <v>4723</v>
      </c>
      <c r="V62" s="91">
        <v>4</v>
      </c>
    </row>
    <row r="63" spans="1:22" ht="15">
      <c r="A63" s="92" t="s">
        <v>4637</v>
      </c>
      <c r="B63" s="91">
        <v>69</v>
      </c>
      <c r="C63" s="91" t="s">
        <v>4639</v>
      </c>
      <c r="D63" s="91">
        <v>55</v>
      </c>
      <c r="E63" s="91" t="s">
        <v>4649</v>
      </c>
      <c r="F63" s="91">
        <v>13</v>
      </c>
      <c r="G63" s="91" t="s">
        <v>4660</v>
      </c>
      <c r="H63" s="91">
        <v>26</v>
      </c>
      <c r="I63" s="91" t="s">
        <v>4671</v>
      </c>
      <c r="J63" s="91">
        <v>19</v>
      </c>
      <c r="K63" s="91" t="s">
        <v>4631</v>
      </c>
      <c r="L63" s="91">
        <v>11</v>
      </c>
      <c r="M63" s="91" t="s">
        <v>4689</v>
      </c>
      <c r="N63" s="91">
        <v>7</v>
      </c>
      <c r="O63" s="91" t="s">
        <v>4699</v>
      </c>
      <c r="P63" s="91">
        <v>17</v>
      </c>
      <c r="Q63" s="91" t="s">
        <v>4707</v>
      </c>
      <c r="R63" s="91">
        <v>12</v>
      </c>
      <c r="S63" s="91" t="s">
        <v>4655</v>
      </c>
      <c r="T63" s="91">
        <v>5</v>
      </c>
      <c r="U63" s="91" t="s">
        <v>4724</v>
      </c>
      <c r="V63" s="91">
        <v>4</v>
      </c>
    </row>
    <row r="66" spans="1:22" ht="14.4" customHeight="1">
      <c r="A66" s="13" t="s">
        <v>4745</v>
      </c>
      <c r="B66" s="13" t="s">
        <v>4464</v>
      </c>
      <c r="C66" s="83" t="s">
        <v>4747</v>
      </c>
      <c r="D66" s="83" t="s">
        <v>4470</v>
      </c>
      <c r="E66" s="83" t="s">
        <v>4748</v>
      </c>
      <c r="F66" s="83" t="s">
        <v>4473</v>
      </c>
      <c r="G66" s="83" t="s">
        <v>4751</v>
      </c>
      <c r="H66" s="83" t="s">
        <v>4477</v>
      </c>
      <c r="I66" s="83" t="s">
        <v>4753</v>
      </c>
      <c r="J66" s="83" t="s">
        <v>4479</v>
      </c>
      <c r="K66" s="83" t="s">
        <v>4755</v>
      </c>
      <c r="L66" s="83" t="s">
        <v>4485</v>
      </c>
      <c r="M66" s="83" t="s">
        <v>4757</v>
      </c>
      <c r="N66" s="83" t="s">
        <v>4497</v>
      </c>
      <c r="O66" s="83" t="s">
        <v>4759</v>
      </c>
      <c r="P66" s="83" t="s">
        <v>4500</v>
      </c>
      <c r="Q66" s="83" t="s">
        <v>4761</v>
      </c>
      <c r="R66" s="83" t="s">
        <v>4506</v>
      </c>
      <c r="S66" s="83" t="s">
        <v>4763</v>
      </c>
      <c r="T66" s="83" t="s">
        <v>4510</v>
      </c>
      <c r="U66" s="83" t="s">
        <v>4765</v>
      </c>
      <c r="V66" s="83" t="s">
        <v>4512</v>
      </c>
    </row>
    <row r="67" spans="1:22" ht="15">
      <c r="A67" s="83" t="s">
        <v>434</v>
      </c>
      <c r="B67" s="83">
        <v>1</v>
      </c>
      <c r="C67" s="83"/>
      <c r="D67" s="83"/>
      <c r="E67" s="83"/>
      <c r="F67" s="83"/>
      <c r="G67" s="83"/>
      <c r="H67" s="83"/>
      <c r="I67" s="83"/>
      <c r="J67" s="83"/>
      <c r="K67" s="83"/>
      <c r="L67" s="83"/>
      <c r="M67" s="83"/>
      <c r="N67" s="83"/>
      <c r="O67" s="83"/>
      <c r="P67" s="83"/>
      <c r="Q67" s="83"/>
      <c r="R67" s="83"/>
      <c r="S67" s="83"/>
      <c r="T67" s="83"/>
      <c r="U67" s="83"/>
      <c r="V67" s="83"/>
    </row>
    <row r="70" spans="1:22" ht="14.4" customHeight="1">
      <c r="A70" s="13" t="s">
        <v>4746</v>
      </c>
      <c r="B70" s="13" t="s">
        <v>4464</v>
      </c>
      <c r="C70" s="13" t="s">
        <v>4749</v>
      </c>
      <c r="D70" s="13" t="s">
        <v>4470</v>
      </c>
      <c r="E70" s="13" t="s">
        <v>4750</v>
      </c>
      <c r="F70" s="13" t="s">
        <v>4473</v>
      </c>
      <c r="G70" s="83" t="s">
        <v>4752</v>
      </c>
      <c r="H70" s="83" t="s">
        <v>4477</v>
      </c>
      <c r="I70" s="13" t="s">
        <v>4754</v>
      </c>
      <c r="J70" s="13" t="s">
        <v>4479</v>
      </c>
      <c r="K70" s="13" t="s">
        <v>4756</v>
      </c>
      <c r="L70" s="13" t="s">
        <v>4485</v>
      </c>
      <c r="M70" s="83" t="s">
        <v>4758</v>
      </c>
      <c r="N70" s="83" t="s">
        <v>4497</v>
      </c>
      <c r="O70" s="83" t="s">
        <v>4760</v>
      </c>
      <c r="P70" s="83" t="s">
        <v>4500</v>
      </c>
      <c r="Q70" s="83" t="s">
        <v>4762</v>
      </c>
      <c r="R70" s="83" t="s">
        <v>4506</v>
      </c>
      <c r="S70" s="13" t="s">
        <v>4764</v>
      </c>
      <c r="T70" s="13" t="s">
        <v>4510</v>
      </c>
      <c r="U70" s="83" t="s">
        <v>4766</v>
      </c>
      <c r="V70" s="83" t="s">
        <v>4512</v>
      </c>
    </row>
    <row r="71" spans="1:22" ht="15">
      <c r="A71" s="83" t="s">
        <v>436</v>
      </c>
      <c r="B71" s="83">
        <v>22</v>
      </c>
      <c r="C71" s="83" t="s">
        <v>436</v>
      </c>
      <c r="D71" s="83">
        <v>19</v>
      </c>
      <c r="E71" s="83" t="s">
        <v>435</v>
      </c>
      <c r="F71" s="83">
        <v>1</v>
      </c>
      <c r="G71" s="83"/>
      <c r="H71" s="83"/>
      <c r="I71" s="83" t="s">
        <v>432</v>
      </c>
      <c r="J71" s="83">
        <v>19</v>
      </c>
      <c r="K71" s="83" t="s">
        <v>436</v>
      </c>
      <c r="L71" s="83">
        <v>2</v>
      </c>
      <c r="M71" s="83"/>
      <c r="N71" s="83"/>
      <c r="O71" s="83"/>
      <c r="P71" s="83"/>
      <c r="Q71" s="83"/>
      <c r="R71" s="83"/>
      <c r="S71" s="83" t="s">
        <v>394</v>
      </c>
      <c r="T71" s="83">
        <v>2</v>
      </c>
      <c r="U71" s="83"/>
      <c r="V71" s="83"/>
    </row>
    <row r="72" spans="1:22" ht="15">
      <c r="A72" s="84" t="s">
        <v>432</v>
      </c>
      <c r="B72" s="83">
        <v>21</v>
      </c>
      <c r="C72" s="83" t="s">
        <v>435</v>
      </c>
      <c r="D72" s="83">
        <v>17</v>
      </c>
      <c r="E72" s="83" t="s">
        <v>436</v>
      </c>
      <c r="F72" s="83">
        <v>1</v>
      </c>
      <c r="G72" s="83"/>
      <c r="H72" s="83"/>
      <c r="I72" s="83" t="s">
        <v>431</v>
      </c>
      <c r="J72" s="83">
        <v>19</v>
      </c>
      <c r="K72" s="83" t="s">
        <v>432</v>
      </c>
      <c r="L72" s="83">
        <v>2</v>
      </c>
      <c r="M72" s="83"/>
      <c r="N72" s="83"/>
      <c r="O72" s="83"/>
      <c r="P72" s="83"/>
      <c r="Q72" s="83"/>
      <c r="R72" s="83"/>
      <c r="S72" s="83" t="s">
        <v>415</v>
      </c>
      <c r="T72" s="83">
        <v>2</v>
      </c>
      <c r="U72" s="83"/>
      <c r="V72" s="83"/>
    </row>
    <row r="73" spans="1:22" ht="15">
      <c r="A73" s="84" t="s">
        <v>431</v>
      </c>
      <c r="B73" s="83">
        <v>21</v>
      </c>
      <c r="C73" s="83" t="s">
        <v>438</v>
      </c>
      <c r="D73" s="83">
        <v>11</v>
      </c>
      <c r="E73" s="83"/>
      <c r="F73" s="83"/>
      <c r="G73" s="83"/>
      <c r="H73" s="83"/>
      <c r="I73" s="83" t="s">
        <v>381</v>
      </c>
      <c r="J73" s="83">
        <v>19</v>
      </c>
      <c r="K73" s="83" t="s">
        <v>431</v>
      </c>
      <c r="L73" s="83">
        <v>2</v>
      </c>
      <c r="M73" s="83"/>
      <c r="N73" s="83"/>
      <c r="O73" s="83"/>
      <c r="P73" s="83"/>
      <c r="Q73" s="83"/>
      <c r="R73" s="83"/>
      <c r="S73" s="83"/>
      <c r="T73" s="83"/>
      <c r="U73" s="83"/>
      <c r="V73" s="83"/>
    </row>
    <row r="74" spans="1:22" ht="15">
      <c r="A74" s="84" t="s">
        <v>381</v>
      </c>
      <c r="B74" s="83">
        <v>21</v>
      </c>
      <c r="C74" s="83" t="s">
        <v>420</v>
      </c>
      <c r="D74" s="83">
        <v>11</v>
      </c>
      <c r="E74" s="83"/>
      <c r="F74" s="83"/>
      <c r="G74" s="83"/>
      <c r="H74" s="83"/>
      <c r="I74" s="83" t="s">
        <v>380</v>
      </c>
      <c r="J74" s="83">
        <v>19</v>
      </c>
      <c r="K74" s="83" t="s">
        <v>381</v>
      </c>
      <c r="L74" s="83">
        <v>2</v>
      </c>
      <c r="M74" s="83"/>
      <c r="N74" s="83"/>
      <c r="O74" s="83"/>
      <c r="P74" s="83"/>
      <c r="Q74" s="83"/>
      <c r="R74" s="83"/>
      <c r="S74" s="83"/>
      <c r="T74" s="83"/>
      <c r="U74" s="83"/>
      <c r="V74" s="83"/>
    </row>
    <row r="75" spans="1:22" ht="15">
      <c r="A75" s="84" t="s">
        <v>380</v>
      </c>
      <c r="B75" s="83">
        <v>21</v>
      </c>
      <c r="C75" s="83" t="s">
        <v>437</v>
      </c>
      <c r="D75" s="83">
        <v>8</v>
      </c>
      <c r="E75" s="83"/>
      <c r="F75" s="83"/>
      <c r="G75" s="83"/>
      <c r="H75" s="83"/>
      <c r="I75" s="83" t="s">
        <v>383</v>
      </c>
      <c r="J75" s="83">
        <v>19</v>
      </c>
      <c r="K75" s="83" t="s">
        <v>380</v>
      </c>
      <c r="L75" s="83">
        <v>2</v>
      </c>
      <c r="M75" s="83"/>
      <c r="N75" s="83"/>
      <c r="O75" s="83"/>
      <c r="P75" s="83"/>
      <c r="Q75" s="83"/>
      <c r="R75" s="83"/>
      <c r="S75" s="83"/>
      <c r="T75" s="83"/>
      <c r="U75" s="83"/>
      <c r="V75" s="83"/>
    </row>
    <row r="76" spans="1:22" ht="15">
      <c r="A76" s="84" t="s">
        <v>383</v>
      </c>
      <c r="B76" s="83">
        <v>21</v>
      </c>
      <c r="C76" s="83" t="s">
        <v>409</v>
      </c>
      <c r="D76" s="83">
        <v>7</v>
      </c>
      <c r="E76" s="83"/>
      <c r="F76" s="83"/>
      <c r="G76" s="83"/>
      <c r="H76" s="83"/>
      <c r="I76" s="83" t="s">
        <v>430</v>
      </c>
      <c r="J76" s="83">
        <v>19</v>
      </c>
      <c r="K76" s="83" t="s">
        <v>383</v>
      </c>
      <c r="L76" s="83">
        <v>2</v>
      </c>
      <c r="M76" s="83"/>
      <c r="N76" s="83"/>
      <c r="O76" s="83"/>
      <c r="P76" s="83"/>
      <c r="Q76" s="83"/>
      <c r="R76" s="83"/>
      <c r="S76" s="83"/>
      <c r="T76" s="83"/>
      <c r="U76" s="83"/>
      <c r="V76" s="83"/>
    </row>
    <row r="77" spans="1:22" ht="15">
      <c r="A77" s="84" t="s">
        <v>430</v>
      </c>
      <c r="B77" s="83">
        <v>21</v>
      </c>
      <c r="C77" s="83" t="s">
        <v>417</v>
      </c>
      <c r="D77" s="83">
        <v>3</v>
      </c>
      <c r="E77" s="83"/>
      <c r="F77" s="83"/>
      <c r="G77" s="83"/>
      <c r="H77" s="83"/>
      <c r="I77" s="83" t="s">
        <v>385</v>
      </c>
      <c r="J77" s="83">
        <v>19</v>
      </c>
      <c r="K77" s="83" t="s">
        <v>430</v>
      </c>
      <c r="L77" s="83">
        <v>2</v>
      </c>
      <c r="M77" s="83"/>
      <c r="N77" s="83"/>
      <c r="O77" s="83"/>
      <c r="P77" s="83"/>
      <c r="Q77" s="83"/>
      <c r="R77" s="83"/>
      <c r="S77" s="83"/>
      <c r="T77" s="83"/>
      <c r="U77" s="83"/>
      <c r="V77" s="83"/>
    </row>
    <row r="78" spans="1:22" ht="15">
      <c r="A78" s="84" t="s">
        <v>385</v>
      </c>
      <c r="B78" s="83">
        <v>21</v>
      </c>
      <c r="C78" s="83" t="s">
        <v>394</v>
      </c>
      <c r="D78" s="83">
        <v>1</v>
      </c>
      <c r="E78" s="83"/>
      <c r="F78" s="83"/>
      <c r="G78" s="83"/>
      <c r="H78" s="83"/>
      <c r="I78" s="83" t="s">
        <v>382</v>
      </c>
      <c r="J78" s="83">
        <v>19</v>
      </c>
      <c r="K78" s="83" t="s">
        <v>385</v>
      </c>
      <c r="L78" s="83">
        <v>2</v>
      </c>
      <c r="M78" s="83"/>
      <c r="N78" s="83"/>
      <c r="O78" s="83"/>
      <c r="P78" s="83"/>
      <c r="Q78" s="83"/>
      <c r="R78" s="83"/>
      <c r="S78" s="83"/>
      <c r="T78" s="83"/>
      <c r="U78" s="83"/>
      <c r="V78" s="83"/>
    </row>
    <row r="79" spans="1:22" ht="15">
      <c r="A79" s="84" t="s">
        <v>382</v>
      </c>
      <c r="B79" s="83">
        <v>21</v>
      </c>
      <c r="C79" s="83" t="s">
        <v>415</v>
      </c>
      <c r="D79" s="83">
        <v>1</v>
      </c>
      <c r="E79" s="83"/>
      <c r="F79" s="83"/>
      <c r="G79" s="83"/>
      <c r="H79" s="83"/>
      <c r="I79" s="83"/>
      <c r="J79" s="83"/>
      <c r="K79" s="83" t="s">
        <v>382</v>
      </c>
      <c r="L79" s="83">
        <v>2</v>
      </c>
      <c r="M79" s="83"/>
      <c r="N79" s="83"/>
      <c r="O79" s="83"/>
      <c r="P79" s="83"/>
      <c r="Q79" s="83"/>
      <c r="R79" s="83"/>
      <c r="S79" s="83"/>
      <c r="T79" s="83"/>
      <c r="U79" s="83"/>
      <c r="V79" s="83"/>
    </row>
    <row r="80" spans="1:22" ht="15">
      <c r="A80" s="84" t="s">
        <v>435</v>
      </c>
      <c r="B80" s="83">
        <v>19</v>
      </c>
      <c r="C80" s="83"/>
      <c r="D80" s="83"/>
      <c r="E80" s="83"/>
      <c r="F80" s="83"/>
      <c r="G80" s="83"/>
      <c r="H80" s="83"/>
      <c r="I80" s="83"/>
      <c r="J80" s="83"/>
      <c r="K80" s="83" t="s">
        <v>435</v>
      </c>
      <c r="L80" s="83">
        <v>1</v>
      </c>
      <c r="M80" s="83"/>
      <c r="N80" s="83"/>
      <c r="O80" s="83"/>
      <c r="P80" s="83"/>
      <c r="Q80" s="83"/>
      <c r="R80" s="83"/>
      <c r="S80" s="83"/>
      <c r="T80" s="83"/>
      <c r="U80" s="83"/>
      <c r="V80" s="83"/>
    </row>
    <row r="83" spans="1:22" ht="14.4" customHeight="1">
      <c r="A83" s="13" t="s">
        <v>4774</v>
      </c>
      <c r="B83" s="13" t="s">
        <v>4464</v>
      </c>
      <c r="C83" s="13" t="s">
        <v>4775</v>
      </c>
      <c r="D83" s="13" t="s">
        <v>4470</v>
      </c>
      <c r="E83" s="13" t="s">
        <v>4776</v>
      </c>
      <c r="F83" s="13" t="s">
        <v>4473</v>
      </c>
      <c r="G83" s="13" t="s">
        <v>4777</v>
      </c>
      <c r="H83" s="13" t="s">
        <v>4477</v>
      </c>
      <c r="I83" s="13" t="s">
        <v>4778</v>
      </c>
      <c r="J83" s="13" t="s">
        <v>4479</v>
      </c>
      <c r="K83" s="13" t="s">
        <v>4779</v>
      </c>
      <c r="L83" s="13" t="s">
        <v>4485</v>
      </c>
      <c r="M83" s="13" t="s">
        <v>4780</v>
      </c>
      <c r="N83" s="13" t="s">
        <v>4497</v>
      </c>
      <c r="O83" s="13" t="s">
        <v>4781</v>
      </c>
      <c r="P83" s="13" t="s">
        <v>4500</v>
      </c>
      <c r="Q83" s="13" t="s">
        <v>4782</v>
      </c>
      <c r="R83" s="13" t="s">
        <v>4506</v>
      </c>
      <c r="S83" s="13" t="s">
        <v>4783</v>
      </c>
      <c r="T83" s="13" t="s">
        <v>4510</v>
      </c>
      <c r="U83" s="13" t="s">
        <v>4784</v>
      </c>
      <c r="V83" s="13" t="s">
        <v>4512</v>
      </c>
    </row>
    <row r="84" spans="1:22" ht="15">
      <c r="A84" s="109" t="s">
        <v>278</v>
      </c>
      <c r="B84" s="83">
        <v>1960735</v>
      </c>
      <c r="C84" s="109" t="s">
        <v>390</v>
      </c>
      <c r="D84" s="83">
        <v>1140536</v>
      </c>
      <c r="E84" s="109" t="s">
        <v>373</v>
      </c>
      <c r="F84" s="83">
        <v>957055</v>
      </c>
      <c r="G84" s="109" t="s">
        <v>329</v>
      </c>
      <c r="H84" s="83">
        <v>307232</v>
      </c>
      <c r="I84" s="109" t="s">
        <v>234</v>
      </c>
      <c r="J84" s="83">
        <v>327051</v>
      </c>
      <c r="K84" s="109" t="s">
        <v>252</v>
      </c>
      <c r="L84" s="83">
        <v>256834</v>
      </c>
      <c r="M84" s="109" t="s">
        <v>348</v>
      </c>
      <c r="N84" s="83">
        <v>114191</v>
      </c>
      <c r="O84" s="109" t="s">
        <v>424</v>
      </c>
      <c r="P84" s="83">
        <v>171722</v>
      </c>
      <c r="Q84" s="109" t="s">
        <v>227</v>
      </c>
      <c r="R84" s="83">
        <v>1052581</v>
      </c>
      <c r="S84" s="109" t="s">
        <v>345</v>
      </c>
      <c r="T84" s="83">
        <v>259064</v>
      </c>
      <c r="U84" s="109" t="s">
        <v>253</v>
      </c>
      <c r="V84" s="83">
        <v>425563</v>
      </c>
    </row>
    <row r="85" spans="1:22" ht="15">
      <c r="A85" s="112" t="s">
        <v>390</v>
      </c>
      <c r="B85" s="83">
        <v>1140536</v>
      </c>
      <c r="C85" s="109" t="s">
        <v>396</v>
      </c>
      <c r="D85" s="83">
        <v>779571</v>
      </c>
      <c r="E85" s="109" t="s">
        <v>315</v>
      </c>
      <c r="F85" s="83">
        <v>172722</v>
      </c>
      <c r="G85" s="109" t="s">
        <v>304</v>
      </c>
      <c r="H85" s="83">
        <v>122360</v>
      </c>
      <c r="I85" s="109" t="s">
        <v>381</v>
      </c>
      <c r="J85" s="83">
        <v>281730</v>
      </c>
      <c r="K85" s="109" t="s">
        <v>386</v>
      </c>
      <c r="L85" s="83">
        <v>237272</v>
      </c>
      <c r="M85" s="109" t="s">
        <v>262</v>
      </c>
      <c r="N85" s="83">
        <v>63209</v>
      </c>
      <c r="O85" s="109" t="s">
        <v>240</v>
      </c>
      <c r="P85" s="83">
        <v>55939</v>
      </c>
      <c r="Q85" s="109" t="s">
        <v>422</v>
      </c>
      <c r="R85" s="83">
        <v>556702</v>
      </c>
      <c r="S85" s="109" t="s">
        <v>358</v>
      </c>
      <c r="T85" s="83">
        <v>138082</v>
      </c>
      <c r="U85" s="109" t="s">
        <v>275</v>
      </c>
      <c r="V85" s="83">
        <v>2568</v>
      </c>
    </row>
    <row r="86" spans="1:22" ht="15">
      <c r="A86" s="112" t="s">
        <v>227</v>
      </c>
      <c r="B86" s="83">
        <v>1052581</v>
      </c>
      <c r="C86" s="109" t="s">
        <v>402</v>
      </c>
      <c r="D86" s="83">
        <v>658557</v>
      </c>
      <c r="E86" s="109" t="s">
        <v>238</v>
      </c>
      <c r="F86" s="83">
        <v>157465</v>
      </c>
      <c r="G86" s="109" t="s">
        <v>302</v>
      </c>
      <c r="H86" s="83">
        <v>115599</v>
      </c>
      <c r="I86" s="109" t="s">
        <v>249</v>
      </c>
      <c r="J86" s="83">
        <v>272327</v>
      </c>
      <c r="K86" s="109" t="s">
        <v>336</v>
      </c>
      <c r="L86" s="83">
        <v>232906</v>
      </c>
      <c r="M86" s="109" t="s">
        <v>292</v>
      </c>
      <c r="N86" s="83">
        <v>8411</v>
      </c>
      <c r="O86" s="109" t="s">
        <v>228</v>
      </c>
      <c r="P86" s="83">
        <v>17155</v>
      </c>
      <c r="Q86" s="109" t="s">
        <v>322</v>
      </c>
      <c r="R86" s="83">
        <v>182912</v>
      </c>
      <c r="S86" s="109" t="s">
        <v>356</v>
      </c>
      <c r="T86" s="83">
        <v>93014</v>
      </c>
      <c r="U86" s="109" t="s">
        <v>274</v>
      </c>
      <c r="V86" s="83">
        <v>1508</v>
      </c>
    </row>
    <row r="87" spans="1:22" ht="15">
      <c r="A87" s="112" t="s">
        <v>373</v>
      </c>
      <c r="B87" s="83">
        <v>957055</v>
      </c>
      <c r="C87" s="109" t="s">
        <v>350</v>
      </c>
      <c r="D87" s="83">
        <v>624222</v>
      </c>
      <c r="E87" s="109" t="s">
        <v>371</v>
      </c>
      <c r="F87" s="83">
        <v>104931</v>
      </c>
      <c r="G87" s="109" t="s">
        <v>328</v>
      </c>
      <c r="H87" s="83">
        <v>94292</v>
      </c>
      <c r="I87" s="109" t="s">
        <v>235</v>
      </c>
      <c r="J87" s="83">
        <v>237169</v>
      </c>
      <c r="K87" s="109" t="s">
        <v>283</v>
      </c>
      <c r="L87" s="83">
        <v>199068</v>
      </c>
      <c r="M87" s="109" t="s">
        <v>242</v>
      </c>
      <c r="N87" s="83">
        <v>4561</v>
      </c>
      <c r="O87" s="109" t="s">
        <v>270</v>
      </c>
      <c r="P87" s="83">
        <v>15438</v>
      </c>
      <c r="Q87" s="109" t="s">
        <v>427</v>
      </c>
      <c r="R87" s="83">
        <v>101131</v>
      </c>
      <c r="S87" s="109" t="s">
        <v>357</v>
      </c>
      <c r="T87" s="83">
        <v>64356</v>
      </c>
      <c r="U87" s="109" t="s">
        <v>398</v>
      </c>
      <c r="V87" s="83">
        <v>612</v>
      </c>
    </row>
    <row r="88" spans="1:22" ht="15">
      <c r="A88" s="112" t="s">
        <v>396</v>
      </c>
      <c r="B88" s="83">
        <v>779571</v>
      </c>
      <c r="C88" s="109" t="s">
        <v>416</v>
      </c>
      <c r="D88" s="83">
        <v>607609</v>
      </c>
      <c r="E88" s="109" t="s">
        <v>352</v>
      </c>
      <c r="F88" s="83">
        <v>88445</v>
      </c>
      <c r="G88" s="109" t="s">
        <v>326</v>
      </c>
      <c r="H88" s="83">
        <v>66799</v>
      </c>
      <c r="I88" s="109" t="s">
        <v>237</v>
      </c>
      <c r="J88" s="83">
        <v>219925</v>
      </c>
      <c r="K88" s="109" t="s">
        <v>291</v>
      </c>
      <c r="L88" s="83">
        <v>119706</v>
      </c>
      <c r="M88" s="109" t="s">
        <v>347</v>
      </c>
      <c r="N88" s="83">
        <v>3737</v>
      </c>
      <c r="O88" s="109" t="s">
        <v>265</v>
      </c>
      <c r="P88" s="83">
        <v>14591</v>
      </c>
      <c r="Q88" s="109" t="s">
        <v>363</v>
      </c>
      <c r="R88" s="83">
        <v>75653</v>
      </c>
      <c r="S88" s="109" t="s">
        <v>415</v>
      </c>
      <c r="T88" s="83">
        <v>34501</v>
      </c>
      <c r="U88" s="109"/>
      <c r="V88" s="83"/>
    </row>
    <row r="89" spans="1:22" ht="15">
      <c r="A89" s="112" t="s">
        <v>402</v>
      </c>
      <c r="B89" s="83">
        <v>658557</v>
      </c>
      <c r="C89" s="109" t="s">
        <v>407</v>
      </c>
      <c r="D89" s="83">
        <v>606663</v>
      </c>
      <c r="E89" s="109" t="s">
        <v>314</v>
      </c>
      <c r="F89" s="83">
        <v>80016</v>
      </c>
      <c r="G89" s="109" t="s">
        <v>310</v>
      </c>
      <c r="H89" s="83">
        <v>54614</v>
      </c>
      <c r="I89" s="109" t="s">
        <v>232</v>
      </c>
      <c r="J89" s="83">
        <v>169997</v>
      </c>
      <c r="K89" s="109" t="s">
        <v>404</v>
      </c>
      <c r="L89" s="83">
        <v>57767</v>
      </c>
      <c r="M89" s="109" t="s">
        <v>312</v>
      </c>
      <c r="N89" s="83">
        <v>1258</v>
      </c>
      <c r="O89" s="109" t="s">
        <v>250</v>
      </c>
      <c r="P89" s="83">
        <v>11594</v>
      </c>
      <c r="Q89" s="109" t="s">
        <v>421</v>
      </c>
      <c r="R89" s="83">
        <v>7486</v>
      </c>
      <c r="S89" s="109" t="s">
        <v>344</v>
      </c>
      <c r="T89" s="83">
        <v>348</v>
      </c>
      <c r="U89" s="109"/>
      <c r="V89" s="83"/>
    </row>
    <row r="90" spans="1:22" ht="15">
      <c r="A90" s="112" t="s">
        <v>350</v>
      </c>
      <c r="B90" s="83">
        <v>624222</v>
      </c>
      <c r="C90" s="109" t="s">
        <v>368</v>
      </c>
      <c r="D90" s="83">
        <v>464360</v>
      </c>
      <c r="E90" s="109" t="s">
        <v>256</v>
      </c>
      <c r="F90" s="83">
        <v>46187</v>
      </c>
      <c r="G90" s="109" t="s">
        <v>307</v>
      </c>
      <c r="H90" s="83">
        <v>30453</v>
      </c>
      <c r="I90" s="109" t="s">
        <v>230</v>
      </c>
      <c r="J90" s="83">
        <v>113058</v>
      </c>
      <c r="K90" s="109" t="s">
        <v>323</v>
      </c>
      <c r="L90" s="83">
        <v>54438</v>
      </c>
      <c r="M90" s="109" t="s">
        <v>268</v>
      </c>
      <c r="N90" s="83">
        <v>893</v>
      </c>
      <c r="O90" s="109" t="s">
        <v>264</v>
      </c>
      <c r="P90" s="83">
        <v>1863</v>
      </c>
      <c r="Q90" s="109" t="s">
        <v>410</v>
      </c>
      <c r="R90" s="83">
        <v>1101</v>
      </c>
      <c r="S90" s="109" t="s">
        <v>394</v>
      </c>
      <c r="T90" s="83">
        <v>341</v>
      </c>
      <c r="U90" s="109"/>
      <c r="V90" s="83"/>
    </row>
    <row r="91" spans="1:22" ht="15">
      <c r="A91" s="112" t="s">
        <v>416</v>
      </c>
      <c r="B91" s="83">
        <v>607609</v>
      </c>
      <c r="C91" s="109" t="s">
        <v>391</v>
      </c>
      <c r="D91" s="83">
        <v>439347</v>
      </c>
      <c r="E91" s="109" t="s">
        <v>316</v>
      </c>
      <c r="F91" s="83">
        <v>19543</v>
      </c>
      <c r="G91" s="109" t="s">
        <v>389</v>
      </c>
      <c r="H91" s="83">
        <v>27034</v>
      </c>
      <c r="I91" s="109" t="s">
        <v>384</v>
      </c>
      <c r="J91" s="83">
        <v>105696</v>
      </c>
      <c r="K91" s="109" t="s">
        <v>296</v>
      </c>
      <c r="L91" s="83">
        <v>23574</v>
      </c>
      <c r="M91" s="109" t="s">
        <v>376</v>
      </c>
      <c r="N91" s="83">
        <v>737</v>
      </c>
      <c r="O91" s="109" t="s">
        <v>269</v>
      </c>
      <c r="P91" s="83">
        <v>1735</v>
      </c>
      <c r="Q91" s="109" t="s">
        <v>311</v>
      </c>
      <c r="R91" s="83">
        <v>931</v>
      </c>
      <c r="S91" s="109" t="s">
        <v>226</v>
      </c>
      <c r="T91" s="83">
        <v>299</v>
      </c>
      <c r="U91" s="109"/>
      <c r="V91" s="83"/>
    </row>
    <row r="92" spans="1:22" ht="15">
      <c r="A92" s="112" t="s">
        <v>407</v>
      </c>
      <c r="B92" s="83">
        <v>606663</v>
      </c>
      <c r="C92" s="109" t="s">
        <v>257</v>
      </c>
      <c r="D92" s="83">
        <v>402752</v>
      </c>
      <c r="E92" s="109" t="s">
        <v>417</v>
      </c>
      <c r="F92" s="83">
        <v>17883</v>
      </c>
      <c r="G92" s="109" t="s">
        <v>306</v>
      </c>
      <c r="H92" s="83">
        <v>26639</v>
      </c>
      <c r="I92" s="109" t="s">
        <v>382</v>
      </c>
      <c r="J92" s="83">
        <v>94986</v>
      </c>
      <c r="K92" s="109" t="s">
        <v>229</v>
      </c>
      <c r="L92" s="83">
        <v>10888</v>
      </c>
      <c r="M92" s="109" t="s">
        <v>297</v>
      </c>
      <c r="N92" s="83">
        <v>637</v>
      </c>
      <c r="O92" s="109" t="s">
        <v>260</v>
      </c>
      <c r="P92" s="83">
        <v>843</v>
      </c>
      <c r="Q92" s="109" t="s">
        <v>362</v>
      </c>
      <c r="R92" s="83">
        <v>737</v>
      </c>
      <c r="S92" s="109"/>
      <c r="T92" s="83"/>
      <c r="U92" s="109"/>
      <c r="V92" s="83"/>
    </row>
    <row r="93" spans="1:22" ht="15">
      <c r="A93" s="112" t="s">
        <v>422</v>
      </c>
      <c r="B93" s="83">
        <v>556702</v>
      </c>
      <c r="C93" s="109" t="s">
        <v>400</v>
      </c>
      <c r="D93" s="83">
        <v>389741</v>
      </c>
      <c r="E93" s="109" t="s">
        <v>251</v>
      </c>
      <c r="F93" s="83">
        <v>16125</v>
      </c>
      <c r="G93" s="109" t="s">
        <v>325</v>
      </c>
      <c r="H93" s="83">
        <v>24090</v>
      </c>
      <c r="I93" s="109" t="s">
        <v>430</v>
      </c>
      <c r="J93" s="83">
        <v>94794</v>
      </c>
      <c r="K93" s="109" t="s">
        <v>301</v>
      </c>
      <c r="L93" s="83">
        <v>2709</v>
      </c>
      <c r="M93" s="109" t="s">
        <v>333</v>
      </c>
      <c r="N93" s="83">
        <v>350</v>
      </c>
      <c r="O93" s="109" t="s">
        <v>426</v>
      </c>
      <c r="P93" s="83">
        <v>507</v>
      </c>
      <c r="Q93" s="109" t="s">
        <v>321</v>
      </c>
      <c r="R93" s="83">
        <v>137</v>
      </c>
      <c r="S93" s="109"/>
      <c r="T93" s="83"/>
      <c r="U93" s="109"/>
      <c r="V93" s="83"/>
    </row>
  </sheetData>
  <hyperlinks>
    <hyperlink ref="A2" r:id="rId1" display="https://online-learning.harvard.edu/catalog"/>
    <hyperlink ref="A3" r:id="rId2" display="https://medium.com/@rajmalhotra_2822/earn-coursera-certificates-for-free-on-some-programming-courses-during-the-coronavirus-epidemic-7b3f75bc49b1"/>
    <hyperlink ref="A4" r:id="rId3" display="https://www.peoplematters.in/news/technology/job-searches-in-artificial-intelligence-rise-106-in-one-year-report-26898"/>
    <hyperlink ref="A5" r:id="rId4" display="http://www.globalbigdataconference.com/145756/combatting-covid-19-misinformation-with-machine-learning/industrynews-details.html"/>
    <hyperlink ref="A6" r:id="rId5" display="https://akashmishra75.herokuapp.com/"/>
    <hyperlink ref="A7" r:id="rId6" display="https://www.weforum.org/agenda/2020/09/prevent-post-covid-carmageddon"/>
    <hyperlink ref="A8" r:id="rId7" display="http://www.globalbigdataconference.com/145761/big-datas-role-in-the-post-covid-era/industrynews-details.html"/>
    <hyperlink ref="A9" r:id="rId8" display="https://www.coodingdessign.com/python/datascience/visualization-of-covid-19-new-cases-over-time-in-python/"/>
    <hyperlink ref="A10" r:id="rId9" display="https://www.aitrends.com/ai-research/covid-19-ai-update-nih-developing-imaging-tools/"/>
    <hyperlink ref="A11" r:id="rId10" display="https://www.edureka.co/?utm_source=ZillionLife&amp;utm_medium=748127&amp;utm_campaign=Zillion_Ed"/>
    <hyperlink ref="C2" r:id="rId11" display="https://online-learning.harvard.edu/catalog"/>
    <hyperlink ref="C3" r:id="rId12" display="https://www.weforum.org/agenda/2020/09/prevent-post-covid-carmageddon"/>
    <hyperlink ref="C4" r:id="rId13" display="https://www.coodingdessign.com/python/datascience/visualization-of-covid-19-new-cases-over-time-in-python/"/>
    <hyperlink ref="C5" r:id="rId14" display="https://www.aitrends.com/ai-research/covid-19-ai-update-nih-developing-imaging-tools/"/>
    <hyperlink ref="C6" r:id="rId15" display="https://medium.com/@rajmalhotra_2822/earn-coursera-certificates-for-free-on-some-programming-courses-during-the-coronavirus-epidemic-7b3f75bc49b1"/>
    <hyperlink ref="C7" r:id="rId16" display="https://www.dailymail.co.uk/news/article-8714225/US-daily-COVID-19-cases-drop-40k-time-June.html?ito=amp_twitter_share-top"/>
    <hyperlink ref="C8" r:id="rId17" display="https://www.edureka.co/?utm_source=ZillionLife&amp;utm_medium=748127&amp;utm_campaign=Zillion_Ed"/>
    <hyperlink ref="C9" r:id="rId18" display="https://resources.edureka.co/big-data-edureka-workshop-covid19-analysis/?utm_source=meetup&amp;utm_medium=crosspost&amp;utm_campaign=bigdata-workshop-090920"/>
    <hyperlink ref="C10" r:id="rId19" display="https://akashmishra75.herokuapp.com/"/>
    <hyperlink ref="C11" r:id="rId20" display="https://twitter.com/RadioSilentplay/status/1294087895364636672"/>
    <hyperlink ref="E2" r:id="rId21" display="https://medium.com/@rajmalhotra_2822/earn-coursera-certificates-for-free-on-some-programming-courses-during-the-coronavirus-epidemic-7b3f75bc49b1"/>
    <hyperlink ref="E3" r:id="rId22" display="https://www.ituneed.com/post/working-from-home-top-5-cybersecurity-threats-businesses-should-be-aware-of-during-covid-19"/>
    <hyperlink ref="E4" r:id="rId23" display="https://www.aitrends.com/ai-research/covid-19-ai-update-nih-developing-imaging-tools/"/>
    <hyperlink ref="E5" r:id="rId24" display="https://www.weforum.org/agenda/2020/09/prevent-post-covid-carmageddon"/>
    <hyperlink ref="E6" r:id="rId25" display="https://online-learning.harvard.edu/catalog"/>
    <hyperlink ref="E7" r:id="rId26" display="http://www.globalbigdataconference.com/145756/combatting-covid-19-misinformation-with-machine-learning/industrynews-details.html"/>
    <hyperlink ref="G2" r:id="rId27" display="http://www.globalbigdataconference.com/145756/combatting-covid-19-misinformation-with-machine-learning/industrynews-details.html"/>
    <hyperlink ref="G3" r:id="rId28" display="http://www.globalbigdataconference.com/145761/big-datas-role-in-the-post-covid-era/industrynews-details.html"/>
    <hyperlink ref="G4" r:id="rId29" display="http://www.globalbigdataconference.com/news/145767/covid-19-made-your-data-set-worthless-now-what.html"/>
    <hyperlink ref="G5" r:id="rId30" display="http://www.globalbigdataconference.com/news/145693/bias-in-machine-learning-examples-policing-banking-covid-19.html"/>
    <hyperlink ref="G6" r:id="rId31" display="https://www.edureka.co/?utm_source=ZillionLife&amp;utm_medium=748127&amp;utm_campaign=Zillion_Ed"/>
    <hyperlink ref="G7" r:id="rId32" display="https://resources.edureka.co/big-data-edureka-workshop-covid19-analysis/?utm_source=meetup&amp;utm_medium=crosspost&amp;utm_campaign=bigdata-workshop-090920"/>
    <hyperlink ref="I2" r:id="rId33" display="https://www.peoplematters.in/news/technology/job-searches-in-artificial-intelligence-rise-106-in-one-year-report-26898"/>
    <hyperlink ref="K2" r:id="rId34" display="https://jovian.ml/forum/t/data-science-daily-newsletter-september-8-2020/11527"/>
    <hyperlink ref="K3" r:id="rId35" display="https://techairesearch.com/comparative-study-of-best-time-series-models-for-urgent-pandemic-management-2/"/>
    <hyperlink ref="K4" r:id="rId36" display="https://www.youtube.com/watch?v=b2mLDkMSyn4&amp;feature=youtu.be&amp;t=510"/>
    <hyperlink ref="K5" r:id="rId37" display="http://www.globalbigdataconference.com/145756/combatting-covid-19-misinformation-with-machine-learning/industrynews-details.html"/>
    <hyperlink ref="K6" r:id="rId38" display="https://www.latimes.com/world-nation/story/2020-03-16/coronavirus-vaccine-test-opens-as-us-volunteer-gets-1st-shot"/>
    <hyperlink ref="K7" r:id="rId39" display="https://online-learning.harvard.edu/catalog"/>
    <hyperlink ref="K8" r:id="rId40" display="https://www.peoplematters.in/news/technology/job-searches-in-artificial-intelligence-rise-106-in-one-year-report-26898"/>
    <hyperlink ref="K9" r:id="rId41" display="http://www.globalbigdataconference.com/news/145693/bias-in-machine-learning-examples-policing-banking-covid-19.html"/>
    <hyperlink ref="K10" r:id="rId42" display="http://www.globalbigdataconference.com/145761/big-datas-role-in-the-post-covid-era/industrynews-details.html"/>
    <hyperlink ref="K11" r:id="rId43" display="https://twitter.com/RadioSilentplay/status/1294087895364636672"/>
    <hyperlink ref="M2" r:id="rId44" display="https://www.thestar.com/business/personal_finance/2020/09/07/this-26-year-old-toronto-data-scientist-makes-120000-a-year-but-recently-moved-back-home-due-to-covid-19-uncertainty-can-he-buy-a-home-in-the-gta-within-the-year.html"/>
    <hyperlink ref="M3" r:id="rId45" display="https://hackernoon.com/covid-happened-and-i-decided-to-stop-gaming-and-start-coding-goq3xqz"/>
    <hyperlink ref="M4" r:id="rId46" display="https://www.forbes.com/sites/gilpress/2020/08/27/data-scientists-salaries-and-jobs-immune-to-covid-19-survey-finds/#3f8548ed5183"/>
    <hyperlink ref="M5" r:id="rId47" display="https://morioh.com/p/45b7be54c8ee"/>
    <hyperlink ref="M6" r:id="rId48" display="https://towardsdatascience.com/best-resources-for-mastering-python-2356b8be0ece"/>
    <hyperlink ref="M7" r:id="rId49" display="https://medium.com/analytics-vidhya/visualizing-coronavirus-using-python-b35ca02b4392"/>
    <hyperlink ref="M8" r:id="rId50" display="https://morioh.com/p/74bc220c6e09"/>
    <hyperlink ref="M9" r:id="rId51" display="https://it-online.co.za/2020/09/08/staff-repurposing-as-a-response-to-covid-19/"/>
    <hyperlink ref="M10" r:id="rId52" display="https://github.com/lisphilar/covid19-sir/releases/tag/2.8.2"/>
    <hyperlink ref="M11" r:id="rId53" display="https://qiita.com/Lisphilar/items/34337bd89ad485ec4a4b"/>
    <hyperlink ref="O2" r:id="rId54" display="http://www.ineditweb.es/miedo-a-lo-tecnologico-art837"/>
    <hyperlink ref="O3" r:id="rId55" display="https://techairesearch.com/comparative-study-of-best-time-series-models-for-urgent-pandemic-management-2/"/>
    <hyperlink ref="O4" r:id="rId56" display="http://www.globalbigdataconference.com/news/145693/bias-in-machine-learning-examples-policing-banking-covid-19.html"/>
    <hyperlink ref="Q2" r:id="rId57" display="https://akashmishra75.herokuapp.com/"/>
    <hyperlink ref="Q3" r:id="rId58" display="https://cdw.voicestorm.com/Article/Redirect/158f4944-0f02-4fb5-a69a-1b101981cbd5?uc=2409&amp;g=569113d9-95cf-4edd-a7b6-8cb126ac2f30&amp;f=414657"/>
    <hyperlink ref="Q4" r:id="rId59" display="https://cdw.voicestorm.com/Article/Redirect/c2178f9f-84ee-4131-bc8d-106c9621721e?uc=2409&amp;g=d6970e04-ae67-42fc-b899-04f46a8bdc46&amp;f=419948"/>
    <hyperlink ref="Q5" r:id="rId60" display="https://cdw.voicestorm.com/Article/Redirect/158f4944-0f02-4fb5-a69a-1b101981cbd5?uc=2409&amp;g=630fbc4e-9cb1-4b67-8898-5bb567f6a1e7&amp;f=414657"/>
    <hyperlink ref="Q6" r:id="rId61" display="https://medium.com/@rajmalhotra_2822/earn-coursera-certificates-for-free-on-some-programming-courses-during-the-coronavirus-epidemic-7b3f75bc49b1"/>
    <hyperlink ref="Q7" r:id="rId62" display="https://www.aitrends.com/ai-research/covid-19-ai-update-nih-developing-imaging-tools/"/>
    <hyperlink ref="Q8" r:id="rId63" display="https://cdw.voicestorm.com/Article/Redirect/158f4944-0f02-4fb5-a69a-1b101981cbd5?uc=2409&amp;g=aee4fdc1-6673-411b-8d9e-0d707c12324c&amp;f=414657"/>
    <hyperlink ref="S2" r:id="rId64" display="https://it-online.co.za/2020/09/08/staff-repurposing-as-a-response-to-covid-19/"/>
    <hyperlink ref="S3" r:id="rId65" display="http://www.globalbigdataconference.com/145761/big-datas-role-in-the-post-covid-era/industrynews-details.html"/>
    <hyperlink ref="S4" r:id="rId66" display="https://databaseline.tech/a-tour-of-end-to-end-ml-platforms/"/>
    <hyperlink ref="S5" r:id="rId67" display="https://arxiv.org/abs/2009.01657"/>
    <hyperlink ref="S6" r:id="rId68" display="https://techairesearch.com/comparative-study-of-best-time-series-models-for-urgent-pandemic-management-2/"/>
    <hyperlink ref="S7" r:id="rId69" display="http://www.globalbigdataconference.com/145756/combatting-covid-19-misinformation-with-machine-learning/industrynews-details.html"/>
    <hyperlink ref="S8" r:id="rId70" display="http://www.globalbigdataconference.com/news/145767/covid-19-made-your-data-set-worthless-now-what.html"/>
    <hyperlink ref="U2" r:id="rId71" display="https://nobrowser.com/"/>
  </hyperlinks>
  <printOptions/>
  <pageMargins left="0.7" right="0.7" top="0.75" bottom="0.75" header="0.3" footer="0.3"/>
  <pageSetup orientation="portrait" paperSize="9"/>
  <tableParts>
    <tablePart r:id="rId74"/>
    <tablePart r:id="rId73"/>
    <tablePart r:id="rId78"/>
    <tablePart r:id="rId72"/>
    <tablePart r:id="rId79"/>
    <tablePart r:id="rId77"/>
    <tablePart r:id="rId75"/>
    <tablePart r:id="rId7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1532</v>
      </c>
      <c r="AE2" s="13" t="s">
        <v>1533</v>
      </c>
      <c r="AF2" s="13" t="s">
        <v>1534</v>
      </c>
      <c r="AG2" s="13" t="s">
        <v>1535</v>
      </c>
      <c r="AH2" s="13" t="s">
        <v>1536</v>
      </c>
      <c r="AI2" s="13" t="s">
        <v>1537</v>
      </c>
      <c r="AJ2" s="13" t="s">
        <v>1538</v>
      </c>
      <c r="AK2" s="13" t="s">
        <v>1539</v>
      </c>
      <c r="AL2" s="13" t="s">
        <v>1540</v>
      </c>
      <c r="AM2" s="13" t="s">
        <v>1541</v>
      </c>
      <c r="AN2" s="13" t="s">
        <v>1542</v>
      </c>
      <c r="AO2" s="13" t="s">
        <v>1543</v>
      </c>
      <c r="AP2" s="13" t="s">
        <v>1544</v>
      </c>
      <c r="AQ2" s="13" t="s">
        <v>1545</v>
      </c>
      <c r="AR2" s="13" t="s">
        <v>1546</v>
      </c>
      <c r="AS2" s="13" t="s">
        <v>1547</v>
      </c>
      <c r="AT2" s="13" t="s">
        <v>205</v>
      </c>
      <c r="AU2" s="13" t="s">
        <v>1548</v>
      </c>
      <c r="AV2" s="13" t="s">
        <v>1549</v>
      </c>
      <c r="AW2" s="13" t="s">
        <v>1550</v>
      </c>
      <c r="AX2" s="13" t="s">
        <v>1551</v>
      </c>
      <c r="AY2" s="13" t="s">
        <v>1552</v>
      </c>
      <c r="AZ2" s="13" t="s">
        <v>1553</v>
      </c>
      <c r="BA2" s="13" t="s">
        <v>2551</v>
      </c>
      <c r="BB2" s="115" t="s">
        <v>3172</v>
      </c>
      <c r="BC2" s="115" t="s">
        <v>3173</v>
      </c>
      <c r="BD2" s="115" t="s">
        <v>3174</v>
      </c>
      <c r="BE2" s="115" t="s">
        <v>3175</v>
      </c>
      <c r="BF2" s="115" t="s">
        <v>3176</v>
      </c>
      <c r="BG2" s="115" t="s">
        <v>3177</v>
      </c>
      <c r="BH2" s="115" t="s">
        <v>3178</v>
      </c>
      <c r="BI2" s="115" t="s">
        <v>3179</v>
      </c>
      <c r="BJ2" s="115" t="s">
        <v>3181</v>
      </c>
      <c r="BK2" s="115" t="s">
        <v>4807</v>
      </c>
      <c r="BL2" s="115" t="s">
        <v>4845</v>
      </c>
      <c r="BM2" s="115" t="s">
        <v>4848</v>
      </c>
      <c r="BN2" s="115" t="s">
        <v>4879</v>
      </c>
      <c r="BO2" s="115" t="s">
        <v>4886</v>
      </c>
      <c r="BP2" s="115" t="s">
        <v>4936</v>
      </c>
      <c r="BQ2" s="115" t="s">
        <v>4974</v>
      </c>
      <c r="BR2" s="115" t="s">
        <v>5067</v>
      </c>
      <c r="BS2" s="115" t="s">
        <v>5109</v>
      </c>
      <c r="BT2" s="115" t="s">
        <v>5185</v>
      </c>
      <c r="BU2" s="3"/>
      <c r="BV2" s="3"/>
    </row>
    <row r="3" spans="1:74" ht="15" customHeight="1">
      <c r="A3" s="68" t="s">
        <v>429</v>
      </c>
      <c r="B3" s="69"/>
      <c r="C3" s="69" t="s">
        <v>64</v>
      </c>
      <c r="D3" s="70">
        <v>263.3984445617174</v>
      </c>
      <c r="E3" s="72"/>
      <c r="F3" s="107" t="str">
        <f>HYPERLINK("http://pbs.twimg.com/profile_images/1280029413954981889/Fov5OSkh_normal.jpg")</f>
        <v>http://pbs.twimg.com/profile_images/1280029413954981889/Fov5OSkh_normal.jpg</v>
      </c>
      <c r="G3" s="69"/>
      <c r="H3" s="73" t="s">
        <v>429</v>
      </c>
      <c r="I3" s="74" t="s">
        <v>5211</v>
      </c>
      <c r="J3" s="74" t="s">
        <v>73</v>
      </c>
      <c r="K3" s="73" t="s">
        <v>2510</v>
      </c>
      <c r="L3" s="77">
        <v>646.0322580645161</v>
      </c>
      <c r="M3" s="78">
        <v>9830.400390625</v>
      </c>
      <c r="N3" s="78">
        <v>2914.548583984375</v>
      </c>
      <c r="O3" s="79"/>
      <c r="P3" s="80"/>
      <c r="Q3" s="80"/>
      <c r="R3" s="49"/>
      <c r="S3" s="49">
        <v>2</v>
      </c>
      <c r="T3" s="49">
        <v>1</v>
      </c>
      <c r="U3" s="50">
        <v>0</v>
      </c>
      <c r="V3" s="50">
        <v>1</v>
      </c>
      <c r="W3" s="50">
        <v>0</v>
      </c>
      <c r="X3" s="50">
        <v>1.298242</v>
      </c>
      <c r="Y3" s="50">
        <v>0</v>
      </c>
      <c r="Z3" s="50">
        <v>0</v>
      </c>
      <c r="AA3" s="75">
        <v>3</v>
      </c>
      <c r="AB3" s="75"/>
      <c r="AC3" s="76"/>
      <c r="AD3" s="83" t="s">
        <v>1757</v>
      </c>
      <c r="AE3" s="91" t="s">
        <v>1969</v>
      </c>
      <c r="AF3" s="83">
        <v>217</v>
      </c>
      <c r="AG3" s="83">
        <v>134</v>
      </c>
      <c r="AH3" s="83">
        <v>77</v>
      </c>
      <c r="AI3" s="83">
        <v>464</v>
      </c>
      <c r="AJ3" s="83"/>
      <c r="AK3" s="83" t="s">
        <v>2167</v>
      </c>
      <c r="AL3" s="83" t="s">
        <v>2295</v>
      </c>
      <c r="AM3" s="88" t="str">
        <f>HYPERLINK("https://t.co/gJpZZUL42K")</f>
        <v>https://t.co/gJpZZUL42K</v>
      </c>
      <c r="AN3" s="83"/>
      <c r="AO3" s="85">
        <v>43503.48275462963</v>
      </c>
      <c r="AP3" s="88" t="str">
        <f>HYPERLINK("https://pbs.twimg.com/profile_banners/1093473240041820160/1560021629")</f>
        <v>https://pbs.twimg.com/profile_banners/1093473240041820160/1560021629</v>
      </c>
      <c r="AQ3" s="83" t="b">
        <v>1</v>
      </c>
      <c r="AR3" s="83" t="b">
        <v>0</v>
      </c>
      <c r="AS3" s="83" t="b">
        <v>0</v>
      </c>
      <c r="AT3" s="83"/>
      <c r="AU3" s="83">
        <v>0</v>
      </c>
      <c r="AV3" s="83"/>
      <c r="AW3" s="83" t="b">
        <v>0</v>
      </c>
      <c r="AX3" s="83" t="s">
        <v>2296</v>
      </c>
      <c r="AY3" s="88" t="str">
        <f>HYPERLINK("https://twitter.com/gbubemi__")</f>
        <v>https://twitter.com/gbubemi__</v>
      </c>
      <c r="AZ3" s="83" t="s">
        <v>66</v>
      </c>
      <c r="BA3" s="83" t="str">
        <f>REPLACE(INDEX(GroupVertices[Group],MATCH(Vertices[[#This Row],[Vertex]],GroupVertices[Vertex],0)),1,1,"")</f>
        <v>21</v>
      </c>
      <c r="BB3" s="49">
        <v>0</v>
      </c>
      <c r="BC3" s="50">
        <v>0</v>
      </c>
      <c r="BD3" s="49">
        <v>0</v>
      </c>
      <c r="BE3" s="50">
        <v>0</v>
      </c>
      <c r="BF3" s="49">
        <v>0</v>
      </c>
      <c r="BG3" s="50">
        <v>0</v>
      </c>
      <c r="BH3" s="49">
        <v>34</v>
      </c>
      <c r="BI3" s="50">
        <v>100</v>
      </c>
      <c r="BJ3" s="49">
        <v>34</v>
      </c>
      <c r="BK3" s="49"/>
      <c r="BL3" s="49"/>
      <c r="BM3" s="49"/>
      <c r="BN3" s="49"/>
      <c r="BO3" s="49" t="s">
        <v>563</v>
      </c>
      <c r="BP3" s="49" t="s">
        <v>563</v>
      </c>
      <c r="BQ3" s="119" t="s">
        <v>4626</v>
      </c>
      <c r="BR3" s="119" t="s">
        <v>4626</v>
      </c>
      <c r="BS3" s="119" t="s">
        <v>4744</v>
      </c>
      <c r="BT3" s="119" t="s">
        <v>4744</v>
      </c>
      <c r="BU3" s="3"/>
      <c r="BV3" s="3"/>
    </row>
    <row r="4" spans="1:77" ht="15">
      <c r="A4" s="68" t="s">
        <v>225</v>
      </c>
      <c r="B4" s="69"/>
      <c r="C4" s="69" t="s">
        <v>46</v>
      </c>
      <c r="D4" s="70"/>
      <c r="E4" s="72"/>
      <c r="F4" s="107" t="str">
        <f>HYPERLINK("http://pbs.twimg.com/profile_images/1253243604388233217/HKSf6vFa_normal.jpg")</f>
        <v>http://pbs.twimg.com/profile_images/1253243604388233217/HKSf6vFa_normal.jpg</v>
      </c>
      <c r="G4" s="69"/>
      <c r="H4" s="73" t="s">
        <v>225</v>
      </c>
      <c r="I4" s="74" t="s">
        <v>5211</v>
      </c>
      <c r="J4" s="74" t="s">
        <v>73</v>
      </c>
      <c r="K4" s="73" t="s">
        <v>2297</v>
      </c>
      <c r="L4" s="77">
        <v>1</v>
      </c>
      <c r="M4" s="78">
        <v>9347.4140625</v>
      </c>
      <c r="N4" s="78">
        <v>4147.60205078125</v>
      </c>
      <c r="O4" s="79"/>
      <c r="P4" s="80"/>
      <c r="Q4" s="80"/>
      <c r="R4" s="93"/>
      <c r="S4" s="49">
        <v>0</v>
      </c>
      <c r="T4" s="49">
        <v>1</v>
      </c>
      <c r="U4" s="50">
        <v>0</v>
      </c>
      <c r="V4" s="50">
        <v>1</v>
      </c>
      <c r="W4" s="50">
        <v>0</v>
      </c>
      <c r="X4" s="50">
        <v>0.701753</v>
      </c>
      <c r="Y4" s="50">
        <v>0</v>
      </c>
      <c r="Z4" s="50">
        <v>0</v>
      </c>
      <c r="AA4" s="75">
        <v>4</v>
      </c>
      <c r="AB4" s="75"/>
      <c r="AC4" s="76"/>
      <c r="AD4" s="83" t="s">
        <v>1554</v>
      </c>
      <c r="AE4" s="91" t="s">
        <v>1758</v>
      </c>
      <c r="AF4" s="83">
        <v>22</v>
      </c>
      <c r="AG4" s="83">
        <v>35</v>
      </c>
      <c r="AH4" s="83">
        <v>68</v>
      </c>
      <c r="AI4" s="83">
        <v>106</v>
      </c>
      <c r="AJ4" s="83"/>
      <c r="AK4" s="83" t="s">
        <v>1970</v>
      </c>
      <c r="AL4" s="83"/>
      <c r="AM4" s="88" t="str">
        <f>HYPERLINK("https://t.co/x0G838et2Z")</f>
        <v>https://t.co/x0G838et2Z</v>
      </c>
      <c r="AN4" s="83"/>
      <c r="AO4" s="85">
        <v>43944.361712962964</v>
      </c>
      <c r="AP4" s="83"/>
      <c r="AQ4" s="83" t="b">
        <v>1</v>
      </c>
      <c r="AR4" s="83" t="b">
        <v>0</v>
      </c>
      <c r="AS4" s="83" t="b">
        <v>0</v>
      </c>
      <c r="AT4" s="83"/>
      <c r="AU4" s="83">
        <v>0</v>
      </c>
      <c r="AV4" s="83"/>
      <c r="AW4" s="83" t="b">
        <v>0</v>
      </c>
      <c r="AX4" s="83" t="s">
        <v>2296</v>
      </c>
      <c r="AY4" s="88" t="str">
        <f>HYPERLINK("https://twitter.com/givemycert")</f>
        <v>https://twitter.com/givemycert</v>
      </c>
      <c r="AZ4" s="83" t="s">
        <v>66</v>
      </c>
      <c r="BA4" s="83" t="str">
        <f>REPLACE(INDEX(GroupVertices[Group],MATCH(Vertices[[#This Row],[Vertex]],GroupVertices[Vertex],0)),1,1,"")</f>
        <v>21</v>
      </c>
      <c r="BB4" s="49">
        <v>0</v>
      </c>
      <c r="BC4" s="50">
        <v>0</v>
      </c>
      <c r="BD4" s="49">
        <v>0</v>
      </c>
      <c r="BE4" s="50">
        <v>0</v>
      </c>
      <c r="BF4" s="49">
        <v>0</v>
      </c>
      <c r="BG4" s="50">
        <v>0</v>
      </c>
      <c r="BH4" s="49">
        <v>34</v>
      </c>
      <c r="BI4" s="50">
        <v>100</v>
      </c>
      <c r="BJ4" s="49">
        <v>34</v>
      </c>
      <c r="BK4" s="49"/>
      <c r="BL4" s="49"/>
      <c r="BM4" s="49"/>
      <c r="BN4" s="49"/>
      <c r="BO4" s="49" t="s">
        <v>563</v>
      </c>
      <c r="BP4" s="49" t="s">
        <v>563</v>
      </c>
      <c r="BQ4" s="119" t="s">
        <v>4626</v>
      </c>
      <c r="BR4" s="119" t="s">
        <v>4626</v>
      </c>
      <c r="BS4" s="119" t="s">
        <v>4744</v>
      </c>
      <c r="BT4" s="119" t="s">
        <v>4744</v>
      </c>
      <c r="BU4" s="2"/>
      <c r="BV4" s="3"/>
      <c r="BW4" s="3"/>
      <c r="BX4" s="3"/>
      <c r="BY4" s="3"/>
    </row>
    <row r="5" spans="1:77" ht="15">
      <c r="A5" s="68" t="s">
        <v>226</v>
      </c>
      <c r="B5" s="69"/>
      <c r="C5" s="69" t="s">
        <v>46</v>
      </c>
      <c r="D5" s="70"/>
      <c r="E5" s="72"/>
      <c r="F5" s="107" t="str">
        <f>HYPERLINK("http://pbs.twimg.com/profile_images/1246933741211013121/9wBOFO5I_normal.png")</f>
        <v>http://pbs.twimg.com/profile_images/1246933741211013121/9wBOFO5I_normal.png</v>
      </c>
      <c r="G5" s="69"/>
      <c r="H5" s="73" t="s">
        <v>226</v>
      </c>
      <c r="I5" s="74" t="s">
        <v>5212</v>
      </c>
      <c r="J5" s="74" t="s">
        <v>73</v>
      </c>
      <c r="K5" s="73" t="s">
        <v>2298</v>
      </c>
      <c r="L5" s="77">
        <v>1</v>
      </c>
      <c r="M5" s="78">
        <v>8868.7900390625</v>
      </c>
      <c r="N5" s="78">
        <v>5968.66650390625</v>
      </c>
      <c r="O5" s="79"/>
      <c r="P5" s="80"/>
      <c r="Q5" s="80"/>
      <c r="R5" s="93"/>
      <c r="S5" s="49">
        <v>0</v>
      </c>
      <c r="T5" s="49">
        <v>1</v>
      </c>
      <c r="U5" s="50">
        <v>0</v>
      </c>
      <c r="V5" s="50">
        <v>0.001271</v>
      </c>
      <c r="W5" s="50">
        <v>1.6E-05</v>
      </c>
      <c r="X5" s="50">
        <v>0.320037</v>
      </c>
      <c r="Y5" s="50">
        <v>0</v>
      </c>
      <c r="Z5" s="50">
        <v>0</v>
      </c>
      <c r="AA5" s="75">
        <v>5</v>
      </c>
      <c r="AB5" s="75"/>
      <c r="AC5" s="76"/>
      <c r="AD5" s="83" t="s">
        <v>1555</v>
      </c>
      <c r="AE5" s="91" t="s">
        <v>1759</v>
      </c>
      <c r="AF5" s="83">
        <v>293</v>
      </c>
      <c r="AG5" s="83">
        <v>81</v>
      </c>
      <c r="AH5" s="83">
        <v>299</v>
      </c>
      <c r="AI5" s="83">
        <v>116</v>
      </c>
      <c r="AJ5" s="83"/>
      <c r="AK5" s="83" t="s">
        <v>1971</v>
      </c>
      <c r="AL5" s="83"/>
      <c r="AM5" s="83"/>
      <c r="AN5" s="83"/>
      <c r="AO5" s="85">
        <v>43920.064351851855</v>
      </c>
      <c r="AP5" s="88" t="str">
        <f>HYPERLINK("https://pbs.twimg.com/profile_banners/1244437301800787969/1600135845")</f>
        <v>https://pbs.twimg.com/profile_banners/1244437301800787969/1600135845</v>
      </c>
      <c r="AQ5" s="83" t="b">
        <v>1</v>
      </c>
      <c r="AR5" s="83" t="b">
        <v>0</v>
      </c>
      <c r="AS5" s="83" t="b">
        <v>0</v>
      </c>
      <c r="AT5" s="83"/>
      <c r="AU5" s="83">
        <v>1</v>
      </c>
      <c r="AV5" s="83"/>
      <c r="AW5" s="83" t="b">
        <v>0</v>
      </c>
      <c r="AX5" s="83" t="s">
        <v>2296</v>
      </c>
      <c r="AY5" s="88" t="str">
        <f>HYPERLINK("https://twitter.com/monashhealthlib")</f>
        <v>https://twitter.com/monashhealthlib</v>
      </c>
      <c r="AZ5" s="83" t="s">
        <v>66</v>
      </c>
      <c r="BA5" s="83" t="str">
        <f>REPLACE(INDEX(GroupVertices[Group],MATCH(Vertices[[#This Row],[Vertex]],GroupVertices[Vertex],0)),1,1,"")</f>
        <v>9</v>
      </c>
      <c r="BB5" s="49">
        <v>0</v>
      </c>
      <c r="BC5" s="50">
        <v>0</v>
      </c>
      <c r="BD5" s="49">
        <v>0</v>
      </c>
      <c r="BE5" s="50">
        <v>0</v>
      </c>
      <c r="BF5" s="49">
        <v>0</v>
      </c>
      <c r="BG5" s="50">
        <v>0</v>
      </c>
      <c r="BH5" s="49">
        <v>30</v>
      </c>
      <c r="BI5" s="50">
        <v>100</v>
      </c>
      <c r="BJ5" s="49">
        <v>30</v>
      </c>
      <c r="BK5" s="49" t="s">
        <v>4508</v>
      </c>
      <c r="BL5" s="49" t="s">
        <v>4508</v>
      </c>
      <c r="BM5" s="49" t="s">
        <v>529</v>
      </c>
      <c r="BN5" s="49" t="s">
        <v>529</v>
      </c>
      <c r="BO5" s="49" t="s">
        <v>4887</v>
      </c>
      <c r="BP5" s="49" t="s">
        <v>4887</v>
      </c>
      <c r="BQ5" s="119" t="s">
        <v>4975</v>
      </c>
      <c r="BR5" s="119" t="s">
        <v>4975</v>
      </c>
      <c r="BS5" s="119" t="s">
        <v>5110</v>
      </c>
      <c r="BT5" s="119" t="s">
        <v>5110</v>
      </c>
      <c r="BU5" s="2"/>
      <c r="BV5" s="3"/>
      <c r="BW5" s="3"/>
      <c r="BX5" s="3"/>
      <c r="BY5" s="3"/>
    </row>
    <row r="6" spans="1:77" ht="15">
      <c r="A6" s="68" t="s">
        <v>415</v>
      </c>
      <c r="B6" s="69"/>
      <c r="C6" s="69" t="s">
        <v>64</v>
      </c>
      <c r="D6" s="70">
        <v>813.2540647427816</v>
      </c>
      <c r="E6" s="72"/>
      <c r="F6" s="107" t="str">
        <f>HYPERLINK("http://pbs.twimg.com/profile_images/423471047/MarcusBorba_normal.jpg")</f>
        <v>http://pbs.twimg.com/profile_images/423471047/MarcusBorba_normal.jpg</v>
      </c>
      <c r="G6" s="69"/>
      <c r="H6" s="73" t="s">
        <v>415</v>
      </c>
      <c r="I6" s="74" t="s">
        <v>5212</v>
      </c>
      <c r="J6" s="74" t="s">
        <v>73</v>
      </c>
      <c r="K6" s="73" t="s">
        <v>2299</v>
      </c>
      <c r="L6" s="77">
        <v>2903.6451612903224</v>
      </c>
      <c r="M6" s="78">
        <v>8328.7783203125</v>
      </c>
      <c r="N6" s="78">
        <v>5817.435546875</v>
      </c>
      <c r="O6" s="79"/>
      <c r="P6" s="80"/>
      <c r="Q6" s="80"/>
      <c r="R6" s="93"/>
      <c r="S6" s="49">
        <v>9</v>
      </c>
      <c r="T6" s="49">
        <v>1</v>
      </c>
      <c r="U6" s="50">
        <v>836.274247</v>
      </c>
      <c r="V6" s="50">
        <v>0.00165</v>
      </c>
      <c r="W6" s="50">
        <v>0.000246</v>
      </c>
      <c r="X6" s="50">
        <v>1.800393</v>
      </c>
      <c r="Y6" s="50">
        <v>0.08928571428571429</v>
      </c>
      <c r="Z6" s="50">
        <v>0</v>
      </c>
      <c r="AA6" s="75">
        <v>6</v>
      </c>
      <c r="AB6" s="75"/>
      <c r="AC6" s="76"/>
      <c r="AD6" s="83" t="s">
        <v>1556</v>
      </c>
      <c r="AE6" s="91" t="s">
        <v>1760</v>
      </c>
      <c r="AF6" s="83">
        <v>3002</v>
      </c>
      <c r="AG6" s="83">
        <v>40116</v>
      </c>
      <c r="AH6" s="83">
        <v>34501</v>
      </c>
      <c r="AI6" s="83">
        <v>16505</v>
      </c>
      <c r="AJ6" s="83"/>
      <c r="AK6" s="83" t="s">
        <v>1972</v>
      </c>
      <c r="AL6" s="83"/>
      <c r="AM6" s="88" t="str">
        <f>HYPERLINK("https://t.co/QWV2hmLlSY")</f>
        <v>https://t.co/QWV2hmLlSY</v>
      </c>
      <c r="AN6" s="83"/>
      <c r="AO6" s="85">
        <v>39794.147731481484</v>
      </c>
      <c r="AP6" s="88" t="str">
        <f>HYPERLINK("https://pbs.twimg.com/profile_banners/18068926/1442686907")</f>
        <v>https://pbs.twimg.com/profile_banners/18068926/1442686907</v>
      </c>
      <c r="AQ6" s="83" t="b">
        <v>1</v>
      </c>
      <c r="AR6" s="83" t="b">
        <v>0</v>
      </c>
      <c r="AS6" s="83" t="b">
        <v>0</v>
      </c>
      <c r="AT6" s="83"/>
      <c r="AU6" s="83">
        <v>2086</v>
      </c>
      <c r="AV6" s="88" t="str">
        <f>HYPERLINK("http://abs.twimg.com/images/themes/theme1/bg.png")</f>
        <v>http://abs.twimg.com/images/themes/theme1/bg.png</v>
      </c>
      <c r="AW6" s="83" t="b">
        <v>0</v>
      </c>
      <c r="AX6" s="83" t="s">
        <v>2296</v>
      </c>
      <c r="AY6" s="88" t="str">
        <f>HYPERLINK("https://twitter.com/marcusborba")</f>
        <v>https://twitter.com/marcusborba</v>
      </c>
      <c r="AZ6" s="83" t="s">
        <v>66</v>
      </c>
      <c r="BA6" s="83" t="str">
        <f>REPLACE(INDEX(GroupVertices[Group],MATCH(Vertices[[#This Row],[Vertex]],GroupVertices[Vertex],0)),1,1,"")</f>
        <v>9</v>
      </c>
      <c r="BB6" s="49">
        <v>0</v>
      </c>
      <c r="BC6" s="50">
        <v>0</v>
      </c>
      <c r="BD6" s="49">
        <v>0</v>
      </c>
      <c r="BE6" s="50">
        <v>0</v>
      </c>
      <c r="BF6" s="49">
        <v>0</v>
      </c>
      <c r="BG6" s="50">
        <v>0</v>
      </c>
      <c r="BH6" s="49">
        <v>57</v>
      </c>
      <c r="BI6" s="50">
        <v>100</v>
      </c>
      <c r="BJ6" s="49">
        <v>57</v>
      </c>
      <c r="BK6" s="49" t="s">
        <v>4808</v>
      </c>
      <c r="BL6" s="49" t="s">
        <v>4808</v>
      </c>
      <c r="BM6" s="49" t="s">
        <v>4849</v>
      </c>
      <c r="BN6" s="49" t="s">
        <v>4849</v>
      </c>
      <c r="BO6" s="49" t="s">
        <v>4888</v>
      </c>
      <c r="BP6" s="49" t="s">
        <v>4937</v>
      </c>
      <c r="BQ6" s="119" t="s">
        <v>4976</v>
      </c>
      <c r="BR6" s="119" t="s">
        <v>5068</v>
      </c>
      <c r="BS6" s="119" t="s">
        <v>5111</v>
      </c>
      <c r="BT6" s="119" t="s">
        <v>5186</v>
      </c>
      <c r="BU6" s="2"/>
      <c r="BV6" s="3"/>
      <c r="BW6" s="3"/>
      <c r="BX6" s="3"/>
      <c r="BY6" s="3"/>
    </row>
    <row r="7" spans="1:77" ht="15">
      <c r="A7" s="68" t="s">
        <v>227</v>
      </c>
      <c r="B7" s="69"/>
      <c r="C7" s="69" t="s">
        <v>46</v>
      </c>
      <c r="D7" s="70"/>
      <c r="E7" s="72"/>
      <c r="F7" s="107" t="str">
        <f>HYPERLINK("http://pbs.twimg.com/profile_images/1131855016766124032/vhasETOF_normal.jpg")</f>
        <v>http://pbs.twimg.com/profile_images/1131855016766124032/vhasETOF_normal.jpg</v>
      </c>
      <c r="G7" s="69"/>
      <c r="H7" s="73" t="s">
        <v>227</v>
      </c>
      <c r="I7" s="74" t="s">
        <v>5213</v>
      </c>
      <c r="J7" s="74" t="s">
        <v>73</v>
      </c>
      <c r="K7" s="73" t="s">
        <v>2300</v>
      </c>
      <c r="L7" s="77">
        <v>1</v>
      </c>
      <c r="M7" s="78">
        <v>6887.60791015625</v>
      </c>
      <c r="N7" s="78">
        <v>800.7271728515625</v>
      </c>
      <c r="O7" s="79"/>
      <c r="P7" s="80"/>
      <c r="Q7" s="80"/>
      <c r="R7" s="93"/>
      <c r="S7" s="49">
        <v>0</v>
      </c>
      <c r="T7" s="49">
        <v>1</v>
      </c>
      <c r="U7" s="50">
        <v>0</v>
      </c>
      <c r="V7" s="50">
        <v>0.000858</v>
      </c>
      <c r="W7" s="50">
        <v>0</v>
      </c>
      <c r="X7" s="50">
        <v>0.492996</v>
      </c>
      <c r="Y7" s="50">
        <v>0</v>
      </c>
      <c r="Z7" s="50">
        <v>0</v>
      </c>
      <c r="AA7" s="75">
        <v>7</v>
      </c>
      <c r="AB7" s="75"/>
      <c r="AC7" s="76"/>
      <c r="AD7" s="83" t="s">
        <v>1466</v>
      </c>
      <c r="AE7" s="91" t="s">
        <v>1761</v>
      </c>
      <c r="AF7" s="83">
        <v>0</v>
      </c>
      <c r="AG7" s="83">
        <v>10861</v>
      </c>
      <c r="AH7" s="83">
        <v>1052581</v>
      </c>
      <c r="AI7" s="83">
        <v>0</v>
      </c>
      <c r="AJ7" s="83"/>
      <c r="AK7" s="83" t="s">
        <v>1973</v>
      </c>
      <c r="AL7" s="83" t="s">
        <v>2168</v>
      </c>
      <c r="AM7" s="83"/>
      <c r="AN7" s="83"/>
      <c r="AO7" s="85">
        <v>43609.39423611111</v>
      </c>
      <c r="AP7" s="88" t="str">
        <f>HYPERLINK("https://pbs.twimg.com/profile_banners/1131854274223366144/1558718830")</f>
        <v>https://pbs.twimg.com/profile_banners/1131854274223366144/1558718830</v>
      </c>
      <c r="AQ7" s="83" t="b">
        <v>1</v>
      </c>
      <c r="AR7" s="83" t="b">
        <v>0</v>
      </c>
      <c r="AS7" s="83" t="b">
        <v>0</v>
      </c>
      <c r="AT7" s="83"/>
      <c r="AU7" s="83">
        <v>212</v>
      </c>
      <c r="AV7" s="83"/>
      <c r="AW7" s="83" t="b">
        <v>0</v>
      </c>
      <c r="AX7" s="83" t="s">
        <v>2296</v>
      </c>
      <c r="AY7" s="88" t="str">
        <f>HYPERLINK("https://twitter.com/cybersec_feeds")</f>
        <v>https://twitter.com/cybersec_feeds</v>
      </c>
      <c r="AZ7" s="83" t="s">
        <v>66</v>
      </c>
      <c r="BA7" s="83" t="str">
        <f>REPLACE(INDEX(GroupVertices[Group],MATCH(Vertices[[#This Row],[Vertex]],GroupVertices[Vertex],0)),1,1,"")</f>
        <v>8</v>
      </c>
      <c r="BB7" s="49">
        <v>0</v>
      </c>
      <c r="BC7" s="50">
        <v>0</v>
      </c>
      <c r="BD7" s="49">
        <v>0</v>
      </c>
      <c r="BE7" s="50">
        <v>0</v>
      </c>
      <c r="BF7" s="49">
        <v>0</v>
      </c>
      <c r="BG7" s="50">
        <v>0</v>
      </c>
      <c r="BH7" s="49">
        <v>26</v>
      </c>
      <c r="BI7" s="50">
        <v>100</v>
      </c>
      <c r="BJ7" s="49">
        <v>26</v>
      </c>
      <c r="BK7" s="49" t="s">
        <v>4504</v>
      </c>
      <c r="BL7" s="49" t="s">
        <v>4504</v>
      </c>
      <c r="BM7" s="49" t="s">
        <v>530</v>
      </c>
      <c r="BN7" s="49" t="s">
        <v>530</v>
      </c>
      <c r="BO7" s="49" t="s">
        <v>4889</v>
      </c>
      <c r="BP7" s="49" t="s">
        <v>4889</v>
      </c>
      <c r="BQ7" s="119" t="s">
        <v>4977</v>
      </c>
      <c r="BR7" s="119" t="s">
        <v>4977</v>
      </c>
      <c r="BS7" s="119" t="s">
        <v>5112</v>
      </c>
      <c r="BT7" s="119" t="s">
        <v>5112</v>
      </c>
      <c r="BU7" s="2"/>
      <c r="BV7" s="3"/>
      <c r="BW7" s="3"/>
      <c r="BX7" s="3"/>
      <c r="BY7" s="3"/>
    </row>
    <row r="8" spans="1:77" ht="15">
      <c r="A8" s="68" t="s">
        <v>427</v>
      </c>
      <c r="B8" s="69"/>
      <c r="C8" s="69" t="s">
        <v>64</v>
      </c>
      <c r="D8" s="70">
        <v>411.6270323713908</v>
      </c>
      <c r="E8" s="72"/>
      <c r="F8" s="107" t="str">
        <f>HYPERLINK("http://pbs.twimg.com/profile_images/982851565475082241/sV75X7aU_normal.jpg")</f>
        <v>http://pbs.twimg.com/profile_images/982851565475082241/sV75X7aU_normal.jpg</v>
      </c>
      <c r="G8" s="69"/>
      <c r="H8" s="73" t="s">
        <v>427</v>
      </c>
      <c r="I8" s="74" t="s">
        <v>5213</v>
      </c>
      <c r="J8" s="74" t="s">
        <v>73</v>
      </c>
      <c r="K8" s="73" t="s">
        <v>2301</v>
      </c>
      <c r="L8" s="77">
        <v>968.5483870967741</v>
      </c>
      <c r="M8" s="78">
        <v>6512.373046875</v>
      </c>
      <c r="N8" s="78">
        <v>1018.4127807617188</v>
      </c>
      <c r="O8" s="79"/>
      <c r="P8" s="80"/>
      <c r="Q8" s="80"/>
      <c r="R8" s="93"/>
      <c r="S8" s="49">
        <v>3</v>
      </c>
      <c r="T8" s="49">
        <v>1</v>
      </c>
      <c r="U8" s="50">
        <v>362</v>
      </c>
      <c r="V8" s="50">
        <v>0.001015</v>
      </c>
      <c r="W8" s="50">
        <v>1E-06</v>
      </c>
      <c r="X8" s="50">
        <v>1.210575</v>
      </c>
      <c r="Y8" s="50">
        <v>0</v>
      </c>
      <c r="Z8" s="50">
        <v>0</v>
      </c>
      <c r="AA8" s="75">
        <v>8</v>
      </c>
      <c r="AB8" s="75"/>
      <c r="AC8" s="76"/>
      <c r="AD8" s="83" t="s">
        <v>1557</v>
      </c>
      <c r="AE8" s="91" t="s">
        <v>1762</v>
      </c>
      <c r="AF8" s="83">
        <v>7632</v>
      </c>
      <c r="AG8" s="83">
        <v>8307</v>
      </c>
      <c r="AH8" s="83">
        <v>101131</v>
      </c>
      <c r="AI8" s="83">
        <v>71464</v>
      </c>
      <c r="AJ8" s="83"/>
      <c r="AK8" s="83" t="s">
        <v>1974</v>
      </c>
      <c r="AL8" s="83" t="s">
        <v>2169</v>
      </c>
      <c r="AM8" s="88" t="str">
        <f>HYPERLINK("https://t.co/LZXT3JGo0m")</f>
        <v>https://t.co/LZXT3JGo0m</v>
      </c>
      <c r="AN8" s="83"/>
      <c r="AO8" s="85">
        <v>42773.05459490741</v>
      </c>
      <c r="AP8" s="88" t="str">
        <f>HYPERLINK("https://pbs.twimg.com/profile_banners/828774937640841216/1542481113")</f>
        <v>https://pbs.twimg.com/profile_banners/828774937640841216/1542481113</v>
      </c>
      <c r="AQ8" s="83" t="b">
        <v>1</v>
      </c>
      <c r="AR8" s="83" t="b">
        <v>0</v>
      </c>
      <c r="AS8" s="83" t="b">
        <v>1</v>
      </c>
      <c r="AT8" s="83"/>
      <c r="AU8" s="83">
        <v>122</v>
      </c>
      <c r="AV8" s="83"/>
      <c r="AW8" s="83" t="b">
        <v>0</v>
      </c>
      <c r="AX8" s="83" t="s">
        <v>2296</v>
      </c>
      <c r="AY8" s="88" t="str">
        <f>HYPERLINK("https://twitter.com/cdwgwagov")</f>
        <v>https://twitter.com/cdwgwagov</v>
      </c>
      <c r="AZ8" s="83" t="s">
        <v>66</v>
      </c>
      <c r="BA8" s="83" t="str">
        <f>REPLACE(INDEX(GroupVertices[Group],MATCH(Vertices[[#This Row],[Vertex]],GroupVertices[Vertex],0)),1,1,"")</f>
        <v>8</v>
      </c>
      <c r="BB8" s="49">
        <v>0</v>
      </c>
      <c r="BC8" s="50">
        <v>0</v>
      </c>
      <c r="BD8" s="49">
        <v>0</v>
      </c>
      <c r="BE8" s="50">
        <v>0</v>
      </c>
      <c r="BF8" s="49">
        <v>0</v>
      </c>
      <c r="BG8" s="50">
        <v>0</v>
      </c>
      <c r="BH8" s="49">
        <v>44</v>
      </c>
      <c r="BI8" s="50">
        <v>100</v>
      </c>
      <c r="BJ8" s="49">
        <v>44</v>
      </c>
      <c r="BK8" s="49" t="s">
        <v>4809</v>
      </c>
      <c r="BL8" s="49" t="s">
        <v>4809</v>
      </c>
      <c r="BM8" s="49" t="s">
        <v>530</v>
      </c>
      <c r="BN8" s="49" t="s">
        <v>530</v>
      </c>
      <c r="BO8" s="49" t="s">
        <v>4890</v>
      </c>
      <c r="BP8" s="49" t="s">
        <v>4938</v>
      </c>
      <c r="BQ8" s="119" t="s">
        <v>4978</v>
      </c>
      <c r="BR8" s="119" t="s">
        <v>5069</v>
      </c>
      <c r="BS8" s="119" t="s">
        <v>5113</v>
      </c>
      <c r="BT8" s="119" t="s">
        <v>5187</v>
      </c>
      <c r="BU8" s="2"/>
      <c r="BV8" s="3"/>
      <c r="BW8" s="3"/>
      <c r="BX8" s="3"/>
      <c r="BY8" s="3"/>
    </row>
    <row r="9" spans="1:77" ht="15">
      <c r="A9" s="68" t="s">
        <v>228</v>
      </c>
      <c r="B9" s="69"/>
      <c r="C9" s="69" t="s">
        <v>46</v>
      </c>
      <c r="D9" s="70"/>
      <c r="E9" s="72"/>
      <c r="F9" s="107" t="str">
        <f>HYPERLINK("http://abs.twimg.com/sticky/default_profile_images/default_profile_normal.png")</f>
        <v>http://abs.twimg.com/sticky/default_profile_images/default_profile_normal.png</v>
      </c>
      <c r="G9" s="69"/>
      <c r="H9" s="73" t="s">
        <v>228</v>
      </c>
      <c r="I9" s="74" t="s">
        <v>5214</v>
      </c>
      <c r="J9" s="74" t="s">
        <v>73</v>
      </c>
      <c r="K9" s="73" t="s">
        <v>2302</v>
      </c>
      <c r="L9" s="77">
        <v>1</v>
      </c>
      <c r="M9" s="78">
        <v>6587.63037109375</v>
      </c>
      <c r="N9" s="78">
        <v>6075.28857421875</v>
      </c>
      <c r="O9" s="79"/>
      <c r="P9" s="80"/>
      <c r="Q9" s="80"/>
      <c r="R9" s="93"/>
      <c r="S9" s="49">
        <v>0</v>
      </c>
      <c r="T9" s="49">
        <v>1</v>
      </c>
      <c r="U9" s="50">
        <v>0</v>
      </c>
      <c r="V9" s="50">
        <v>0.001088</v>
      </c>
      <c r="W9" s="50">
        <v>4E-06</v>
      </c>
      <c r="X9" s="50">
        <v>0.421574</v>
      </c>
      <c r="Y9" s="50">
        <v>0</v>
      </c>
      <c r="Z9" s="50">
        <v>0</v>
      </c>
      <c r="AA9" s="75">
        <v>9</v>
      </c>
      <c r="AB9" s="75"/>
      <c r="AC9" s="76"/>
      <c r="AD9" s="83" t="s">
        <v>1558</v>
      </c>
      <c r="AE9" s="91" t="s">
        <v>1763</v>
      </c>
      <c r="AF9" s="83">
        <v>433</v>
      </c>
      <c r="AG9" s="83">
        <v>264</v>
      </c>
      <c r="AH9" s="83">
        <v>17155</v>
      </c>
      <c r="AI9" s="83">
        <v>14565</v>
      </c>
      <c r="AJ9" s="83"/>
      <c r="AK9" s="83"/>
      <c r="AL9" s="83" t="s">
        <v>2170</v>
      </c>
      <c r="AM9" s="83"/>
      <c r="AN9" s="83"/>
      <c r="AO9" s="85">
        <v>41188.9474537037</v>
      </c>
      <c r="AP9" s="83"/>
      <c r="AQ9" s="83" t="b">
        <v>1</v>
      </c>
      <c r="AR9" s="83" t="b">
        <v>1</v>
      </c>
      <c r="AS9" s="83" t="b">
        <v>1</v>
      </c>
      <c r="AT9" s="83"/>
      <c r="AU9" s="83">
        <v>2</v>
      </c>
      <c r="AV9" s="88" t="str">
        <f>HYPERLINK("http://abs.twimg.com/images/themes/theme1/bg.png")</f>
        <v>http://abs.twimg.com/images/themes/theme1/bg.png</v>
      </c>
      <c r="AW9" s="83" t="b">
        <v>0</v>
      </c>
      <c r="AX9" s="83" t="s">
        <v>2296</v>
      </c>
      <c r="AY9" s="88" t="str">
        <f>HYPERLINK("https://twitter.com/wattsdominic")</f>
        <v>https://twitter.com/wattsdominic</v>
      </c>
      <c r="AZ9" s="83" t="s">
        <v>66</v>
      </c>
      <c r="BA9" s="83" t="str">
        <f>REPLACE(INDEX(GroupVertices[Group],MATCH(Vertices[[#This Row],[Vertex]],GroupVertices[Vertex],0)),1,1,"")</f>
        <v>7</v>
      </c>
      <c r="BB9" s="49">
        <v>0</v>
      </c>
      <c r="BC9" s="50">
        <v>0</v>
      </c>
      <c r="BD9" s="49">
        <v>0</v>
      </c>
      <c r="BE9" s="50">
        <v>0</v>
      </c>
      <c r="BF9" s="49">
        <v>0</v>
      </c>
      <c r="BG9" s="50">
        <v>0</v>
      </c>
      <c r="BH9" s="49">
        <v>13</v>
      </c>
      <c r="BI9" s="50">
        <v>100</v>
      </c>
      <c r="BJ9" s="49">
        <v>13</v>
      </c>
      <c r="BK9" s="49"/>
      <c r="BL9" s="49"/>
      <c r="BM9" s="49"/>
      <c r="BN9" s="49"/>
      <c r="BO9" s="49" t="s">
        <v>566</v>
      </c>
      <c r="BP9" s="49" t="s">
        <v>566</v>
      </c>
      <c r="BQ9" s="119" t="s">
        <v>4979</v>
      </c>
      <c r="BR9" s="119" t="s">
        <v>4979</v>
      </c>
      <c r="BS9" s="119" t="s">
        <v>5114</v>
      </c>
      <c r="BT9" s="119" t="s">
        <v>5114</v>
      </c>
      <c r="BU9" s="2"/>
      <c r="BV9" s="3"/>
      <c r="BW9" s="3"/>
      <c r="BX9" s="3"/>
      <c r="BY9" s="3"/>
    </row>
    <row r="10" spans="1:77" ht="15">
      <c r="A10" s="68" t="s">
        <v>426</v>
      </c>
      <c r="B10" s="69"/>
      <c r="C10" s="69" t="s">
        <v>64</v>
      </c>
      <c r="D10" s="70">
        <v>516.7968891234348</v>
      </c>
      <c r="E10" s="72"/>
      <c r="F10" s="107" t="str">
        <f>HYPERLINK("http://pbs.twimg.com/profile_images/1545530434/bbimage_1316169585475_normal.jpg")</f>
        <v>http://pbs.twimg.com/profile_images/1545530434/bbimage_1316169585475_normal.jpg</v>
      </c>
      <c r="G10" s="69"/>
      <c r="H10" s="73" t="s">
        <v>426</v>
      </c>
      <c r="I10" s="74" t="s">
        <v>5214</v>
      </c>
      <c r="J10" s="74" t="s">
        <v>73</v>
      </c>
      <c r="K10" s="73" t="s">
        <v>2303</v>
      </c>
      <c r="L10" s="77">
        <v>1291.0645161290322</v>
      </c>
      <c r="M10" s="78">
        <v>6024.41552734375</v>
      </c>
      <c r="N10" s="78">
        <v>5779.6748046875</v>
      </c>
      <c r="O10" s="79"/>
      <c r="P10" s="80"/>
      <c r="Q10" s="80"/>
      <c r="R10" s="93"/>
      <c r="S10" s="49">
        <v>4</v>
      </c>
      <c r="T10" s="49">
        <v>1</v>
      </c>
      <c r="U10" s="50">
        <v>378.758291</v>
      </c>
      <c r="V10" s="50">
        <v>0.001355</v>
      </c>
      <c r="W10" s="50">
        <v>5.9E-05</v>
      </c>
      <c r="X10" s="50">
        <v>1.277997</v>
      </c>
      <c r="Y10" s="50">
        <v>0</v>
      </c>
      <c r="Z10" s="50">
        <v>0</v>
      </c>
      <c r="AA10" s="75">
        <v>10</v>
      </c>
      <c r="AB10" s="75"/>
      <c r="AC10" s="76"/>
      <c r="AD10" s="83" t="s">
        <v>1559</v>
      </c>
      <c r="AE10" s="91" t="s">
        <v>1764</v>
      </c>
      <c r="AF10" s="83">
        <v>131</v>
      </c>
      <c r="AG10" s="83">
        <v>20</v>
      </c>
      <c r="AH10" s="83">
        <v>507</v>
      </c>
      <c r="AI10" s="83">
        <v>427</v>
      </c>
      <c r="AJ10" s="83"/>
      <c r="AK10" s="83" t="s">
        <v>1975</v>
      </c>
      <c r="AL10" s="83" t="s">
        <v>2171</v>
      </c>
      <c r="AM10" s="88" t="str">
        <f>HYPERLINK("https://t.co/HhX7cW0QAO")</f>
        <v>https://t.co/HhX7cW0QAO</v>
      </c>
      <c r="AN10" s="83"/>
      <c r="AO10" s="85">
        <v>40505.409212962964</v>
      </c>
      <c r="AP10" s="83"/>
      <c r="AQ10" s="83" t="b">
        <v>0</v>
      </c>
      <c r="AR10" s="83" t="b">
        <v>0</v>
      </c>
      <c r="AS10" s="83" t="b">
        <v>0</v>
      </c>
      <c r="AT10" s="83"/>
      <c r="AU10" s="83">
        <v>1</v>
      </c>
      <c r="AV10" s="88" t="str">
        <f>HYPERLINK("http://abs.twimg.com/images/themes/theme2/bg.gif")</f>
        <v>http://abs.twimg.com/images/themes/theme2/bg.gif</v>
      </c>
      <c r="AW10" s="83" t="b">
        <v>0</v>
      </c>
      <c r="AX10" s="83" t="s">
        <v>2296</v>
      </c>
      <c r="AY10" s="88" t="str">
        <f>HYPERLINK("https://twitter.com/ushills_couk")</f>
        <v>https://twitter.com/ushills_couk</v>
      </c>
      <c r="AZ10" s="83" t="s">
        <v>66</v>
      </c>
      <c r="BA10" s="83" t="str">
        <f>REPLACE(INDEX(GroupVertices[Group],MATCH(Vertices[[#This Row],[Vertex]],GroupVertices[Vertex],0)),1,1,"")</f>
        <v>7</v>
      </c>
      <c r="BB10" s="49">
        <v>0</v>
      </c>
      <c r="BC10" s="50">
        <v>0</v>
      </c>
      <c r="BD10" s="49">
        <v>0</v>
      </c>
      <c r="BE10" s="50">
        <v>0</v>
      </c>
      <c r="BF10" s="49">
        <v>0</v>
      </c>
      <c r="BG10" s="50">
        <v>0</v>
      </c>
      <c r="BH10" s="49">
        <v>156</v>
      </c>
      <c r="BI10" s="50">
        <v>100</v>
      </c>
      <c r="BJ10" s="49">
        <v>156</v>
      </c>
      <c r="BK10" s="49"/>
      <c r="BL10" s="49"/>
      <c r="BM10" s="49"/>
      <c r="BN10" s="49"/>
      <c r="BO10" s="49" t="s">
        <v>566</v>
      </c>
      <c r="BP10" s="49" t="s">
        <v>566</v>
      </c>
      <c r="BQ10" s="119" t="s">
        <v>4980</v>
      </c>
      <c r="BR10" s="119" t="s">
        <v>5070</v>
      </c>
      <c r="BS10" s="119" t="s">
        <v>5115</v>
      </c>
      <c r="BT10" s="119" t="s">
        <v>5188</v>
      </c>
      <c r="BU10" s="2"/>
      <c r="BV10" s="3"/>
      <c r="BW10" s="3"/>
      <c r="BX10" s="3"/>
      <c r="BY10" s="3"/>
    </row>
    <row r="11" spans="1:77" ht="15">
      <c r="A11" s="68" t="s">
        <v>229</v>
      </c>
      <c r="B11" s="69"/>
      <c r="C11" s="69" t="s">
        <v>46</v>
      </c>
      <c r="D11" s="70"/>
      <c r="E11" s="72"/>
      <c r="F11" s="107" t="str">
        <f>HYPERLINK("http://pbs.twimg.com/profile_images/813589438420774912/x4EnCPvU_normal.jpg")</f>
        <v>http://pbs.twimg.com/profile_images/813589438420774912/x4EnCPvU_normal.jpg</v>
      </c>
      <c r="G11" s="69"/>
      <c r="H11" s="73" t="s">
        <v>229</v>
      </c>
      <c r="I11" s="74" t="s">
        <v>5215</v>
      </c>
      <c r="J11" s="74" t="s">
        <v>73</v>
      </c>
      <c r="K11" s="73" t="s">
        <v>2304</v>
      </c>
      <c r="L11" s="77">
        <v>1</v>
      </c>
      <c r="M11" s="78">
        <v>9556.8857421875</v>
      </c>
      <c r="N11" s="78">
        <v>6299.818359375</v>
      </c>
      <c r="O11" s="79"/>
      <c r="P11" s="80"/>
      <c r="Q11" s="80"/>
      <c r="R11" s="93"/>
      <c r="S11" s="49">
        <v>0</v>
      </c>
      <c r="T11" s="49">
        <v>1</v>
      </c>
      <c r="U11" s="50">
        <v>0</v>
      </c>
      <c r="V11" s="50">
        <v>0.001321</v>
      </c>
      <c r="W11" s="50">
        <v>0.000171</v>
      </c>
      <c r="X11" s="50">
        <v>0.327626</v>
      </c>
      <c r="Y11" s="50">
        <v>0</v>
      </c>
      <c r="Z11" s="50">
        <v>0</v>
      </c>
      <c r="AA11" s="75">
        <v>11</v>
      </c>
      <c r="AB11" s="75"/>
      <c r="AC11" s="76"/>
      <c r="AD11" s="83" t="s">
        <v>1560</v>
      </c>
      <c r="AE11" s="91" t="s">
        <v>1765</v>
      </c>
      <c r="AF11" s="83">
        <v>678</v>
      </c>
      <c r="AG11" s="83">
        <v>141</v>
      </c>
      <c r="AH11" s="83">
        <v>10888</v>
      </c>
      <c r="AI11" s="83">
        <v>2573</v>
      </c>
      <c r="AJ11" s="83"/>
      <c r="AK11" s="83" t="s">
        <v>1976</v>
      </c>
      <c r="AL11" s="83" t="s">
        <v>2172</v>
      </c>
      <c r="AM11" s="83"/>
      <c r="AN11" s="83"/>
      <c r="AO11" s="85">
        <v>42602.02715277778</v>
      </c>
      <c r="AP11" s="88" t="str">
        <f>HYPERLINK("https://pbs.twimg.com/profile_banners/766796667957891076/1507884892")</f>
        <v>https://pbs.twimg.com/profile_banners/766796667957891076/1507884892</v>
      </c>
      <c r="AQ11" s="83" t="b">
        <v>1</v>
      </c>
      <c r="AR11" s="83" t="b">
        <v>0</v>
      </c>
      <c r="AS11" s="83" t="b">
        <v>0</v>
      </c>
      <c r="AT11" s="83"/>
      <c r="AU11" s="83">
        <v>2</v>
      </c>
      <c r="AV11" s="83"/>
      <c r="AW11" s="83" t="b">
        <v>0</v>
      </c>
      <c r="AX11" s="83" t="s">
        <v>2296</v>
      </c>
      <c r="AY11" s="88" t="str">
        <f>HYPERLINK("https://twitter.com/maignanamurthy")</f>
        <v>https://twitter.com/maignanamurthy</v>
      </c>
      <c r="AZ11" s="83" t="s">
        <v>66</v>
      </c>
      <c r="BA11" s="83" t="str">
        <f>REPLACE(INDEX(GroupVertices[Group],MATCH(Vertices[[#This Row],[Vertex]],GroupVertices[Vertex],0)),1,1,"")</f>
        <v>5</v>
      </c>
      <c r="BB11" s="49">
        <v>0</v>
      </c>
      <c r="BC11" s="50">
        <v>0</v>
      </c>
      <c r="BD11" s="49">
        <v>0</v>
      </c>
      <c r="BE11" s="50">
        <v>0</v>
      </c>
      <c r="BF11" s="49">
        <v>0</v>
      </c>
      <c r="BG11" s="50">
        <v>0</v>
      </c>
      <c r="BH11" s="49">
        <v>31</v>
      </c>
      <c r="BI11" s="50">
        <v>100</v>
      </c>
      <c r="BJ11" s="49">
        <v>31</v>
      </c>
      <c r="BK11" s="49" t="s">
        <v>4483</v>
      </c>
      <c r="BL11" s="49" t="s">
        <v>4483</v>
      </c>
      <c r="BM11" s="49" t="s">
        <v>531</v>
      </c>
      <c r="BN11" s="49" t="s">
        <v>531</v>
      </c>
      <c r="BO11" s="49" t="s">
        <v>4891</v>
      </c>
      <c r="BP11" s="49" t="s">
        <v>4891</v>
      </c>
      <c r="BQ11" s="119" t="s">
        <v>4981</v>
      </c>
      <c r="BR11" s="119" t="s">
        <v>4981</v>
      </c>
      <c r="BS11" s="119" t="s">
        <v>5116</v>
      </c>
      <c r="BT11" s="119" t="s">
        <v>5116</v>
      </c>
      <c r="BU11" s="2"/>
      <c r="BV11" s="3"/>
      <c r="BW11" s="3"/>
      <c r="BX11" s="3"/>
      <c r="BY11" s="3"/>
    </row>
    <row r="12" spans="1:77" ht="15">
      <c r="A12" s="68" t="s">
        <v>404</v>
      </c>
      <c r="B12" s="69"/>
      <c r="C12" s="69" t="s">
        <v>64</v>
      </c>
      <c r="D12" s="70">
        <v>598.3729676286092</v>
      </c>
      <c r="E12" s="72"/>
      <c r="F12" s="107" t="str">
        <f>HYPERLINK("http://pbs.twimg.com/profile_images/1305679694491054080/1bdbA30j_normal.jpg")</f>
        <v>http://pbs.twimg.com/profile_images/1305679694491054080/1bdbA30j_normal.jpg</v>
      </c>
      <c r="G12" s="69"/>
      <c r="H12" s="73" t="s">
        <v>404</v>
      </c>
      <c r="I12" s="74" t="s">
        <v>5215</v>
      </c>
      <c r="J12" s="74" t="s">
        <v>73</v>
      </c>
      <c r="K12" s="73" t="s">
        <v>2305</v>
      </c>
      <c r="L12" s="77">
        <v>1613.5806451612902</v>
      </c>
      <c r="M12" s="78">
        <v>9286.05078125</v>
      </c>
      <c r="N12" s="78">
        <v>6949.990234375</v>
      </c>
      <c r="O12" s="79"/>
      <c r="P12" s="80"/>
      <c r="Q12" s="80"/>
      <c r="R12" s="93"/>
      <c r="S12" s="49">
        <v>5</v>
      </c>
      <c r="T12" s="49">
        <v>1</v>
      </c>
      <c r="U12" s="50">
        <v>588.729136</v>
      </c>
      <c r="V12" s="50">
        <v>0.001736</v>
      </c>
      <c r="W12" s="50">
        <v>0.002605</v>
      </c>
      <c r="X12" s="50">
        <v>1.044857</v>
      </c>
      <c r="Y12" s="50">
        <v>0</v>
      </c>
      <c r="Z12" s="50">
        <v>0</v>
      </c>
      <c r="AA12" s="75">
        <v>12</v>
      </c>
      <c r="AB12" s="75"/>
      <c r="AC12" s="76"/>
      <c r="AD12" s="83" t="s">
        <v>1561</v>
      </c>
      <c r="AE12" s="91" t="s">
        <v>1766</v>
      </c>
      <c r="AF12" s="83">
        <v>27178</v>
      </c>
      <c r="AG12" s="83">
        <v>96973</v>
      </c>
      <c r="AH12" s="83">
        <v>57767</v>
      </c>
      <c r="AI12" s="83">
        <v>9</v>
      </c>
      <c r="AJ12" s="83"/>
      <c r="AK12" s="83" t="s">
        <v>1977</v>
      </c>
      <c r="AL12" s="83" t="s">
        <v>2173</v>
      </c>
      <c r="AM12" s="88" t="str">
        <f>HYPERLINK("https://t.co/eYyaJsEcfw")</f>
        <v>https://t.co/eYyaJsEcfw</v>
      </c>
      <c r="AN12" s="83"/>
      <c r="AO12" s="85">
        <v>42325.09663194444</v>
      </c>
      <c r="AP12" s="88" t="str">
        <f>HYPERLINK("https://pbs.twimg.com/profile_banners/4263007693/1599491057")</f>
        <v>https://pbs.twimg.com/profile_banners/4263007693/1599491057</v>
      </c>
      <c r="AQ12" s="83" t="b">
        <v>0</v>
      </c>
      <c r="AR12" s="83" t="b">
        <v>0</v>
      </c>
      <c r="AS12" s="83" t="b">
        <v>1</v>
      </c>
      <c r="AT12" s="83"/>
      <c r="AU12" s="83">
        <v>3463</v>
      </c>
      <c r="AV12" s="88" t="str">
        <f>HYPERLINK("http://abs.twimg.com/images/themes/theme1/bg.png")</f>
        <v>http://abs.twimg.com/images/themes/theme1/bg.png</v>
      </c>
      <c r="AW12" s="83" t="b">
        <v>0</v>
      </c>
      <c r="AX12" s="83" t="s">
        <v>2296</v>
      </c>
      <c r="AY12" s="88" t="str">
        <f>HYPERLINK("https://twitter.com/gp_pulipaka")</f>
        <v>https://twitter.com/gp_pulipaka</v>
      </c>
      <c r="AZ12" s="83" t="s">
        <v>66</v>
      </c>
      <c r="BA12" s="83" t="str">
        <f>REPLACE(INDEX(GroupVertices[Group],MATCH(Vertices[[#This Row],[Vertex]],GroupVertices[Vertex],0)),1,1,"")</f>
        <v>5</v>
      </c>
      <c r="BB12" s="49">
        <v>0</v>
      </c>
      <c r="BC12" s="50">
        <v>0</v>
      </c>
      <c r="BD12" s="49">
        <v>0</v>
      </c>
      <c r="BE12" s="50">
        <v>0</v>
      </c>
      <c r="BF12" s="49">
        <v>0</v>
      </c>
      <c r="BG12" s="50">
        <v>0</v>
      </c>
      <c r="BH12" s="49">
        <v>31</v>
      </c>
      <c r="BI12" s="50">
        <v>100</v>
      </c>
      <c r="BJ12" s="49">
        <v>31</v>
      </c>
      <c r="BK12" s="49" t="s">
        <v>4483</v>
      </c>
      <c r="BL12" s="49" t="s">
        <v>4483</v>
      </c>
      <c r="BM12" s="49" t="s">
        <v>531</v>
      </c>
      <c r="BN12" s="49" t="s">
        <v>531</v>
      </c>
      <c r="BO12" s="49" t="s">
        <v>4891</v>
      </c>
      <c r="BP12" s="49" t="s">
        <v>4891</v>
      </c>
      <c r="BQ12" s="119" t="s">
        <v>4981</v>
      </c>
      <c r="BR12" s="119" t="s">
        <v>4981</v>
      </c>
      <c r="BS12" s="119" t="s">
        <v>5116</v>
      </c>
      <c r="BT12" s="119" t="s">
        <v>5116</v>
      </c>
      <c r="BU12" s="2"/>
      <c r="BV12" s="3"/>
      <c r="BW12" s="3"/>
      <c r="BX12" s="3"/>
      <c r="BY12" s="3"/>
    </row>
    <row r="13" spans="1:77" ht="15">
      <c r="A13" s="68" t="s">
        <v>230</v>
      </c>
      <c r="B13" s="69"/>
      <c r="C13" s="69" t="s">
        <v>46</v>
      </c>
      <c r="D13" s="70"/>
      <c r="E13" s="72"/>
      <c r="F13" s="107" t="str">
        <f>HYPERLINK("http://pbs.twimg.com/profile_images/950461318846472193/P4i90dFL_normal.jpg")</f>
        <v>http://pbs.twimg.com/profile_images/950461318846472193/P4i90dFL_normal.jpg</v>
      </c>
      <c r="G13" s="69"/>
      <c r="H13" s="73" t="s">
        <v>230</v>
      </c>
      <c r="I13" s="74" t="s">
        <v>5216</v>
      </c>
      <c r="J13" s="74" t="s">
        <v>73</v>
      </c>
      <c r="K13" s="73" t="s">
        <v>2306</v>
      </c>
      <c r="L13" s="77">
        <v>1</v>
      </c>
      <c r="M13" s="78">
        <v>5605.8203125</v>
      </c>
      <c r="N13" s="78">
        <v>7036.9501953125</v>
      </c>
      <c r="O13" s="79"/>
      <c r="P13" s="80"/>
      <c r="Q13" s="80"/>
      <c r="R13" s="93"/>
      <c r="S13" s="49">
        <v>0</v>
      </c>
      <c r="T13" s="49">
        <v>9</v>
      </c>
      <c r="U13" s="50">
        <v>0.315789</v>
      </c>
      <c r="V13" s="50">
        <v>0.001209</v>
      </c>
      <c r="W13" s="50">
        <v>0.033625</v>
      </c>
      <c r="X13" s="50">
        <v>0.761245</v>
      </c>
      <c r="Y13" s="50">
        <v>0.6666666666666666</v>
      </c>
      <c r="Z13" s="50">
        <v>0</v>
      </c>
      <c r="AA13" s="75">
        <v>13</v>
      </c>
      <c r="AB13" s="75"/>
      <c r="AC13" s="76"/>
      <c r="AD13" s="83" t="s">
        <v>1562</v>
      </c>
      <c r="AE13" s="91" t="s">
        <v>1767</v>
      </c>
      <c r="AF13" s="83">
        <v>48</v>
      </c>
      <c r="AG13" s="83">
        <v>1506</v>
      </c>
      <c r="AH13" s="83">
        <v>113058</v>
      </c>
      <c r="AI13" s="83">
        <v>127</v>
      </c>
      <c r="AJ13" s="83"/>
      <c r="AK13" s="83" t="s">
        <v>1978</v>
      </c>
      <c r="AL13" s="83" t="s">
        <v>2174</v>
      </c>
      <c r="AM13" s="83"/>
      <c r="AN13" s="83"/>
      <c r="AO13" s="85">
        <v>43108.82848379629</v>
      </c>
      <c r="AP13" s="88" t="str">
        <f>HYPERLINK("https://pbs.twimg.com/profile_banners/950455321046208512/1515442975")</f>
        <v>https://pbs.twimg.com/profile_banners/950455321046208512/1515442975</v>
      </c>
      <c r="AQ13" s="83" t="b">
        <v>0</v>
      </c>
      <c r="AR13" s="83" t="b">
        <v>0</v>
      </c>
      <c r="AS13" s="83" t="b">
        <v>0</v>
      </c>
      <c r="AT13" s="83"/>
      <c r="AU13" s="83">
        <v>46</v>
      </c>
      <c r="AV13" s="88" t="str">
        <f>HYPERLINK("http://abs.twimg.com/images/themes/theme1/bg.png")</f>
        <v>http://abs.twimg.com/images/themes/theme1/bg.png</v>
      </c>
      <c r="AW13" s="83" t="b">
        <v>0</v>
      </c>
      <c r="AX13" s="83" t="s">
        <v>2296</v>
      </c>
      <c r="AY13" s="88" t="str">
        <f>HYPERLINK("https://twitter.com/technojeder")</f>
        <v>https://twitter.com/technojeder</v>
      </c>
      <c r="AZ13" s="83" t="s">
        <v>66</v>
      </c>
      <c r="BA13" s="83" t="str">
        <f>REPLACE(INDEX(GroupVertices[Group],MATCH(Vertices[[#This Row],[Vertex]],GroupVertices[Vertex],0)),1,1,"")</f>
        <v>4</v>
      </c>
      <c r="BB13" s="49">
        <v>0</v>
      </c>
      <c r="BC13" s="50">
        <v>0</v>
      </c>
      <c r="BD13" s="49">
        <v>0</v>
      </c>
      <c r="BE13" s="50">
        <v>0</v>
      </c>
      <c r="BF13" s="49">
        <v>0</v>
      </c>
      <c r="BG13" s="50">
        <v>0</v>
      </c>
      <c r="BH13" s="49">
        <v>28</v>
      </c>
      <c r="BI13" s="50">
        <v>100</v>
      </c>
      <c r="BJ13" s="49">
        <v>28</v>
      </c>
      <c r="BK13" s="49" t="s">
        <v>4456</v>
      </c>
      <c r="BL13" s="49" t="s">
        <v>4456</v>
      </c>
      <c r="BM13" s="49" t="s">
        <v>532</v>
      </c>
      <c r="BN13" s="49" t="s">
        <v>532</v>
      </c>
      <c r="BO13" s="49" t="s">
        <v>568</v>
      </c>
      <c r="BP13" s="49" t="s">
        <v>568</v>
      </c>
      <c r="BQ13" s="119" t="s">
        <v>4610</v>
      </c>
      <c r="BR13" s="119" t="s">
        <v>4610</v>
      </c>
      <c r="BS13" s="119" t="s">
        <v>4729</v>
      </c>
      <c r="BT13" s="119" t="s">
        <v>4729</v>
      </c>
      <c r="BU13" s="2"/>
      <c r="BV13" s="3"/>
      <c r="BW13" s="3"/>
      <c r="BX13" s="3"/>
      <c r="BY13" s="3"/>
    </row>
    <row r="14" spans="1:77" ht="15">
      <c r="A14" s="68" t="s">
        <v>382</v>
      </c>
      <c r="B14" s="69"/>
      <c r="C14" s="69" t="s">
        <v>64</v>
      </c>
      <c r="D14" s="70">
        <v>1000</v>
      </c>
      <c r="E14" s="72"/>
      <c r="F14" s="107" t="str">
        <f>HYPERLINK("http://pbs.twimg.com/profile_images/1257397689894961154/2RxBlaFw_normal.jpg")</f>
        <v>http://pbs.twimg.com/profile_images/1257397689894961154/2RxBlaFw_normal.jpg</v>
      </c>
      <c r="G14" s="69"/>
      <c r="H14" s="73" t="s">
        <v>382</v>
      </c>
      <c r="I14" s="74" t="s">
        <v>5216</v>
      </c>
      <c r="J14" s="74" t="s">
        <v>73</v>
      </c>
      <c r="K14" s="73" t="s">
        <v>2307</v>
      </c>
      <c r="L14" s="77">
        <v>5806.290322580645</v>
      </c>
      <c r="M14" s="78">
        <v>6512.20556640625</v>
      </c>
      <c r="N14" s="78">
        <v>7871.22216796875</v>
      </c>
      <c r="O14" s="79"/>
      <c r="P14" s="80"/>
      <c r="Q14" s="80"/>
      <c r="R14" s="93"/>
      <c r="S14" s="49">
        <v>18</v>
      </c>
      <c r="T14" s="49">
        <v>8</v>
      </c>
      <c r="U14" s="50">
        <v>446.982456</v>
      </c>
      <c r="V14" s="50">
        <v>0.001529</v>
      </c>
      <c r="W14" s="50">
        <v>0.058583</v>
      </c>
      <c r="X14" s="50">
        <v>1.67144</v>
      </c>
      <c r="Y14" s="50">
        <v>0.33095238095238094</v>
      </c>
      <c r="Z14" s="50">
        <v>0.23809523809523808</v>
      </c>
      <c r="AA14" s="75">
        <v>14</v>
      </c>
      <c r="AB14" s="75"/>
      <c r="AC14" s="76"/>
      <c r="AD14" s="83" t="s">
        <v>1563</v>
      </c>
      <c r="AE14" s="91" t="s">
        <v>1768</v>
      </c>
      <c r="AF14" s="83">
        <v>3908</v>
      </c>
      <c r="AG14" s="83">
        <v>28468</v>
      </c>
      <c r="AH14" s="83">
        <v>94986</v>
      </c>
      <c r="AI14" s="83">
        <v>202743</v>
      </c>
      <c r="AJ14" s="83"/>
      <c r="AK14" s="83" t="s">
        <v>1979</v>
      </c>
      <c r="AL14" s="83" t="s">
        <v>2175</v>
      </c>
      <c r="AM14" s="88" t="str">
        <f>HYPERLINK("https://t.co/e7QrbcUyrw")</f>
        <v>https://t.co/e7QrbcUyrw</v>
      </c>
      <c r="AN14" s="83"/>
      <c r="AO14" s="85">
        <v>42234.58146990741</v>
      </c>
      <c r="AP14" s="88" t="str">
        <f>HYPERLINK("https://pbs.twimg.com/profile_banners/3429955204/1584123341")</f>
        <v>https://pbs.twimg.com/profile_banners/3429955204/1584123341</v>
      </c>
      <c r="AQ14" s="83" t="b">
        <v>0</v>
      </c>
      <c r="AR14" s="83" t="b">
        <v>0</v>
      </c>
      <c r="AS14" s="83" t="b">
        <v>0</v>
      </c>
      <c r="AT14" s="83"/>
      <c r="AU14" s="83">
        <v>312</v>
      </c>
      <c r="AV14" s="88" t="str">
        <f>HYPERLINK("http://abs.twimg.com/images/themes/theme1/bg.png")</f>
        <v>http://abs.twimg.com/images/themes/theme1/bg.png</v>
      </c>
      <c r="AW14" s="83" t="b">
        <v>0</v>
      </c>
      <c r="AX14" s="83" t="s">
        <v>2296</v>
      </c>
      <c r="AY14" s="88" t="str">
        <f>HYPERLINK("https://twitter.com/drjdrooghaag")</f>
        <v>https://twitter.com/drjdrooghaag</v>
      </c>
      <c r="AZ14" s="83" t="s">
        <v>66</v>
      </c>
      <c r="BA14" s="83" t="str">
        <f>REPLACE(INDEX(GroupVertices[Group],MATCH(Vertices[[#This Row],[Vertex]],GroupVertices[Vertex],0)),1,1,"")</f>
        <v>4</v>
      </c>
      <c r="BB14" s="49">
        <v>0</v>
      </c>
      <c r="BC14" s="50">
        <v>0</v>
      </c>
      <c r="BD14" s="49">
        <v>0</v>
      </c>
      <c r="BE14" s="50">
        <v>0</v>
      </c>
      <c r="BF14" s="49">
        <v>0</v>
      </c>
      <c r="BG14" s="50">
        <v>0</v>
      </c>
      <c r="BH14" s="49">
        <v>28</v>
      </c>
      <c r="BI14" s="50">
        <v>100</v>
      </c>
      <c r="BJ14" s="49">
        <v>28</v>
      </c>
      <c r="BK14" s="49" t="s">
        <v>4456</v>
      </c>
      <c r="BL14" s="49" t="s">
        <v>4456</v>
      </c>
      <c r="BM14" s="49" t="s">
        <v>532</v>
      </c>
      <c r="BN14" s="49" t="s">
        <v>532</v>
      </c>
      <c r="BO14" s="49" t="s">
        <v>568</v>
      </c>
      <c r="BP14" s="49" t="s">
        <v>568</v>
      </c>
      <c r="BQ14" s="119" t="s">
        <v>4610</v>
      </c>
      <c r="BR14" s="119" t="s">
        <v>4610</v>
      </c>
      <c r="BS14" s="119" t="s">
        <v>4729</v>
      </c>
      <c r="BT14" s="119" t="s">
        <v>4729</v>
      </c>
      <c r="BU14" s="2"/>
      <c r="BV14" s="3"/>
      <c r="BW14" s="3"/>
      <c r="BX14" s="3"/>
      <c r="BY14" s="3"/>
    </row>
    <row r="15" spans="1:77" ht="15">
      <c r="A15" s="68" t="s">
        <v>385</v>
      </c>
      <c r="B15" s="69"/>
      <c r="C15" s="69" t="s">
        <v>64</v>
      </c>
      <c r="D15" s="70">
        <v>1000</v>
      </c>
      <c r="E15" s="72"/>
      <c r="F15" s="107" t="str">
        <f>HYPERLINK("http://pbs.twimg.com/profile_images/1216523863841886209/3fQWtYWu_normal.jpg")</f>
        <v>http://pbs.twimg.com/profile_images/1216523863841886209/3fQWtYWu_normal.jpg</v>
      </c>
      <c r="G15" s="69"/>
      <c r="H15" s="73" t="s">
        <v>385</v>
      </c>
      <c r="I15" s="74" t="s">
        <v>5216</v>
      </c>
      <c r="J15" s="74" t="s">
        <v>73</v>
      </c>
      <c r="K15" s="73" t="s">
        <v>2308</v>
      </c>
      <c r="L15" s="77">
        <v>5806.290322580645</v>
      </c>
      <c r="M15" s="78">
        <v>7102.2744140625</v>
      </c>
      <c r="N15" s="78">
        <v>8058.296875</v>
      </c>
      <c r="O15" s="79"/>
      <c r="P15" s="80"/>
      <c r="Q15" s="80"/>
      <c r="R15" s="93"/>
      <c r="S15" s="49">
        <v>18</v>
      </c>
      <c r="T15" s="49">
        <v>8</v>
      </c>
      <c r="U15" s="50">
        <v>446.982456</v>
      </c>
      <c r="V15" s="50">
        <v>0.001529</v>
      </c>
      <c r="W15" s="50">
        <v>0.058583</v>
      </c>
      <c r="X15" s="50">
        <v>1.67144</v>
      </c>
      <c r="Y15" s="50">
        <v>0.33095238095238094</v>
      </c>
      <c r="Z15" s="50">
        <v>0.23809523809523808</v>
      </c>
      <c r="AA15" s="75">
        <v>15</v>
      </c>
      <c r="AB15" s="75"/>
      <c r="AC15" s="76"/>
      <c r="AD15" s="83" t="s">
        <v>1564</v>
      </c>
      <c r="AE15" s="91" t="s">
        <v>1769</v>
      </c>
      <c r="AF15" s="83">
        <v>976</v>
      </c>
      <c r="AG15" s="83">
        <v>1172</v>
      </c>
      <c r="AH15" s="83">
        <v>3172</v>
      </c>
      <c r="AI15" s="83">
        <v>6611</v>
      </c>
      <c r="AJ15" s="83"/>
      <c r="AK15" s="83" t="s">
        <v>1980</v>
      </c>
      <c r="AL15" s="83" t="s">
        <v>2176</v>
      </c>
      <c r="AM15" s="88" t="str">
        <f>HYPERLINK("https://t.co/UXcOTnORFf")</f>
        <v>https://t.co/UXcOTnORFf</v>
      </c>
      <c r="AN15" s="83"/>
      <c r="AO15" s="85">
        <v>43067.87028935185</v>
      </c>
      <c r="AP15" s="88" t="str">
        <f>HYPERLINK("https://pbs.twimg.com/profile_banners/935612564523900928/1578867290")</f>
        <v>https://pbs.twimg.com/profile_banners/935612564523900928/1578867290</v>
      </c>
      <c r="AQ15" s="83" t="b">
        <v>1</v>
      </c>
      <c r="AR15" s="83" t="b">
        <v>0</v>
      </c>
      <c r="AS15" s="83" t="b">
        <v>0</v>
      </c>
      <c r="AT15" s="83"/>
      <c r="AU15" s="83">
        <v>20</v>
      </c>
      <c r="AV15" s="83"/>
      <c r="AW15" s="83" t="b">
        <v>0</v>
      </c>
      <c r="AX15" s="83" t="s">
        <v>2296</v>
      </c>
      <c r="AY15" s="88" t="str">
        <f>HYPERLINK("https://twitter.com/misstalent86")</f>
        <v>https://twitter.com/misstalent86</v>
      </c>
      <c r="AZ15" s="83" t="s">
        <v>66</v>
      </c>
      <c r="BA15" s="83" t="str">
        <f>REPLACE(INDEX(GroupVertices[Group],MATCH(Vertices[[#This Row],[Vertex]],GroupVertices[Vertex],0)),1,1,"")</f>
        <v>4</v>
      </c>
      <c r="BB15" s="49">
        <v>0</v>
      </c>
      <c r="BC15" s="50">
        <v>0</v>
      </c>
      <c r="BD15" s="49">
        <v>0</v>
      </c>
      <c r="BE15" s="50">
        <v>0</v>
      </c>
      <c r="BF15" s="49">
        <v>0</v>
      </c>
      <c r="BG15" s="50">
        <v>0</v>
      </c>
      <c r="BH15" s="49">
        <v>28</v>
      </c>
      <c r="BI15" s="50">
        <v>100</v>
      </c>
      <c r="BJ15" s="49">
        <v>28</v>
      </c>
      <c r="BK15" s="49" t="s">
        <v>4456</v>
      </c>
      <c r="BL15" s="49" t="s">
        <v>4456</v>
      </c>
      <c r="BM15" s="49" t="s">
        <v>532</v>
      </c>
      <c r="BN15" s="49" t="s">
        <v>532</v>
      </c>
      <c r="BO15" s="49" t="s">
        <v>568</v>
      </c>
      <c r="BP15" s="49" t="s">
        <v>568</v>
      </c>
      <c r="BQ15" s="119" t="s">
        <v>4610</v>
      </c>
      <c r="BR15" s="119" t="s">
        <v>4610</v>
      </c>
      <c r="BS15" s="119" t="s">
        <v>4729</v>
      </c>
      <c r="BT15" s="119" t="s">
        <v>4729</v>
      </c>
      <c r="BU15" s="2"/>
      <c r="BV15" s="3"/>
      <c r="BW15" s="3"/>
      <c r="BX15" s="3"/>
      <c r="BY15" s="3"/>
    </row>
    <row r="16" spans="1:77" ht="15">
      <c r="A16" s="68" t="s">
        <v>430</v>
      </c>
      <c r="B16" s="69"/>
      <c r="C16" s="69" t="s">
        <v>64</v>
      </c>
      <c r="D16" s="70">
        <v>1000</v>
      </c>
      <c r="E16" s="72"/>
      <c r="F16" s="107" t="str">
        <f>HYPERLINK("http://pbs.twimg.com/profile_images/1241769824398774272/k_BaGvWQ_normal.jpg")</f>
        <v>http://pbs.twimg.com/profile_images/1241769824398774272/k_BaGvWQ_normal.jpg</v>
      </c>
      <c r="G16" s="69"/>
      <c r="H16" s="73" t="s">
        <v>430</v>
      </c>
      <c r="I16" s="74" t="s">
        <v>5216</v>
      </c>
      <c r="J16" s="74" t="s">
        <v>75</v>
      </c>
      <c r="K16" s="73" t="s">
        <v>2309</v>
      </c>
      <c r="L16" s="77">
        <v>6128.806451612903</v>
      </c>
      <c r="M16" s="78">
        <v>6640.00146484375</v>
      </c>
      <c r="N16" s="78">
        <v>7321.81298828125</v>
      </c>
      <c r="O16" s="79"/>
      <c r="P16" s="80"/>
      <c r="Q16" s="80"/>
      <c r="R16" s="93"/>
      <c r="S16" s="49">
        <v>19</v>
      </c>
      <c r="T16" s="49">
        <v>0</v>
      </c>
      <c r="U16" s="50">
        <v>446.666667</v>
      </c>
      <c r="V16" s="50">
        <v>0.001524</v>
      </c>
      <c r="W16" s="50">
        <v>0.052153</v>
      </c>
      <c r="X16" s="50">
        <v>1.533308</v>
      </c>
      <c r="Y16" s="50">
        <v>0.3157894736842105</v>
      </c>
      <c r="Z16" s="50">
        <v>0</v>
      </c>
      <c r="AA16" s="75">
        <v>16</v>
      </c>
      <c r="AB16" s="75"/>
      <c r="AC16" s="76"/>
      <c r="AD16" s="83" t="s">
        <v>1565</v>
      </c>
      <c r="AE16" s="91" t="s">
        <v>1770</v>
      </c>
      <c r="AF16" s="83">
        <v>46543</v>
      </c>
      <c r="AG16" s="83">
        <v>62072</v>
      </c>
      <c r="AH16" s="83">
        <v>94794</v>
      </c>
      <c r="AI16" s="83">
        <v>238851</v>
      </c>
      <c r="AJ16" s="83"/>
      <c r="AK16" s="83" t="s">
        <v>1981</v>
      </c>
      <c r="AL16" s="83" t="s">
        <v>2177</v>
      </c>
      <c r="AM16" s="88" t="str">
        <f>HYPERLINK("https://t.co/EsPFMBdrDN")</f>
        <v>https://t.co/EsPFMBdrDN</v>
      </c>
      <c r="AN16" s="83"/>
      <c r="AO16" s="85">
        <v>40174.38006944444</v>
      </c>
      <c r="AP16" s="88" t="str">
        <f>HYPERLINK("https://pbs.twimg.com/profile_banners/99674560/1596467382")</f>
        <v>https://pbs.twimg.com/profile_banners/99674560/1596467382</v>
      </c>
      <c r="AQ16" s="83" t="b">
        <v>1</v>
      </c>
      <c r="AR16" s="83" t="b">
        <v>0</v>
      </c>
      <c r="AS16" s="83" t="b">
        <v>1</v>
      </c>
      <c r="AT16" s="83"/>
      <c r="AU16" s="83">
        <v>681</v>
      </c>
      <c r="AV16" s="88" t="str">
        <f>HYPERLINK("http://abs.twimg.com/images/themes/theme1/bg.png")</f>
        <v>http://abs.twimg.com/images/themes/theme1/bg.png</v>
      </c>
      <c r="AW16" s="83" t="b">
        <v>0</v>
      </c>
      <c r="AX16" s="83" t="s">
        <v>2296</v>
      </c>
      <c r="AY16" s="88" t="str">
        <f>HYPERLINK("https://twitter.com/mvollmer1")</f>
        <v>https://twitter.com/mvollmer1</v>
      </c>
      <c r="AZ16" s="83" t="s">
        <v>65</v>
      </c>
      <c r="BA16" s="83"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8" t="s">
        <v>383</v>
      </c>
      <c r="B17" s="69"/>
      <c r="C17" s="69" t="s">
        <v>64</v>
      </c>
      <c r="D17" s="70">
        <v>1000</v>
      </c>
      <c r="E17" s="72"/>
      <c r="F17" s="107" t="str">
        <f>HYPERLINK("http://pbs.twimg.com/profile_images/492962854979395584/Hd8rp_en_normal.jpeg")</f>
        <v>http://pbs.twimg.com/profile_images/492962854979395584/Hd8rp_en_normal.jpeg</v>
      </c>
      <c r="G17" s="69"/>
      <c r="H17" s="73" t="s">
        <v>383</v>
      </c>
      <c r="I17" s="74" t="s">
        <v>5216</v>
      </c>
      <c r="J17" s="74" t="s">
        <v>73</v>
      </c>
      <c r="K17" s="73" t="s">
        <v>2310</v>
      </c>
      <c r="L17" s="77">
        <v>5806.290322580645</v>
      </c>
      <c r="M17" s="78">
        <v>6575.31396484375</v>
      </c>
      <c r="N17" s="78">
        <v>8631.208984375</v>
      </c>
      <c r="O17" s="79"/>
      <c r="P17" s="80"/>
      <c r="Q17" s="80"/>
      <c r="R17" s="93"/>
      <c r="S17" s="49">
        <v>18</v>
      </c>
      <c r="T17" s="49">
        <v>8</v>
      </c>
      <c r="U17" s="50">
        <v>446.982456</v>
      </c>
      <c r="V17" s="50">
        <v>0.001529</v>
      </c>
      <c r="W17" s="50">
        <v>0.058583</v>
      </c>
      <c r="X17" s="50">
        <v>1.67144</v>
      </c>
      <c r="Y17" s="50">
        <v>0.33095238095238094</v>
      </c>
      <c r="Z17" s="50">
        <v>0.23809523809523808</v>
      </c>
      <c r="AA17" s="75">
        <v>17</v>
      </c>
      <c r="AB17" s="75"/>
      <c r="AC17" s="76"/>
      <c r="AD17" s="83" t="s">
        <v>1566</v>
      </c>
      <c r="AE17" s="91" t="s">
        <v>1771</v>
      </c>
      <c r="AF17" s="83">
        <v>28819</v>
      </c>
      <c r="AG17" s="83">
        <v>26266</v>
      </c>
      <c r="AH17" s="83">
        <v>27576</v>
      </c>
      <c r="AI17" s="83">
        <v>76255</v>
      </c>
      <c r="AJ17" s="83"/>
      <c r="AK17" s="83" t="s">
        <v>1982</v>
      </c>
      <c r="AL17" s="83" t="s">
        <v>2178</v>
      </c>
      <c r="AM17" s="88" t="str">
        <f>HYPERLINK("https://t.co/XPp8tCNctb")</f>
        <v>https://t.co/XPp8tCNctb</v>
      </c>
      <c r="AN17" s="83"/>
      <c r="AO17" s="85">
        <v>39861.73935185185</v>
      </c>
      <c r="AP17" s="88" t="str">
        <f>HYPERLINK("https://pbs.twimg.com/profile_banners/21110060/1354839152")</f>
        <v>https://pbs.twimg.com/profile_banners/21110060/1354839152</v>
      </c>
      <c r="AQ17" s="83" t="b">
        <v>0</v>
      </c>
      <c r="AR17" s="83" t="b">
        <v>0</v>
      </c>
      <c r="AS17" s="83" t="b">
        <v>1</v>
      </c>
      <c r="AT17" s="83"/>
      <c r="AU17" s="83">
        <v>1048</v>
      </c>
      <c r="AV17" s="88" t="str">
        <f>HYPERLINK("http://abs.twimg.com/images/themes/theme14/bg.gif")</f>
        <v>http://abs.twimg.com/images/themes/theme14/bg.gif</v>
      </c>
      <c r="AW17" s="83" t="b">
        <v>0</v>
      </c>
      <c r="AX17" s="83" t="s">
        <v>2296</v>
      </c>
      <c r="AY17" s="88" t="str">
        <f>HYPERLINK("https://twitter.com/kkruse")</f>
        <v>https://twitter.com/kkruse</v>
      </c>
      <c r="AZ17" s="83" t="s">
        <v>66</v>
      </c>
      <c r="BA17" s="83" t="str">
        <f>REPLACE(INDEX(GroupVertices[Group],MATCH(Vertices[[#This Row],[Vertex]],GroupVertices[Vertex],0)),1,1,"")</f>
        <v>4</v>
      </c>
      <c r="BB17" s="49">
        <v>0</v>
      </c>
      <c r="BC17" s="50">
        <v>0</v>
      </c>
      <c r="BD17" s="49">
        <v>0</v>
      </c>
      <c r="BE17" s="50">
        <v>0</v>
      </c>
      <c r="BF17" s="49">
        <v>0</v>
      </c>
      <c r="BG17" s="50">
        <v>0</v>
      </c>
      <c r="BH17" s="49">
        <v>28</v>
      </c>
      <c r="BI17" s="50">
        <v>100</v>
      </c>
      <c r="BJ17" s="49">
        <v>28</v>
      </c>
      <c r="BK17" s="49" t="s">
        <v>4456</v>
      </c>
      <c r="BL17" s="49" t="s">
        <v>4456</v>
      </c>
      <c r="BM17" s="49" t="s">
        <v>532</v>
      </c>
      <c r="BN17" s="49" t="s">
        <v>532</v>
      </c>
      <c r="BO17" s="49" t="s">
        <v>568</v>
      </c>
      <c r="BP17" s="49" t="s">
        <v>568</v>
      </c>
      <c r="BQ17" s="119" t="s">
        <v>4610</v>
      </c>
      <c r="BR17" s="119" t="s">
        <v>4610</v>
      </c>
      <c r="BS17" s="119" t="s">
        <v>4729</v>
      </c>
      <c r="BT17" s="119" t="s">
        <v>4729</v>
      </c>
      <c r="BU17" s="2"/>
      <c r="BV17" s="3"/>
      <c r="BW17" s="3"/>
      <c r="BX17" s="3"/>
      <c r="BY17" s="3"/>
    </row>
    <row r="18" spans="1:77" ht="15">
      <c r="A18" s="68" t="s">
        <v>380</v>
      </c>
      <c r="B18" s="69"/>
      <c r="C18" s="69" t="s">
        <v>64</v>
      </c>
      <c r="D18" s="70">
        <v>1000</v>
      </c>
      <c r="E18" s="72"/>
      <c r="F18" s="107" t="str">
        <f>HYPERLINK("http://pbs.twimg.com/profile_images/1215065442643054594/-GzKt_lS_normal.jpg")</f>
        <v>http://pbs.twimg.com/profile_images/1215065442643054594/-GzKt_lS_normal.jpg</v>
      </c>
      <c r="G18" s="69"/>
      <c r="H18" s="73" t="s">
        <v>380</v>
      </c>
      <c r="I18" s="74" t="s">
        <v>5216</v>
      </c>
      <c r="J18" s="74" t="s">
        <v>73</v>
      </c>
      <c r="K18" s="73" t="s">
        <v>2311</v>
      </c>
      <c r="L18" s="77">
        <v>5806.290322580645</v>
      </c>
      <c r="M18" s="78">
        <v>6284.19970703125</v>
      </c>
      <c r="N18" s="78">
        <v>8299.5654296875</v>
      </c>
      <c r="O18" s="79"/>
      <c r="P18" s="80"/>
      <c r="Q18" s="80"/>
      <c r="R18" s="93"/>
      <c r="S18" s="49">
        <v>18</v>
      </c>
      <c r="T18" s="49">
        <v>8</v>
      </c>
      <c r="U18" s="50">
        <v>446.982456</v>
      </c>
      <c r="V18" s="50">
        <v>0.001529</v>
      </c>
      <c r="W18" s="50">
        <v>0.058583</v>
      </c>
      <c r="X18" s="50">
        <v>1.67144</v>
      </c>
      <c r="Y18" s="50">
        <v>0.33095238095238094</v>
      </c>
      <c r="Z18" s="50">
        <v>0.23809523809523808</v>
      </c>
      <c r="AA18" s="75">
        <v>18</v>
      </c>
      <c r="AB18" s="75"/>
      <c r="AC18" s="76"/>
      <c r="AD18" s="83" t="s">
        <v>1567</v>
      </c>
      <c r="AE18" s="91" t="s">
        <v>1772</v>
      </c>
      <c r="AF18" s="83">
        <v>28965</v>
      </c>
      <c r="AG18" s="83">
        <v>34623</v>
      </c>
      <c r="AH18" s="83">
        <v>37327</v>
      </c>
      <c r="AI18" s="83">
        <v>97758</v>
      </c>
      <c r="AJ18" s="83"/>
      <c r="AK18" s="83" t="s">
        <v>1983</v>
      </c>
      <c r="AL18" s="83" t="s">
        <v>2179</v>
      </c>
      <c r="AM18" s="88" t="str">
        <f>HYPERLINK("https://t.co/pvONoxrP4j")</f>
        <v>https://t.co/pvONoxrP4j</v>
      </c>
      <c r="AN18" s="83"/>
      <c r="AO18" s="85">
        <v>42320.908483796295</v>
      </c>
      <c r="AP18" s="88" t="str">
        <f>HYPERLINK("https://pbs.twimg.com/profile_banners/4174252223/1582824559")</f>
        <v>https://pbs.twimg.com/profile_banners/4174252223/1582824559</v>
      </c>
      <c r="AQ18" s="83" t="b">
        <v>0</v>
      </c>
      <c r="AR18" s="83" t="b">
        <v>0</v>
      </c>
      <c r="AS18" s="83" t="b">
        <v>1</v>
      </c>
      <c r="AT18" s="83"/>
      <c r="AU18" s="83">
        <v>226</v>
      </c>
      <c r="AV18" s="88" t="str">
        <f>HYPERLINK("http://abs.twimg.com/images/themes/theme1/bg.png")</f>
        <v>http://abs.twimg.com/images/themes/theme1/bg.png</v>
      </c>
      <c r="AW18" s="83" t="b">
        <v>0</v>
      </c>
      <c r="AX18" s="83" t="s">
        <v>2296</v>
      </c>
      <c r="AY18" s="88" t="str">
        <f>HYPERLINK("https://twitter.com/jolaburnett")</f>
        <v>https://twitter.com/jolaburnett</v>
      </c>
      <c r="AZ18" s="83" t="s">
        <v>66</v>
      </c>
      <c r="BA18" s="83" t="str">
        <f>REPLACE(INDEX(GroupVertices[Group],MATCH(Vertices[[#This Row],[Vertex]],GroupVertices[Vertex],0)),1,1,"")</f>
        <v>4</v>
      </c>
      <c r="BB18" s="49">
        <v>0</v>
      </c>
      <c r="BC18" s="50">
        <v>0</v>
      </c>
      <c r="BD18" s="49">
        <v>0</v>
      </c>
      <c r="BE18" s="50">
        <v>0</v>
      </c>
      <c r="BF18" s="49">
        <v>0</v>
      </c>
      <c r="BG18" s="50">
        <v>0</v>
      </c>
      <c r="BH18" s="49">
        <v>28</v>
      </c>
      <c r="BI18" s="50">
        <v>100</v>
      </c>
      <c r="BJ18" s="49">
        <v>28</v>
      </c>
      <c r="BK18" s="49" t="s">
        <v>4456</v>
      </c>
      <c r="BL18" s="49" t="s">
        <v>4456</v>
      </c>
      <c r="BM18" s="49" t="s">
        <v>532</v>
      </c>
      <c r="BN18" s="49" t="s">
        <v>532</v>
      </c>
      <c r="BO18" s="49" t="s">
        <v>568</v>
      </c>
      <c r="BP18" s="49" t="s">
        <v>568</v>
      </c>
      <c r="BQ18" s="119" t="s">
        <v>4610</v>
      </c>
      <c r="BR18" s="119" t="s">
        <v>4610</v>
      </c>
      <c r="BS18" s="119" t="s">
        <v>4729</v>
      </c>
      <c r="BT18" s="119" t="s">
        <v>4729</v>
      </c>
      <c r="BU18" s="2"/>
      <c r="BV18" s="3"/>
      <c r="BW18" s="3"/>
      <c r="BX18" s="3"/>
      <c r="BY18" s="3"/>
    </row>
    <row r="19" spans="1:77" ht="15">
      <c r="A19" s="68" t="s">
        <v>381</v>
      </c>
      <c r="B19" s="69"/>
      <c r="C19" s="69" t="s">
        <v>64</v>
      </c>
      <c r="D19" s="70">
        <v>1000</v>
      </c>
      <c r="E19" s="72"/>
      <c r="F19" s="107" t="str">
        <f>HYPERLINK("http://pbs.twimg.com/profile_images/1213138429476843525/e6OVXEul_normal.jpg")</f>
        <v>http://pbs.twimg.com/profile_images/1213138429476843525/e6OVXEul_normal.jpg</v>
      </c>
      <c r="G19" s="69"/>
      <c r="H19" s="73" t="s">
        <v>381</v>
      </c>
      <c r="I19" s="74" t="s">
        <v>5216</v>
      </c>
      <c r="J19" s="74" t="s">
        <v>73</v>
      </c>
      <c r="K19" s="73" t="s">
        <v>2312</v>
      </c>
      <c r="L19" s="77">
        <v>5806.290322580645</v>
      </c>
      <c r="M19" s="78">
        <v>6918.13623046875</v>
      </c>
      <c r="N19" s="78">
        <v>7667.7724609375</v>
      </c>
      <c r="O19" s="79"/>
      <c r="P19" s="80"/>
      <c r="Q19" s="80"/>
      <c r="R19" s="93"/>
      <c r="S19" s="49">
        <v>18</v>
      </c>
      <c r="T19" s="49">
        <v>8</v>
      </c>
      <c r="U19" s="50">
        <v>446.982456</v>
      </c>
      <c r="V19" s="50">
        <v>0.001529</v>
      </c>
      <c r="W19" s="50">
        <v>0.058583</v>
      </c>
      <c r="X19" s="50">
        <v>1.67144</v>
      </c>
      <c r="Y19" s="50">
        <v>0.33095238095238094</v>
      </c>
      <c r="Z19" s="50">
        <v>0.23809523809523808</v>
      </c>
      <c r="AA19" s="75">
        <v>19</v>
      </c>
      <c r="AB19" s="75"/>
      <c r="AC19" s="76"/>
      <c r="AD19" s="83" t="s">
        <v>1568</v>
      </c>
      <c r="AE19" s="91" t="s">
        <v>1773</v>
      </c>
      <c r="AF19" s="83">
        <v>156843</v>
      </c>
      <c r="AG19" s="83">
        <v>162153</v>
      </c>
      <c r="AH19" s="83">
        <v>281730</v>
      </c>
      <c r="AI19" s="83">
        <v>62984</v>
      </c>
      <c r="AJ19" s="83"/>
      <c r="AK19" s="83" t="s">
        <v>1984</v>
      </c>
      <c r="AL19" s="83" t="s">
        <v>2180</v>
      </c>
      <c r="AM19" s="88" t="str">
        <f>HYPERLINK("https://t.co/VDPB18Btlk")</f>
        <v>https://t.co/VDPB18Btlk</v>
      </c>
      <c r="AN19" s="83"/>
      <c r="AO19" s="85">
        <v>39787.81452546296</v>
      </c>
      <c r="AP19" s="83"/>
      <c r="AQ19" s="83" t="b">
        <v>0</v>
      </c>
      <c r="AR19" s="83" t="b">
        <v>0</v>
      </c>
      <c r="AS19" s="83" t="b">
        <v>1</v>
      </c>
      <c r="AT19" s="83"/>
      <c r="AU19" s="83">
        <v>4763</v>
      </c>
      <c r="AV19" s="88" t="str">
        <f>HYPERLINK("http://abs.twimg.com/images/themes/theme1/bg.png")</f>
        <v>http://abs.twimg.com/images/themes/theme1/bg.png</v>
      </c>
      <c r="AW19" s="83" t="b">
        <v>0</v>
      </c>
      <c r="AX19" s="83" t="s">
        <v>2296</v>
      </c>
      <c r="AY19" s="88" t="str">
        <f>HYPERLINK("https://twitter.com/debraruh")</f>
        <v>https://twitter.com/debraruh</v>
      </c>
      <c r="AZ19" s="83" t="s">
        <v>66</v>
      </c>
      <c r="BA19" s="83" t="str">
        <f>REPLACE(INDEX(GroupVertices[Group],MATCH(Vertices[[#This Row],[Vertex]],GroupVertices[Vertex],0)),1,1,"")</f>
        <v>4</v>
      </c>
      <c r="BB19" s="49">
        <v>0</v>
      </c>
      <c r="BC19" s="50">
        <v>0</v>
      </c>
      <c r="BD19" s="49">
        <v>0</v>
      </c>
      <c r="BE19" s="50">
        <v>0</v>
      </c>
      <c r="BF19" s="49">
        <v>0</v>
      </c>
      <c r="BG19" s="50">
        <v>0</v>
      </c>
      <c r="BH19" s="49">
        <v>28</v>
      </c>
      <c r="BI19" s="50">
        <v>100</v>
      </c>
      <c r="BJ19" s="49">
        <v>28</v>
      </c>
      <c r="BK19" s="49" t="s">
        <v>4456</v>
      </c>
      <c r="BL19" s="49" t="s">
        <v>4456</v>
      </c>
      <c r="BM19" s="49" t="s">
        <v>532</v>
      </c>
      <c r="BN19" s="49" t="s">
        <v>532</v>
      </c>
      <c r="BO19" s="49" t="s">
        <v>568</v>
      </c>
      <c r="BP19" s="49" t="s">
        <v>568</v>
      </c>
      <c r="BQ19" s="119" t="s">
        <v>4610</v>
      </c>
      <c r="BR19" s="119" t="s">
        <v>4610</v>
      </c>
      <c r="BS19" s="119" t="s">
        <v>4729</v>
      </c>
      <c r="BT19" s="119" t="s">
        <v>4729</v>
      </c>
      <c r="BU19" s="2"/>
      <c r="BV19" s="3"/>
      <c r="BW19" s="3"/>
      <c r="BX19" s="3"/>
      <c r="BY19" s="3"/>
    </row>
    <row r="20" spans="1:77" ht="15">
      <c r="A20" s="68" t="s">
        <v>431</v>
      </c>
      <c r="B20" s="69"/>
      <c r="C20" s="69" t="s">
        <v>64</v>
      </c>
      <c r="D20" s="70">
        <v>1000</v>
      </c>
      <c r="E20" s="72"/>
      <c r="F20" s="107" t="str">
        <f>HYPERLINK("http://pbs.twimg.com/profile_images/619977615739260928/cDVl1eBu_normal.jpg")</f>
        <v>http://pbs.twimg.com/profile_images/619977615739260928/cDVl1eBu_normal.jpg</v>
      </c>
      <c r="G20" s="69"/>
      <c r="H20" s="73" t="s">
        <v>431</v>
      </c>
      <c r="I20" s="74" t="s">
        <v>5216</v>
      </c>
      <c r="J20" s="74" t="s">
        <v>75</v>
      </c>
      <c r="K20" s="73" t="s">
        <v>2313</v>
      </c>
      <c r="L20" s="77">
        <v>6128.806451612903</v>
      </c>
      <c r="M20" s="78">
        <v>7019.20361328125</v>
      </c>
      <c r="N20" s="78">
        <v>8639.11328125</v>
      </c>
      <c r="O20" s="79"/>
      <c r="P20" s="80"/>
      <c r="Q20" s="80"/>
      <c r="R20" s="93"/>
      <c r="S20" s="49">
        <v>19</v>
      </c>
      <c r="T20" s="49">
        <v>0</v>
      </c>
      <c r="U20" s="50">
        <v>446.666667</v>
      </c>
      <c r="V20" s="50">
        <v>0.001524</v>
      </c>
      <c r="W20" s="50">
        <v>0.052153</v>
      </c>
      <c r="X20" s="50">
        <v>1.533308</v>
      </c>
      <c r="Y20" s="50">
        <v>0.3157894736842105</v>
      </c>
      <c r="Z20" s="50">
        <v>0</v>
      </c>
      <c r="AA20" s="75">
        <v>20</v>
      </c>
      <c r="AB20" s="75"/>
      <c r="AC20" s="76"/>
      <c r="AD20" s="83" t="s">
        <v>1569</v>
      </c>
      <c r="AE20" s="91" t="s">
        <v>1774</v>
      </c>
      <c r="AF20" s="83">
        <v>26765</v>
      </c>
      <c r="AG20" s="83">
        <v>36315</v>
      </c>
      <c r="AH20" s="83">
        <v>15946</v>
      </c>
      <c r="AI20" s="83">
        <v>12183</v>
      </c>
      <c r="AJ20" s="83"/>
      <c r="AK20" s="83" t="s">
        <v>1985</v>
      </c>
      <c r="AL20" s="83" t="s">
        <v>2181</v>
      </c>
      <c r="AM20" s="88" t="str">
        <f>HYPERLINK("https://t.co/Gm7wbZ9mfD")</f>
        <v>https://t.co/Gm7wbZ9mfD</v>
      </c>
      <c r="AN20" s="83"/>
      <c r="AO20" s="85">
        <v>40886.40871527778</v>
      </c>
      <c r="AP20" s="88" t="str">
        <f>HYPERLINK("https://pbs.twimg.com/profile_banners/432365580/1382293466")</f>
        <v>https://pbs.twimg.com/profile_banners/432365580/1382293466</v>
      </c>
      <c r="AQ20" s="83" t="b">
        <v>1</v>
      </c>
      <c r="AR20" s="83" t="b">
        <v>0</v>
      </c>
      <c r="AS20" s="83" t="b">
        <v>0</v>
      </c>
      <c r="AT20" s="83"/>
      <c r="AU20" s="83">
        <v>566</v>
      </c>
      <c r="AV20" s="88" t="str">
        <f>HYPERLINK("http://abs.twimg.com/images/themes/theme1/bg.png")</f>
        <v>http://abs.twimg.com/images/themes/theme1/bg.png</v>
      </c>
      <c r="AW20" s="83" t="b">
        <v>0</v>
      </c>
      <c r="AX20" s="83" t="s">
        <v>2296</v>
      </c>
      <c r="AY20" s="88" t="str">
        <f>HYPERLINK("https://twitter.com/hana_elsayyed")</f>
        <v>https://twitter.com/hana_elsayyed</v>
      </c>
      <c r="AZ20" s="83" t="s">
        <v>65</v>
      </c>
      <c r="BA20" s="83"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8" t="s">
        <v>432</v>
      </c>
      <c r="B21" s="69"/>
      <c r="C21" s="69" t="s">
        <v>64</v>
      </c>
      <c r="D21" s="70">
        <v>1000</v>
      </c>
      <c r="E21" s="72"/>
      <c r="F21" s="107" t="str">
        <f>HYPERLINK("http://pbs.twimg.com/profile_images/1278013252715163649/iDt6y9SY_normal.jpg")</f>
        <v>http://pbs.twimg.com/profile_images/1278013252715163649/iDt6y9SY_normal.jpg</v>
      </c>
      <c r="G21" s="69"/>
      <c r="H21" s="73" t="s">
        <v>432</v>
      </c>
      <c r="I21" s="74" t="s">
        <v>5216</v>
      </c>
      <c r="J21" s="74" t="s">
        <v>75</v>
      </c>
      <c r="K21" s="73" t="s">
        <v>2314</v>
      </c>
      <c r="L21" s="77">
        <v>6128.806451612903</v>
      </c>
      <c r="M21" s="78">
        <v>6204.5439453125</v>
      </c>
      <c r="N21" s="78">
        <v>7654.28759765625</v>
      </c>
      <c r="O21" s="79"/>
      <c r="P21" s="80"/>
      <c r="Q21" s="80"/>
      <c r="R21" s="93"/>
      <c r="S21" s="49">
        <v>19</v>
      </c>
      <c r="T21" s="49">
        <v>0</v>
      </c>
      <c r="U21" s="50">
        <v>446.666667</v>
      </c>
      <c r="V21" s="50">
        <v>0.001524</v>
      </c>
      <c r="W21" s="50">
        <v>0.052153</v>
      </c>
      <c r="X21" s="50">
        <v>1.533308</v>
      </c>
      <c r="Y21" s="50">
        <v>0.3157894736842105</v>
      </c>
      <c r="Z21" s="50">
        <v>0</v>
      </c>
      <c r="AA21" s="75">
        <v>21</v>
      </c>
      <c r="AB21" s="75"/>
      <c r="AC21" s="76"/>
      <c r="AD21" s="83" t="s">
        <v>1570</v>
      </c>
      <c r="AE21" s="91" t="s">
        <v>1775</v>
      </c>
      <c r="AF21" s="83">
        <v>1417</v>
      </c>
      <c r="AG21" s="83">
        <v>20273</v>
      </c>
      <c r="AH21" s="83">
        <v>57708</v>
      </c>
      <c r="AI21" s="83">
        <v>13592</v>
      </c>
      <c r="AJ21" s="83"/>
      <c r="AK21" s="83" t="s">
        <v>1986</v>
      </c>
      <c r="AL21" s="83" t="s">
        <v>2182</v>
      </c>
      <c r="AM21" s="88" t="str">
        <f>HYPERLINK("http://t.co/JNaGDrO3uo")</f>
        <v>http://t.co/JNaGDrO3uo</v>
      </c>
      <c r="AN21" s="83"/>
      <c r="AO21" s="85">
        <v>40666.64375</v>
      </c>
      <c r="AP21" s="88" t="str">
        <f>HYPERLINK("https://pbs.twimg.com/profile_banners/292385312/1599800902")</f>
        <v>https://pbs.twimg.com/profile_banners/292385312/1599800902</v>
      </c>
      <c r="AQ21" s="83" t="b">
        <v>0</v>
      </c>
      <c r="AR21" s="83" t="b">
        <v>0</v>
      </c>
      <c r="AS21" s="83" t="b">
        <v>1</v>
      </c>
      <c r="AT21" s="83"/>
      <c r="AU21" s="83">
        <v>399</v>
      </c>
      <c r="AV21" s="88" t="str">
        <f>HYPERLINK("http://abs.twimg.com/images/themes/theme1/bg.png")</f>
        <v>http://abs.twimg.com/images/themes/theme1/bg.png</v>
      </c>
      <c r="AW21" s="83" t="b">
        <v>1</v>
      </c>
      <c r="AX21" s="83" t="s">
        <v>2296</v>
      </c>
      <c r="AY21" s="88" t="str">
        <f>HYPERLINK("https://twitter.com/peoplematters2")</f>
        <v>https://twitter.com/peoplematters2</v>
      </c>
      <c r="AZ21" s="83" t="s">
        <v>65</v>
      </c>
      <c r="BA21" s="83"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8" t="s">
        <v>384</v>
      </c>
      <c r="B22" s="69"/>
      <c r="C22" s="69" t="s">
        <v>64</v>
      </c>
      <c r="D22" s="70">
        <v>1000</v>
      </c>
      <c r="E22" s="72"/>
      <c r="F22" s="107" t="str">
        <f>HYPERLINK("http://pbs.twimg.com/profile_images/1090266389724549126/TYtz96Vb_normal.jpg")</f>
        <v>http://pbs.twimg.com/profile_images/1090266389724549126/TYtz96Vb_normal.jpg</v>
      </c>
      <c r="G22" s="69"/>
      <c r="H22" s="73" t="s">
        <v>384</v>
      </c>
      <c r="I22" s="74" t="s">
        <v>5216</v>
      </c>
      <c r="J22" s="74" t="s">
        <v>73</v>
      </c>
      <c r="K22" s="73" t="s">
        <v>2315</v>
      </c>
      <c r="L22" s="77">
        <v>6128.806451612903</v>
      </c>
      <c r="M22" s="78">
        <v>6743.7646484375</v>
      </c>
      <c r="N22" s="78">
        <v>8200.7138671875</v>
      </c>
      <c r="O22" s="79"/>
      <c r="P22" s="80"/>
      <c r="Q22" s="80"/>
      <c r="R22" s="93"/>
      <c r="S22" s="49">
        <v>19</v>
      </c>
      <c r="T22" s="49">
        <v>9</v>
      </c>
      <c r="U22" s="50">
        <v>446.982456</v>
      </c>
      <c r="V22" s="50">
        <v>0.001529</v>
      </c>
      <c r="W22" s="50">
        <v>0.062432</v>
      </c>
      <c r="X22" s="50">
        <v>1.739094</v>
      </c>
      <c r="Y22" s="50">
        <v>0.33095238095238094</v>
      </c>
      <c r="Z22" s="50">
        <v>0.23809523809523808</v>
      </c>
      <c r="AA22" s="75">
        <v>22</v>
      </c>
      <c r="AB22" s="75"/>
      <c r="AC22" s="76"/>
      <c r="AD22" s="83" t="s">
        <v>1571</v>
      </c>
      <c r="AE22" s="91" t="s">
        <v>1776</v>
      </c>
      <c r="AF22" s="83">
        <v>7756</v>
      </c>
      <c r="AG22" s="83">
        <v>27516</v>
      </c>
      <c r="AH22" s="83">
        <v>105696</v>
      </c>
      <c r="AI22" s="83">
        <v>158304</v>
      </c>
      <c r="AJ22" s="83"/>
      <c r="AK22" s="83" t="s">
        <v>1987</v>
      </c>
      <c r="AL22" s="83"/>
      <c r="AM22" s="88" t="str">
        <f>HYPERLINK("https://t.co/gtBabqCeGS")</f>
        <v>https://t.co/gtBabqCeGS</v>
      </c>
      <c r="AN22" s="83"/>
      <c r="AO22" s="85">
        <v>40723.663611111115</v>
      </c>
      <c r="AP22" s="88" t="str">
        <f>HYPERLINK("https://pbs.twimg.com/profile_banners/326229600/1484066866")</f>
        <v>https://pbs.twimg.com/profile_banners/326229600/1484066866</v>
      </c>
      <c r="AQ22" s="83" t="b">
        <v>0</v>
      </c>
      <c r="AR22" s="83" t="b">
        <v>0</v>
      </c>
      <c r="AS22" s="83" t="b">
        <v>1</v>
      </c>
      <c r="AT22" s="83"/>
      <c r="AU22" s="83">
        <v>709</v>
      </c>
      <c r="AV22" s="88" t="str">
        <f>HYPERLINK("http://abs.twimg.com/images/themes/theme9/bg.gif")</f>
        <v>http://abs.twimg.com/images/themes/theme9/bg.gif</v>
      </c>
      <c r="AW22" s="83" t="b">
        <v>0</v>
      </c>
      <c r="AX22" s="83" t="s">
        <v>2296</v>
      </c>
      <c r="AY22" s="88" t="str">
        <f>HYPERLINK("https://twitter.com/fabriziobustama")</f>
        <v>https://twitter.com/fabriziobustama</v>
      </c>
      <c r="AZ22" s="83" t="s">
        <v>66</v>
      </c>
      <c r="BA22" s="83" t="str">
        <f>REPLACE(INDEX(GroupVertices[Group],MATCH(Vertices[[#This Row],[Vertex]],GroupVertices[Vertex],0)),1,1,"")</f>
        <v>4</v>
      </c>
      <c r="BB22" s="49">
        <v>0</v>
      </c>
      <c r="BC22" s="50">
        <v>0</v>
      </c>
      <c r="BD22" s="49">
        <v>0</v>
      </c>
      <c r="BE22" s="50">
        <v>0</v>
      </c>
      <c r="BF22" s="49">
        <v>0</v>
      </c>
      <c r="BG22" s="50">
        <v>0</v>
      </c>
      <c r="BH22" s="49">
        <v>56</v>
      </c>
      <c r="BI22" s="50">
        <v>100</v>
      </c>
      <c r="BJ22" s="49">
        <v>56</v>
      </c>
      <c r="BK22" s="49" t="s">
        <v>4456</v>
      </c>
      <c r="BL22" s="49" t="s">
        <v>4456</v>
      </c>
      <c r="BM22" s="49" t="s">
        <v>532</v>
      </c>
      <c r="BN22" s="49" t="s">
        <v>532</v>
      </c>
      <c r="BO22" s="49" t="s">
        <v>619</v>
      </c>
      <c r="BP22" s="49" t="s">
        <v>4939</v>
      </c>
      <c r="BQ22" s="119" t="s">
        <v>4610</v>
      </c>
      <c r="BR22" s="119" t="s">
        <v>4610</v>
      </c>
      <c r="BS22" s="119" t="s">
        <v>4729</v>
      </c>
      <c r="BT22" s="119" t="s">
        <v>4729</v>
      </c>
      <c r="BU22" s="2"/>
      <c r="BV22" s="3"/>
      <c r="BW22" s="3"/>
      <c r="BX22" s="3"/>
      <c r="BY22" s="3"/>
    </row>
    <row r="23" spans="1:77" ht="15">
      <c r="A23" s="68" t="s">
        <v>231</v>
      </c>
      <c r="B23" s="69"/>
      <c r="C23" s="69" t="s">
        <v>46</v>
      </c>
      <c r="D23" s="70"/>
      <c r="E23" s="72"/>
      <c r="F23" s="107" t="str">
        <f>HYPERLINK("http://pbs.twimg.com/profile_images/1262221400326062081/0Rd-6vDo_normal.jpg")</f>
        <v>http://pbs.twimg.com/profile_images/1262221400326062081/0Rd-6vDo_normal.jpg</v>
      </c>
      <c r="G23" s="69"/>
      <c r="H23" s="73" t="s">
        <v>231</v>
      </c>
      <c r="I23" s="74" t="s">
        <v>5216</v>
      </c>
      <c r="J23" s="74" t="s">
        <v>73</v>
      </c>
      <c r="K23" s="73" t="s">
        <v>2316</v>
      </c>
      <c r="L23" s="77">
        <v>1</v>
      </c>
      <c r="M23" s="78">
        <v>5508.10986328125</v>
      </c>
      <c r="N23" s="78">
        <v>8775.0625</v>
      </c>
      <c r="O23" s="79"/>
      <c r="P23" s="80"/>
      <c r="Q23" s="80"/>
      <c r="R23" s="93"/>
      <c r="S23" s="49">
        <v>0</v>
      </c>
      <c r="T23" s="49">
        <v>9</v>
      </c>
      <c r="U23" s="50">
        <v>0.315789</v>
      </c>
      <c r="V23" s="50">
        <v>0.001209</v>
      </c>
      <c r="W23" s="50">
        <v>0.033625</v>
      </c>
      <c r="X23" s="50">
        <v>0.761245</v>
      </c>
      <c r="Y23" s="50">
        <v>0.6666666666666666</v>
      </c>
      <c r="Z23" s="50">
        <v>0</v>
      </c>
      <c r="AA23" s="75">
        <v>23</v>
      </c>
      <c r="AB23" s="75"/>
      <c r="AC23" s="76"/>
      <c r="AD23" s="83" t="s">
        <v>1572</v>
      </c>
      <c r="AE23" s="91" t="s">
        <v>1777</v>
      </c>
      <c r="AF23" s="83">
        <v>423</v>
      </c>
      <c r="AG23" s="83">
        <v>163</v>
      </c>
      <c r="AH23" s="83">
        <v>1071</v>
      </c>
      <c r="AI23" s="83">
        <v>10550</v>
      </c>
      <c r="AJ23" s="83"/>
      <c r="AK23" s="83" t="s">
        <v>1988</v>
      </c>
      <c r="AL23" s="83" t="s">
        <v>2183</v>
      </c>
      <c r="AM23" s="83"/>
      <c r="AN23" s="83"/>
      <c r="AO23" s="85">
        <v>43870.10539351852</v>
      </c>
      <c r="AP23" s="83"/>
      <c r="AQ23" s="83" t="b">
        <v>1</v>
      </c>
      <c r="AR23" s="83" t="b">
        <v>0</v>
      </c>
      <c r="AS23" s="83" t="b">
        <v>0</v>
      </c>
      <c r="AT23" s="83"/>
      <c r="AU23" s="83">
        <v>1</v>
      </c>
      <c r="AV23" s="83"/>
      <c r="AW23" s="83" t="b">
        <v>0</v>
      </c>
      <c r="AX23" s="83" t="s">
        <v>2296</v>
      </c>
      <c r="AY23" s="88" t="str">
        <f>HYPERLINK("https://twitter.com/bharatmehrotra9")</f>
        <v>https://twitter.com/bharatmehrotra9</v>
      </c>
      <c r="AZ23" s="83" t="s">
        <v>66</v>
      </c>
      <c r="BA23" s="83" t="str">
        <f>REPLACE(INDEX(GroupVertices[Group],MATCH(Vertices[[#This Row],[Vertex]],GroupVertices[Vertex],0)),1,1,"")</f>
        <v>4</v>
      </c>
      <c r="BB23" s="49">
        <v>0</v>
      </c>
      <c r="BC23" s="50">
        <v>0</v>
      </c>
      <c r="BD23" s="49">
        <v>0</v>
      </c>
      <c r="BE23" s="50">
        <v>0</v>
      </c>
      <c r="BF23" s="49">
        <v>0</v>
      </c>
      <c r="BG23" s="50">
        <v>0</v>
      </c>
      <c r="BH23" s="49">
        <v>28</v>
      </c>
      <c r="BI23" s="50">
        <v>100</v>
      </c>
      <c r="BJ23" s="49">
        <v>28</v>
      </c>
      <c r="BK23" s="49" t="s">
        <v>4456</v>
      </c>
      <c r="BL23" s="49" t="s">
        <v>4456</v>
      </c>
      <c r="BM23" s="49" t="s">
        <v>532</v>
      </c>
      <c r="BN23" s="49" t="s">
        <v>532</v>
      </c>
      <c r="BO23" s="49" t="s">
        <v>568</v>
      </c>
      <c r="BP23" s="49" t="s">
        <v>568</v>
      </c>
      <c r="BQ23" s="119" t="s">
        <v>4610</v>
      </c>
      <c r="BR23" s="119" t="s">
        <v>4610</v>
      </c>
      <c r="BS23" s="119" t="s">
        <v>4729</v>
      </c>
      <c r="BT23" s="119" t="s">
        <v>4729</v>
      </c>
      <c r="BU23" s="2"/>
      <c r="BV23" s="3"/>
      <c r="BW23" s="3"/>
      <c r="BX23" s="3"/>
      <c r="BY23" s="3"/>
    </row>
    <row r="24" spans="1:77" ht="15">
      <c r="A24" s="68" t="s">
        <v>232</v>
      </c>
      <c r="B24" s="69"/>
      <c r="C24" s="69" t="s">
        <v>46</v>
      </c>
      <c r="D24" s="70"/>
      <c r="E24" s="72"/>
      <c r="F24" s="107" t="str">
        <f>HYPERLINK("http://pbs.twimg.com/profile_images/761118751735427072/MGkdYqKS_normal.jpg")</f>
        <v>http://pbs.twimg.com/profile_images/761118751735427072/MGkdYqKS_normal.jpg</v>
      </c>
      <c r="G24" s="69"/>
      <c r="H24" s="73" t="s">
        <v>232</v>
      </c>
      <c r="I24" s="74" t="s">
        <v>5216</v>
      </c>
      <c r="J24" s="74" t="s">
        <v>73</v>
      </c>
      <c r="K24" s="73" t="s">
        <v>2317</v>
      </c>
      <c r="L24" s="77">
        <v>1</v>
      </c>
      <c r="M24" s="78">
        <v>7175.09228515625</v>
      </c>
      <c r="N24" s="78">
        <v>9648.4267578125</v>
      </c>
      <c r="O24" s="79"/>
      <c r="P24" s="80"/>
      <c r="Q24" s="80"/>
      <c r="R24" s="93"/>
      <c r="S24" s="49">
        <v>0</v>
      </c>
      <c r="T24" s="49">
        <v>9</v>
      </c>
      <c r="U24" s="50">
        <v>0.315789</v>
      </c>
      <c r="V24" s="50">
        <v>0.001209</v>
      </c>
      <c r="W24" s="50">
        <v>0.033625</v>
      </c>
      <c r="X24" s="50">
        <v>0.761245</v>
      </c>
      <c r="Y24" s="50">
        <v>0.6666666666666666</v>
      </c>
      <c r="Z24" s="50">
        <v>0</v>
      </c>
      <c r="AA24" s="75">
        <v>24</v>
      </c>
      <c r="AB24" s="75"/>
      <c r="AC24" s="76"/>
      <c r="AD24" s="83" t="s">
        <v>1573</v>
      </c>
      <c r="AE24" s="91" t="s">
        <v>1778</v>
      </c>
      <c r="AF24" s="83">
        <v>20690</v>
      </c>
      <c r="AG24" s="83">
        <v>19456</v>
      </c>
      <c r="AH24" s="83">
        <v>169997</v>
      </c>
      <c r="AI24" s="83">
        <v>58552</v>
      </c>
      <c r="AJ24" s="83"/>
      <c r="AK24" s="83" t="s">
        <v>1989</v>
      </c>
      <c r="AL24" s="83" t="s">
        <v>2184</v>
      </c>
      <c r="AM24" s="83"/>
      <c r="AN24" s="83"/>
      <c r="AO24" s="85">
        <v>42174.51991898148</v>
      </c>
      <c r="AP24" s="88" t="str">
        <f>HYPERLINK("https://pbs.twimg.com/profile_banners/3334677605/1590566257")</f>
        <v>https://pbs.twimg.com/profile_banners/3334677605/1590566257</v>
      </c>
      <c r="AQ24" s="83" t="b">
        <v>0</v>
      </c>
      <c r="AR24" s="83" t="b">
        <v>0</v>
      </c>
      <c r="AS24" s="83" t="b">
        <v>0</v>
      </c>
      <c r="AT24" s="83"/>
      <c r="AU24" s="83">
        <v>558</v>
      </c>
      <c r="AV24" s="88" t="str">
        <f>HYPERLINK("http://abs.twimg.com/images/themes/theme14/bg.gif")</f>
        <v>http://abs.twimg.com/images/themes/theme14/bg.gif</v>
      </c>
      <c r="AW24" s="83" t="b">
        <v>0</v>
      </c>
      <c r="AX24" s="83" t="s">
        <v>2296</v>
      </c>
      <c r="AY24" s="88" t="str">
        <f>HYPERLINK("https://twitter.com/pvynckier")</f>
        <v>https://twitter.com/pvynckier</v>
      </c>
      <c r="AZ24" s="83" t="s">
        <v>66</v>
      </c>
      <c r="BA24" s="83" t="str">
        <f>REPLACE(INDEX(GroupVertices[Group],MATCH(Vertices[[#This Row],[Vertex]],GroupVertices[Vertex],0)),1,1,"")</f>
        <v>4</v>
      </c>
      <c r="BB24" s="49">
        <v>0</v>
      </c>
      <c r="BC24" s="50">
        <v>0</v>
      </c>
      <c r="BD24" s="49">
        <v>0</v>
      </c>
      <c r="BE24" s="50">
        <v>0</v>
      </c>
      <c r="BF24" s="49">
        <v>0</v>
      </c>
      <c r="BG24" s="50">
        <v>0</v>
      </c>
      <c r="BH24" s="49">
        <v>28</v>
      </c>
      <c r="BI24" s="50">
        <v>100</v>
      </c>
      <c r="BJ24" s="49">
        <v>28</v>
      </c>
      <c r="BK24" s="49" t="s">
        <v>4456</v>
      </c>
      <c r="BL24" s="49" t="s">
        <v>4456</v>
      </c>
      <c r="BM24" s="49" t="s">
        <v>532</v>
      </c>
      <c r="BN24" s="49" t="s">
        <v>532</v>
      </c>
      <c r="BO24" s="49" t="s">
        <v>568</v>
      </c>
      <c r="BP24" s="49" t="s">
        <v>568</v>
      </c>
      <c r="BQ24" s="119" t="s">
        <v>4610</v>
      </c>
      <c r="BR24" s="119" t="s">
        <v>4610</v>
      </c>
      <c r="BS24" s="119" t="s">
        <v>4729</v>
      </c>
      <c r="BT24" s="119" t="s">
        <v>4729</v>
      </c>
      <c r="BU24" s="2"/>
      <c r="BV24" s="3"/>
      <c r="BW24" s="3"/>
      <c r="BX24" s="3"/>
      <c r="BY24" s="3"/>
    </row>
    <row r="25" spans="1:77" ht="15">
      <c r="A25" s="68" t="s">
        <v>233</v>
      </c>
      <c r="B25" s="69"/>
      <c r="C25" s="69" t="s">
        <v>46</v>
      </c>
      <c r="D25" s="70"/>
      <c r="E25" s="72"/>
      <c r="F25" s="107" t="str">
        <f>HYPERLINK("http://pbs.twimg.com/profile_images/1198533368306184192/MfDpA8Hg_normal.jpg")</f>
        <v>http://pbs.twimg.com/profile_images/1198533368306184192/MfDpA8Hg_normal.jpg</v>
      </c>
      <c r="G25" s="69"/>
      <c r="H25" s="73" t="s">
        <v>233</v>
      </c>
      <c r="I25" s="74" t="s">
        <v>5216</v>
      </c>
      <c r="J25" s="74" t="s">
        <v>73</v>
      </c>
      <c r="K25" s="73" t="s">
        <v>2318</v>
      </c>
      <c r="L25" s="77">
        <v>1</v>
      </c>
      <c r="M25" s="78">
        <v>7434.63037109375</v>
      </c>
      <c r="N25" s="78">
        <v>6638.068359375</v>
      </c>
      <c r="O25" s="79"/>
      <c r="P25" s="80"/>
      <c r="Q25" s="80"/>
      <c r="R25" s="93"/>
      <c r="S25" s="49">
        <v>0</v>
      </c>
      <c r="T25" s="49">
        <v>9</v>
      </c>
      <c r="U25" s="50">
        <v>0.315789</v>
      </c>
      <c r="V25" s="50">
        <v>0.001209</v>
      </c>
      <c r="W25" s="50">
        <v>0.033625</v>
      </c>
      <c r="X25" s="50">
        <v>0.761245</v>
      </c>
      <c r="Y25" s="50">
        <v>0.6666666666666666</v>
      </c>
      <c r="Z25" s="50">
        <v>0</v>
      </c>
      <c r="AA25" s="75">
        <v>25</v>
      </c>
      <c r="AB25" s="75"/>
      <c r="AC25" s="76"/>
      <c r="AD25" s="83" t="s">
        <v>1574</v>
      </c>
      <c r="AE25" s="91" t="s">
        <v>1779</v>
      </c>
      <c r="AF25" s="83">
        <v>41</v>
      </c>
      <c r="AG25" s="83">
        <v>54</v>
      </c>
      <c r="AH25" s="83">
        <v>14339</v>
      </c>
      <c r="AI25" s="83">
        <v>3034</v>
      </c>
      <c r="AJ25" s="83"/>
      <c r="AK25" s="88" t="str">
        <f>HYPERLINK("https://t.co/0ej8e5xLpj
https://t.co/gEhUUcd958
https://t.co/9G92kS0yd7")</f>
        <v>https://t.co/0ej8e5xLpj
https://t.co/gEhUUcd958
https://t.co/9G92kS0yd7</v>
      </c>
      <c r="AL25" s="83"/>
      <c r="AM25" s="83"/>
      <c r="AN25" s="83"/>
      <c r="AO25" s="85">
        <v>43793.393217592595</v>
      </c>
      <c r="AP25" s="88" t="str">
        <f>HYPERLINK("https://pbs.twimg.com/profile_banners/1198533017360371713/1586037299")</f>
        <v>https://pbs.twimg.com/profile_banners/1198533017360371713/1586037299</v>
      </c>
      <c r="AQ25" s="83" t="b">
        <v>1</v>
      </c>
      <c r="AR25" s="83" t="b">
        <v>0</v>
      </c>
      <c r="AS25" s="83" t="b">
        <v>0</v>
      </c>
      <c r="AT25" s="83"/>
      <c r="AU25" s="83">
        <v>1</v>
      </c>
      <c r="AV25" s="83"/>
      <c r="AW25" s="83" t="b">
        <v>0</v>
      </c>
      <c r="AX25" s="83" t="s">
        <v>2296</v>
      </c>
      <c r="AY25" s="88" t="str">
        <f>HYPERLINK("https://twitter.com/shamephorash")</f>
        <v>https://twitter.com/shamephorash</v>
      </c>
      <c r="AZ25" s="83" t="s">
        <v>66</v>
      </c>
      <c r="BA25" s="83" t="str">
        <f>REPLACE(INDEX(GroupVertices[Group],MATCH(Vertices[[#This Row],[Vertex]],GroupVertices[Vertex],0)),1,1,"")</f>
        <v>4</v>
      </c>
      <c r="BB25" s="49">
        <v>0</v>
      </c>
      <c r="BC25" s="50">
        <v>0</v>
      </c>
      <c r="BD25" s="49">
        <v>0</v>
      </c>
      <c r="BE25" s="50">
        <v>0</v>
      </c>
      <c r="BF25" s="49">
        <v>0</v>
      </c>
      <c r="BG25" s="50">
        <v>0</v>
      </c>
      <c r="BH25" s="49">
        <v>28</v>
      </c>
      <c r="BI25" s="50">
        <v>100</v>
      </c>
      <c r="BJ25" s="49">
        <v>28</v>
      </c>
      <c r="BK25" s="49" t="s">
        <v>4456</v>
      </c>
      <c r="BL25" s="49" t="s">
        <v>4456</v>
      </c>
      <c r="BM25" s="49" t="s">
        <v>532</v>
      </c>
      <c r="BN25" s="49" t="s">
        <v>532</v>
      </c>
      <c r="BO25" s="49" t="s">
        <v>568</v>
      </c>
      <c r="BP25" s="49" t="s">
        <v>568</v>
      </c>
      <c r="BQ25" s="119" t="s">
        <v>4610</v>
      </c>
      <c r="BR25" s="119" t="s">
        <v>4610</v>
      </c>
      <c r="BS25" s="119" t="s">
        <v>4729</v>
      </c>
      <c r="BT25" s="119" t="s">
        <v>4729</v>
      </c>
      <c r="BU25" s="2"/>
      <c r="BV25" s="3"/>
      <c r="BW25" s="3"/>
      <c r="BX25" s="3"/>
      <c r="BY25" s="3"/>
    </row>
    <row r="26" spans="1:77" ht="15">
      <c r="A26" s="68" t="s">
        <v>234</v>
      </c>
      <c r="B26" s="69"/>
      <c r="C26" s="69" t="s">
        <v>46</v>
      </c>
      <c r="D26" s="70"/>
      <c r="E26" s="72"/>
      <c r="F26" s="107" t="str">
        <f>HYPERLINK("http://pbs.twimg.com/profile_images/1133222569941692417/mJDgk2i7_normal.jpg")</f>
        <v>http://pbs.twimg.com/profile_images/1133222569941692417/mJDgk2i7_normal.jpg</v>
      </c>
      <c r="G26" s="69"/>
      <c r="H26" s="73" t="s">
        <v>234</v>
      </c>
      <c r="I26" s="74" t="s">
        <v>5216</v>
      </c>
      <c r="J26" s="74" t="s">
        <v>73</v>
      </c>
      <c r="K26" s="73" t="s">
        <v>2319</v>
      </c>
      <c r="L26" s="77">
        <v>1</v>
      </c>
      <c r="M26" s="78">
        <v>5900.287109375</v>
      </c>
      <c r="N26" s="78">
        <v>9445.0888671875</v>
      </c>
      <c r="O26" s="79"/>
      <c r="P26" s="80"/>
      <c r="Q26" s="80"/>
      <c r="R26" s="93"/>
      <c r="S26" s="49">
        <v>0</v>
      </c>
      <c r="T26" s="49">
        <v>9</v>
      </c>
      <c r="U26" s="50">
        <v>0.315789</v>
      </c>
      <c r="V26" s="50">
        <v>0.001209</v>
      </c>
      <c r="W26" s="50">
        <v>0.033625</v>
      </c>
      <c r="X26" s="50">
        <v>0.761245</v>
      </c>
      <c r="Y26" s="50">
        <v>0.6666666666666666</v>
      </c>
      <c r="Z26" s="50">
        <v>0</v>
      </c>
      <c r="AA26" s="75">
        <v>26</v>
      </c>
      <c r="AB26" s="75"/>
      <c r="AC26" s="76"/>
      <c r="AD26" s="83" t="s">
        <v>1575</v>
      </c>
      <c r="AE26" s="91" t="s">
        <v>1780</v>
      </c>
      <c r="AF26" s="83">
        <v>1697</v>
      </c>
      <c r="AG26" s="83">
        <v>3258</v>
      </c>
      <c r="AH26" s="83">
        <v>327051</v>
      </c>
      <c r="AI26" s="83">
        <v>93460</v>
      </c>
      <c r="AJ26" s="83"/>
      <c r="AK26" s="83" t="s">
        <v>1990</v>
      </c>
      <c r="AL26" s="83" t="s">
        <v>2174</v>
      </c>
      <c r="AM26" s="88" t="str">
        <f>HYPERLINK("https://t.co/z3T1L4koKd")</f>
        <v>https://t.co/z3T1L4koKd</v>
      </c>
      <c r="AN26" s="83"/>
      <c r="AO26" s="85">
        <v>41071.57644675926</v>
      </c>
      <c r="AP26" s="88" t="str">
        <f>HYPERLINK("https://pbs.twimg.com/profile_banners/605434880/1564479671")</f>
        <v>https://pbs.twimg.com/profile_banners/605434880/1564479671</v>
      </c>
      <c r="AQ26" s="83" t="b">
        <v>1</v>
      </c>
      <c r="AR26" s="83" t="b">
        <v>0</v>
      </c>
      <c r="AS26" s="83" t="b">
        <v>1</v>
      </c>
      <c r="AT26" s="83"/>
      <c r="AU26" s="83">
        <v>1211</v>
      </c>
      <c r="AV26" s="88" t="str">
        <f>HYPERLINK("http://abs.twimg.com/images/themes/theme1/bg.png")</f>
        <v>http://abs.twimg.com/images/themes/theme1/bg.png</v>
      </c>
      <c r="AW26" s="83" t="b">
        <v>0</v>
      </c>
      <c r="AX26" s="83" t="s">
        <v>2296</v>
      </c>
      <c r="AY26" s="88" t="str">
        <f>HYPERLINK("https://twitter.com/ilovebooks786")</f>
        <v>https://twitter.com/ilovebooks786</v>
      </c>
      <c r="AZ26" s="83" t="s">
        <v>66</v>
      </c>
      <c r="BA26" s="83" t="str">
        <f>REPLACE(INDEX(GroupVertices[Group],MATCH(Vertices[[#This Row],[Vertex]],GroupVertices[Vertex],0)),1,1,"")</f>
        <v>4</v>
      </c>
      <c r="BB26" s="49">
        <v>0</v>
      </c>
      <c r="BC26" s="50">
        <v>0</v>
      </c>
      <c r="BD26" s="49">
        <v>0</v>
      </c>
      <c r="BE26" s="50">
        <v>0</v>
      </c>
      <c r="BF26" s="49">
        <v>0</v>
      </c>
      <c r="BG26" s="50">
        <v>0</v>
      </c>
      <c r="BH26" s="49">
        <v>28</v>
      </c>
      <c r="BI26" s="50">
        <v>100</v>
      </c>
      <c r="BJ26" s="49">
        <v>28</v>
      </c>
      <c r="BK26" s="49" t="s">
        <v>4456</v>
      </c>
      <c r="BL26" s="49" t="s">
        <v>4456</v>
      </c>
      <c r="BM26" s="49" t="s">
        <v>532</v>
      </c>
      <c r="BN26" s="49" t="s">
        <v>532</v>
      </c>
      <c r="BO26" s="49" t="s">
        <v>568</v>
      </c>
      <c r="BP26" s="49" t="s">
        <v>568</v>
      </c>
      <c r="BQ26" s="119" t="s">
        <v>4610</v>
      </c>
      <c r="BR26" s="119" t="s">
        <v>4610</v>
      </c>
      <c r="BS26" s="119" t="s">
        <v>4729</v>
      </c>
      <c r="BT26" s="119" t="s">
        <v>4729</v>
      </c>
      <c r="BU26" s="2"/>
      <c r="BV26" s="3"/>
      <c r="BW26" s="3"/>
      <c r="BX26" s="3"/>
      <c r="BY26" s="3"/>
    </row>
    <row r="27" spans="1:77" ht="15">
      <c r="A27" s="68" t="s">
        <v>235</v>
      </c>
      <c r="B27" s="69"/>
      <c r="C27" s="69" t="s">
        <v>46</v>
      </c>
      <c r="D27" s="70"/>
      <c r="E27" s="72"/>
      <c r="F27" s="107" t="str">
        <f>HYPERLINK("http://pbs.twimg.com/profile_images/1158421083646771200/6u9NT6Cp_normal.jpg")</f>
        <v>http://pbs.twimg.com/profile_images/1158421083646771200/6u9NT6Cp_normal.jpg</v>
      </c>
      <c r="G27" s="69"/>
      <c r="H27" s="73" t="s">
        <v>235</v>
      </c>
      <c r="I27" s="74" t="s">
        <v>5216</v>
      </c>
      <c r="J27" s="74" t="s">
        <v>73</v>
      </c>
      <c r="K27" s="73" t="s">
        <v>2320</v>
      </c>
      <c r="L27" s="77">
        <v>1</v>
      </c>
      <c r="M27" s="78">
        <v>6145.1650390625</v>
      </c>
      <c r="N27" s="78">
        <v>6424.94384765625</v>
      </c>
      <c r="O27" s="79"/>
      <c r="P27" s="80"/>
      <c r="Q27" s="80"/>
      <c r="R27" s="93"/>
      <c r="S27" s="49">
        <v>0</v>
      </c>
      <c r="T27" s="49">
        <v>9</v>
      </c>
      <c r="U27" s="50">
        <v>0.315789</v>
      </c>
      <c r="V27" s="50">
        <v>0.001209</v>
      </c>
      <c r="W27" s="50">
        <v>0.033625</v>
      </c>
      <c r="X27" s="50">
        <v>0.761245</v>
      </c>
      <c r="Y27" s="50">
        <v>0.6666666666666666</v>
      </c>
      <c r="Z27" s="50">
        <v>0</v>
      </c>
      <c r="AA27" s="75">
        <v>27</v>
      </c>
      <c r="AB27" s="75"/>
      <c r="AC27" s="76"/>
      <c r="AD27" s="83" t="s">
        <v>1576</v>
      </c>
      <c r="AE27" s="91" t="s">
        <v>1781</v>
      </c>
      <c r="AF27" s="83">
        <v>9732</v>
      </c>
      <c r="AG27" s="83">
        <v>10318</v>
      </c>
      <c r="AH27" s="83">
        <v>237169</v>
      </c>
      <c r="AI27" s="83">
        <v>97319</v>
      </c>
      <c r="AJ27" s="83"/>
      <c r="AK27" s="83" t="s">
        <v>1991</v>
      </c>
      <c r="AL27" s="83"/>
      <c r="AM27" s="83"/>
      <c r="AN27" s="83"/>
      <c r="AO27" s="85">
        <v>40675.39690972222</v>
      </c>
      <c r="AP27" s="88" t="str">
        <f>HYPERLINK("https://pbs.twimg.com/profile_banners/297316043/1577867479")</f>
        <v>https://pbs.twimg.com/profile_banners/297316043/1577867479</v>
      </c>
      <c r="AQ27" s="83" t="b">
        <v>0</v>
      </c>
      <c r="AR27" s="83" t="b">
        <v>0</v>
      </c>
      <c r="AS27" s="83" t="b">
        <v>1</v>
      </c>
      <c r="AT27" s="83"/>
      <c r="AU27" s="83">
        <v>5533</v>
      </c>
      <c r="AV27" s="88" t="str">
        <f>HYPERLINK("http://abs.twimg.com/images/themes/theme1/bg.png")</f>
        <v>http://abs.twimg.com/images/themes/theme1/bg.png</v>
      </c>
      <c r="AW27" s="83" t="b">
        <v>0</v>
      </c>
      <c r="AX27" s="83" t="s">
        <v>2296</v>
      </c>
      <c r="AY27" s="88" t="str">
        <f>HYPERLINK("https://twitter.com/rldi_lamy")</f>
        <v>https://twitter.com/rldi_lamy</v>
      </c>
      <c r="AZ27" s="83" t="s">
        <v>66</v>
      </c>
      <c r="BA27" s="83" t="str">
        <f>REPLACE(INDEX(GroupVertices[Group],MATCH(Vertices[[#This Row],[Vertex]],GroupVertices[Vertex],0)),1,1,"")</f>
        <v>4</v>
      </c>
      <c r="BB27" s="49">
        <v>0</v>
      </c>
      <c r="BC27" s="50">
        <v>0</v>
      </c>
      <c r="BD27" s="49">
        <v>0</v>
      </c>
      <c r="BE27" s="50">
        <v>0</v>
      </c>
      <c r="BF27" s="49">
        <v>0</v>
      </c>
      <c r="BG27" s="50">
        <v>0</v>
      </c>
      <c r="BH27" s="49">
        <v>28</v>
      </c>
      <c r="BI27" s="50">
        <v>100</v>
      </c>
      <c r="BJ27" s="49">
        <v>28</v>
      </c>
      <c r="BK27" s="49" t="s">
        <v>4456</v>
      </c>
      <c r="BL27" s="49" t="s">
        <v>4456</v>
      </c>
      <c r="BM27" s="49" t="s">
        <v>532</v>
      </c>
      <c r="BN27" s="49" t="s">
        <v>532</v>
      </c>
      <c r="BO27" s="49" t="s">
        <v>568</v>
      </c>
      <c r="BP27" s="49" t="s">
        <v>568</v>
      </c>
      <c r="BQ27" s="119" t="s">
        <v>4610</v>
      </c>
      <c r="BR27" s="119" t="s">
        <v>4610</v>
      </c>
      <c r="BS27" s="119" t="s">
        <v>4729</v>
      </c>
      <c r="BT27" s="119" t="s">
        <v>4729</v>
      </c>
      <c r="BU27" s="2"/>
      <c r="BV27" s="3"/>
      <c r="BW27" s="3"/>
      <c r="BX27" s="3"/>
      <c r="BY27" s="3"/>
    </row>
    <row r="28" spans="1:77" ht="15">
      <c r="A28" s="68" t="s">
        <v>236</v>
      </c>
      <c r="B28" s="69"/>
      <c r="C28" s="69" t="s">
        <v>46</v>
      </c>
      <c r="D28" s="70"/>
      <c r="E28" s="72"/>
      <c r="F28" s="107" t="str">
        <f>HYPERLINK("http://pbs.twimg.com/profile_images/1178587444410761216/yDDDwkyM_normal.jpg")</f>
        <v>http://pbs.twimg.com/profile_images/1178587444410761216/yDDDwkyM_normal.jpg</v>
      </c>
      <c r="G28" s="69"/>
      <c r="H28" s="73" t="s">
        <v>236</v>
      </c>
      <c r="I28" s="74" t="s">
        <v>5214</v>
      </c>
      <c r="J28" s="74" t="s">
        <v>73</v>
      </c>
      <c r="K28" s="73" t="s">
        <v>2321</v>
      </c>
      <c r="L28" s="77">
        <v>1</v>
      </c>
      <c r="M28" s="78">
        <v>6401.81201171875</v>
      </c>
      <c r="N28" s="78">
        <v>3249.81884765625</v>
      </c>
      <c r="O28" s="79"/>
      <c r="P28" s="80"/>
      <c r="Q28" s="80"/>
      <c r="R28" s="93"/>
      <c r="S28" s="49">
        <v>0</v>
      </c>
      <c r="T28" s="49">
        <v>1</v>
      </c>
      <c r="U28" s="50">
        <v>0</v>
      </c>
      <c r="V28" s="50">
        <v>0.001086</v>
      </c>
      <c r="W28" s="50">
        <v>2E-06</v>
      </c>
      <c r="X28" s="50">
        <v>0.491591</v>
      </c>
      <c r="Y28" s="50">
        <v>0</v>
      </c>
      <c r="Z28" s="50">
        <v>0</v>
      </c>
      <c r="AA28" s="75">
        <v>28</v>
      </c>
      <c r="AB28" s="75"/>
      <c r="AC28" s="76"/>
      <c r="AD28" s="83" t="s">
        <v>1577</v>
      </c>
      <c r="AE28" s="91" t="s">
        <v>1782</v>
      </c>
      <c r="AF28" s="83">
        <v>546</v>
      </c>
      <c r="AG28" s="83">
        <v>291</v>
      </c>
      <c r="AH28" s="83">
        <v>125</v>
      </c>
      <c r="AI28" s="83">
        <v>2874</v>
      </c>
      <c r="AJ28" s="83"/>
      <c r="AK28" s="83" t="s">
        <v>1992</v>
      </c>
      <c r="AL28" s="83" t="s">
        <v>2185</v>
      </c>
      <c r="AM28" s="83"/>
      <c r="AN28" s="83"/>
      <c r="AO28" s="85">
        <v>39834.87269675926</v>
      </c>
      <c r="AP28" s="88" t="str">
        <f>HYPERLINK("https://pbs.twimg.com/profile_banners/19307466/1532182800")</f>
        <v>https://pbs.twimg.com/profile_banners/19307466/1532182800</v>
      </c>
      <c r="AQ28" s="83" t="b">
        <v>1</v>
      </c>
      <c r="AR28" s="83" t="b">
        <v>0</v>
      </c>
      <c r="AS28" s="83" t="b">
        <v>0</v>
      </c>
      <c r="AT28" s="83"/>
      <c r="AU28" s="83">
        <v>9</v>
      </c>
      <c r="AV28" s="88" t="str">
        <f>HYPERLINK("http://abs.twimg.com/images/themes/theme1/bg.png")</f>
        <v>http://abs.twimg.com/images/themes/theme1/bg.png</v>
      </c>
      <c r="AW28" s="83" t="b">
        <v>0</v>
      </c>
      <c r="AX28" s="83" t="s">
        <v>2296</v>
      </c>
      <c r="AY28" s="88" t="str">
        <f>HYPERLINK("https://twitter.com/salsamander")</f>
        <v>https://twitter.com/salsamander</v>
      </c>
      <c r="AZ28" s="83" t="s">
        <v>66</v>
      </c>
      <c r="BA28" s="83" t="str">
        <f>REPLACE(INDEX(GroupVertices[Group],MATCH(Vertices[[#This Row],[Vertex]],GroupVertices[Vertex],0)),1,1,"")</f>
        <v>7</v>
      </c>
      <c r="BB28" s="49">
        <v>0</v>
      </c>
      <c r="BC28" s="50">
        <v>0</v>
      </c>
      <c r="BD28" s="49">
        <v>0</v>
      </c>
      <c r="BE28" s="50">
        <v>0</v>
      </c>
      <c r="BF28" s="49">
        <v>0</v>
      </c>
      <c r="BG28" s="50">
        <v>0</v>
      </c>
      <c r="BH28" s="49">
        <v>28</v>
      </c>
      <c r="BI28" s="50">
        <v>100</v>
      </c>
      <c r="BJ28" s="49">
        <v>28</v>
      </c>
      <c r="BK28" s="49"/>
      <c r="BL28" s="49"/>
      <c r="BM28" s="49"/>
      <c r="BN28" s="49"/>
      <c r="BO28" s="49" t="s">
        <v>569</v>
      </c>
      <c r="BP28" s="49" t="s">
        <v>569</v>
      </c>
      <c r="BQ28" s="119" t="s">
        <v>4982</v>
      </c>
      <c r="BR28" s="119" t="s">
        <v>4982</v>
      </c>
      <c r="BS28" s="119" t="s">
        <v>5117</v>
      </c>
      <c r="BT28" s="119" t="s">
        <v>5117</v>
      </c>
      <c r="BU28" s="2"/>
      <c r="BV28" s="3"/>
      <c r="BW28" s="3"/>
      <c r="BX28" s="3"/>
      <c r="BY28" s="3"/>
    </row>
    <row r="29" spans="1:77" ht="15">
      <c r="A29" s="68" t="s">
        <v>264</v>
      </c>
      <c r="B29" s="69"/>
      <c r="C29" s="69" t="s">
        <v>64</v>
      </c>
      <c r="D29" s="70">
        <v>598.3729676286092</v>
      </c>
      <c r="E29" s="72"/>
      <c r="F29" s="107" t="str">
        <f>HYPERLINK("http://pbs.twimg.com/profile_images/890840272980062208/_2-gxU6R_normal.jpg")</f>
        <v>http://pbs.twimg.com/profile_images/890840272980062208/_2-gxU6R_normal.jpg</v>
      </c>
      <c r="G29" s="69"/>
      <c r="H29" s="73" t="s">
        <v>264</v>
      </c>
      <c r="I29" s="74" t="s">
        <v>5214</v>
      </c>
      <c r="J29" s="74" t="s">
        <v>73</v>
      </c>
      <c r="K29" s="73" t="s">
        <v>2322</v>
      </c>
      <c r="L29" s="77">
        <v>1613.5806451612902</v>
      </c>
      <c r="M29" s="78">
        <v>6156.7431640625</v>
      </c>
      <c r="N29" s="78">
        <v>4066.052490234375</v>
      </c>
      <c r="O29" s="79"/>
      <c r="P29" s="80"/>
      <c r="Q29" s="80"/>
      <c r="R29" s="93"/>
      <c r="S29" s="49">
        <v>5</v>
      </c>
      <c r="T29" s="49">
        <v>1</v>
      </c>
      <c r="U29" s="50">
        <v>1080</v>
      </c>
      <c r="V29" s="50">
        <v>0.001351</v>
      </c>
      <c r="W29" s="50">
        <v>3.1E-05</v>
      </c>
      <c r="X29" s="50">
        <v>2.009361</v>
      </c>
      <c r="Y29" s="50">
        <v>0</v>
      </c>
      <c r="Z29" s="50">
        <v>0</v>
      </c>
      <c r="AA29" s="75">
        <v>29</v>
      </c>
      <c r="AB29" s="75"/>
      <c r="AC29" s="76"/>
      <c r="AD29" s="83" t="s">
        <v>1578</v>
      </c>
      <c r="AE29" s="91" t="s">
        <v>1783</v>
      </c>
      <c r="AF29" s="83">
        <v>333</v>
      </c>
      <c r="AG29" s="83">
        <v>380</v>
      </c>
      <c r="AH29" s="83">
        <v>1863</v>
      </c>
      <c r="AI29" s="83">
        <v>1976</v>
      </c>
      <c r="AJ29" s="83"/>
      <c r="AK29" s="83" t="s">
        <v>1993</v>
      </c>
      <c r="AL29" s="83" t="s">
        <v>2186</v>
      </c>
      <c r="AM29" s="88" t="str">
        <f>HYPERLINK("https://t.co/bNzPk3vsF9")</f>
        <v>https://t.co/bNzPk3vsF9</v>
      </c>
      <c r="AN29" s="83"/>
      <c r="AO29" s="85">
        <v>40961.9709375</v>
      </c>
      <c r="AP29" s="88" t="str">
        <f>HYPERLINK("https://pbs.twimg.com/profile_banners/500246879/1590359219")</f>
        <v>https://pbs.twimg.com/profile_banners/500246879/1590359219</v>
      </c>
      <c r="AQ29" s="83" t="b">
        <v>1</v>
      </c>
      <c r="AR29" s="83" t="b">
        <v>0</v>
      </c>
      <c r="AS29" s="83" t="b">
        <v>0</v>
      </c>
      <c r="AT29" s="83"/>
      <c r="AU29" s="83">
        <v>20</v>
      </c>
      <c r="AV29" s="88" t="str">
        <f>HYPERLINK("http://abs.twimg.com/images/themes/theme1/bg.png")</f>
        <v>http://abs.twimg.com/images/themes/theme1/bg.png</v>
      </c>
      <c r="AW29" s="83" t="b">
        <v>0</v>
      </c>
      <c r="AX29" s="83" t="s">
        <v>2296</v>
      </c>
      <c r="AY29" s="88" t="str">
        <f>HYPERLINK("https://twitter.com/vizmonkey")</f>
        <v>https://twitter.com/vizmonkey</v>
      </c>
      <c r="AZ29" s="83" t="s">
        <v>66</v>
      </c>
      <c r="BA29" s="83" t="str">
        <f>REPLACE(INDEX(GroupVertices[Group],MATCH(Vertices[[#This Row],[Vertex]],GroupVertices[Vertex],0)),1,1,"")</f>
        <v>7</v>
      </c>
      <c r="BB29" s="49">
        <v>0</v>
      </c>
      <c r="BC29" s="50">
        <v>0</v>
      </c>
      <c r="BD29" s="49">
        <v>0</v>
      </c>
      <c r="BE29" s="50">
        <v>0</v>
      </c>
      <c r="BF29" s="49">
        <v>0</v>
      </c>
      <c r="BG29" s="50">
        <v>0</v>
      </c>
      <c r="BH29" s="49">
        <v>28</v>
      </c>
      <c r="BI29" s="50">
        <v>100</v>
      </c>
      <c r="BJ29" s="49">
        <v>28</v>
      </c>
      <c r="BK29" s="49"/>
      <c r="BL29" s="49"/>
      <c r="BM29" s="49"/>
      <c r="BN29" s="49"/>
      <c r="BO29" s="49" t="s">
        <v>569</v>
      </c>
      <c r="BP29" s="49" t="s">
        <v>569</v>
      </c>
      <c r="BQ29" s="119" t="s">
        <v>4982</v>
      </c>
      <c r="BR29" s="119" t="s">
        <v>4982</v>
      </c>
      <c r="BS29" s="119" t="s">
        <v>5117</v>
      </c>
      <c r="BT29" s="119" t="s">
        <v>5117</v>
      </c>
      <c r="BU29" s="2"/>
      <c r="BV29" s="3"/>
      <c r="BW29" s="3"/>
      <c r="BX29" s="3"/>
      <c r="BY29" s="3"/>
    </row>
    <row r="30" spans="1:77" ht="15">
      <c r="A30" s="68" t="s">
        <v>237</v>
      </c>
      <c r="B30" s="69"/>
      <c r="C30" s="69" t="s">
        <v>46</v>
      </c>
      <c r="D30" s="70"/>
      <c r="E30" s="72"/>
      <c r="F30" s="107" t="str">
        <f>HYPERLINK("http://pbs.twimg.com/profile_images/2817082886/4febae9927297713321d9b995c651da8_normal.jpeg")</f>
        <v>http://pbs.twimg.com/profile_images/2817082886/4febae9927297713321d9b995c651da8_normal.jpeg</v>
      </c>
      <c r="G30" s="69"/>
      <c r="H30" s="73" t="s">
        <v>237</v>
      </c>
      <c r="I30" s="74" t="s">
        <v>5216</v>
      </c>
      <c r="J30" s="74" t="s">
        <v>73</v>
      </c>
      <c r="K30" s="73" t="s">
        <v>2323</v>
      </c>
      <c r="L30" s="77">
        <v>1</v>
      </c>
      <c r="M30" s="78">
        <v>6834.7431640625</v>
      </c>
      <c r="N30" s="78">
        <v>6299.818359375</v>
      </c>
      <c r="O30" s="79"/>
      <c r="P30" s="80"/>
      <c r="Q30" s="80"/>
      <c r="R30" s="93"/>
      <c r="S30" s="49">
        <v>0</v>
      </c>
      <c r="T30" s="49">
        <v>9</v>
      </c>
      <c r="U30" s="50">
        <v>0.315789</v>
      </c>
      <c r="V30" s="50">
        <v>0.001209</v>
      </c>
      <c r="W30" s="50">
        <v>0.033625</v>
      </c>
      <c r="X30" s="50">
        <v>0.761245</v>
      </c>
      <c r="Y30" s="50">
        <v>0.6666666666666666</v>
      </c>
      <c r="Z30" s="50">
        <v>0</v>
      </c>
      <c r="AA30" s="75">
        <v>30</v>
      </c>
      <c r="AB30" s="75"/>
      <c r="AC30" s="76"/>
      <c r="AD30" s="83" t="s">
        <v>1579</v>
      </c>
      <c r="AE30" s="91" t="s">
        <v>1784</v>
      </c>
      <c r="AF30" s="83">
        <v>10563</v>
      </c>
      <c r="AG30" s="83">
        <v>11082</v>
      </c>
      <c r="AH30" s="83">
        <v>219925</v>
      </c>
      <c r="AI30" s="83">
        <v>220180</v>
      </c>
      <c r="AJ30" s="83"/>
      <c r="AK30" s="83" t="s">
        <v>1994</v>
      </c>
      <c r="AL30" s="83" t="s">
        <v>2187</v>
      </c>
      <c r="AM30" s="83"/>
      <c r="AN30" s="83"/>
      <c r="AO30" s="85">
        <v>40311.853055555555</v>
      </c>
      <c r="AP30" s="88" t="str">
        <f>HYPERLINK("https://pbs.twimg.com/profile_banners/143562564/1581382500")</f>
        <v>https://pbs.twimg.com/profile_banners/143562564/1581382500</v>
      </c>
      <c r="AQ30" s="83" t="b">
        <v>0</v>
      </c>
      <c r="AR30" s="83" t="b">
        <v>0</v>
      </c>
      <c r="AS30" s="83" t="b">
        <v>0</v>
      </c>
      <c r="AT30" s="83"/>
      <c r="AU30" s="83">
        <v>562</v>
      </c>
      <c r="AV30" s="88" t="str">
        <f>HYPERLINK("http://abs.twimg.com/images/themes/theme15/bg.png")</f>
        <v>http://abs.twimg.com/images/themes/theme15/bg.png</v>
      </c>
      <c r="AW30" s="83" t="b">
        <v>0</v>
      </c>
      <c r="AX30" s="83" t="s">
        <v>2296</v>
      </c>
      <c r="AY30" s="88" t="str">
        <f>HYPERLINK("https://twitter.com/silentseawolf")</f>
        <v>https://twitter.com/silentseawolf</v>
      </c>
      <c r="AZ30" s="83" t="s">
        <v>66</v>
      </c>
      <c r="BA30" s="83" t="str">
        <f>REPLACE(INDEX(GroupVertices[Group],MATCH(Vertices[[#This Row],[Vertex]],GroupVertices[Vertex],0)),1,1,"")</f>
        <v>4</v>
      </c>
      <c r="BB30" s="49">
        <v>0</v>
      </c>
      <c r="BC30" s="50">
        <v>0</v>
      </c>
      <c r="BD30" s="49">
        <v>0</v>
      </c>
      <c r="BE30" s="50">
        <v>0</v>
      </c>
      <c r="BF30" s="49">
        <v>0</v>
      </c>
      <c r="BG30" s="50">
        <v>0</v>
      </c>
      <c r="BH30" s="49">
        <v>28</v>
      </c>
      <c r="BI30" s="50">
        <v>100</v>
      </c>
      <c r="BJ30" s="49">
        <v>28</v>
      </c>
      <c r="BK30" s="49" t="s">
        <v>4456</v>
      </c>
      <c r="BL30" s="49" t="s">
        <v>4456</v>
      </c>
      <c r="BM30" s="49" t="s">
        <v>532</v>
      </c>
      <c r="BN30" s="49" t="s">
        <v>532</v>
      </c>
      <c r="BO30" s="49" t="s">
        <v>568</v>
      </c>
      <c r="BP30" s="49" t="s">
        <v>568</v>
      </c>
      <c r="BQ30" s="119" t="s">
        <v>4610</v>
      </c>
      <c r="BR30" s="119" t="s">
        <v>4610</v>
      </c>
      <c r="BS30" s="119" t="s">
        <v>4729</v>
      </c>
      <c r="BT30" s="119" t="s">
        <v>4729</v>
      </c>
      <c r="BU30" s="2"/>
      <c r="BV30" s="3"/>
      <c r="BW30" s="3"/>
      <c r="BX30" s="3"/>
      <c r="BY30" s="3"/>
    </row>
    <row r="31" spans="1:77" ht="15">
      <c r="A31" s="68" t="s">
        <v>238</v>
      </c>
      <c r="B31" s="69"/>
      <c r="C31" s="69" t="s">
        <v>46</v>
      </c>
      <c r="D31" s="70"/>
      <c r="E31" s="72"/>
      <c r="F31" s="107" t="str">
        <f>HYPERLINK("http://pbs.twimg.com/profile_images/1204063138938793986/GdXfiuuh_normal.jpg")</f>
        <v>http://pbs.twimg.com/profile_images/1204063138938793986/GdXfiuuh_normal.jpg</v>
      </c>
      <c r="G31" s="69"/>
      <c r="H31" s="73" t="s">
        <v>238</v>
      </c>
      <c r="I31" s="74" t="s">
        <v>5217</v>
      </c>
      <c r="J31" s="74" t="s">
        <v>73</v>
      </c>
      <c r="K31" s="73" t="s">
        <v>2324</v>
      </c>
      <c r="L31" s="77">
        <v>1</v>
      </c>
      <c r="M31" s="78">
        <v>3769.5751953125</v>
      </c>
      <c r="N31" s="78">
        <v>7722.64794921875</v>
      </c>
      <c r="O31" s="79"/>
      <c r="P31" s="80"/>
      <c r="Q31" s="80"/>
      <c r="R31" s="93"/>
      <c r="S31" s="49">
        <v>0</v>
      </c>
      <c r="T31" s="49">
        <v>1</v>
      </c>
      <c r="U31" s="50">
        <v>0</v>
      </c>
      <c r="V31" s="50">
        <v>0.001366</v>
      </c>
      <c r="W31" s="50">
        <v>2E-05</v>
      </c>
      <c r="X31" s="50">
        <v>0.37486</v>
      </c>
      <c r="Y31" s="50">
        <v>0</v>
      </c>
      <c r="Z31" s="50">
        <v>0</v>
      </c>
      <c r="AA31" s="75">
        <v>31</v>
      </c>
      <c r="AB31" s="75"/>
      <c r="AC31" s="76"/>
      <c r="AD31" s="83" t="s">
        <v>1580</v>
      </c>
      <c r="AE31" s="91" t="s">
        <v>1785</v>
      </c>
      <c r="AF31" s="83">
        <v>601</v>
      </c>
      <c r="AG31" s="83">
        <v>2913</v>
      </c>
      <c r="AH31" s="83">
        <v>157465</v>
      </c>
      <c r="AI31" s="83">
        <v>471</v>
      </c>
      <c r="AJ31" s="83"/>
      <c r="AK31" s="83" t="s">
        <v>1995</v>
      </c>
      <c r="AL31" s="83" t="s">
        <v>2188</v>
      </c>
      <c r="AM31" s="83"/>
      <c r="AN31" s="83"/>
      <c r="AO31" s="85">
        <v>39746.63415509259</v>
      </c>
      <c r="AP31" s="88" t="str">
        <f>HYPERLINK("https://pbs.twimg.com/profile_banners/16967457/1548345008")</f>
        <v>https://pbs.twimg.com/profile_banners/16967457/1548345008</v>
      </c>
      <c r="AQ31" s="83" t="b">
        <v>0</v>
      </c>
      <c r="AR31" s="83" t="b">
        <v>0</v>
      </c>
      <c r="AS31" s="83" t="b">
        <v>0</v>
      </c>
      <c r="AT31" s="83"/>
      <c r="AU31" s="83">
        <v>75</v>
      </c>
      <c r="AV31" s="88" t="str">
        <f>HYPERLINK("http://abs.twimg.com/images/themes/theme1/bg.png")</f>
        <v>http://abs.twimg.com/images/themes/theme1/bg.png</v>
      </c>
      <c r="AW31" s="83" t="b">
        <v>0</v>
      </c>
      <c r="AX31" s="83" t="s">
        <v>2296</v>
      </c>
      <c r="AY31" s="88" t="str">
        <f>HYPERLINK("https://twitter.com/greentechdon")</f>
        <v>https://twitter.com/greentechdon</v>
      </c>
      <c r="AZ31" s="83" t="s">
        <v>66</v>
      </c>
      <c r="BA31" s="83" t="str">
        <f>REPLACE(INDEX(GroupVertices[Group],MATCH(Vertices[[#This Row],[Vertex]],GroupVertices[Vertex],0)),1,1,"")</f>
        <v>2</v>
      </c>
      <c r="BB31" s="49">
        <v>0</v>
      </c>
      <c r="BC31" s="50">
        <v>0</v>
      </c>
      <c r="BD31" s="49">
        <v>0</v>
      </c>
      <c r="BE31" s="50">
        <v>0</v>
      </c>
      <c r="BF31" s="49">
        <v>0</v>
      </c>
      <c r="BG31" s="50">
        <v>0</v>
      </c>
      <c r="BH31" s="49">
        <v>26</v>
      </c>
      <c r="BI31" s="50">
        <v>100</v>
      </c>
      <c r="BJ31" s="49">
        <v>26</v>
      </c>
      <c r="BK31" s="49" t="s">
        <v>4455</v>
      </c>
      <c r="BL31" s="49" t="s">
        <v>4455</v>
      </c>
      <c r="BM31" s="49" t="s">
        <v>533</v>
      </c>
      <c r="BN31" s="49" t="s">
        <v>533</v>
      </c>
      <c r="BO31" s="49"/>
      <c r="BP31" s="49"/>
      <c r="BQ31" s="119" t="s">
        <v>4983</v>
      </c>
      <c r="BR31" s="119" t="s">
        <v>4983</v>
      </c>
      <c r="BS31" s="119" t="s">
        <v>5118</v>
      </c>
      <c r="BT31" s="119" t="s">
        <v>5118</v>
      </c>
      <c r="BU31" s="2"/>
      <c r="BV31" s="3"/>
      <c r="BW31" s="3"/>
      <c r="BX31" s="3"/>
      <c r="BY31" s="3"/>
    </row>
    <row r="32" spans="1:77" ht="15">
      <c r="A32" s="68" t="s">
        <v>417</v>
      </c>
      <c r="B32" s="69"/>
      <c r="C32" s="69" t="s">
        <v>64</v>
      </c>
      <c r="D32" s="70">
        <v>1000</v>
      </c>
      <c r="E32" s="72"/>
      <c r="F32" s="107" t="str">
        <f>HYPERLINK("http://pbs.twimg.com/profile_images/917490733116002304/druvxWq0_normal.jpg")</f>
        <v>http://pbs.twimg.com/profile_images/917490733116002304/druvxWq0_normal.jpg</v>
      </c>
      <c r="G32" s="69"/>
      <c r="H32" s="73" t="s">
        <v>417</v>
      </c>
      <c r="I32" s="74" t="s">
        <v>5217</v>
      </c>
      <c r="J32" s="74" t="s">
        <v>73</v>
      </c>
      <c r="K32" s="73" t="s">
        <v>2325</v>
      </c>
      <c r="L32" s="77">
        <v>6451.322580645161</v>
      </c>
      <c r="M32" s="78">
        <v>4183.572265625</v>
      </c>
      <c r="N32" s="78">
        <v>8494.26171875</v>
      </c>
      <c r="O32" s="79"/>
      <c r="P32" s="80"/>
      <c r="Q32" s="80"/>
      <c r="R32" s="93"/>
      <c r="S32" s="49">
        <v>20</v>
      </c>
      <c r="T32" s="49">
        <v>1</v>
      </c>
      <c r="U32" s="50">
        <v>4155.71705</v>
      </c>
      <c r="V32" s="50">
        <v>0.001815</v>
      </c>
      <c r="W32" s="50">
        <v>0.000305</v>
      </c>
      <c r="X32" s="50">
        <v>5.290829</v>
      </c>
      <c r="Y32" s="50">
        <v>0.02046783625730994</v>
      </c>
      <c r="Z32" s="50">
        <v>0</v>
      </c>
      <c r="AA32" s="75">
        <v>32</v>
      </c>
      <c r="AB32" s="75"/>
      <c r="AC32" s="76"/>
      <c r="AD32" s="83" t="s">
        <v>1529</v>
      </c>
      <c r="AE32" s="91" t="s">
        <v>1786</v>
      </c>
      <c r="AF32" s="83">
        <v>6130</v>
      </c>
      <c r="AG32" s="83">
        <v>6513</v>
      </c>
      <c r="AH32" s="83">
        <v>17883</v>
      </c>
      <c r="AI32" s="83">
        <v>12773</v>
      </c>
      <c r="AJ32" s="83"/>
      <c r="AK32" s="83" t="s">
        <v>1996</v>
      </c>
      <c r="AL32" s="83"/>
      <c r="AM32" s="88" t="str">
        <f>HYPERLINK("https://t.co/mDx3e1gHzm")</f>
        <v>https://t.co/mDx3e1gHzm</v>
      </c>
      <c r="AN32" s="83"/>
      <c r="AO32" s="85">
        <v>40094.43728009259</v>
      </c>
      <c r="AP32" s="88" t="str">
        <f>HYPERLINK("https://pbs.twimg.com/profile_banners/80817617/1597832710")</f>
        <v>https://pbs.twimg.com/profile_banners/80817617/1597832710</v>
      </c>
      <c r="AQ32" s="83" t="b">
        <v>0</v>
      </c>
      <c r="AR32" s="83" t="b">
        <v>0</v>
      </c>
      <c r="AS32" s="83" t="b">
        <v>1</v>
      </c>
      <c r="AT32" s="83"/>
      <c r="AU32" s="83">
        <v>506</v>
      </c>
      <c r="AV32" s="88" t="str">
        <f>HYPERLINK("http://abs.twimg.com/images/themes/theme1/bg.png")</f>
        <v>http://abs.twimg.com/images/themes/theme1/bg.png</v>
      </c>
      <c r="AW32" s="83" t="b">
        <v>0</v>
      </c>
      <c r="AX32" s="83" t="s">
        <v>2296</v>
      </c>
      <c r="AY32" s="88" t="str">
        <f>HYPERLINK("https://twitter.com/gavlaaaaaaaa")</f>
        <v>https://twitter.com/gavlaaaaaaaa</v>
      </c>
      <c r="AZ32" s="83" t="s">
        <v>66</v>
      </c>
      <c r="BA32" s="83" t="str">
        <f>REPLACE(INDEX(GroupVertices[Group],MATCH(Vertices[[#This Row],[Vertex]],GroupVertices[Vertex],0)),1,1,"")</f>
        <v>2</v>
      </c>
      <c r="BB32" s="49">
        <v>0</v>
      </c>
      <c r="BC32" s="50">
        <v>0</v>
      </c>
      <c r="BD32" s="49">
        <v>0</v>
      </c>
      <c r="BE32" s="50">
        <v>0</v>
      </c>
      <c r="BF32" s="49">
        <v>0</v>
      </c>
      <c r="BG32" s="50">
        <v>0</v>
      </c>
      <c r="BH32" s="49">
        <v>26</v>
      </c>
      <c r="BI32" s="50">
        <v>100</v>
      </c>
      <c r="BJ32" s="49">
        <v>26</v>
      </c>
      <c r="BK32" s="49" t="s">
        <v>4455</v>
      </c>
      <c r="BL32" s="49" t="s">
        <v>4455</v>
      </c>
      <c r="BM32" s="49" t="s">
        <v>533</v>
      </c>
      <c r="BN32" s="49" t="s">
        <v>533</v>
      </c>
      <c r="BO32" s="49" t="s">
        <v>631</v>
      </c>
      <c r="BP32" s="49" t="s">
        <v>631</v>
      </c>
      <c r="BQ32" s="119" t="s">
        <v>4983</v>
      </c>
      <c r="BR32" s="119" t="s">
        <v>4983</v>
      </c>
      <c r="BS32" s="119" t="s">
        <v>5118</v>
      </c>
      <c r="BT32" s="119" t="s">
        <v>5118</v>
      </c>
      <c r="BU32" s="2"/>
      <c r="BV32" s="3"/>
      <c r="BW32" s="3"/>
      <c r="BX32" s="3"/>
      <c r="BY32" s="3"/>
    </row>
    <row r="33" spans="1:77" ht="15">
      <c r="A33" s="68" t="s">
        <v>239</v>
      </c>
      <c r="B33" s="69"/>
      <c r="C33" s="69" t="s">
        <v>46</v>
      </c>
      <c r="D33" s="70"/>
      <c r="E33" s="72"/>
      <c r="F33" s="107" t="str">
        <f>HYPERLINK("http://pbs.twimg.com/profile_images/1275308140930781186/A0tQPARh_normal.jpg")</f>
        <v>http://pbs.twimg.com/profile_images/1275308140930781186/A0tQPARh_normal.jpg</v>
      </c>
      <c r="G33" s="69"/>
      <c r="H33" s="73" t="s">
        <v>239</v>
      </c>
      <c r="I33" s="74" t="s">
        <v>5217</v>
      </c>
      <c r="J33" s="74" t="s">
        <v>73</v>
      </c>
      <c r="K33" s="73" t="s">
        <v>2326</v>
      </c>
      <c r="L33" s="77">
        <v>1</v>
      </c>
      <c r="M33" s="78">
        <v>4249.44677734375</v>
      </c>
      <c r="N33" s="78">
        <v>9409.84375</v>
      </c>
      <c r="O33" s="79"/>
      <c r="P33" s="80"/>
      <c r="Q33" s="80"/>
      <c r="R33" s="93"/>
      <c r="S33" s="49">
        <v>0</v>
      </c>
      <c r="T33" s="49">
        <v>1</v>
      </c>
      <c r="U33" s="50">
        <v>0</v>
      </c>
      <c r="V33" s="50">
        <v>0.001366</v>
      </c>
      <c r="W33" s="50">
        <v>2E-05</v>
      </c>
      <c r="X33" s="50">
        <v>0.37486</v>
      </c>
      <c r="Y33" s="50">
        <v>0</v>
      </c>
      <c r="Z33" s="50">
        <v>0</v>
      </c>
      <c r="AA33" s="75">
        <v>33</v>
      </c>
      <c r="AB33" s="75"/>
      <c r="AC33" s="76"/>
      <c r="AD33" s="83" t="s">
        <v>239</v>
      </c>
      <c r="AE33" s="91" t="s">
        <v>1787</v>
      </c>
      <c r="AF33" s="83">
        <v>97</v>
      </c>
      <c r="AG33" s="83">
        <v>59</v>
      </c>
      <c r="AH33" s="83">
        <v>265</v>
      </c>
      <c r="AI33" s="83">
        <v>382</v>
      </c>
      <c r="AJ33" s="83"/>
      <c r="AK33" s="83" t="s">
        <v>1997</v>
      </c>
      <c r="AL33" s="83" t="s">
        <v>2179</v>
      </c>
      <c r="AM33" s="83"/>
      <c r="AN33" s="83"/>
      <c r="AO33" s="85">
        <v>43967.14734953704</v>
      </c>
      <c r="AP33" s="83"/>
      <c r="AQ33" s="83" t="b">
        <v>1</v>
      </c>
      <c r="AR33" s="83" t="b">
        <v>0</v>
      </c>
      <c r="AS33" s="83" t="b">
        <v>0</v>
      </c>
      <c r="AT33" s="83"/>
      <c r="AU33" s="83">
        <v>0</v>
      </c>
      <c r="AV33" s="83"/>
      <c r="AW33" s="83" t="b">
        <v>0</v>
      </c>
      <c r="AX33" s="83" t="s">
        <v>2296</v>
      </c>
      <c r="AY33" s="88" t="str">
        <f>HYPERLINK("https://twitter.com/afrodevs")</f>
        <v>https://twitter.com/afrodevs</v>
      </c>
      <c r="AZ33" s="83" t="s">
        <v>66</v>
      </c>
      <c r="BA33" s="83" t="str">
        <f>REPLACE(INDEX(GroupVertices[Group],MATCH(Vertices[[#This Row],[Vertex]],GroupVertices[Vertex],0)),1,1,"")</f>
        <v>2</v>
      </c>
      <c r="BB33" s="49">
        <v>0</v>
      </c>
      <c r="BC33" s="50">
        <v>0</v>
      </c>
      <c r="BD33" s="49">
        <v>0</v>
      </c>
      <c r="BE33" s="50">
        <v>0</v>
      </c>
      <c r="BF33" s="49">
        <v>0</v>
      </c>
      <c r="BG33" s="50">
        <v>0</v>
      </c>
      <c r="BH33" s="49">
        <v>26</v>
      </c>
      <c r="BI33" s="50">
        <v>100</v>
      </c>
      <c r="BJ33" s="49">
        <v>26</v>
      </c>
      <c r="BK33" s="49" t="s">
        <v>4455</v>
      </c>
      <c r="BL33" s="49" t="s">
        <v>4455</v>
      </c>
      <c r="BM33" s="49" t="s">
        <v>533</v>
      </c>
      <c r="BN33" s="49" t="s">
        <v>533</v>
      </c>
      <c r="BO33" s="49"/>
      <c r="BP33" s="49"/>
      <c r="BQ33" s="119" t="s">
        <v>4983</v>
      </c>
      <c r="BR33" s="119" t="s">
        <v>4983</v>
      </c>
      <c r="BS33" s="119" t="s">
        <v>5118</v>
      </c>
      <c r="BT33" s="119" t="s">
        <v>5118</v>
      </c>
      <c r="BU33" s="2"/>
      <c r="BV33" s="3"/>
      <c r="BW33" s="3"/>
      <c r="BX33" s="3"/>
      <c r="BY33" s="3"/>
    </row>
    <row r="34" spans="1:77" ht="15">
      <c r="A34" s="68" t="s">
        <v>240</v>
      </c>
      <c r="B34" s="69"/>
      <c r="C34" s="69" t="s">
        <v>46</v>
      </c>
      <c r="D34" s="70"/>
      <c r="E34" s="72"/>
      <c r="F34" s="107" t="str">
        <f>HYPERLINK("http://pbs.twimg.com/profile_images/939804876514533376/sEb4CbaU_normal.jpg")</f>
        <v>http://pbs.twimg.com/profile_images/939804876514533376/sEb4CbaU_normal.jpg</v>
      </c>
      <c r="G34" s="69"/>
      <c r="H34" s="73" t="s">
        <v>240</v>
      </c>
      <c r="I34" s="74" t="s">
        <v>5214</v>
      </c>
      <c r="J34" s="74" t="s">
        <v>73</v>
      </c>
      <c r="K34" s="73" t="s">
        <v>2327</v>
      </c>
      <c r="L34" s="77">
        <v>1</v>
      </c>
      <c r="M34" s="78">
        <v>5385.0986328125</v>
      </c>
      <c r="N34" s="78">
        <v>4331.3857421875</v>
      </c>
      <c r="O34" s="79"/>
      <c r="P34" s="80"/>
      <c r="Q34" s="80"/>
      <c r="R34" s="93"/>
      <c r="S34" s="49">
        <v>0</v>
      </c>
      <c r="T34" s="49">
        <v>1</v>
      </c>
      <c r="U34" s="50">
        <v>0</v>
      </c>
      <c r="V34" s="50">
        <v>0.001086</v>
      </c>
      <c r="W34" s="50">
        <v>2E-06</v>
      </c>
      <c r="X34" s="50">
        <v>0.491591</v>
      </c>
      <c r="Y34" s="50">
        <v>0</v>
      </c>
      <c r="Z34" s="50">
        <v>0</v>
      </c>
      <c r="AA34" s="75">
        <v>34</v>
      </c>
      <c r="AB34" s="75"/>
      <c r="AC34" s="76"/>
      <c r="AD34" s="83" t="s">
        <v>1581</v>
      </c>
      <c r="AE34" s="91" t="s">
        <v>1788</v>
      </c>
      <c r="AF34" s="83">
        <v>498</v>
      </c>
      <c r="AG34" s="83">
        <v>2316</v>
      </c>
      <c r="AH34" s="83">
        <v>55939</v>
      </c>
      <c r="AI34" s="83">
        <v>5526</v>
      </c>
      <c r="AJ34" s="83"/>
      <c r="AK34" s="83" t="s">
        <v>1998</v>
      </c>
      <c r="AL34" s="83" t="s">
        <v>2189</v>
      </c>
      <c r="AM34" s="88" t="str">
        <f>HYPERLINK("https://t.co/4iBoy81Y2g")</f>
        <v>https://t.co/4iBoy81Y2g</v>
      </c>
      <c r="AN34" s="83"/>
      <c r="AO34" s="85">
        <v>40793.18283564815</v>
      </c>
      <c r="AP34" s="88" t="str">
        <f>HYPERLINK("https://pbs.twimg.com/profile_banners/369315889/1514216566")</f>
        <v>https://pbs.twimg.com/profile_banners/369315889/1514216566</v>
      </c>
      <c r="AQ34" s="83" t="b">
        <v>1</v>
      </c>
      <c r="AR34" s="83" t="b">
        <v>0</v>
      </c>
      <c r="AS34" s="83" t="b">
        <v>0</v>
      </c>
      <c r="AT34" s="83"/>
      <c r="AU34" s="83">
        <v>23</v>
      </c>
      <c r="AV34" s="88" t="str">
        <f>HYPERLINK("http://abs.twimg.com/images/themes/theme1/bg.png")</f>
        <v>http://abs.twimg.com/images/themes/theme1/bg.png</v>
      </c>
      <c r="AW34" s="83" t="b">
        <v>0</v>
      </c>
      <c r="AX34" s="83" t="s">
        <v>2296</v>
      </c>
      <c r="AY34" s="88" t="str">
        <f>HYPERLINK("https://twitter.com/s_akrati")</f>
        <v>https://twitter.com/s_akrati</v>
      </c>
      <c r="AZ34" s="83" t="s">
        <v>66</v>
      </c>
      <c r="BA34" s="83" t="str">
        <f>REPLACE(INDEX(GroupVertices[Group],MATCH(Vertices[[#This Row],[Vertex]],GroupVertices[Vertex],0)),1,1,"")</f>
        <v>7</v>
      </c>
      <c r="BB34" s="49">
        <v>0</v>
      </c>
      <c r="BC34" s="50">
        <v>0</v>
      </c>
      <c r="BD34" s="49">
        <v>0</v>
      </c>
      <c r="BE34" s="50">
        <v>0</v>
      </c>
      <c r="BF34" s="49">
        <v>0</v>
      </c>
      <c r="BG34" s="50">
        <v>0</v>
      </c>
      <c r="BH34" s="49">
        <v>28</v>
      </c>
      <c r="BI34" s="50">
        <v>100</v>
      </c>
      <c r="BJ34" s="49">
        <v>28</v>
      </c>
      <c r="BK34" s="49"/>
      <c r="BL34" s="49"/>
      <c r="BM34" s="49"/>
      <c r="BN34" s="49"/>
      <c r="BO34" s="49" t="s">
        <v>569</v>
      </c>
      <c r="BP34" s="49" t="s">
        <v>569</v>
      </c>
      <c r="BQ34" s="119" t="s">
        <v>4982</v>
      </c>
      <c r="BR34" s="119" t="s">
        <v>4982</v>
      </c>
      <c r="BS34" s="119" t="s">
        <v>5117</v>
      </c>
      <c r="BT34" s="119" t="s">
        <v>5117</v>
      </c>
      <c r="BU34" s="2"/>
      <c r="BV34" s="3"/>
      <c r="BW34" s="3"/>
      <c r="BX34" s="3"/>
      <c r="BY34" s="3"/>
    </row>
    <row r="35" spans="1:77" ht="15">
      <c r="A35" s="68" t="s">
        <v>241</v>
      </c>
      <c r="B35" s="69"/>
      <c r="C35" s="69" t="s">
        <v>46</v>
      </c>
      <c r="D35" s="70"/>
      <c r="E35" s="72"/>
      <c r="F35" s="107" t="str">
        <f>HYPERLINK("http://pbs.twimg.com/profile_images/1265943626464538629/9DWNQMcy_normal.jpg")</f>
        <v>http://pbs.twimg.com/profile_images/1265943626464538629/9DWNQMcy_normal.jpg</v>
      </c>
      <c r="G35" s="69"/>
      <c r="H35" s="73" t="s">
        <v>241</v>
      </c>
      <c r="I35" s="74" t="s">
        <v>5217</v>
      </c>
      <c r="J35" s="74" t="s">
        <v>73</v>
      </c>
      <c r="K35" s="73" t="s">
        <v>2328</v>
      </c>
      <c r="L35" s="77">
        <v>1</v>
      </c>
      <c r="M35" s="78">
        <v>3982.484130859375</v>
      </c>
      <c r="N35" s="78">
        <v>7154.32861328125</v>
      </c>
      <c r="O35" s="79"/>
      <c r="P35" s="80"/>
      <c r="Q35" s="80"/>
      <c r="R35" s="93"/>
      <c r="S35" s="49">
        <v>0</v>
      </c>
      <c r="T35" s="49">
        <v>1</v>
      </c>
      <c r="U35" s="50">
        <v>0</v>
      </c>
      <c r="V35" s="50">
        <v>0.001366</v>
      </c>
      <c r="W35" s="50">
        <v>2E-05</v>
      </c>
      <c r="X35" s="50">
        <v>0.37486</v>
      </c>
      <c r="Y35" s="50">
        <v>0</v>
      </c>
      <c r="Z35" s="50">
        <v>0</v>
      </c>
      <c r="AA35" s="75">
        <v>35</v>
      </c>
      <c r="AB35" s="75"/>
      <c r="AC35" s="76"/>
      <c r="AD35" s="83" t="s">
        <v>1582</v>
      </c>
      <c r="AE35" s="91" t="s">
        <v>1789</v>
      </c>
      <c r="AF35" s="83">
        <v>1018</v>
      </c>
      <c r="AG35" s="83">
        <v>485</v>
      </c>
      <c r="AH35" s="83">
        <v>3421</v>
      </c>
      <c r="AI35" s="83">
        <v>7075</v>
      </c>
      <c r="AJ35" s="83"/>
      <c r="AK35" s="83" t="s">
        <v>1999</v>
      </c>
      <c r="AL35" s="83" t="s">
        <v>2190</v>
      </c>
      <c r="AM35" s="83"/>
      <c r="AN35" s="83"/>
      <c r="AO35" s="85">
        <v>43446.670069444444</v>
      </c>
      <c r="AP35" s="88" t="str">
        <f>HYPERLINK("https://pbs.twimg.com/profile_banners/1072885009818763264/1561185659")</f>
        <v>https://pbs.twimg.com/profile_banners/1072885009818763264/1561185659</v>
      </c>
      <c r="AQ35" s="83" t="b">
        <v>1</v>
      </c>
      <c r="AR35" s="83" t="b">
        <v>0</v>
      </c>
      <c r="AS35" s="83" t="b">
        <v>0</v>
      </c>
      <c r="AT35" s="83"/>
      <c r="AU35" s="83">
        <v>1</v>
      </c>
      <c r="AV35" s="83"/>
      <c r="AW35" s="83" t="b">
        <v>0</v>
      </c>
      <c r="AX35" s="83" t="s">
        <v>2296</v>
      </c>
      <c r="AY35" s="88" t="str">
        <f>HYPERLINK("https://twitter.com/benemmerich")</f>
        <v>https://twitter.com/benemmerich</v>
      </c>
      <c r="AZ35" s="83" t="s">
        <v>66</v>
      </c>
      <c r="BA35" s="83" t="str">
        <f>REPLACE(INDEX(GroupVertices[Group],MATCH(Vertices[[#This Row],[Vertex]],GroupVertices[Vertex],0)),1,1,"")</f>
        <v>2</v>
      </c>
      <c r="BB35" s="49">
        <v>0</v>
      </c>
      <c r="BC35" s="50">
        <v>0</v>
      </c>
      <c r="BD35" s="49">
        <v>0</v>
      </c>
      <c r="BE35" s="50">
        <v>0</v>
      </c>
      <c r="BF35" s="49">
        <v>0</v>
      </c>
      <c r="BG35" s="50">
        <v>0</v>
      </c>
      <c r="BH35" s="49">
        <v>26</v>
      </c>
      <c r="BI35" s="50">
        <v>100</v>
      </c>
      <c r="BJ35" s="49">
        <v>26</v>
      </c>
      <c r="BK35" s="49" t="s">
        <v>4455</v>
      </c>
      <c r="BL35" s="49" t="s">
        <v>4455</v>
      </c>
      <c r="BM35" s="49" t="s">
        <v>533</v>
      </c>
      <c r="BN35" s="49" t="s">
        <v>533</v>
      </c>
      <c r="BO35" s="49"/>
      <c r="BP35" s="49"/>
      <c r="BQ35" s="119" t="s">
        <v>4983</v>
      </c>
      <c r="BR35" s="119" t="s">
        <v>4983</v>
      </c>
      <c r="BS35" s="119" t="s">
        <v>5118</v>
      </c>
      <c r="BT35" s="119" t="s">
        <v>5118</v>
      </c>
      <c r="BU35" s="2"/>
      <c r="BV35" s="3"/>
      <c r="BW35" s="3"/>
      <c r="BX35" s="3"/>
      <c r="BY35" s="3"/>
    </row>
    <row r="36" spans="1:77" ht="15">
      <c r="A36" s="68" t="s">
        <v>242</v>
      </c>
      <c r="B36" s="69"/>
      <c r="C36" s="69" t="s">
        <v>46</v>
      </c>
      <c r="D36" s="70">
        <v>10</v>
      </c>
      <c r="E36" s="72"/>
      <c r="F36" s="107" t="str">
        <f>HYPERLINK("http://pbs.twimg.com/profile_images/1124783676825452544/00jrf5zQ_normal.png")</f>
        <v>http://pbs.twimg.com/profile_images/1124783676825452544/00jrf5zQ_normal.png</v>
      </c>
      <c r="G36" s="69"/>
      <c r="H36" s="73" t="s">
        <v>242</v>
      </c>
      <c r="I36" s="74" t="s">
        <v>5218</v>
      </c>
      <c r="J36" s="74" t="s">
        <v>73</v>
      </c>
      <c r="K36" s="73" t="s">
        <v>2329</v>
      </c>
      <c r="L36" s="77">
        <v>323.51612903225805</v>
      </c>
      <c r="M36" s="78"/>
      <c r="N36" s="78"/>
      <c r="O36" s="79"/>
      <c r="P36" s="80"/>
      <c r="Q36" s="80"/>
      <c r="R36" s="93"/>
      <c r="S36" s="49">
        <v>1</v>
      </c>
      <c r="T36" s="49">
        <v>1</v>
      </c>
      <c r="U36" s="50">
        <v>0</v>
      </c>
      <c r="V36" s="50">
        <v>0</v>
      </c>
      <c r="W36" s="50">
        <v>0</v>
      </c>
      <c r="X36" s="50">
        <v>0.999997</v>
      </c>
      <c r="Y36" s="50">
        <v>0</v>
      </c>
      <c r="Z36" s="50">
        <v>0</v>
      </c>
      <c r="AA36" s="75">
        <v>36</v>
      </c>
      <c r="AB36" s="75"/>
      <c r="AC36" s="76"/>
      <c r="AD36" s="83" t="s">
        <v>1583</v>
      </c>
      <c r="AE36" s="91" t="s">
        <v>1790</v>
      </c>
      <c r="AF36" s="83">
        <v>608</v>
      </c>
      <c r="AG36" s="83">
        <v>333</v>
      </c>
      <c r="AH36" s="83">
        <v>4561</v>
      </c>
      <c r="AI36" s="83">
        <v>1599</v>
      </c>
      <c r="AJ36" s="83"/>
      <c r="AK36" s="83" t="s">
        <v>2000</v>
      </c>
      <c r="AL36" s="83"/>
      <c r="AM36" s="88" t="str">
        <f>HYPERLINK("https://t.co/HsWo2cL0fD")</f>
        <v>https://t.co/HsWo2cL0fD</v>
      </c>
      <c r="AN36" s="83"/>
      <c r="AO36" s="85">
        <v>43533.253483796296</v>
      </c>
      <c r="AP36" s="88" t="str">
        <f>HYPERLINK("https://pbs.twimg.com/profile_banners/1104261788328177665/1599544082")</f>
        <v>https://pbs.twimg.com/profile_banners/1104261788328177665/1599544082</v>
      </c>
      <c r="AQ36" s="83" t="b">
        <v>0</v>
      </c>
      <c r="AR36" s="83" t="b">
        <v>0</v>
      </c>
      <c r="AS36" s="83" t="b">
        <v>0</v>
      </c>
      <c r="AT36" s="83"/>
      <c r="AU36" s="83">
        <v>15</v>
      </c>
      <c r="AV36" s="88" t="str">
        <f>HYPERLINK("http://abs.twimg.com/images/themes/theme1/bg.png")</f>
        <v>http://abs.twimg.com/images/themes/theme1/bg.png</v>
      </c>
      <c r="AW36" s="83" t="b">
        <v>0</v>
      </c>
      <c r="AX36" s="83" t="s">
        <v>2296</v>
      </c>
      <c r="AY36" s="88" t="str">
        <f>HYPERLINK("https://twitter.com/webkarobar")</f>
        <v>https://twitter.com/webkarobar</v>
      </c>
      <c r="AZ36" s="83" t="s">
        <v>66</v>
      </c>
      <c r="BA36" s="83" t="str">
        <f>REPLACE(INDEX(GroupVertices[Group],MATCH(Vertices[[#This Row],[Vertex]],GroupVertices[Vertex],0)),1,1,"")</f>
        <v>6</v>
      </c>
      <c r="BB36" s="49">
        <v>0</v>
      </c>
      <c r="BC36" s="50">
        <v>0</v>
      </c>
      <c r="BD36" s="49">
        <v>0</v>
      </c>
      <c r="BE36" s="50">
        <v>0</v>
      </c>
      <c r="BF36" s="49">
        <v>0</v>
      </c>
      <c r="BG36" s="50">
        <v>0</v>
      </c>
      <c r="BH36" s="49">
        <v>8</v>
      </c>
      <c r="BI36" s="50">
        <v>100</v>
      </c>
      <c r="BJ36" s="49">
        <v>8</v>
      </c>
      <c r="BK36" s="49" t="s">
        <v>4486</v>
      </c>
      <c r="BL36" s="49" t="s">
        <v>4486</v>
      </c>
      <c r="BM36" s="49" t="s">
        <v>534</v>
      </c>
      <c r="BN36" s="49" t="s">
        <v>534</v>
      </c>
      <c r="BO36" s="49" t="s">
        <v>570</v>
      </c>
      <c r="BP36" s="49" t="s">
        <v>570</v>
      </c>
      <c r="BQ36" s="119" t="s">
        <v>4984</v>
      </c>
      <c r="BR36" s="119" t="s">
        <v>4984</v>
      </c>
      <c r="BS36" s="119" t="s">
        <v>5119</v>
      </c>
      <c r="BT36" s="119" t="s">
        <v>5119</v>
      </c>
      <c r="BU36" s="2"/>
      <c r="BV36" s="3"/>
      <c r="BW36" s="3"/>
      <c r="BX36" s="3"/>
      <c r="BY36" s="3"/>
    </row>
    <row r="37" spans="1:77" ht="15">
      <c r="A37" s="68" t="s">
        <v>243</v>
      </c>
      <c r="B37" s="69"/>
      <c r="C37" s="69" t="s">
        <v>46</v>
      </c>
      <c r="D37" s="70"/>
      <c r="E37" s="72"/>
      <c r="F37" s="107" t="str">
        <f>HYPERLINK("http://pbs.twimg.com/profile_images/1055318341349298176/PPTXxONc_normal.jpg")</f>
        <v>http://pbs.twimg.com/profile_images/1055318341349298176/PPTXxONc_normal.jpg</v>
      </c>
      <c r="G37" s="69"/>
      <c r="H37" s="73" t="s">
        <v>243</v>
      </c>
      <c r="I37" s="74" t="s">
        <v>5217</v>
      </c>
      <c r="J37" s="74" t="s">
        <v>73</v>
      </c>
      <c r="K37" s="73" t="s">
        <v>2330</v>
      </c>
      <c r="L37" s="77">
        <v>1</v>
      </c>
      <c r="M37" s="78">
        <v>3902.68115234375</v>
      </c>
      <c r="N37" s="78">
        <v>9014.37109375</v>
      </c>
      <c r="O37" s="79"/>
      <c r="P37" s="80"/>
      <c r="Q37" s="80"/>
      <c r="R37" s="93"/>
      <c r="S37" s="49">
        <v>0</v>
      </c>
      <c r="T37" s="49">
        <v>1</v>
      </c>
      <c r="U37" s="50">
        <v>0</v>
      </c>
      <c r="V37" s="50">
        <v>0.001366</v>
      </c>
      <c r="W37" s="50">
        <v>2E-05</v>
      </c>
      <c r="X37" s="50">
        <v>0.37486</v>
      </c>
      <c r="Y37" s="50">
        <v>0</v>
      </c>
      <c r="Z37" s="50">
        <v>0</v>
      </c>
      <c r="AA37" s="75">
        <v>37</v>
      </c>
      <c r="AB37" s="75"/>
      <c r="AC37" s="76"/>
      <c r="AD37" s="83" t="s">
        <v>1584</v>
      </c>
      <c r="AE37" s="91" t="s">
        <v>1791</v>
      </c>
      <c r="AF37" s="83">
        <v>195</v>
      </c>
      <c r="AG37" s="83">
        <v>138</v>
      </c>
      <c r="AH37" s="83">
        <v>1290</v>
      </c>
      <c r="AI37" s="83">
        <v>2108</v>
      </c>
      <c r="AJ37" s="83"/>
      <c r="AK37" s="83" t="s">
        <v>2001</v>
      </c>
      <c r="AL37" s="83" t="s">
        <v>2191</v>
      </c>
      <c r="AM37" s="88" t="str">
        <f>HYPERLINK("https://t.co/vdbw5nIs16")</f>
        <v>https://t.co/vdbw5nIs16</v>
      </c>
      <c r="AN37" s="83"/>
      <c r="AO37" s="85">
        <v>42933.93601851852</v>
      </c>
      <c r="AP37" s="88" t="str">
        <f>HYPERLINK("https://pbs.twimg.com/profile_banners/887076413001662465/1592353693")</f>
        <v>https://pbs.twimg.com/profile_banners/887076413001662465/1592353693</v>
      </c>
      <c r="AQ37" s="83" t="b">
        <v>1</v>
      </c>
      <c r="AR37" s="83" t="b">
        <v>0</v>
      </c>
      <c r="AS37" s="83" t="b">
        <v>0</v>
      </c>
      <c r="AT37" s="83"/>
      <c r="AU37" s="83">
        <v>3</v>
      </c>
      <c r="AV37" s="83"/>
      <c r="AW37" s="83" t="b">
        <v>0</v>
      </c>
      <c r="AX37" s="83" t="s">
        <v>2296</v>
      </c>
      <c r="AY37" s="88" t="str">
        <f>HYPERLINK("https://twitter.com/sanchezivan787")</f>
        <v>https://twitter.com/sanchezivan787</v>
      </c>
      <c r="AZ37" s="83" t="s">
        <v>66</v>
      </c>
      <c r="BA37" s="83" t="str">
        <f>REPLACE(INDEX(GroupVertices[Group],MATCH(Vertices[[#This Row],[Vertex]],GroupVertices[Vertex],0)),1,1,"")</f>
        <v>2</v>
      </c>
      <c r="BB37" s="49">
        <v>0</v>
      </c>
      <c r="BC37" s="50">
        <v>0</v>
      </c>
      <c r="BD37" s="49">
        <v>0</v>
      </c>
      <c r="BE37" s="50">
        <v>0</v>
      </c>
      <c r="BF37" s="49">
        <v>0</v>
      </c>
      <c r="BG37" s="50">
        <v>0</v>
      </c>
      <c r="BH37" s="49">
        <v>26</v>
      </c>
      <c r="BI37" s="50">
        <v>100</v>
      </c>
      <c r="BJ37" s="49">
        <v>26</v>
      </c>
      <c r="BK37" s="49" t="s">
        <v>4455</v>
      </c>
      <c r="BL37" s="49" t="s">
        <v>4455</v>
      </c>
      <c r="BM37" s="49" t="s">
        <v>533</v>
      </c>
      <c r="BN37" s="49" t="s">
        <v>533</v>
      </c>
      <c r="BO37" s="49"/>
      <c r="BP37" s="49"/>
      <c r="BQ37" s="119" t="s">
        <v>4983</v>
      </c>
      <c r="BR37" s="119" t="s">
        <v>4983</v>
      </c>
      <c r="BS37" s="119" t="s">
        <v>5118</v>
      </c>
      <c r="BT37" s="119" t="s">
        <v>5118</v>
      </c>
      <c r="BU37" s="2"/>
      <c r="BV37" s="3"/>
      <c r="BW37" s="3"/>
      <c r="BX37" s="3"/>
      <c r="BY37" s="3"/>
    </row>
    <row r="38" spans="1:77" ht="15">
      <c r="A38" s="68" t="s">
        <v>244</v>
      </c>
      <c r="B38" s="69"/>
      <c r="C38" s="69" t="s">
        <v>46</v>
      </c>
      <c r="D38" s="70"/>
      <c r="E38" s="72"/>
      <c r="F38" s="107" t="str">
        <f>HYPERLINK("http://pbs.twimg.com/profile_images/879901950355156993/K7yMyDgh_normal.jpg")</f>
        <v>http://pbs.twimg.com/profile_images/879901950355156993/K7yMyDgh_normal.jpg</v>
      </c>
      <c r="G38" s="69"/>
      <c r="H38" s="73" t="s">
        <v>244</v>
      </c>
      <c r="I38" s="74" t="s">
        <v>5217</v>
      </c>
      <c r="J38" s="74" t="s">
        <v>73</v>
      </c>
      <c r="K38" s="73" t="s">
        <v>2331</v>
      </c>
      <c r="L38" s="77">
        <v>1</v>
      </c>
      <c r="M38" s="78">
        <v>4400.51025390625</v>
      </c>
      <c r="N38" s="78">
        <v>9774.8076171875</v>
      </c>
      <c r="O38" s="79"/>
      <c r="P38" s="80"/>
      <c r="Q38" s="80"/>
      <c r="R38" s="93"/>
      <c r="S38" s="49">
        <v>0</v>
      </c>
      <c r="T38" s="49">
        <v>1</v>
      </c>
      <c r="U38" s="50">
        <v>0</v>
      </c>
      <c r="V38" s="50">
        <v>0.001366</v>
      </c>
      <c r="W38" s="50">
        <v>2E-05</v>
      </c>
      <c r="X38" s="50">
        <v>0.37486</v>
      </c>
      <c r="Y38" s="50">
        <v>0</v>
      </c>
      <c r="Z38" s="50">
        <v>0</v>
      </c>
      <c r="AA38" s="75">
        <v>38</v>
      </c>
      <c r="AB38" s="75"/>
      <c r="AC38" s="76"/>
      <c r="AD38" s="83" t="s">
        <v>1585</v>
      </c>
      <c r="AE38" s="91" t="s">
        <v>1792</v>
      </c>
      <c r="AF38" s="83">
        <v>105</v>
      </c>
      <c r="AG38" s="83">
        <v>154</v>
      </c>
      <c r="AH38" s="83">
        <v>10766</v>
      </c>
      <c r="AI38" s="83">
        <v>357</v>
      </c>
      <c r="AJ38" s="83"/>
      <c r="AK38" s="83" t="s">
        <v>2002</v>
      </c>
      <c r="AL38" s="83" t="s">
        <v>2192</v>
      </c>
      <c r="AM38" s="83"/>
      <c r="AN38" s="83"/>
      <c r="AO38" s="85">
        <v>42399.5033912037</v>
      </c>
      <c r="AP38" s="88" t="str">
        <f>HYPERLINK("https://pbs.twimg.com/profile_banners/4863506745/1498619949")</f>
        <v>https://pbs.twimg.com/profile_banners/4863506745/1498619949</v>
      </c>
      <c r="AQ38" s="83" t="b">
        <v>0</v>
      </c>
      <c r="AR38" s="83" t="b">
        <v>0</v>
      </c>
      <c r="AS38" s="83" t="b">
        <v>0</v>
      </c>
      <c r="AT38" s="83"/>
      <c r="AU38" s="83">
        <v>18</v>
      </c>
      <c r="AV38" s="88" t="str">
        <f>HYPERLINK("http://abs.twimg.com/images/themes/theme1/bg.png")</f>
        <v>http://abs.twimg.com/images/themes/theme1/bg.png</v>
      </c>
      <c r="AW38" s="83" t="b">
        <v>0</v>
      </c>
      <c r="AX38" s="83" t="s">
        <v>2296</v>
      </c>
      <c r="AY38" s="88" t="str">
        <f>HYPERLINK("https://twitter.com/qualystat")</f>
        <v>https://twitter.com/qualystat</v>
      </c>
      <c r="AZ38" s="83" t="s">
        <v>66</v>
      </c>
      <c r="BA38" s="83" t="str">
        <f>REPLACE(INDEX(GroupVertices[Group],MATCH(Vertices[[#This Row],[Vertex]],GroupVertices[Vertex],0)),1,1,"")</f>
        <v>2</v>
      </c>
      <c r="BB38" s="49">
        <v>0</v>
      </c>
      <c r="BC38" s="50">
        <v>0</v>
      </c>
      <c r="BD38" s="49">
        <v>0</v>
      </c>
      <c r="BE38" s="50">
        <v>0</v>
      </c>
      <c r="BF38" s="49">
        <v>0</v>
      </c>
      <c r="BG38" s="50">
        <v>0</v>
      </c>
      <c r="BH38" s="49">
        <v>26</v>
      </c>
      <c r="BI38" s="50">
        <v>100</v>
      </c>
      <c r="BJ38" s="49">
        <v>26</v>
      </c>
      <c r="BK38" s="49" t="s">
        <v>4455</v>
      </c>
      <c r="BL38" s="49" t="s">
        <v>4455</v>
      </c>
      <c r="BM38" s="49" t="s">
        <v>533</v>
      </c>
      <c r="BN38" s="49" t="s">
        <v>533</v>
      </c>
      <c r="BO38" s="49"/>
      <c r="BP38" s="49"/>
      <c r="BQ38" s="119" t="s">
        <v>4983</v>
      </c>
      <c r="BR38" s="119" t="s">
        <v>4983</v>
      </c>
      <c r="BS38" s="119" t="s">
        <v>5118</v>
      </c>
      <c r="BT38" s="119" t="s">
        <v>5118</v>
      </c>
      <c r="BU38" s="2"/>
      <c r="BV38" s="3"/>
      <c r="BW38" s="3"/>
      <c r="BX38" s="3"/>
      <c r="BY38" s="3"/>
    </row>
    <row r="39" spans="1:77" ht="15">
      <c r="A39" s="68" t="s">
        <v>245</v>
      </c>
      <c r="B39" s="69"/>
      <c r="C39" s="69" t="s">
        <v>46</v>
      </c>
      <c r="D39" s="70"/>
      <c r="E39" s="72"/>
      <c r="F39" s="107" t="str">
        <f>HYPERLINK("http://pbs.twimg.com/profile_images/1275968101314629632/UqJ6qysu_normal.jpg")</f>
        <v>http://pbs.twimg.com/profile_images/1275968101314629632/UqJ6qysu_normal.jpg</v>
      </c>
      <c r="G39" s="69"/>
      <c r="H39" s="73" t="s">
        <v>245</v>
      </c>
      <c r="I39" s="74" t="s">
        <v>5217</v>
      </c>
      <c r="J39" s="74" t="s">
        <v>73</v>
      </c>
      <c r="K39" s="73" t="s">
        <v>2332</v>
      </c>
      <c r="L39" s="77">
        <v>1</v>
      </c>
      <c r="M39" s="78">
        <v>4699.958984375</v>
      </c>
      <c r="N39" s="78">
        <v>7838.01220703125</v>
      </c>
      <c r="O39" s="79"/>
      <c r="P39" s="80"/>
      <c r="Q39" s="80"/>
      <c r="R39" s="93"/>
      <c r="S39" s="49">
        <v>0</v>
      </c>
      <c r="T39" s="49">
        <v>1</v>
      </c>
      <c r="U39" s="50">
        <v>0</v>
      </c>
      <c r="V39" s="50">
        <v>0.001366</v>
      </c>
      <c r="W39" s="50">
        <v>2E-05</v>
      </c>
      <c r="X39" s="50">
        <v>0.37486</v>
      </c>
      <c r="Y39" s="50">
        <v>0</v>
      </c>
      <c r="Z39" s="50">
        <v>0</v>
      </c>
      <c r="AA39" s="75">
        <v>39</v>
      </c>
      <c r="AB39" s="75"/>
      <c r="AC39" s="76"/>
      <c r="AD39" s="83" t="s">
        <v>1586</v>
      </c>
      <c r="AE39" s="91" t="s">
        <v>1793</v>
      </c>
      <c r="AF39" s="83">
        <v>1039</v>
      </c>
      <c r="AG39" s="83">
        <v>124</v>
      </c>
      <c r="AH39" s="83">
        <v>13409</v>
      </c>
      <c r="AI39" s="83">
        <v>13905</v>
      </c>
      <c r="AJ39" s="83"/>
      <c r="AK39" s="83" t="s">
        <v>2003</v>
      </c>
      <c r="AL39" s="83"/>
      <c r="AM39" s="83"/>
      <c r="AN39" s="83"/>
      <c r="AO39" s="85">
        <v>43723.92878472222</v>
      </c>
      <c r="AP39" s="88" t="str">
        <f>HYPERLINK("https://pbs.twimg.com/profile_banners/1173360153447534594/1593049514")</f>
        <v>https://pbs.twimg.com/profile_banners/1173360153447534594/1593049514</v>
      </c>
      <c r="AQ39" s="83" t="b">
        <v>1</v>
      </c>
      <c r="AR39" s="83" t="b">
        <v>0</v>
      </c>
      <c r="AS39" s="83" t="b">
        <v>0</v>
      </c>
      <c r="AT39" s="83"/>
      <c r="AU39" s="83">
        <v>0</v>
      </c>
      <c r="AV39" s="83"/>
      <c r="AW39" s="83" t="b">
        <v>0</v>
      </c>
      <c r="AX39" s="83" t="s">
        <v>2296</v>
      </c>
      <c r="AY39" s="88" t="str">
        <f>HYPERLINK("https://twitter.com/borishuaman")</f>
        <v>https://twitter.com/borishuaman</v>
      </c>
      <c r="AZ39" s="83" t="s">
        <v>66</v>
      </c>
      <c r="BA39" s="83" t="str">
        <f>REPLACE(INDEX(GroupVertices[Group],MATCH(Vertices[[#This Row],[Vertex]],GroupVertices[Vertex],0)),1,1,"")</f>
        <v>2</v>
      </c>
      <c r="BB39" s="49">
        <v>0</v>
      </c>
      <c r="BC39" s="50">
        <v>0</v>
      </c>
      <c r="BD39" s="49">
        <v>0</v>
      </c>
      <c r="BE39" s="50">
        <v>0</v>
      </c>
      <c r="BF39" s="49">
        <v>0</v>
      </c>
      <c r="BG39" s="50">
        <v>0</v>
      </c>
      <c r="BH39" s="49">
        <v>26</v>
      </c>
      <c r="BI39" s="50">
        <v>100</v>
      </c>
      <c r="BJ39" s="49">
        <v>26</v>
      </c>
      <c r="BK39" s="49" t="s">
        <v>4455</v>
      </c>
      <c r="BL39" s="49" t="s">
        <v>4455</v>
      </c>
      <c r="BM39" s="49" t="s">
        <v>533</v>
      </c>
      <c r="BN39" s="49" t="s">
        <v>533</v>
      </c>
      <c r="BO39" s="49"/>
      <c r="BP39" s="49"/>
      <c r="BQ39" s="119" t="s">
        <v>4983</v>
      </c>
      <c r="BR39" s="119" t="s">
        <v>4983</v>
      </c>
      <c r="BS39" s="119" t="s">
        <v>5118</v>
      </c>
      <c r="BT39" s="119" t="s">
        <v>5118</v>
      </c>
      <c r="BU39" s="2"/>
      <c r="BV39" s="3"/>
      <c r="BW39" s="3"/>
      <c r="BX39" s="3"/>
      <c r="BY39" s="3"/>
    </row>
    <row r="40" spans="1:77" ht="15">
      <c r="A40" s="68" t="s">
        <v>246</v>
      </c>
      <c r="B40" s="69"/>
      <c r="C40" s="69" t="s">
        <v>46</v>
      </c>
      <c r="D40" s="70"/>
      <c r="E40" s="72"/>
      <c r="F40" s="107" t="str">
        <f>HYPERLINK("http://pbs.twimg.com/profile_images/1305729665298907139/Hy3W6JGa_normal.jpg")</f>
        <v>http://pbs.twimg.com/profile_images/1305729665298907139/Hy3W6JGa_normal.jpg</v>
      </c>
      <c r="G40" s="69"/>
      <c r="H40" s="73" t="s">
        <v>246</v>
      </c>
      <c r="I40" s="74" t="s">
        <v>5216</v>
      </c>
      <c r="J40" s="74" t="s">
        <v>73</v>
      </c>
      <c r="K40" s="73" t="s">
        <v>2333</v>
      </c>
      <c r="L40" s="77">
        <v>1</v>
      </c>
      <c r="M40" s="78">
        <v>7938.033203125</v>
      </c>
      <c r="N40" s="78">
        <v>8153.6513671875</v>
      </c>
      <c r="O40" s="79"/>
      <c r="P40" s="80"/>
      <c r="Q40" s="80"/>
      <c r="R40" s="93"/>
      <c r="S40" s="49">
        <v>0</v>
      </c>
      <c r="T40" s="49">
        <v>9</v>
      </c>
      <c r="U40" s="50">
        <v>0.315789</v>
      </c>
      <c r="V40" s="50">
        <v>0.001209</v>
      </c>
      <c r="W40" s="50">
        <v>0.033625</v>
      </c>
      <c r="X40" s="50">
        <v>0.761245</v>
      </c>
      <c r="Y40" s="50">
        <v>0.6666666666666666</v>
      </c>
      <c r="Z40" s="50">
        <v>0</v>
      </c>
      <c r="AA40" s="75">
        <v>40</v>
      </c>
      <c r="AB40" s="75"/>
      <c r="AC40" s="76"/>
      <c r="AD40" s="83" t="s">
        <v>1587</v>
      </c>
      <c r="AE40" s="91" t="s">
        <v>1794</v>
      </c>
      <c r="AF40" s="83">
        <v>2507</v>
      </c>
      <c r="AG40" s="83">
        <v>1515</v>
      </c>
      <c r="AH40" s="83">
        <v>9211</v>
      </c>
      <c r="AI40" s="83">
        <v>1395</v>
      </c>
      <c r="AJ40" s="83"/>
      <c r="AK40" s="83" t="s">
        <v>2004</v>
      </c>
      <c r="AL40" s="83" t="s">
        <v>2193</v>
      </c>
      <c r="AM40" s="88" t="str">
        <f>HYPERLINK("https://t.co/Qr5lLax402")</f>
        <v>https://t.co/Qr5lLax402</v>
      </c>
      <c r="AN40" s="83"/>
      <c r="AO40" s="85">
        <v>40007.744050925925</v>
      </c>
      <c r="AP40" s="88" t="str">
        <f>HYPERLINK("https://pbs.twimg.com/profile_banners/56440601/1595679514")</f>
        <v>https://pbs.twimg.com/profile_banners/56440601/1595679514</v>
      </c>
      <c r="AQ40" s="83" t="b">
        <v>0</v>
      </c>
      <c r="AR40" s="83" t="b">
        <v>0</v>
      </c>
      <c r="AS40" s="83" t="b">
        <v>1</v>
      </c>
      <c r="AT40" s="83"/>
      <c r="AU40" s="83">
        <v>214</v>
      </c>
      <c r="AV40" s="88" t="str">
        <f>HYPERLINK("http://abs.twimg.com/images/themes/theme18/bg.gif")</f>
        <v>http://abs.twimg.com/images/themes/theme18/bg.gif</v>
      </c>
      <c r="AW40" s="83" t="b">
        <v>0</v>
      </c>
      <c r="AX40" s="83" t="s">
        <v>2296</v>
      </c>
      <c r="AY40" s="88" t="str">
        <f>HYPERLINK("https://twitter.com/subhankarp")</f>
        <v>https://twitter.com/subhankarp</v>
      </c>
      <c r="AZ40" s="83" t="s">
        <v>66</v>
      </c>
      <c r="BA40" s="83" t="str">
        <f>REPLACE(INDEX(GroupVertices[Group],MATCH(Vertices[[#This Row],[Vertex]],GroupVertices[Vertex],0)),1,1,"")</f>
        <v>4</v>
      </c>
      <c r="BB40" s="49">
        <v>0</v>
      </c>
      <c r="BC40" s="50">
        <v>0</v>
      </c>
      <c r="BD40" s="49">
        <v>0</v>
      </c>
      <c r="BE40" s="50">
        <v>0</v>
      </c>
      <c r="BF40" s="49">
        <v>0</v>
      </c>
      <c r="BG40" s="50">
        <v>0</v>
      </c>
      <c r="BH40" s="49">
        <v>28</v>
      </c>
      <c r="BI40" s="50">
        <v>100</v>
      </c>
      <c r="BJ40" s="49">
        <v>28</v>
      </c>
      <c r="BK40" s="49" t="s">
        <v>4456</v>
      </c>
      <c r="BL40" s="49" t="s">
        <v>4456</v>
      </c>
      <c r="BM40" s="49" t="s">
        <v>532</v>
      </c>
      <c r="BN40" s="49" t="s">
        <v>532</v>
      </c>
      <c r="BO40" s="49" t="s">
        <v>568</v>
      </c>
      <c r="BP40" s="49" t="s">
        <v>568</v>
      </c>
      <c r="BQ40" s="119" t="s">
        <v>4610</v>
      </c>
      <c r="BR40" s="119" t="s">
        <v>4610</v>
      </c>
      <c r="BS40" s="119" t="s">
        <v>4729</v>
      </c>
      <c r="BT40" s="119" t="s">
        <v>4729</v>
      </c>
      <c r="BU40" s="2"/>
      <c r="BV40" s="3"/>
      <c r="BW40" s="3"/>
      <c r="BX40" s="3"/>
      <c r="BY40" s="3"/>
    </row>
    <row r="41" spans="1:77" ht="15">
      <c r="A41" s="68" t="s">
        <v>247</v>
      </c>
      <c r="B41" s="69"/>
      <c r="C41" s="69" t="s">
        <v>46</v>
      </c>
      <c r="D41" s="70"/>
      <c r="E41" s="72"/>
      <c r="F41" s="107" t="str">
        <f>HYPERLINK("http://pbs.twimg.com/profile_images/1301214382852943872/1PuWhzTe_normal.jpg")</f>
        <v>http://pbs.twimg.com/profile_images/1301214382852943872/1PuWhzTe_normal.jpg</v>
      </c>
      <c r="G41" s="69"/>
      <c r="H41" s="73" t="s">
        <v>247</v>
      </c>
      <c r="I41" s="74" t="s">
        <v>5217</v>
      </c>
      <c r="J41" s="74" t="s">
        <v>73</v>
      </c>
      <c r="K41" s="73" t="s">
        <v>2334</v>
      </c>
      <c r="L41" s="77">
        <v>1</v>
      </c>
      <c r="M41" s="78">
        <v>3967.406982421875</v>
      </c>
      <c r="N41" s="78">
        <v>9716.5654296875</v>
      </c>
      <c r="O41" s="79"/>
      <c r="P41" s="80"/>
      <c r="Q41" s="80"/>
      <c r="R41" s="93"/>
      <c r="S41" s="49">
        <v>0</v>
      </c>
      <c r="T41" s="49">
        <v>1</v>
      </c>
      <c r="U41" s="50">
        <v>0</v>
      </c>
      <c r="V41" s="50">
        <v>0.001366</v>
      </c>
      <c r="W41" s="50">
        <v>2E-05</v>
      </c>
      <c r="X41" s="50">
        <v>0.37486</v>
      </c>
      <c r="Y41" s="50">
        <v>0</v>
      </c>
      <c r="Z41" s="50">
        <v>0</v>
      </c>
      <c r="AA41" s="75">
        <v>41</v>
      </c>
      <c r="AB41" s="75"/>
      <c r="AC41" s="76"/>
      <c r="AD41" s="83" t="s">
        <v>1588</v>
      </c>
      <c r="AE41" s="91" t="s">
        <v>1795</v>
      </c>
      <c r="AF41" s="83">
        <v>773</v>
      </c>
      <c r="AG41" s="83">
        <v>230</v>
      </c>
      <c r="AH41" s="83">
        <v>206</v>
      </c>
      <c r="AI41" s="83">
        <v>2390</v>
      </c>
      <c r="AJ41" s="83"/>
      <c r="AK41" s="83" t="s">
        <v>2005</v>
      </c>
      <c r="AL41" s="83" t="s">
        <v>2194</v>
      </c>
      <c r="AM41" s="83"/>
      <c r="AN41" s="83"/>
      <c r="AO41" s="85">
        <v>42755.132002314815</v>
      </c>
      <c r="AP41" s="88" t="str">
        <f>HYPERLINK("https://pbs.twimg.com/profile_banners/822280007502295041/1599236927")</f>
        <v>https://pbs.twimg.com/profile_banners/822280007502295041/1599236927</v>
      </c>
      <c r="AQ41" s="83" t="b">
        <v>0</v>
      </c>
      <c r="AR41" s="83" t="b">
        <v>0</v>
      </c>
      <c r="AS41" s="83" t="b">
        <v>0</v>
      </c>
      <c r="AT41" s="83"/>
      <c r="AU41" s="83">
        <v>1</v>
      </c>
      <c r="AV41" s="88" t="str">
        <f>HYPERLINK("http://abs.twimg.com/images/themes/theme1/bg.png")</f>
        <v>http://abs.twimg.com/images/themes/theme1/bg.png</v>
      </c>
      <c r="AW41" s="83" t="b">
        <v>0</v>
      </c>
      <c r="AX41" s="83" t="s">
        <v>2296</v>
      </c>
      <c r="AY41" s="88" t="str">
        <f>HYPERLINK("https://twitter.com/_paulo_lopez_")</f>
        <v>https://twitter.com/_paulo_lopez_</v>
      </c>
      <c r="AZ41" s="83" t="s">
        <v>66</v>
      </c>
      <c r="BA41" s="83" t="str">
        <f>REPLACE(INDEX(GroupVertices[Group],MATCH(Vertices[[#This Row],[Vertex]],GroupVertices[Vertex],0)),1,1,"")</f>
        <v>2</v>
      </c>
      <c r="BB41" s="49">
        <v>0</v>
      </c>
      <c r="BC41" s="50">
        <v>0</v>
      </c>
      <c r="BD41" s="49">
        <v>0</v>
      </c>
      <c r="BE41" s="50">
        <v>0</v>
      </c>
      <c r="BF41" s="49">
        <v>0</v>
      </c>
      <c r="BG41" s="50">
        <v>0</v>
      </c>
      <c r="BH41" s="49">
        <v>26</v>
      </c>
      <c r="BI41" s="50">
        <v>100</v>
      </c>
      <c r="BJ41" s="49">
        <v>26</v>
      </c>
      <c r="BK41" s="49" t="s">
        <v>4455</v>
      </c>
      <c r="BL41" s="49" t="s">
        <v>4455</v>
      </c>
      <c r="BM41" s="49" t="s">
        <v>533</v>
      </c>
      <c r="BN41" s="49" t="s">
        <v>533</v>
      </c>
      <c r="BO41" s="49"/>
      <c r="BP41" s="49"/>
      <c r="BQ41" s="119" t="s">
        <v>4983</v>
      </c>
      <c r="BR41" s="119" t="s">
        <v>4983</v>
      </c>
      <c r="BS41" s="119" t="s">
        <v>5118</v>
      </c>
      <c r="BT41" s="119" t="s">
        <v>5118</v>
      </c>
      <c r="BU41" s="2"/>
      <c r="BV41" s="3"/>
      <c r="BW41" s="3"/>
      <c r="BX41" s="3"/>
      <c r="BY41" s="3"/>
    </row>
    <row r="42" spans="1:77" ht="15">
      <c r="A42" s="68" t="s">
        <v>248</v>
      </c>
      <c r="B42" s="69"/>
      <c r="C42" s="69" t="s">
        <v>46</v>
      </c>
      <c r="D42" s="70"/>
      <c r="E42" s="72"/>
      <c r="F42" s="107" t="str">
        <f>HYPERLINK("http://pbs.twimg.com/profile_images/989841957282304000/VS0W47yh_normal.jpg")</f>
        <v>http://pbs.twimg.com/profile_images/989841957282304000/VS0W47yh_normal.jpg</v>
      </c>
      <c r="G42" s="69"/>
      <c r="H42" s="73" t="s">
        <v>248</v>
      </c>
      <c r="I42" s="74" t="s">
        <v>5216</v>
      </c>
      <c r="J42" s="74" t="s">
        <v>73</v>
      </c>
      <c r="K42" s="73" t="s">
        <v>2335</v>
      </c>
      <c r="L42" s="77">
        <v>1</v>
      </c>
      <c r="M42" s="78">
        <v>6496.29638671875</v>
      </c>
      <c r="N42" s="78">
        <v>9774.8076171875</v>
      </c>
      <c r="O42" s="79"/>
      <c r="P42" s="80"/>
      <c r="Q42" s="80"/>
      <c r="R42" s="93"/>
      <c r="S42" s="49">
        <v>0</v>
      </c>
      <c r="T42" s="49">
        <v>9</v>
      </c>
      <c r="U42" s="50">
        <v>0.315789</v>
      </c>
      <c r="V42" s="50">
        <v>0.001209</v>
      </c>
      <c r="W42" s="50">
        <v>0.033625</v>
      </c>
      <c r="X42" s="50">
        <v>0.761245</v>
      </c>
      <c r="Y42" s="50">
        <v>0.6666666666666666</v>
      </c>
      <c r="Z42" s="50">
        <v>0</v>
      </c>
      <c r="AA42" s="75">
        <v>42</v>
      </c>
      <c r="AB42" s="75"/>
      <c r="AC42" s="76"/>
      <c r="AD42" s="83" t="s">
        <v>1589</v>
      </c>
      <c r="AE42" s="91" t="s">
        <v>1796</v>
      </c>
      <c r="AF42" s="83">
        <v>4976</v>
      </c>
      <c r="AG42" s="83">
        <v>826</v>
      </c>
      <c r="AH42" s="83">
        <v>54250</v>
      </c>
      <c r="AI42" s="83">
        <v>60585</v>
      </c>
      <c r="AJ42" s="83"/>
      <c r="AK42" s="83" t="s">
        <v>2006</v>
      </c>
      <c r="AL42" s="83" t="s">
        <v>2195</v>
      </c>
      <c r="AM42" s="83"/>
      <c r="AN42" s="83"/>
      <c r="AO42" s="85">
        <v>43058.33704861111</v>
      </c>
      <c r="AP42" s="83"/>
      <c r="AQ42" s="83" t="b">
        <v>1</v>
      </c>
      <c r="AR42" s="83" t="b">
        <v>0</v>
      </c>
      <c r="AS42" s="83" t="b">
        <v>0</v>
      </c>
      <c r="AT42" s="83"/>
      <c r="AU42" s="83">
        <v>2</v>
      </c>
      <c r="AV42" s="83"/>
      <c r="AW42" s="83" t="b">
        <v>0</v>
      </c>
      <c r="AX42" s="83" t="s">
        <v>2296</v>
      </c>
      <c r="AY42" s="88" t="str">
        <f>HYPERLINK("https://twitter.com/enricofrasca3")</f>
        <v>https://twitter.com/enricofrasca3</v>
      </c>
      <c r="AZ42" s="83" t="s">
        <v>66</v>
      </c>
      <c r="BA42" s="83" t="str">
        <f>REPLACE(INDEX(GroupVertices[Group],MATCH(Vertices[[#This Row],[Vertex]],GroupVertices[Vertex],0)),1,1,"")</f>
        <v>4</v>
      </c>
      <c r="BB42" s="49">
        <v>0</v>
      </c>
      <c r="BC42" s="50">
        <v>0</v>
      </c>
      <c r="BD42" s="49">
        <v>0</v>
      </c>
      <c r="BE42" s="50">
        <v>0</v>
      </c>
      <c r="BF42" s="49">
        <v>0</v>
      </c>
      <c r="BG42" s="50">
        <v>0</v>
      </c>
      <c r="BH42" s="49">
        <v>28</v>
      </c>
      <c r="BI42" s="50">
        <v>100</v>
      </c>
      <c r="BJ42" s="49">
        <v>28</v>
      </c>
      <c r="BK42" s="49" t="s">
        <v>4456</v>
      </c>
      <c r="BL42" s="49" t="s">
        <v>4456</v>
      </c>
      <c r="BM42" s="49" t="s">
        <v>532</v>
      </c>
      <c r="BN42" s="49" t="s">
        <v>532</v>
      </c>
      <c r="BO42" s="49" t="s">
        <v>568</v>
      </c>
      <c r="BP42" s="49" t="s">
        <v>568</v>
      </c>
      <c r="BQ42" s="119" t="s">
        <v>4610</v>
      </c>
      <c r="BR42" s="119" t="s">
        <v>4610</v>
      </c>
      <c r="BS42" s="119" t="s">
        <v>4729</v>
      </c>
      <c r="BT42" s="119" t="s">
        <v>4729</v>
      </c>
      <c r="BU42" s="2"/>
      <c r="BV42" s="3"/>
      <c r="BW42" s="3"/>
      <c r="BX42" s="3"/>
      <c r="BY42" s="3"/>
    </row>
    <row r="43" spans="1:77" ht="15">
      <c r="A43" s="68" t="s">
        <v>249</v>
      </c>
      <c r="B43" s="69"/>
      <c r="C43" s="69" t="s">
        <v>46</v>
      </c>
      <c r="D43" s="70"/>
      <c r="E43" s="72"/>
      <c r="F43" s="107" t="str">
        <f>HYPERLINK("http://pbs.twimg.com/profile_images/1059840502332190720/As-EsXm7_normal.jpg")</f>
        <v>http://pbs.twimg.com/profile_images/1059840502332190720/As-EsXm7_normal.jpg</v>
      </c>
      <c r="G43" s="69"/>
      <c r="H43" s="73" t="s">
        <v>249</v>
      </c>
      <c r="I43" s="74" t="s">
        <v>5216</v>
      </c>
      <c r="J43" s="74" t="s">
        <v>73</v>
      </c>
      <c r="K43" s="73" t="s">
        <v>2336</v>
      </c>
      <c r="L43" s="77">
        <v>1</v>
      </c>
      <c r="M43" s="78">
        <v>5385.09765625</v>
      </c>
      <c r="N43" s="78">
        <v>7922.00390625</v>
      </c>
      <c r="O43" s="79"/>
      <c r="P43" s="80"/>
      <c r="Q43" s="80"/>
      <c r="R43" s="93"/>
      <c r="S43" s="49">
        <v>0</v>
      </c>
      <c r="T43" s="49">
        <v>9</v>
      </c>
      <c r="U43" s="50">
        <v>0.315789</v>
      </c>
      <c r="V43" s="50">
        <v>0.001209</v>
      </c>
      <c r="W43" s="50">
        <v>0.033625</v>
      </c>
      <c r="X43" s="50">
        <v>0.761245</v>
      </c>
      <c r="Y43" s="50">
        <v>0.6666666666666666</v>
      </c>
      <c r="Z43" s="50">
        <v>0</v>
      </c>
      <c r="AA43" s="75">
        <v>43</v>
      </c>
      <c r="AB43" s="75"/>
      <c r="AC43" s="76"/>
      <c r="AD43" s="83" t="s">
        <v>1590</v>
      </c>
      <c r="AE43" s="91" t="s">
        <v>1797</v>
      </c>
      <c r="AF43" s="83">
        <v>10947</v>
      </c>
      <c r="AG43" s="83">
        <v>10425</v>
      </c>
      <c r="AH43" s="83">
        <v>272327</v>
      </c>
      <c r="AI43" s="83">
        <v>262652</v>
      </c>
      <c r="AJ43" s="83"/>
      <c r="AK43" s="83" t="s">
        <v>2007</v>
      </c>
      <c r="AL43" s="83"/>
      <c r="AM43" s="83"/>
      <c r="AN43" s="83"/>
      <c r="AO43" s="85">
        <v>42818.337858796294</v>
      </c>
      <c r="AP43" s="88" t="str">
        <f>HYPERLINK("https://pbs.twimg.com/profile_banners/845185042766712832/1541520644")</f>
        <v>https://pbs.twimg.com/profile_banners/845185042766712832/1541520644</v>
      </c>
      <c r="AQ43" s="83" t="b">
        <v>1</v>
      </c>
      <c r="AR43" s="83" t="b">
        <v>0</v>
      </c>
      <c r="AS43" s="83" t="b">
        <v>1</v>
      </c>
      <c r="AT43" s="83"/>
      <c r="AU43" s="83">
        <v>40</v>
      </c>
      <c r="AV43" s="83"/>
      <c r="AW43" s="83" t="b">
        <v>0</v>
      </c>
      <c r="AX43" s="83" t="s">
        <v>2296</v>
      </c>
      <c r="AY43" s="88" t="str">
        <f>HYPERLINK("https://twitter.com/xzpwedvhhh37i3c")</f>
        <v>https://twitter.com/xzpwedvhhh37i3c</v>
      </c>
      <c r="AZ43" s="83" t="s">
        <v>66</v>
      </c>
      <c r="BA43" s="83" t="str">
        <f>REPLACE(INDEX(GroupVertices[Group],MATCH(Vertices[[#This Row],[Vertex]],GroupVertices[Vertex],0)),1,1,"")</f>
        <v>4</v>
      </c>
      <c r="BB43" s="49">
        <v>0</v>
      </c>
      <c r="BC43" s="50">
        <v>0</v>
      </c>
      <c r="BD43" s="49">
        <v>0</v>
      </c>
      <c r="BE43" s="50">
        <v>0</v>
      </c>
      <c r="BF43" s="49">
        <v>0</v>
      </c>
      <c r="BG43" s="50">
        <v>0</v>
      </c>
      <c r="BH43" s="49">
        <v>28</v>
      </c>
      <c r="BI43" s="50">
        <v>100</v>
      </c>
      <c r="BJ43" s="49">
        <v>28</v>
      </c>
      <c r="BK43" s="49" t="s">
        <v>4456</v>
      </c>
      <c r="BL43" s="49" t="s">
        <v>4456</v>
      </c>
      <c r="BM43" s="49" t="s">
        <v>532</v>
      </c>
      <c r="BN43" s="49" t="s">
        <v>532</v>
      </c>
      <c r="BO43" s="49" t="s">
        <v>568</v>
      </c>
      <c r="BP43" s="49" t="s">
        <v>568</v>
      </c>
      <c r="BQ43" s="119" t="s">
        <v>4610</v>
      </c>
      <c r="BR43" s="119" t="s">
        <v>4610</v>
      </c>
      <c r="BS43" s="119" t="s">
        <v>4729</v>
      </c>
      <c r="BT43" s="119" t="s">
        <v>4729</v>
      </c>
      <c r="BU43" s="2"/>
      <c r="BV43" s="3"/>
      <c r="BW43" s="3"/>
      <c r="BX43" s="3"/>
      <c r="BY43" s="3"/>
    </row>
    <row r="44" spans="1:77" ht="15">
      <c r="A44" s="68" t="s">
        <v>250</v>
      </c>
      <c r="B44" s="69"/>
      <c r="C44" s="69" t="s">
        <v>46</v>
      </c>
      <c r="D44" s="70"/>
      <c r="E44" s="72"/>
      <c r="F44" s="107" t="str">
        <f>HYPERLINK("http://pbs.twimg.com/profile_images/1101061061153878017/l_5iEngb_normal.png")</f>
        <v>http://pbs.twimg.com/profile_images/1101061061153878017/l_5iEngb_normal.png</v>
      </c>
      <c r="G44" s="69"/>
      <c r="H44" s="73" t="s">
        <v>250</v>
      </c>
      <c r="I44" s="74" t="s">
        <v>5214</v>
      </c>
      <c r="J44" s="74" t="s">
        <v>73</v>
      </c>
      <c r="K44" s="73" t="s">
        <v>2337</v>
      </c>
      <c r="L44" s="77">
        <v>1</v>
      </c>
      <c r="M44" s="78">
        <v>6887.60791015625</v>
      </c>
      <c r="N44" s="78">
        <v>3790.589111328125</v>
      </c>
      <c r="O44" s="79"/>
      <c r="P44" s="80"/>
      <c r="Q44" s="80"/>
      <c r="R44" s="93"/>
      <c r="S44" s="49">
        <v>0</v>
      </c>
      <c r="T44" s="49">
        <v>1</v>
      </c>
      <c r="U44" s="50">
        <v>0</v>
      </c>
      <c r="V44" s="50">
        <v>0.001086</v>
      </c>
      <c r="W44" s="50">
        <v>2E-06</v>
      </c>
      <c r="X44" s="50">
        <v>0.491591</v>
      </c>
      <c r="Y44" s="50">
        <v>0</v>
      </c>
      <c r="Z44" s="50">
        <v>0</v>
      </c>
      <c r="AA44" s="75">
        <v>44</v>
      </c>
      <c r="AB44" s="75"/>
      <c r="AC44" s="76"/>
      <c r="AD44" s="83" t="s">
        <v>1591</v>
      </c>
      <c r="AE44" s="91" t="s">
        <v>1798</v>
      </c>
      <c r="AF44" s="83">
        <v>3186</v>
      </c>
      <c r="AG44" s="83">
        <v>4897</v>
      </c>
      <c r="AH44" s="83">
        <v>11594</v>
      </c>
      <c r="AI44" s="83">
        <v>5540</v>
      </c>
      <c r="AJ44" s="83"/>
      <c r="AK44" s="83" t="s">
        <v>2008</v>
      </c>
      <c r="AL44" s="83" t="s">
        <v>2196</v>
      </c>
      <c r="AM44" s="88" t="str">
        <f>HYPERLINK("https://t.co/c3UkcKz5ge")</f>
        <v>https://t.co/c3UkcKz5ge</v>
      </c>
      <c r="AN44" s="83"/>
      <c r="AO44" s="85">
        <v>39854.651192129626</v>
      </c>
      <c r="AP44" s="88" t="str">
        <f>HYPERLINK("https://pbs.twimg.com/profile_banners/20520190/1559832643")</f>
        <v>https://pbs.twimg.com/profile_banners/20520190/1559832643</v>
      </c>
      <c r="AQ44" s="83" t="b">
        <v>0</v>
      </c>
      <c r="AR44" s="83" t="b">
        <v>0</v>
      </c>
      <c r="AS44" s="83" t="b">
        <v>1</v>
      </c>
      <c r="AT44" s="83"/>
      <c r="AU44" s="83">
        <v>378</v>
      </c>
      <c r="AV44" s="88" t="str">
        <f>HYPERLINK("http://abs.twimg.com/images/themes/theme1/bg.png")</f>
        <v>http://abs.twimg.com/images/themes/theme1/bg.png</v>
      </c>
      <c r="AW44" s="83" t="b">
        <v>0</v>
      </c>
      <c r="AX44" s="83" t="s">
        <v>2296</v>
      </c>
      <c r="AY44" s="88" t="str">
        <f>HYPERLINK("https://twitter.com/mangothecat")</f>
        <v>https://twitter.com/mangothecat</v>
      </c>
      <c r="AZ44" s="83" t="s">
        <v>66</v>
      </c>
      <c r="BA44" s="83" t="str">
        <f>REPLACE(INDEX(GroupVertices[Group],MATCH(Vertices[[#This Row],[Vertex]],GroupVertices[Vertex],0)),1,1,"")</f>
        <v>7</v>
      </c>
      <c r="BB44" s="49">
        <v>0</v>
      </c>
      <c r="BC44" s="50">
        <v>0</v>
      </c>
      <c r="BD44" s="49">
        <v>0</v>
      </c>
      <c r="BE44" s="50">
        <v>0</v>
      </c>
      <c r="BF44" s="49">
        <v>0</v>
      </c>
      <c r="BG44" s="50">
        <v>0</v>
      </c>
      <c r="BH44" s="49">
        <v>28</v>
      </c>
      <c r="BI44" s="50">
        <v>100</v>
      </c>
      <c r="BJ44" s="49">
        <v>28</v>
      </c>
      <c r="BK44" s="49"/>
      <c r="BL44" s="49"/>
      <c r="BM44" s="49"/>
      <c r="BN44" s="49"/>
      <c r="BO44" s="49" t="s">
        <v>569</v>
      </c>
      <c r="BP44" s="49" t="s">
        <v>569</v>
      </c>
      <c r="BQ44" s="119" t="s">
        <v>4982</v>
      </c>
      <c r="BR44" s="119" t="s">
        <v>4982</v>
      </c>
      <c r="BS44" s="119" t="s">
        <v>5117</v>
      </c>
      <c r="BT44" s="119" t="s">
        <v>5117</v>
      </c>
      <c r="BU44" s="2"/>
      <c r="BV44" s="3"/>
      <c r="BW44" s="3"/>
      <c r="BX44" s="3"/>
      <c r="BY44" s="3"/>
    </row>
    <row r="45" spans="1:77" ht="15">
      <c r="A45" s="68" t="s">
        <v>251</v>
      </c>
      <c r="B45" s="69"/>
      <c r="C45" s="69" t="s">
        <v>46</v>
      </c>
      <c r="D45" s="70"/>
      <c r="E45" s="72"/>
      <c r="F45" s="107" t="str">
        <f>HYPERLINK("http://pbs.twimg.com/profile_images/1245971188301434881/BOWXaeLj_normal.jpg")</f>
        <v>http://pbs.twimg.com/profile_images/1245971188301434881/BOWXaeLj_normal.jpg</v>
      </c>
      <c r="G45" s="69"/>
      <c r="H45" s="73" t="s">
        <v>251</v>
      </c>
      <c r="I45" s="74" t="s">
        <v>5217</v>
      </c>
      <c r="J45" s="74" t="s">
        <v>73</v>
      </c>
      <c r="K45" s="73" t="s">
        <v>2338</v>
      </c>
      <c r="L45" s="77">
        <v>1</v>
      </c>
      <c r="M45" s="78">
        <v>4390.52978515625</v>
      </c>
      <c r="N45" s="78">
        <v>4999.50048828125</v>
      </c>
      <c r="O45" s="79"/>
      <c r="P45" s="80"/>
      <c r="Q45" s="80"/>
      <c r="R45" s="93"/>
      <c r="S45" s="49">
        <v>0</v>
      </c>
      <c r="T45" s="49">
        <v>1</v>
      </c>
      <c r="U45" s="50">
        <v>0</v>
      </c>
      <c r="V45" s="50">
        <v>0.001139</v>
      </c>
      <c r="W45" s="50">
        <v>4E-06</v>
      </c>
      <c r="X45" s="50">
        <v>0.391206</v>
      </c>
      <c r="Y45" s="50">
        <v>0</v>
      </c>
      <c r="Z45" s="50">
        <v>0</v>
      </c>
      <c r="AA45" s="75">
        <v>45</v>
      </c>
      <c r="AB45" s="75"/>
      <c r="AC45" s="76"/>
      <c r="AD45" s="83" t="s">
        <v>1592</v>
      </c>
      <c r="AE45" s="91" t="s">
        <v>1799</v>
      </c>
      <c r="AF45" s="83">
        <v>0</v>
      </c>
      <c r="AG45" s="83">
        <v>735</v>
      </c>
      <c r="AH45" s="83">
        <v>16125</v>
      </c>
      <c r="AI45" s="83">
        <v>24</v>
      </c>
      <c r="AJ45" s="83"/>
      <c r="AK45" s="83" t="s">
        <v>2009</v>
      </c>
      <c r="AL45" s="83" t="s">
        <v>2197</v>
      </c>
      <c r="AM45" s="83"/>
      <c r="AN45" s="83"/>
      <c r="AO45" s="85">
        <v>43924.28523148148</v>
      </c>
      <c r="AP45" s="88" t="str">
        <f>HYPERLINK("https://pbs.twimg.com/profile_banners/1245966809599107073/1585897823")</f>
        <v>https://pbs.twimg.com/profile_banners/1245966809599107073/1585897823</v>
      </c>
      <c r="AQ45" s="83" t="b">
        <v>1</v>
      </c>
      <c r="AR45" s="83" t="b">
        <v>0</v>
      </c>
      <c r="AS45" s="83" t="b">
        <v>0</v>
      </c>
      <c r="AT45" s="83"/>
      <c r="AU45" s="83">
        <v>4</v>
      </c>
      <c r="AV45" s="83"/>
      <c r="AW45" s="83" t="b">
        <v>0</v>
      </c>
      <c r="AX45" s="83" t="s">
        <v>2296</v>
      </c>
      <c r="AY45" s="88" t="str">
        <f>HYPERLINK("https://twitter.com/distancelrnbot")</f>
        <v>https://twitter.com/distancelrnbot</v>
      </c>
      <c r="AZ45" s="83" t="s">
        <v>66</v>
      </c>
      <c r="BA45" s="83" t="str">
        <f>REPLACE(INDEX(GroupVertices[Group],MATCH(Vertices[[#This Row],[Vertex]],GroupVertices[Vertex],0)),1,1,"")</f>
        <v>2</v>
      </c>
      <c r="BB45" s="49">
        <v>0</v>
      </c>
      <c r="BC45" s="50">
        <v>0</v>
      </c>
      <c r="BD45" s="49">
        <v>0</v>
      </c>
      <c r="BE45" s="50">
        <v>0</v>
      </c>
      <c r="BF45" s="49">
        <v>0</v>
      </c>
      <c r="BG45" s="50">
        <v>0</v>
      </c>
      <c r="BH45" s="49">
        <v>30</v>
      </c>
      <c r="BI45" s="50">
        <v>100</v>
      </c>
      <c r="BJ45" s="49">
        <v>30</v>
      </c>
      <c r="BK45" s="49"/>
      <c r="BL45" s="49"/>
      <c r="BM45" s="49"/>
      <c r="BN45" s="49"/>
      <c r="BO45" s="49" t="s">
        <v>4892</v>
      </c>
      <c r="BP45" s="49" t="s">
        <v>4892</v>
      </c>
      <c r="BQ45" s="119" t="s">
        <v>4985</v>
      </c>
      <c r="BR45" s="119" t="s">
        <v>4985</v>
      </c>
      <c r="BS45" s="119" t="s">
        <v>5120</v>
      </c>
      <c r="BT45" s="119" t="s">
        <v>5120</v>
      </c>
      <c r="BU45" s="2"/>
      <c r="BV45" s="3"/>
      <c r="BW45" s="3"/>
      <c r="BX45" s="3"/>
      <c r="BY45" s="3"/>
    </row>
    <row r="46" spans="1:77" ht="15">
      <c r="A46" s="68" t="s">
        <v>372</v>
      </c>
      <c r="B46" s="69"/>
      <c r="C46" s="69" t="s">
        <v>64</v>
      </c>
      <c r="D46" s="70">
        <v>516.7968891234348</v>
      </c>
      <c r="E46" s="72"/>
      <c r="F46" s="107" t="str">
        <f>HYPERLINK("http://pbs.twimg.com/profile_images/1181846306341343233/YN8AZ0Fi_normal.jpg")</f>
        <v>http://pbs.twimg.com/profile_images/1181846306341343233/YN8AZ0Fi_normal.jpg</v>
      </c>
      <c r="G46" s="69"/>
      <c r="H46" s="73" t="s">
        <v>372</v>
      </c>
      <c r="I46" s="74" t="s">
        <v>5217</v>
      </c>
      <c r="J46" s="74" t="s">
        <v>73</v>
      </c>
      <c r="K46" s="73" t="s">
        <v>2339</v>
      </c>
      <c r="L46" s="77">
        <v>1291.0645161290322</v>
      </c>
      <c r="M46" s="78">
        <v>4599.56298828125</v>
      </c>
      <c r="N46" s="78">
        <v>5679.82275390625</v>
      </c>
      <c r="O46" s="79"/>
      <c r="P46" s="80"/>
      <c r="Q46" s="80"/>
      <c r="R46" s="93"/>
      <c r="S46" s="49">
        <v>4</v>
      </c>
      <c r="T46" s="49">
        <v>1</v>
      </c>
      <c r="U46" s="50">
        <v>382.880952</v>
      </c>
      <c r="V46" s="50">
        <v>0.001435</v>
      </c>
      <c r="W46" s="50">
        <v>5.4E-05</v>
      </c>
      <c r="X46" s="50">
        <v>1.135089</v>
      </c>
      <c r="Y46" s="50">
        <v>0</v>
      </c>
      <c r="Z46" s="50">
        <v>0</v>
      </c>
      <c r="AA46" s="75">
        <v>46</v>
      </c>
      <c r="AB46" s="75"/>
      <c r="AC46" s="76"/>
      <c r="AD46" s="83" t="s">
        <v>1593</v>
      </c>
      <c r="AE46" s="91" t="s">
        <v>1800</v>
      </c>
      <c r="AF46" s="83">
        <v>0</v>
      </c>
      <c r="AG46" s="83">
        <v>6</v>
      </c>
      <c r="AH46" s="83">
        <v>112</v>
      </c>
      <c r="AI46" s="83">
        <v>31</v>
      </c>
      <c r="AJ46" s="83"/>
      <c r="AK46" s="83" t="s">
        <v>2010</v>
      </c>
      <c r="AL46" s="83"/>
      <c r="AM46" s="83"/>
      <c r="AN46" s="83"/>
      <c r="AO46" s="85">
        <v>43735.52835648148</v>
      </c>
      <c r="AP46" s="88" t="str">
        <f>HYPERLINK("https://pbs.twimg.com/profile_banners/1177563680357015552/1569590378")</f>
        <v>https://pbs.twimg.com/profile_banners/1177563680357015552/1569590378</v>
      </c>
      <c r="AQ46" s="83" t="b">
        <v>1</v>
      </c>
      <c r="AR46" s="83" t="b">
        <v>0</v>
      </c>
      <c r="AS46" s="83" t="b">
        <v>0</v>
      </c>
      <c r="AT46" s="83"/>
      <c r="AU46" s="83">
        <v>1</v>
      </c>
      <c r="AV46" s="83"/>
      <c r="AW46" s="83" t="b">
        <v>0</v>
      </c>
      <c r="AX46" s="83" t="s">
        <v>2296</v>
      </c>
      <c r="AY46" s="88" t="str">
        <f>HYPERLINK("https://twitter.com/entirelyedu1")</f>
        <v>https://twitter.com/entirelyedu1</v>
      </c>
      <c r="AZ46" s="83" t="s">
        <v>66</v>
      </c>
      <c r="BA46" s="83" t="str">
        <f>REPLACE(INDEX(GroupVertices[Group],MATCH(Vertices[[#This Row],[Vertex]],GroupVertices[Vertex],0)),1,1,"")</f>
        <v>2</v>
      </c>
      <c r="BB46" s="49">
        <v>0</v>
      </c>
      <c r="BC46" s="50">
        <v>0</v>
      </c>
      <c r="BD46" s="49">
        <v>0</v>
      </c>
      <c r="BE46" s="50">
        <v>0</v>
      </c>
      <c r="BF46" s="49">
        <v>0</v>
      </c>
      <c r="BG46" s="50">
        <v>0</v>
      </c>
      <c r="BH46" s="49">
        <v>30</v>
      </c>
      <c r="BI46" s="50">
        <v>100</v>
      </c>
      <c r="BJ46" s="49">
        <v>30</v>
      </c>
      <c r="BK46" s="49"/>
      <c r="BL46" s="49"/>
      <c r="BM46" s="49"/>
      <c r="BN46" s="49"/>
      <c r="BO46" s="49" t="s">
        <v>4892</v>
      </c>
      <c r="BP46" s="49" t="s">
        <v>4892</v>
      </c>
      <c r="BQ46" s="119" t="s">
        <v>4985</v>
      </c>
      <c r="BR46" s="119" t="s">
        <v>4985</v>
      </c>
      <c r="BS46" s="119" t="s">
        <v>5120</v>
      </c>
      <c r="BT46" s="119" t="s">
        <v>5120</v>
      </c>
      <c r="BU46" s="2"/>
      <c r="BV46" s="3"/>
      <c r="BW46" s="3"/>
      <c r="BX46" s="3"/>
      <c r="BY46" s="3"/>
    </row>
    <row r="47" spans="1:77" ht="15">
      <c r="A47" s="68" t="s">
        <v>252</v>
      </c>
      <c r="B47" s="69"/>
      <c r="C47" s="69" t="s">
        <v>46</v>
      </c>
      <c r="D47" s="70"/>
      <c r="E47" s="72"/>
      <c r="F47" s="107" t="str">
        <f>HYPERLINK("http://pbs.twimg.com/profile_images/992945204918288390/1X6yiCkn_normal.jpg")</f>
        <v>http://pbs.twimg.com/profile_images/992945204918288390/1X6yiCkn_normal.jpg</v>
      </c>
      <c r="G47" s="69"/>
      <c r="H47" s="73" t="s">
        <v>252</v>
      </c>
      <c r="I47" s="74" t="s">
        <v>5215</v>
      </c>
      <c r="J47" s="74" t="s">
        <v>73</v>
      </c>
      <c r="K47" s="73" t="s">
        <v>2340</v>
      </c>
      <c r="L47" s="77">
        <v>1</v>
      </c>
      <c r="M47" s="78">
        <v>9806.7041015625</v>
      </c>
      <c r="N47" s="78">
        <v>8790.5078125</v>
      </c>
      <c r="O47" s="79"/>
      <c r="P47" s="80"/>
      <c r="Q47" s="80"/>
      <c r="R47" s="93"/>
      <c r="S47" s="49">
        <v>0</v>
      </c>
      <c r="T47" s="49">
        <v>1</v>
      </c>
      <c r="U47" s="50">
        <v>0</v>
      </c>
      <c r="V47" s="50">
        <v>0.001229</v>
      </c>
      <c r="W47" s="50">
        <v>0.000172</v>
      </c>
      <c r="X47" s="50">
        <v>0.408479</v>
      </c>
      <c r="Y47" s="50">
        <v>0</v>
      </c>
      <c r="Z47" s="50">
        <v>0</v>
      </c>
      <c r="AA47" s="75">
        <v>47</v>
      </c>
      <c r="AB47" s="75"/>
      <c r="AC47" s="76"/>
      <c r="AD47" s="83" t="s">
        <v>1594</v>
      </c>
      <c r="AE47" s="91" t="s">
        <v>1801</v>
      </c>
      <c r="AF47" s="83">
        <v>381</v>
      </c>
      <c r="AG47" s="83">
        <v>1031</v>
      </c>
      <c r="AH47" s="83">
        <v>256834</v>
      </c>
      <c r="AI47" s="83">
        <v>916</v>
      </c>
      <c r="AJ47" s="83"/>
      <c r="AK47" s="83" t="s">
        <v>2011</v>
      </c>
      <c r="AL47" s="83" t="s">
        <v>2198</v>
      </c>
      <c r="AM47" s="83"/>
      <c r="AN47" s="83"/>
      <c r="AO47" s="85">
        <v>43226.07329861111</v>
      </c>
      <c r="AP47" s="83"/>
      <c r="AQ47" s="83" t="b">
        <v>1</v>
      </c>
      <c r="AR47" s="83" t="b">
        <v>0</v>
      </c>
      <c r="AS47" s="83" t="b">
        <v>0</v>
      </c>
      <c r="AT47" s="83"/>
      <c r="AU47" s="83">
        <v>28</v>
      </c>
      <c r="AV47" s="83"/>
      <c r="AW47" s="83" t="b">
        <v>0</v>
      </c>
      <c r="AX47" s="83" t="s">
        <v>2296</v>
      </c>
      <c r="AY47" s="88" t="str">
        <f>HYPERLINK("https://twitter.com/ricardo_ik_ahau")</f>
        <v>https://twitter.com/ricardo_ik_ahau</v>
      </c>
      <c r="AZ47" s="83" t="s">
        <v>66</v>
      </c>
      <c r="BA47" s="83" t="str">
        <f>REPLACE(INDEX(GroupVertices[Group],MATCH(Vertices[[#This Row],[Vertex]],GroupVertices[Vertex],0)),1,1,"")</f>
        <v>5</v>
      </c>
      <c r="BB47" s="49">
        <v>0</v>
      </c>
      <c r="BC47" s="50">
        <v>0</v>
      </c>
      <c r="BD47" s="49">
        <v>0</v>
      </c>
      <c r="BE47" s="50">
        <v>0</v>
      </c>
      <c r="BF47" s="49">
        <v>0</v>
      </c>
      <c r="BG47" s="50">
        <v>0</v>
      </c>
      <c r="BH47" s="49">
        <v>20</v>
      </c>
      <c r="BI47" s="50">
        <v>100</v>
      </c>
      <c r="BJ47" s="49">
        <v>20</v>
      </c>
      <c r="BK47" s="49" t="s">
        <v>4482</v>
      </c>
      <c r="BL47" s="49" t="s">
        <v>4482</v>
      </c>
      <c r="BM47" s="49" t="s">
        <v>535</v>
      </c>
      <c r="BN47" s="49" t="s">
        <v>535</v>
      </c>
      <c r="BO47" s="49" t="s">
        <v>572</v>
      </c>
      <c r="BP47" s="49" t="s">
        <v>572</v>
      </c>
      <c r="BQ47" s="119" t="s">
        <v>4986</v>
      </c>
      <c r="BR47" s="119" t="s">
        <v>4986</v>
      </c>
      <c r="BS47" s="119" t="s">
        <v>5121</v>
      </c>
      <c r="BT47" s="119" t="s">
        <v>5121</v>
      </c>
      <c r="BU47" s="2"/>
      <c r="BV47" s="3"/>
      <c r="BW47" s="3"/>
      <c r="BX47" s="3"/>
      <c r="BY47" s="3"/>
    </row>
    <row r="48" spans="1:77" ht="15">
      <c r="A48" s="68" t="s">
        <v>387</v>
      </c>
      <c r="B48" s="69"/>
      <c r="C48" s="69" t="s">
        <v>64</v>
      </c>
      <c r="D48" s="70">
        <v>851.7714121903267</v>
      </c>
      <c r="E48" s="72"/>
      <c r="F48" s="107" t="str">
        <f>HYPERLINK("http://pbs.twimg.com/profile_images/1050418048660791297/l-w9j5Xk_normal.jpg")</f>
        <v>http://pbs.twimg.com/profile_images/1050418048660791297/l-w9j5Xk_normal.jpg</v>
      </c>
      <c r="G48" s="69"/>
      <c r="H48" s="73" t="s">
        <v>387</v>
      </c>
      <c r="I48" s="74" t="s">
        <v>5215</v>
      </c>
      <c r="J48" s="74" t="s">
        <v>73</v>
      </c>
      <c r="K48" s="73" t="s">
        <v>2341</v>
      </c>
      <c r="L48" s="77">
        <v>3226.1612903225805</v>
      </c>
      <c r="M48" s="78">
        <v>9296.44921875</v>
      </c>
      <c r="N48" s="78">
        <v>8614.9345703125</v>
      </c>
      <c r="O48" s="79"/>
      <c r="P48" s="80"/>
      <c r="Q48" s="80"/>
      <c r="R48" s="93"/>
      <c r="S48" s="49">
        <v>10</v>
      </c>
      <c r="T48" s="49">
        <v>1</v>
      </c>
      <c r="U48" s="50">
        <v>2187.312698</v>
      </c>
      <c r="V48" s="50">
        <v>0.00158</v>
      </c>
      <c r="W48" s="50">
        <v>0.002618</v>
      </c>
      <c r="X48" s="50">
        <v>3.040936</v>
      </c>
      <c r="Y48" s="50">
        <v>0</v>
      </c>
      <c r="Z48" s="50">
        <v>0</v>
      </c>
      <c r="AA48" s="75">
        <v>48</v>
      </c>
      <c r="AB48" s="75"/>
      <c r="AC48" s="76"/>
      <c r="AD48" s="83" t="s">
        <v>1595</v>
      </c>
      <c r="AE48" s="91" t="s">
        <v>1802</v>
      </c>
      <c r="AF48" s="83">
        <v>123</v>
      </c>
      <c r="AG48" s="83">
        <v>890</v>
      </c>
      <c r="AH48" s="83">
        <v>581</v>
      </c>
      <c r="AI48" s="83">
        <v>563</v>
      </c>
      <c r="AJ48" s="83"/>
      <c r="AK48" s="83" t="s">
        <v>2012</v>
      </c>
      <c r="AL48" s="83" t="s">
        <v>2183</v>
      </c>
      <c r="AM48" s="88" t="str">
        <f>HYPERLINK("https://t.co/8oHPYa6qca")</f>
        <v>https://t.co/8oHPYa6qca</v>
      </c>
      <c r="AN48" s="83"/>
      <c r="AO48" s="85">
        <v>43384.669583333336</v>
      </c>
      <c r="AP48" s="88" t="str">
        <f>HYPERLINK("https://pbs.twimg.com/profile_banners/1050416787420983296/1539274123")</f>
        <v>https://pbs.twimg.com/profile_banners/1050416787420983296/1539274123</v>
      </c>
      <c r="AQ48" s="83" t="b">
        <v>0</v>
      </c>
      <c r="AR48" s="83" t="b">
        <v>0</v>
      </c>
      <c r="AS48" s="83" t="b">
        <v>0</v>
      </c>
      <c r="AT48" s="83"/>
      <c r="AU48" s="83">
        <v>8</v>
      </c>
      <c r="AV48" s="88" t="str">
        <f>HYPERLINK("http://abs.twimg.com/images/themes/theme1/bg.png")</f>
        <v>http://abs.twimg.com/images/themes/theme1/bg.png</v>
      </c>
      <c r="AW48" s="83" t="b">
        <v>0</v>
      </c>
      <c r="AX48" s="83" t="s">
        <v>2296</v>
      </c>
      <c r="AY48" s="88" t="str">
        <f>HYPERLINK("https://twitter.com/aakashns")</f>
        <v>https://twitter.com/aakashns</v>
      </c>
      <c r="AZ48" s="83" t="s">
        <v>66</v>
      </c>
      <c r="BA48" s="83" t="str">
        <f>REPLACE(INDEX(GroupVertices[Group],MATCH(Vertices[[#This Row],[Vertex]],GroupVertices[Vertex],0)),1,1,"")</f>
        <v>5</v>
      </c>
      <c r="BB48" s="49">
        <v>0</v>
      </c>
      <c r="BC48" s="50">
        <v>0</v>
      </c>
      <c r="BD48" s="49">
        <v>0</v>
      </c>
      <c r="BE48" s="50">
        <v>0</v>
      </c>
      <c r="BF48" s="49">
        <v>0</v>
      </c>
      <c r="BG48" s="50">
        <v>0</v>
      </c>
      <c r="BH48" s="49">
        <v>51</v>
      </c>
      <c r="BI48" s="50">
        <v>100</v>
      </c>
      <c r="BJ48" s="49">
        <v>51</v>
      </c>
      <c r="BK48" s="49" t="s">
        <v>4810</v>
      </c>
      <c r="BL48" s="49" t="s">
        <v>4810</v>
      </c>
      <c r="BM48" s="49" t="s">
        <v>4850</v>
      </c>
      <c r="BN48" s="49" t="s">
        <v>4850</v>
      </c>
      <c r="BO48" s="49" t="s">
        <v>585</v>
      </c>
      <c r="BP48" s="49" t="s">
        <v>4940</v>
      </c>
      <c r="BQ48" s="119" t="s">
        <v>4987</v>
      </c>
      <c r="BR48" s="119" t="s">
        <v>5071</v>
      </c>
      <c r="BS48" s="119" t="s">
        <v>5122</v>
      </c>
      <c r="BT48" s="119" t="s">
        <v>5189</v>
      </c>
      <c r="BU48" s="2"/>
      <c r="BV48" s="3"/>
      <c r="BW48" s="3"/>
      <c r="BX48" s="3"/>
      <c r="BY48" s="3"/>
    </row>
    <row r="49" spans="1:77" ht="15">
      <c r="A49" s="68" t="s">
        <v>253</v>
      </c>
      <c r="B49" s="69"/>
      <c r="C49" s="69" t="s">
        <v>46</v>
      </c>
      <c r="D49" s="70"/>
      <c r="E49" s="72"/>
      <c r="F49" s="107" t="str">
        <f>HYPERLINK("http://pbs.twimg.com/profile_images/1866862979/50519_388209157862059_947380685_n_normal.jpg")</f>
        <v>http://pbs.twimg.com/profile_images/1866862979/50519_388209157862059_947380685_n_normal.jpg</v>
      </c>
      <c r="G49" s="69"/>
      <c r="H49" s="73" t="s">
        <v>253</v>
      </c>
      <c r="I49" s="74" t="s">
        <v>5219</v>
      </c>
      <c r="J49" s="74" t="s">
        <v>73</v>
      </c>
      <c r="K49" s="73" t="s">
        <v>2342</v>
      </c>
      <c r="L49" s="77">
        <v>1</v>
      </c>
      <c r="M49" s="78">
        <v>9001.7470703125</v>
      </c>
      <c r="N49" s="78">
        <v>4676.80029296875</v>
      </c>
      <c r="O49" s="79"/>
      <c r="P49" s="80"/>
      <c r="Q49" s="80"/>
      <c r="R49" s="93"/>
      <c r="S49" s="49">
        <v>0</v>
      </c>
      <c r="T49" s="49">
        <v>1</v>
      </c>
      <c r="U49" s="50">
        <v>0</v>
      </c>
      <c r="V49" s="50">
        <v>0.000891</v>
      </c>
      <c r="W49" s="50">
        <v>1E-06</v>
      </c>
      <c r="X49" s="50">
        <v>0.401068</v>
      </c>
      <c r="Y49" s="50">
        <v>0</v>
      </c>
      <c r="Z49" s="50">
        <v>0</v>
      </c>
      <c r="AA49" s="75">
        <v>49</v>
      </c>
      <c r="AB49" s="75"/>
      <c r="AC49" s="76"/>
      <c r="AD49" s="83" t="s">
        <v>1596</v>
      </c>
      <c r="AE49" s="91" t="s">
        <v>1803</v>
      </c>
      <c r="AF49" s="83">
        <v>54496</v>
      </c>
      <c r="AG49" s="83">
        <v>66470</v>
      </c>
      <c r="AH49" s="83">
        <v>425563</v>
      </c>
      <c r="AI49" s="83">
        <v>82893</v>
      </c>
      <c r="AJ49" s="83"/>
      <c r="AK49" s="83" t="s">
        <v>2013</v>
      </c>
      <c r="AL49" s="83" t="s">
        <v>2199</v>
      </c>
      <c r="AM49" s="88" t="str">
        <f>HYPERLINK("http://t.co/jd1lPGrCTG")</f>
        <v>http://t.co/jd1lPGrCTG</v>
      </c>
      <c r="AN49" s="83"/>
      <c r="AO49" s="85">
        <v>40970.45263888889</v>
      </c>
      <c r="AP49" s="83"/>
      <c r="AQ49" s="83" t="b">
        <v>0</v>
      </c>
      <c r="AR49" s="83" t="b">
        <v>0</v>
      </c>
      <c r="AS49" s="83" t="b">
        <v>1</v>
      </c>
      <c r="AT49" s="83"/>
      <c r="AU49" s="83">
        <v>12184</v>
      </c>
      <c r="AV49" s="88" t="str">
        <f>HYPERLINK("http://abs.twimg.com/images/themes/theme1/bg.png")</f>
        <v>http://abs.twimg.com/images/themes/theme1/bg.png</v>
      </c>
      <c r="AW49" s="83" t="b">
        <v>0</v>
      </c>
      <c r="AX49" s="83" t="s">
        <v>2296</v>
      </c>
      <c r="AY49" s="88" t="str">
        <f>HYPERLINK("https://twitter.com/biconnections")</f>
        <v>https://twitter.com/biconnections</v>
      </c>
      <c r="AZ49" s="83" t="s">
        <v>66</v>
      </c>
      <c r="BA49" s="83" t="str">
        <f>REPLACE(INDEX(GroupVertices[Group],MATCH(Vertices[[#This Row],[Vertex]],GroupVertices[Vertex],0)),1,1,"")</f>
        <v>10</v>
      </c>
      <c r="BB49" s="49">
        <v>0</v>
      </c>
      <c r="BC49" s="50">
        <v>0</v>
      </c>
      <c r="BD49" s="49">
        <v>0</v>
      </c>
      <c r="BE49" s="50">
        <v>0</v>
      </c>
      <c r="BF49" s="49">
        <v>0</v>
      </c>
      <c r="BG49" s="50">
        <v>0</v>
      </c>
      <c r="BH49" s="49">
        <v>34</v>
      </c>
      <c r="BI49" s="50">
        <v>100</v>
      </c>
      <c r="BJ49" s="49">
        <v>34</v>
      </c>
      <c r="BK49" s="49" t="s">
        <v>4511</v>
      </c>
      <c r="BL49" s="49" t="s">
        <v>4511</v>
      </c>
      <c r="BM49" s="49" t="s">
        <v>536</v>
      </c>
      <c r="BN49" s="49" t="s">
        <v>536</v>
      </c>
      <c r="BO49" s="49" t="s">
        <v>4590</v>
      </c>
      <c r="BP49" s="49" t="s">
        <v>4590</v>
      </c>
      <c r="BQ49" s="119" t="s">
        <v>4616</v>
      </c>
      <c r="BR49" s="119" t="s">
        <v>4616</v>
      </c>
      <c r="BS49" s="119" t="s">
        <v>4735</v>
      </c>
      <c r="BT49" s="119" t="s">
        <v>4735</v>
      </c>
      <c r="BU49" s="2"/>
      <c r="BV49" s="3"/>
      <c r="BW49" s="3"/>
      <c r="BX49" s="3"/>
      <c r="BY49" s="3"/>
    </row>
    <row r="50" spans="1:77" ht="15">
      <c r="A50" s="68" t="s">
        <v>398</v>
      </c>
      <c r="B50" s="69"/>
      <c r="C50" s="69" t="s">
        <v>64</v>
      </c>
      <c r="D50" s="70">
        <v>665.025476933108</v>
      </c>
      <c r="E50" s="72"/>
      <c r="F50" s="107" t="str">
        <f>HYPERLINK("http://pbs.twimg.com/profile_images/1180701922304487425/FjePzkVO_normal.jpg")</f>
        <v>http://pbs.twimg.com/profile_images/1180701922304487425/FjePzkVO_normal.jpg</v>
      </c>
      <c r="G50" s="69"/>
      <c r="H50" s="73" t="s">
        <v>398</v>
      </c>
      <c r="I50" s="74" t="s">
        <v>5219</v>
      </c>
      <c r="J50" s="74" t="s">
        <v>73</v>
      </c>
      <c r="K50" s="73" t="s">
        <v>2343</v>
      </c>
      <c r="L50" s="77">
        <v>1936.0967741935483</v>
      </c>
      <c r="M50" s="78">
        <v>9476.708984375</v>
      </c>
      <c r="N50" s="78">
        <v>5041.98046875</v>
      </c>
      <c r="O50" s="79"/>
      <c r="P50" s="80"/>
      <c r="Q50" s="80"/>
      <c r="R50" s="93"/>
      <c r="S50" s="49">
        <v>6</v>
      </c>
      <c r="T50" s="49">
        <v>1</v>
      </c>
      <c r="U50" s="50">
        <v>1080.4</v>
      </c>
      <c r="V50" s="50">
        <v>0.001063</v>
      </c>
      <c r="W50" s="50">
        <v>9E-06</v>
      </c>
      <c r="X50" s="50">
        <v>1.772242</v>
      </c>
      <c r="Y50" s="50">
        <v>0</v>
      </c>
      <c r="Z50" s="50">
        <v>0</v>
      </c>
      <c r="AA50" s="75">
        <v>50</v>
      </c>
      <c r="AB50" s="75"/>
      <c r="AC50" s="76"/>
      <c r="AD50" s="83" t="s">
        <v>1597</v>
      </c>
      <c r="AE50" s="91" t="s">
        <v>1804</v>
      </c>
      <c r="AF50" s="83">
        <v>273</v>
      </c>
      <c r="AG50" s="83">
        <v>942</v>
      </c>
      <c r="AH50" s="83">
        <v>612</v>
      </c>
      <c r="AI50" s="83">
        <v>545</v>
      </c>
      <c r="AJ50" s="83"/>
      <c r="AK50" s="83" t="s">
        <v>2014</v>
      </c>
      <c r="AL50" s="83" t="s">
        <v>2200</v>
      </c>
      <c r="AM50" s="88" t="str">
        <f>HYPERLINK("https://t.co/nF65ujUmOC")</f>
        <v>https://t.co/nF65ujUmOC</v>
      </c>
      <c r="AN50" s="83"/>
      <c r="AO50" s="85">
        <v>42605.16079861111</v>
      </c>
      <c r="AP50" s="88" t="str">
        <f>HYPERLINK("https://pbs.twimg.com/profile_banners/767932261651976192/1472083485")</f>
        <v>https://pbs.twimg.com/profile_banners/767932261651976192/1472083485</v>
      </c>
      <c r="AQ50" s="83" t="b">
        <v>0</v>
      </c>
      <c r="AR50" s="83" t="b">
        <v>0</v>
      </c>
      <c r="AS50" s="83" t="b">
        <v>0</v>
      </c>
      <c r="AT50" s="83"/>
      <c r="AU50" s="83">
        <v>41</v>
      </c>
      <c r="AV50" s="88" t="str">
        <f>HYPERLINK("http://abs.twimg.com/images/themes/theme1/bg.png")</f>
        <v>http://abs.twimg.com/images/themes/theme1/bg.png</v>
      </c>
      <c r="AW50" s="83" t="b">
        <v>0</v>
      </c>
      <c r="AX50" s="83" t="s">
        <v>2296</v>
      </c>
      <c r="AY50" s="88" t="str">
        <f>HYPERLINK("https://twitter.com/nobrowser")</f>
        <v>https://twitter.com/nobrowser</v>
      </c>
      <c r="AZ50" s="83" t="s">
        <v>66</v>
      </c>
      <c r="BA50" s="83" t="str">
        <f>REPLACE(INDEX(GroupVertices[Group],MATCH(Vertices[[#This Row],[Vertex]],GroupVertices[Vertex],0)),1,1,"")</f>
        <v>10</v>
      </c>
      <c r="BB50" s="49">
        <v>0</v>
      </c>
      <c r="BC50" s="50">
        <v>0</v>
      </c>
      <c r="BD50" s="49">
        <v>0</v>
      </c>
      <c r="BE50" s="50">
        <v>0</v>
      </c>
      <c r="BF50" s="49">
        <v>0</v>
      </c>
      <c r="BG50" s="50">
        <v>0</v>
      </c>
      <c r="BH50" s="49">
        <v>34</v>
      </c>
      <c r="BI50" s="50">
        <v>100</v>
      </c>
      <c r="BJ50" s="49">
        <v>34</v>
      </c>
      <c r="BK50" s="49" t="s">
        <v>4511</v>
      </c>
      <c r="BL50" s="49" t="s">
        <v>4511</v>
      </c>
      <c r="BM50" s="49" t="s">
        <v>536</v>
      </c>
      <c r="BN50" s="49" t="s">
        <v>536</v>
      </c>
      <c r="BO50" s="49" t="s">
        <v>4590</v>
      </c>
      <c r="BP50" s="49" t="s">
        <v>4590</v>
      </c>
      <c r="BQ50" s="119" t="s">
        <v>4616</v>
      </c>
      <c r="BR50" s="119" t="s">
        <v>4616</v>
      </c>
      <c r="BS50" s="119" t="s">
        <v>4735</v>
      </c>
      <c r="BT50" s="119" t="s">
        <v>4735</v>
      </c>
      <c r="BU50" s="2"/>
      <c r="BV50" s="3"/>
      <c r="BW50" s="3"/>
      <c r="BX50" s="3"/>
      <c r="BY50" s="3"/>
    </row>
    <row r="51" spans="1:77" ht="15">
      <c r="A51" s="68" t="s">
        <v>254</v>
      </c>
      <c r="B51" s="69"/>
      <c r="C51" s="69" t="s">
        <v>46</v>
      </c>
      <c r="D51" s="70"/>
      <c r="E51" s="72"/>
      <c r="F51" s="107" t="str">
        <f>HYPERLINK("http://pbs.twimg.com/profile_images/1014190656976293890/imIN3uug_normal.jpg")</f>
        <v>http://pbs.twimg.com/profile_images/1014190656976293890/imIN3uug_normal.jpg</v>
      </c>
      <c r="G51" s="69"/>
      <c r="H51" s="73" t="s">
        <v>254</v>
      </c>
      <c r="I51" s="74" t="s">
        <v>5211</v>
      </c>
      <c r="J51" s="74" t="s">
        <v>73</v>
      </c>
      <c r="K51" s="73" t="s">
        <v>2344</v>
      </c>
      <c r="L51" s="77">
        <v>1</v>
      </c>
      <c r="M51" s="78">
        <v>8057.65625</v>
      </c>
      <c r="N51" s="78">
        <v>2690.3466796875</v>
      </c>
      <c r="O51" s="79"/>
      <c r="P51" s="80"/>
      <c r="Q51" s="80"/>
      <c r="R51" s="93"/>
      <c r="S51" s="49">
        <v>0</v>
      </c>
      <c r="T51" s="49">
        <v>1</v>
      </c>
      <c r="U51" s="50">
        <v>0</v>
      </c>
      <c r="V51" s="50">
        <v>1</v>
      </c>
      <c r="W51" s="50">
        <v>0</v>
      </c>
      <c r="X51" s="50">
        <v>0.999997</v>
      </c>
      <c r="Y51" s="50">
        <v>0</v>
      </c>
      <c r="Z51" s="50">
        <v>0</v>
      </c>
      <c r="AA51" s="75">
        <v>51</v>
      </c>
      <c r="AB51" s="75"/>
      <c r="AC51" s="76"/>
      <c r="AD51" s="83" t="s">
        <v>1598</v>
      </c>
      <c r="AE51" s="91" t="s">
        <v>1805</v>
      </c>
      <c r="AF51" s="83">
        <v>1450</v>
      </c>
      <c r="AG51" s="83">
        <v>2789</v>
      </c>
      <c r="AH51" s="83">
        <v>12316</v>
      </c>
      <c r="AI51" s="83">
        <v>5073</v>
      </c>
      <c r="AJ51" s="83"/>
      <c r="AK51" s="83" t="s">
        <v>2015</v>
      </c>
      <c r="AL51" s="83" t="s">
        <v>2199</v>
      </c>
      <c r="AM51" s="83"/>
      <c r="AN51" s="83"/>
      <c r="AO51" s="85">
        <v>43284.70023148148</v>
      </c>
      <c r="AP51" s="88" t="str">
        <f>HYPERLINK("https://pbs.twimg.com/profile_banners/1014189106828660738/1530637187")</f>
        <v>https://pbs.twimg.com/profile_banners/1014189106828660738/1530637187</v>
      </c>
      <c r="AQ51" s="83" t="b">
        <v>0</v>
      </c>
      <c r="AR51" s="83" t="b">
        <v>0</v>
      </c>
      <c r="AS51" s="83" t="b">
        <v>0</v>
      </c>
      <c r="AT51" s="83"/>
      <c r="AU51" s="83">
        <v>38</v>
      </c>
      <c r="AV51" s="88" t="str">
        <f>HYPERLINK("http://abs.twimg.com/images/themes/theme1/bg.png")</f>
        <v>http://abs.twimg.com/images/themes/theme1/bg.png</v>
      </c>
      <c r="AW51" s="83" t="b">
        <v>0</v>
      </c>
      <c r="AX51" s="83" t="s">
        <v>2296</v>
      </c>
      <c r="AY51" s="88" t="str">
        <f>HYPERLINK("https://twitter.com/bugbounty18")</f>
        <v>https://twitter.com/bugbounty18</v>
      </c>
      <c r="AZ51" s="83" t="s">
        <v>66</v>
      </c>
      <c r="BA51" s="83" t="str">
        <f>REPLACE(INDEX(GroupVertices[Group],MATCH(Vertices[[#This Row],[Vertex]],GroupVertices[Vertex],0)),1,1,"")</f>
        <v>20</v>
      </c>
      <c r="BB51" s="49">
        <v>0</v>
      </c>
      <c r="BC51" s="50">
        <v>0</v>
      </c>
      <c r="BD51" s="49">
        <v>0</v>
      </c>
      <c r="BE51" s="50">
        <v>0</v>
      </c>
      <c r="BF51" s="49">
        <v>0</v>
      </c>
      <c r="BG51" s="50">
        <v>0</v>
      </c>
      <c r="BH51" s="49">
        <v>15</v>
      </c>
      <c r="BI51" s="50">
        <v>100</v>
      </c>
      <c r="BJ51" s="49">
        <v>15</v>
      </c>
      <c r="BK51" s="49" t="s">
        <v>4526</v>
      </c>
      <c r="BL51" s="49" t="s">
        <v>4526</v>
      </c>
      <c r="BM51" s="49" t="s">
        <v>537</v>
      </c>
      <c r="BN51" s="49" t="s">
        <v>537</v>
      </c>
      <c r="BO51" s="49" t="s">
        <v>574</v>
      </c>
      <c r="BP51" s="49" t="s">
        <v>574</v>
      </c>
      <c r="BQ51" s="119" t="s">
        <v>4988</v>
      </c>
      <c r="BR51" s="119" t="s">
        <v>4988</v>
      </c>
      <c r="BS51" s="119" t="s">
        <v>5123</v>
      </c>
      <c r="BT51" s="119" t="s">
        <v>5123</v>
      </c>
      <c r="BU51" s="2"/>
      <c r="BV51" s="3"/>
      <c r="BW51" s="3"/>
      <c r="BX51" s="3"/>
      <c r="BY51" s="3"/>
    </row>
    <row r="52" spans="1:77" ht="15">
      <c r="A52" s="68" t="s">
        <v>433</v>
      </c>
      <c r="B52" s="69"/>
      <c r="C52" s="69" t="s">
        <v>46</v>
      </c>
      <c r="D52" s="70">
        <v>10</v>
      </c>
      <c r="E52" s="72"/>
      <c r="F52" s="107" t="str">
        <f>HYPERLINK("http://pbs.twimg.com/profile_images/1185182366156894208/pKRddT3o_normal.png")</f>
        <v>http://pbs.twimg.com/profile_images/1185182366156894208/pKRddT3o_normal.png</v>
      </c>
      <c r="G52" s="69"/>
      <c r="H52" s="73" t="s">
        <v>433</v>
      </c>
      <c r="I52" s="74" t="s">
        <v>5211</v>
      </c>
      <c r="J52" s="74" t="s">
        <v>75</v>
      </c>
      <c r="K52" s="73" t="s">
        <v>2345</v>
      </c>
      <c r="L52" s="77">
        <v>323.51612903225805</v>
      </c>
      <c r="M52" s="78">
        <v>8629.4072265625</v>
      </c>
      <c r="N52" s="78">
        <v>1569.3839111328125</v>
      </c>
      <c r="O52" s="79"/>
      <c r="P52" s="80"/>
      <c r="Q52" s="80"/>
      <c r="R52" s="93"/>
      <c r="S52" s="49">
        <v>1</v>
      </c>
      <c r="T52" s="49">
        <v>0</v>
      </c>
      <c r="U52" s="50">
        <v>0</v>
      </c>
      <c r="V52" s="50">
        <v>1</v>
      </c>
      <c r="W52" s="50">
        <v>0</v>
      </c>
      <c r="X52" s="50">
        <v>0.999997</v>
      </c>
      <c r="Y52" s="50">
        <v>0</v>
      </c>
      <c r="Z52" s="50">
        <v>0</v>
      </c>
      <c r="AA52" s="75">
        <v>52</v>
      </c>
      <c r="AB52" s="75"/>
      <c r="AC52" s="76"/>
      <c r="AD52" s="83" t="s">
        <v>1599</v>
      </c>
      <c r="AE52" s="91" t="s">
        <v>1806</v>
      </c>
      <c r="AF52" s="83">
        <v>827</v>
      </c>
      <c r="AG52" s="83">
        <v>3757702</v>
      </c>
      <c r="AH52" s="83">
        <v>378615</v>
      </c>
      <c r="AI52" s="83">
        <v>608</v>
      </c>
      <c r="AJ52" s="83"/>
      <c r="AK52" s="83" t="s">
        <v>2016</v>
      </c>
      <c r="AL52" s="83" t="s">
        <v>2201</v>
      </c>
      <c r="AM52" s="88" t="str">
        <f>HYPERLINK("https://t.co/fdcFKDtOzb")</f>
        <v>https://t.co/fdcFKDtOzb</v>
      </c>
      <c r="AN52" s="83"/>
      <c r="AO52" s="85">
        <v>39853.00255787037</v>
      </c>
      <c r="AP52" s="88" t="str">
        <f>HYPERLINK("https://pbs.twimg.com/profile_banners/20402945/1533568341")</f>
        <v>https://pbs.twimg.com/profile_banners/20402945/1533568341</v>
      </c>
      <c r="AQ52" s="83" t="b">
        <v>0</v>
      </c>
      <c r="AR52" s="83" t="b">
        <v>0</v>
      </c>
      <c r="AS52" s="83" t="b">
        <v>1</v>
      </c>
      <c r="AT52" s="83"/>
      <c r="AU52" s="83">
        <v>31078</v>
      </c>
      <c r="AV52" s="88" t="str">
        <f>HYPERLINK("http://abs.twimg.com/images/themes/theme1/bg.png")</f>
        <v>http://abs.twimg.com/images/themes/theme1/bg.png</v>
      </c>
      <c r="AW52" s="83" t="b">
        <v>1</v>
      </c>
      <c r="AX52" s="83" t="s">
        <v>2296</v>
      </c>
      <c r="AY52" s="88" t="str">
        <f>HYPERLINK("https://twitter.com/cnbc")</f>
        <v>https://twitter.com/cnbc</v>
      </c>
      <c r="AZ52" s="83" t="s">
        <v>65</v>
      </c>
      <c r="BA52" s="83" t="str">
        <f>REPLACE(INDEX(GroupVertices[Group],MATCH(Vertices[[#This Row],[Vertex]],GroupVertices[Vertex],0)),1,1,"")</f>
        <v>20</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8" t="s">
        <v>255</v>
      </c>
      <c r="B53" s="69"/>
      <c r="C53" s="69" t="s">
        <v>46</v>
      </c>
      <c r="D53" s="70"/>
      <c r="E53" s="72"/>
      <c r="F53" s="107" t="str">
        <f>HYPERLINK("http://abs.twimg.com/sticky/default_profile_images/default_profile_normal.png")</f>
        <v>http://abs.twimg.com/sticky/default_profile_images/default_profile_normal.png</v>
      </c>
      <c r="G53" s="69"/>
      <c r="H53" s="73" t="s">
        <v>255</v>
      </c>
      <c r="I53" s="74" t="s">
        <v>5217</v>
      </c>
      <c r="J53" s="74" t="s">
        <v>73</v>
      </c>
      <c r="K53" s="73" t="s">
        <v>2346</v>
      </c>
      <c r="L53" s="77">
        <v>1</v>
      </c>
      <c r="M53" s="78">
        <v>4946.0986328125</v>
      </c>
      <c r="N53" s="78">
        <v>5201.41162109375</v>
      </c>
      <c r="O53" s="79"/>
      <c r="P53" s="80"/>
      <c r="Q53" s="80"/>
      <c r="R53" s="93"/>
      <c r="S53" s="49">
        <v>0</v>
      </c>
      <c r="T53" s="49">
        <v>1</v>
      </c>
      <c r="U53" s="50">
        <v>0</v>
      </c>
      <c r="V53" s="50">
        <v>0.001156</v>
      </c>
      <c r="W53" s="50">
        <v>6E-06</v>
      </c>
      <c r="X53" s="50">
        <v>0.374256</v>
      </c>
      <c r="Y53" s="50">
        <v>0</v>
      </c>
      <c r="Z53" s="50">
        <v>0</v>
      </c>
      <c r="AA53" s="75">
        <v>53</v>
      </c>
      <c r="AB53" s="75"/>
      <c r="AC53" s="76"/>
      <c r="AD53" s="83" t="s">
        <v>1474</v>
      </c>
      <c r="AE53" s="91" t="s">
        <v>1807</v>
      </c>
      <c r="AF53" s="83">
        <v>3</v>
      </c>
      <c r="AG53" s="83">
        <v>97</v>
      </c>
      <c r="AH53" s="83">
        <v>10450</v>
      </c>
      <c r="AI53" s="83">
        <v>3</v>
      </c>
      <c r="AJ53" s="83"/>
      <c r="AK53" s="83"/>
      <c r="AL53" s="83"/>
      <c r="AM53" s="83"/>
      <c r="AN53" s="83"/>
      <c r="AO53" s="85">
        <v>43030.59967592593</v>
      </c>
      <c r="AP53" s="83"/>
      <c r="AQ53" s="83" t="b">
        <v>1</v>
      </c>
      <c r="AR53" s="83" t="b">
        <v>1</v>
      </c>
      <c r="AS53" s="83" t="b">
        <v>0</v>
      </c>
      <c r="AT53" s="83"/>
      <c r="AU53" s="83">
        <v>11</v>
      </c>
      <c r="AV53" s="83"/>
      <c r="AW53" s="83" t="b">
        <v>0</v>
      </c>
      <c r="AX53" s="83" t="s">
        <v>2296</v>
      </c>
      <c r="AY53" s="88" t="str">
        <f>HYPERLINK("https://twitter.com/securebot1000")</f>
        <v>https://twitter.com/securebot1000</v>
      </c>
      <c r="AZ53" s="83" t="s">
        <v>66</v>
      </c>
      <c r="BA53" s="83" t="str">
        <f>REPLACE(INDEX(GroupVertices[Group],MATCH(Vertices[[#This Row],[Vertex]],GroupVertices[Vertex],0)),1,1,"")</f>
        <v>2</v>
      </c>
      <c r="BB53" s="49">
        <v>0</v>
      </c>
      <c r="BC53" s="50">
        <v>0</v>
      </c>
      <c r="BD53" s="49">
        <v>0</v>
      </c>
      <c r="BE53" s="50">
        <v>0</v>
      </c>
      <c r="BF53" s="49">
        <v>0</v>
      </c>
      <c r="BG53" s="50">
        <v>0</v>
      </c>
      <c r="BH53" s="49">
        <v>30</v>
      </c>
      <c r="BI53" s="50">
        <v>100</v>
      </c>
      <c r="BJ53" s="49">
        <v>30</v>
      </c>
      <c r="BK53" s="49" t="s">
        <v>4471</v>
      </c>
      <c r="BL53" s="49" t="s">
        <v>4471</v>
      </c>
      <c r="BM53" s="49" t="s">
        <v>538</v>
      </c>
      <c r="BN53" s="49" t="s">
        <v>538</v>
      </c>
      <c r="BO53" s="49" t="s">
        <v>575</v>
      </c>
      <c r="BP53" s="49" t="s">
        <v>575</v>
      </c>
      <c r="BQ53" s="119" t="s">
        <v>4989</v>
      </c>
      <c r="BR53" s="119" t="s">
        <v>4989</v>
      </c>
      <c r="BS53" s="119" t="s">
        <v>5124</v>
      </c>
      <c r="BT53" s="119" t="s">
        <v>5124</v>
      </c>
      <c r="BU53" s="2"/>
      <c r="BV53" s="3"/>
      <c r="BW53" s="3"/>
      <c r="BX53" s="3"/>
      <c r="BY53" s="3"/>
    </row>
    <row r="54" spans="1:77" ht="15">
      <c r="A54" s="68" t="s">
        <v>392</v>
      </c>
      <c r="B54" s="69"/>
      <c r="C54" s="69" t="s">
        <v>64</v>
      </c>
      <c r="D54" s="70">
        <v>665.025476933108</v>
      </c>
      <c r="E54" s="72"/>
      <c r="F54" s="107" t="str">
        <f>HYPERLINK("http://pbs.twimg.com/profile_images/1022207109666992128/c-AhtpS0_normal.jpg")</f>
        <v>http://pbs.twimg.com/profile_images/1022207109666992128/c-AhtpS0_normal.jpg</v>
      </c>
      <c r="G54" s="69"/>
      <c r="H54" s="73" t="s">
        <v>392</v>
      </c>
      <c r="I54" s="74" t="s">
        <v>5217</v>
      </c>
      <c r="J54" s="74" t="s">
        <v>73</v>
      </c>
      <c r="K54" s="73" t="s">
        <v>2347</v>
      </c>
      <c r="L54" s="77">
        <v>1936.0967741935483</v>
      </c>
      <c r="M54" s="78">
        <v>4919.63232421875</v>
      </c>
      <c r="N54" s="78">
        <v>6284.35693359375</v>
      </c>
      <c r="O54" s="79"/>
      <c r="P54" s="80"/>
      <c r="Q54" s="80"/>
      <c r="R54" s="93"/>
      <c r="S54" s="49">
        <v>6</v>
      </c>
      <c r="T54" s="49">
        <v>1</v>
      </c>
      <c r="U54" s="50">
        <v>746.444444</v>
      </c>
      <c r="V54" s="50">
        <v>0.001462</v>
      </c>
      <c r="W54" s="50">
        <v>8.6E-05</v>
      </c>
      <c r="X54" s="50">
        <v>1.582987</v>
      </c>
      <c r="Y54" s="50">
        <v>0</v>
      </c>
      <c r="Z54" s="50">
        <v>0</v>
      </c>
      <c r="AA54" s="75">
        <v>54</v>
      </c>
      <c r="AB54" s="75"/>
      <c r="AC54" s="76"/>
      <c r="AD54" s="83" t="s">
        <v>1600</v>
      </c>
      <c r="AE54" s="91" t="s">
        <v>1808</v>
      </c>
      <c r="AF54" s="83">
        <v>428</v>
      </c>
      <c r="AG54" s="83">
        <v>165</v>
      </c>
      <c r="AH54" s="83">
        <v>292</v>
      </c>
      <c r="AI54" s="83">
        <v>164</v>
      </c>
      <c r="AJ54" s="83"/>
      <c r="AK54" s="83" t="s">
        <v>2017</v>
      </c>
      <c r="AL54" s="83" t="s">
        <v>2202</v>
      </c>
      <c r="AM54" s="88" t="str">
        <f>HYPERLINK("https://t.co/oA96tRpzbK")</f>
        <v>https://t.co/oA96tRpzbK</v>
      </c>
      <c r="AN54" s="83"/>
      <c r="AO54" s="85">
        <v>43297.154016203705</v>
      </c>
      <c r="AP54" s="88" t="str">
        <f>HYPERLINK("https://pbs.twimg.com/profile_banners/1018702208001404929/1532548384")</f>
        <v>https://pbs.twimg.com/profile_banners/1018702208001404929/1532548384</v>
      </c>
      <c r="AQ54" s="83" t="b">
        <v>0</v>
      </c>
      <c r="AR54" s="83" t="b">
        <v>0</v>
      </c>
      <c r="AS54" s="83" t="b">
        <v>0</v>
      </c>
      <c r="AT54" s="83"/>
      <c r="AU54" s="83">
        <v>2</v>
      </c>
      <c r="AV54" s="88" t="str">
        <f>HYPERLINK("http://abs.twimg.com/images/themes/theme1/bg.png")</f>
        <v>http://abs.twimg.com/images/themes/theme1/bg.png</v>
      </c>
      <c r="AW54" s="83" t="b">
        <v>0</v>
      </c>
      <c r="AX54" s="83" t="s">
        <v>2296</v>
      </c>
      <c r="AY54" s="88" t="str">
        <f>HYPERLINK("https://twitter.com/ituneed")</f>
        <v>https://twitter.com/ituneed</v>
      </c>
      <c r="AZ54" s="83" t="s">
        <v>66</v>
      </c>
      <c r="BA54" s="83" t="str">
        <f>REPLACE(INDEX(GroupVertices[Group],MATCH(Vertices[[#This Row],[Vertex]],GroupVertices[Vertex],0)),1,1,"")</f>
        <v>2</v>
      </c>
      <c r="BB54" s="49">
        <v>0</v>
      </c>
      <c r="BC54" s="50">
        <v>0</v>
      </c>
      <c r="BD54" s="49">
        <v>0</v>
      </c>
      <c r="BE54" s="50">
        <v>0</v>
      </c>
      <c r="BF54" s="49">
        <v>0</v>
      </c>
      <c r="BG54" s="50">
        <v>0</v>
      </c>
      <c r="BH54" s="49">
        <v>30</v>
      </c>
      <c r="BI54" s="50">
        <v>100</v>
      </c>
      <c r="BJ54" s="49">
        <v>30</v>
      </c>
      <c r="BK54" s="49" t="s">
        <v>4471</v>
      </c>
      <c r="BL54" s="49" t="s">
        <v>4471</v>
      </c>
      <c r="BM54" s="49" t="s">
        <v>538</v>
      </c>
      <c r="BN54" s="49" t="s">
        <v>538</v>
      </c>
      <c r="BO54" s="49" t="s">
        <v>4893</v>
      </c>
      <c r="BP54" s="49" t="s">
        <v>4893</v>
      </c>
      <c r="BQ54" s="119" t="s">
        <v>4989</v>
      </c>
      <c r="BR54" s="119" t="s">
        <v>4989</v>
      </c>
      <c r="BS54" s="119" t="s">
        <v>5124</v>
      </c>
      <c r="BT54" s="119" t="s">
        <v>5124</v>
      </c>
      <c r="BU54" s="2"/>
      <c r="BV54" s="3"/>
      <c r="BW54" s="3"/>
      <c r="BX54" s="3"/>
      <c r="BY54" s="3"/>
    </row>
    <row r="55" spans="1:77" ht="15">
      <c r="A55" s="68" t="s">
        <v>256</v>
      </c>
      <c r="B55" s="69"/>
      <c r="C55" s="69" t="s">
        <v>46</v>
      </c>
      <c r="D55" s="70"/>
      <c r="E55" s="72"/>
      <c r="F55" s="107" t="str">
        <f>HYPERLINK("http://pbs.twimg.com/profile_images/1153301820791541765/XYjnOsEu_normal.jpg")</f>
        <v>http://pbs.twimg.com/profile_images/1153301820791541765/XYjnOsEu_normal.jpg</v>
      </c>
      <c r="G55" s="69"/>
      <c r="H55" s="73" t="s">
        <v>256</v>
      </c>
      <c r="I55" s="74" t="s">
        <v>5217</v>
      </c>
      <c r="J55" s="74" t="s">
        <v>73</v>
      </c>
      <c r="K55" s="73" t="s">
        <v>2348</v>
      </c>
      <c r="L55" s="77">
        <v>1</v>
      </c>
      <c r="M55" s="78">
        <v>5252.1337890625</v>
      </c>
      <c r="N55" s="78">
        <v>6967.16796875</v>
      </c>
      <c r="O55" s="79"/>
      <c r="P55" s="80"/>
      <c r="Q55" s="80"/>
      <c r="R55" s="93"/>
      <c r="S55" s="49">
        <v>0</v>
      </c>
      <c r="T55" s="49">
        <v>1</v>
      </c>
      <c r="U55" s="50">
        <v>0</v>
      </c>
      <c r="V55" s="50">
        <v>0.001156</v>
      </c>
      <c r="W55" s="50">
        <v>6E-06</v>
      </c>
      <c r="X55" s="50">
        <v>0.374256</v>
      </c>
      <c r="Y55" s="50">
        <v>0</v>
      </c>
      <c r="Z55" s="50">
        <v>0</v>
      </c>
      <c r="AA55" s="75">
        <v>55</v>
      </c>
      <c r="AB55" s="75"/>
      <c r="AC55" s="76"/>
      <c r="AD55" s="83" t="s">
        <v>1601</v>
      </c>
      <c r="AE55" s="91" t="s">
        <v>1809</v>
      </c>
      <c r="AF55" s="83">
        <v>1329</v>
      </c>
      <c r="AG55" s="83">
        <v>1568</v>
      </c>
      <c r="AH55" s="83">
        <v>46187</v>
      </c>
      <c r="AI55" s="83">
        <v>141</v>
      </c>
      <c r="AJ55" s="83"/>
      <c r="AK55" s="83" t="s">
        <v>2018</v>
      </c>
      <c r="AL55" s="83" t="s">
        <v>2203</v>
      </c>
      <c r="AM55" s="88" t="str">
        <f>HYPERLINK("https://t.co/liY8EEWyem")</f>
        <v>https://t.co/liY8EEWyem</v>
      </c>
      <c r="AN55" s="83"/>
      <c r="AO55" s="85">
        <v>43390.69019675926</v>
      </c>
      <c r="AP55" s="88" t="str">
        <f>HYPERLINK("https://pbs.twimg.com/profile_banners/1052598585240498177/1549906519")</f>
        <v>https://pbs.twimg.com/profile_banners/1052598585240498177/1549906519</v>
      </c>
      <c r="AQ55" s="83" t="b">
        <v>0</v>
      </c>
      <c r="AR55" s="83" t="b">
        <v>0</v>
      </c>
      <c r="AS55" s="83" t="b">
        <v>1</v>
      </c>
      <c r="AT55" s="83"/>
      <c r="AU55" s="83">
        <v>40</v>
      </c>
      <c r="AV55" s="88" t="str">
        <f>HYPERLINK("http://abs.twimg.com/images/themes/theme1/bg.png")</f>
        <v>http://abs.twimg.com/images/themes/theme1/bg.png</v>
      </c>
      <c r="AW55" s="83" t="b">
        <v>0</v>
      </c>
      <c r="AX55" s="83" t="s">
        <v>2296</v>
      </c>
      <c r="AY55" s="88" t="str">
        <f>HYPERLINK("https://twitter.com/yixuantu1")</f>
        <v>https://twitter.com/yixuantu1</v>
      </c>
      <c r="AZ55" s="83" t="s">
        <v>66</v>
      </c>
      <c r="BA55" s="83" t="str">
        <f>REPLACE(INDEX(GroupVertices[Group],MATCH(Vertices[[#This Row],[Vertex]],GroupVertices[Vertex],0)),1,1,"")</f>
        <v>2</v>
      </c>
      <c r="BB55" s="49">
        <v>0</v>
      </c>
      <c r="BC55" s="50">
        <v>0</v>
      </c>
      <c r="BD55" s="49">
        <v>0</v>
      </c>
      <c r="BE55" s="50">
        <v>0</v>
      </c>
      <c r="BF55" s="49">
        <v>0</v>
      </c>
      <c r="BG55" s="50">
        <v>0</v>
      </c>
      <c r="BH55" s="49">
        <v>30</v>
      </c>
      <c r="BI55" s="50">
        <v>100</v>
      </c>
      <c r="BJ55" s="49">
        <v>30</v>
      </c>
      <c r="BK55" s="49" t="s">
        <v>4471</v>
      </c>
      <c r="BL55" s="49" t="s">
        <v>4471</v>
      </c>
      <c r="BM55" s="49" t="s">
        <v>538</v>
      </c>
      <c r="BN55" s="49" t="s">
        <v>538</v>
      </c>
      <c r="BO55" s="49" t="s">
        <v>575</v>
      </c>
      <c r="BP55" s="49" t="s">
        <v>575</v>
      </c>
      <c r="BQ55" s="119" t="s">
        <v>4989</v>
      </c>
      <c r="BR55" s="119" t="s">
        <v>4989</v>
      </c>
      <c r="BS55" s="119" t="s">
        <v>5124</v>
      </c>
      <c r="BT55" s="119" t="s">
        <v>5124</v>
      </c>
      <c r="BU55" s="2"/>
      <c r="BV55" s="3"/>
      <c r="BW55" s="3"/>
      <c r="BX55" s="3"/>
      <c r="BY55" s="3"/>
    </row>
    <row r="56" spans="1:77" ht="15">
      <c r="A56" s="68" t="s">
        <v>257</v>
      </c>
      <c r="B56" s="69"/>
      <c r="C56" s="69" t="s">
        <v>46</v>
      </c>
      <c r="D56" s="70"/>
      <c r="E56" s="72"/>
      <c r="F56" s="107" t="str">
        <f>HYPERLINK("http://pbs.twimg.com/profile_images/838939683413340160/5P1DUFQ-_normal.jpg")</f>
        <v>http://pbs.twimg.com/profile_images/838939683413340160/5P1DUFQ-_normal.jpg</v>
      </c>
      <c r="G56" s="69"/>
      <c r="H56" s="73" t="s">
        <v>257</v>
      </c>
      <c r="I56" s="74" t="s">
        <v>5210</v>
      </c>
      <c r="J56" s="74" t="s">
        <v>73</v>
      </c>
      <c r="K56" s="73" t="s">
        <v>2349</v>
      </c>
      <c r="L56" s="77">
        <v>1</v>
      </c>
      <c r="M56" s="78">
        <v>1273.105224609375</v>
      </c>
      <c r="N56" s="78">
        <v>9766.40625</v>
      </c>
      <c r="O56" s="79"/>
      <c r="P56" s="80"/>
      <c r="Q56" s="80"/>
      <c r="R56" s="93"/>
      <c r="S56" s="49">
        <v>0</v>
      </c>
      <c r="T56" s="49">
        <v>1</v>
      </c>
      <c r="U56" s="50">
        <v>0</v>
      </c>
      <c r="V56" s="50">
        <v>0.001555</v>
      </c>
      <c r="W56" s="50">
        <v>0.00022</v>
      </c>
      <c r="X56" s="50">
        <v>0.353312</v>
      </c>
      <c r="Y56" s="50">
        <v>0</v>
      </c>
      <c r="Z56" s="50">
        <v>0</v>
      </c>
      <c r="AA56" s="75">
        <v>56</v>
      </c>
      <c r="AB56" s="75"/>
      <c r="AC56" s="76"/>
      <c r="AD56" s="83" t="s">
        <v>1602</v>
      </c>
      <c r="AE56" s="91" t="s">
        <v>1810</v>
      </c>
      <c r="AF56" s="83">
        <v>19413</v>
      </c>
      <c r="AG56" s="83">
        <v>17666</v>
      </c>
      <c r="AH56" s="83">
        <v>402752</v>
      </c>
      <c r="AI56" s="83">
        <v>207525</v>
      </c>
      <c r="AJ56" s="83"/>
      <c r="AK56" s="83" t="s">
        <v>2019</v>
      </c>
      <c r="AL56" s="83" t="s">
        <v>2204</v>
      </c>
      <c r="AM56" s="83"/>
      <c r="AN56" s="83"/>
      <c r="AO56" s="85">
        <v>40990.67068287037</v>
      </c>
      <c r="AP56" s="88" t="str">
        <f>HYPERLINK("https://pbs.twimg.com/profile_banners/533347011/1508544007")</f>
        <v>https://pbs.twimg.com/profile_banners/533347011/1508544007</v>
      </c>
      <c r="AQ56" s="83" t="b">
        <v>1</v>
      </c>
      <c r="AR56" s="83" t="b">
        <v>0</v>
      </c>
      <c r="AS56" s="83" t="b">
        <v>1</v>
      </c>
      <c r="AT56" s="83"/>
      <c r="AU56" s="83">
        <v>35</v>
      </c>
      <c r="AV56" s="88" t="str">
        <f>HYPERLINK("http://abs.twimg.com/images/themes/theme1/bg.png")</f>
        <v>http://abs.twimg.com/images/themes/theme1/bg.png</v>
      </c>
      <c r="AW56" s="83" t="b">
        <v>0</v>
      </c>
      <c r="AX56" s="83" t="s">
        <v>2296</v>
      </c>
      <c r="AY56" s="88" t="str">
        <f>HYPERLINK("https://twitter.com/passarelliallan")</f>
        <v>https://twitter.com/passarelliallan</v>
      </c>
      <c r="AZ56" s="83" t="s">
        <v>66</v>
      </c>
      <c r="BA56" s="83" t="str">
        <f>REPLACE(INDEX(GroupVertices[Group],MATCH(Vertices[[#This Row],[Vertex]],GroupVertices[Vertex],0)),1,1,"")</f>
        <v>1</v>
      </c>
      <c r="BB56" s="49">
        <v>0</v>
      </c>
      <c r="BC56" s="50">
        <v>0</v>
      </c>
      <c r="BD56" s="49">
        <v>0</v>
      </c>
      <c r="BE56" s="50">
        <v>0</v>
      </c>
      <c r="BF56" s="49">
        <v>0</v>
      </c>
      <c r="BG56" s="50">
        <v>0</v>
      </c>
      <c r="BH56" s="49">
        <v>34</v>
      </c>
      <c r="BI56" s="50">
        <v>100</v>
      </c>
      <c r="BJ56" s="49">
        <v>34</v>
      </c>
      <c r="BK56" s="49"/>
      <c r="BL56" s="49"/>
      <c r="BM56" s="49"/>
      <c r="BN56" s="49"/>
      <c r="BO56" s="49" t="s">
        <v>4894</v>
      </c>
      <c r="BP56" s="49" t="s">
        <v>4894</v>
      </c>
      <c r="BQ56" s="119" t="s">
        <v>4990</v>
      </c>
      <c r="BR56" s="119" t="s">
        <v>4990</v>
      </c>
      <c r="BS56" s="119" t="s">
        <v>5125</v>
      </c>
      <c r="BT56" s="119" t="s">
        <v>5125</v>
      </c>
      <c r="BU56" s="2"/>
      <c r="BV56" s="3"/>
      <c r="BW56" s="3"/>
      <c r="BX56" s="3"/>
      <c r="BY56" s="3"/>
    </row>
    <row r="57" spans="1:77" ht="15">
      <c r="A57" s="68" t="s">
        <v>423</v>
      </c>
      <c r="B57" s="69"/>
      <c r="C57" s="69" t="s">
        <v>64</v>
      </c>
      <c r="D57" s="70">
        <v>1000</v>
      </c>
      <c r="E57" s="72"/>
      <c r="F57" s="107" t="str">
        <f>HYPERLINK("http://pbs.twimg.com/profile_images/555763029569064960/2LJ0PRHL_normal.jpeg")</f>
        <v>http://pbs.twimg.com/profile_images/555763029569064960/2LJ0PRHL_normal.jpeg</v>
      </c>
      <c r="G57" s="69"/>
      <c r="H57" s="73" t="s">
        <v>423</v>
      </c>
      <c r="I57" s="74" t="s">
        <v>5210</v>
      </c>
      <c r="J57" s="74" t="s">
        <v>73</v>
      </c>
      <c r="K57" s="73" t="s">
        <v>2350</v>
      </c>
      <c r="L57" s="77">
        <v>9676.483870967742</v>
      </c>
      <c r="M57" s="78">
        <v>1499.324462890625</v>
      </c>
      <c r="N57" s="78">
        <v>6441.93017578125</v>
      </c>
      <c r="O57" s="79"/>
      <c r="P57" s="80"/>
      <c r="Q57" s="80"/>
      <c r="R57" s="93"/>
      <c r="S57" s="49">
        <v>30</v>
      </c>
      <c r="T57" s="49">
        <v>1</v>
      </c>
      <c r="U57" s="50">
        <v>9875.672274</v>
      </c>
      <c r="V57" s="50">
        <v>0.002165</v>
      </c>
      <c r="W57" s="50">
        <v>0.003345</v>
      </c>
      <c r="X57" s="50">
        <v>7.175709</v>
      </c>
      <c r="Y57" s="50">
        <v>0.011083743842364532</v>
      </c>
      <c r="Z57" s="50">
        <v>0</v>
      </c>
      <c r="AA57" s="75">
        <v>57</v>
      </c>
      <c r="AB57" s="75"/>
      <c r="AC57" s="76"/>
      <c r="AD57" s="83" t="s">
        <v>1603</v>
      </c>
      <c r="AE57" s="91" t="s">
        <v>1811</v>
      </c>
      <c r="AF57" s="83">
        <v>4115</v>
      </c>
      <c r="AG57" s="83">
        <v>2373</v>
      </c>
      <c r="AH57" s="83">
        <v>14278</v>
      </c>
      <c r="AI57" s="83">
        <v>1</v>
      </c>
      <c r="AJ57" s="83"/>
      <c r="AK57" s="83" t="s">
        <v>2020</v>
      </c>
      <c r="AL57" s="83" t="s">
        <v>2205</v>
      </c>
      <c r="AM57" s="88" t="str">
        <f>HYPERLINK("https://t.co/LfjD4oxHIv")</f>
        <v>https://t.co/LfjD4oxHIv</v>
      </c>
      <c r="AN57" s="83"/>
      <c r="AO57" s="85">
        <v>41506.579675925925</v>
      </c>
      <c r="AP57" s="88" t="str">
        <f>HYPERLINK("https://pbs.twimg.com/profile_banners/1685825136/1407339186")</f>
        <v>https://pbs.twimg.com/profile_banners/1685825136/1407339186</v>
      </c>
      <c r="AQ57" s="83" t="b">
        <v>0</v>
      </c>
      <c r="AR57" s="83" t="b">
        <v>0</v>
      </c>
      <c r="AS57" s="83" t="b">
        <v>1</v>
      </c>
      <c r="AT57" s="83"/>
      <c r="AU57" s="83">
        <v>289</v>
      </c>
      <c r="AV57" s="88" t="str">
        <f>HYPERLINK("http://abs.twimg.com/images/themes/theme1/bg.png")</f>
        <v>http://abs.twimg.com/images/themes/theme1/bg.png</v>
      </c>
      <c r="AW57" s="83" t="b">
        <v>0</v>
      </c>
      <c r="AX57" s="83" t="s">
        <v>2296</v>
      </c>
      <c r="AY57" s="88" t="str">
        <f>HYPERLINK("https://twitter.com/grandparobot")</f>
        <v>https://twitter.com/grandparobot</v>
      </c>
      <c r="AZ57" s="83" t="s">
        <v>66</v>
      </c>
      <c r="BA57" s="83" t="str">
        <f>REPLACE(INDEX(GroupVertices[Group],MATCH(Vertices[[#This Row],[Vertex]],GroupVertices[Vertex],0)),1,1,"")</f>
        <v>1</v>
      </c>
      <c r="BB57" s="49">
        <v>0</v>
      </c>
      <c r="BC57" s="50">
        <v>0</v>
      </c>
      <c r="BD57" s="49">
        <v>0</v>
      </c>
      <c r="BE57" s="50">
        <v>0</v>
      </c>
      <c r="BF57" s="49">
        <v>0</v>
      </c>
      <c r="BG57" s="50">
        <v>0</v>
      </c>
      <c r="BH57" s="49">
        <v>159</v>
      </c>
      <c r="BI57" s="50">
        <v>100</v>
      </c>
      <c r="BJ57" s="49">
        <v>159</v>
      </c>
      <c r="BK57" s="49" t="s">
        <v>4468</v>
      </c>
      <c r="BL57" s="49" t="s">
        <v>4468</v>
      </c>
      <c r="BM57" s="49" t="s">
        <v>553</v>
      </c>
      <c r="BN57" s="49" t="s">
        <v>553</v>
      </c>
      <c r="BO57" s="49" t="s">
        <v>4895</v>
      </c>
      <c r="BP57" s="49" t="s">
        <v>4941</v>
      </c>
      <c r="BQ57" s="119" t="s">
        <v>4991</v>
      </c>
      <c r="BR57" s="119" t="s">
        <v>5072</v>
      </c>
      <c r="BS57" s="119" t="s">
        <v>5126</v>
      </c>
      <c r="BT57" s="119" t="s">
        <v>5190</v>
      </c>
      <c r="BU57" s="2"/>
      <c r="BV57" s="3"/>
      <c r="BW57" s="3"/>
      <c r="BX57" s="3"/>
      <c r="BY57" s="3"/>
    </row>
    <row r="58" spans="1:77" ht="15">
      <c r="A58" s="68" t="s">
        <v>258</v>
      </c>
      <c r="B58" s="69"/>
      <c r="C58" s="69" t="s">
        <v>46</v>
      </c>
      <c r="D58" s="70"/>
      <c r="E58" s="72"/>
      <c r="F58" s="107" t="str">
        <f>HYPERLINK("http://pbs.twimg.com/profile_images/1078366371619192834/Q2ijmoJw_normal.jpg")</f>
        <v>http://pbs.twimg.com/profile_images/1078366371619192834/Q2ijmoJw_normal.jpg</v>
      </c>
      <c r="G58" s="69"/>
      <c r="H58" s="73" t="s">
        <v>258</v>
      </c>
      <c r="I58" s="74" t="s">
        <v>5210</v>
      </c>
      <c r="J58" s="74" t="s">
        <v>73</v>
      </c>
      <c r="K58" s="73" t="s">
        <v>2351</v>
      </c>
      <c r="L58" s="77">
        <v>1</v>
      </c>
      <c r="M58" s="78">
        <v>1693.6094970703125</v>
      </c>
      <c r="N58" s="78">
        <v>9726.3818359375</v>
      </c>
      <c r="O58" s="79"/>
      <c r="P58" s="80"/>
      <c r="Q58" s="80"/>
      <c r="R58" s="93"/>
      <c r="S58" s="49">
        <v>0</v>
      </c>
      <c r="T58" s="49">
        <v>1</v>
      </c>
      <c r="U58" s="50">
        <v>0</v>
      </c>
      <c r="V58" s="50">
        <v>0.001555</v>
      </c>
      <c r="W58" s="50">
        <v>0.00022</v>
      </c>
      <c r="X58" s="50">
        <v>0.353312</v>
      </c>
      <c r="Y58" s="50">
        <v>0</v>
      </c>
      <c r="Z58" s="50">
        <v>0</v>
      </c>
      <c r="AA58" s="75">
        <v>58</v>
      </c>
      <c r="AB58" s="75"/>
      <c r="AC58" s="76"/>
      <c r="AD58" s="83" t="s">
        <v>1604</v>
      </c>
      <c r="AE58" s="91" t="s">
        <v>1812</v>
      </c>
      <c r="AF58" s="83">
        <v>1512</v>
      </c>
      <c r="AG58" s="83">
        <v>886</v>
      </c>
      <c r="AH58" s="83">
        <v>55383</v>
      </c>
      <c r="AI58" s="83">
        <v>10466</v>
      </c>
      <c r="AJ58" s="83"/>
      <c r="AK58" s="83" t="s">
        <v>2021</v>
      </c>
      <c r="AL58" s="83" t="s">
        <v>2206</v>
      </c>
      <c r="AM58" s="88" t="str">
        <f>HYPERLINK("http://t.co/hSiP1UTTsj")</f>
        <v>http://t.co/hSiP1UTTsj</v>
      </c>
      <c r="AN58" s="83"/>
      <c r="AO58" s="85">
        <v>40140.59056712963</v>
      </c>
      <c r="AP58" s="88" t="str">
        <f>HYPERLINK("https://pbs.twimg.com/profile_banners/92026573/1599436320")</f>
        <v>https://pbs.twimg.com/profile_banners/92026573/1599436320</v>
      </c>
      <c r="AQ58" s="83" t="b">
        <v>0</v>
      </c>
      <c r="AR58" s="83" t="b">
        <v>0</v>
      </c>
      <c r="AS58" s="83" t="b">
        <v>1</v>
      </c>
      <c r="AT58" s="83"/>
      <c r="AU58" s="83">
        <v>221</v>
      </c>
      <c r="AV58" s="88" t="str">
        <f>HYPERLINK("http://abs.twimg.com/images/themes/theme12/bg.gif")</f>
        <v>http://abs.twimg.com/images/themes/theme12/bg.gif</v>
      </c>
      <c r="AW58" s="83" t="b">
        <v>0</v>
      </c>
      <c r="AX58" s="83" t="s">
        <v>2296</v>
      </c>
      <c r="AY58" s="88" t="str">
        <f>HYPERLINK("https://twitter.com/dggonzalez2015")</f>
        <v>https://twitter.com/dggonzalez2015</v>
      </c>
      <c r="AZ58" s="83" t="s">
        <v>66</v>
      </c>
      <c r="BA58" s="83" t="str">
        <f>REPLACE(INDEX(GroupVertices[Group],MATCH(Vertices[[#This Row],[Vertex]],GroupVertices[Vertex],0)),1,1,"")</f>
        <v>1</v>
      </c>
      <c r="BB58" s="49">
        <v>0</v>
      </c>
      <c r="BC58" s="50">
        <v>0</v>
      </c>
      <c r="BD58" s="49">
        <v>0</v>
      </c>
      <c r="BE58" s="50">
        <v>0</v>
      </c>
      <c r="BF58" s="49">
        <v>0</v>
      </c>
      <c r="BG58" s="50">
        <v>0</v>
      </c>
      <c r="BH58" s="49">
        <v>34</v>
      </c>
      <c r="BI58" s="50">
        <v>100</v>
      </c>
      <c r="BJ58" s="49">
        <v>34</v>
      </c>
      <c r="BK58" s="49"/>
      <c r="BL58" s="49"/>
      <c r="BM58" s="49"/>
      <c r="BN58" s="49"/>
      <c r="BO58" s="49" t="s">
        <v>4894</v>
      </c>
      <c r="BP58" s="49" t="s">
        <v>4894</v>
      </c>
      <c r="BQ58" s="119" t="s">
        <v>4990</v>
      </c>
      <c r="BR58" s="119" t="s">
        <v>4990</v>
      </c>
      <c r="BS58" s="119" t="s">
        <v>5125</v>
      </c>
      <c r="BT58" s="119" t="s">
        <v>5125</v>
      </c>
      <c r="BU58" s="2"/>
      <c r="BV58" s="3"/>
      <c r="BW58" s="3"/>
      <c r="BX58" s="3"/>
      <c r="BY58" s="3"/>
    </row>
    <row r="59" spans="1:77" ht="15">
      <c r="A59" s="68" t="s">
        <v>259</v>
      </c>
      <c r="B59" s="69"/>
      <c r="C59" s="69" t="s">
        <v>46</v>
      </c>
      <c r="D59" s="70"/>
      <c r="E59" s="72"/>
      <c r="F59" s="107" t="str">
        <f>HYPERLINK("http://pbs.twimg.com/profile_images/1245684407912062977/KFlnZs5e_normal.jpg")</f>
        <v>http://pbs.twimg.com/profile_images/1245684407912062977/KFlnZs5e_normal.jpg</v>
      </c>
      <c r="G59" s="69"/>
      <c r="H59" s="73" t="s">
        <v>259</v>
      </c>
      <c r="I59" s="74" t="s">
        <v>5215</v>
      </c>
      <c r="J59" s="74" t="s">
        <v>73</v>
      </c>
      <c r="K59" s="73" t="s">
        <v>2352</v>
      </c>
      <c r="L59" s="77">
        <v>1</v>
      </c>
      <c r="M59" s="78">
        <v>9418.158203125</v>
      </c>
      <c r="N59" s="78">
        <v>9774.8076171875</v>
      </c>
      <c r="O59" s="79"/>
      <c r="P59" s="80"/>
      <c r="Q59" s="80"/>
      <c r="R59" s="93"/>
      <c r="S59" s="49">
        <v>0</v>
      </c>
      <c r="T59" s="49">
        <v>1</v>
      </c>
      <c r="U59" s="50">
        <v>0</v>
      </c>
      <c r="V59" s="50">
        <v>0.001229</v>
      </c>
      <c r="W59" s="50">
        <v>0.000172</v>
      </c>
      <c r="X59" s="50">
        <v>0.408479</v>
      </c>
      <c r="Y59" s="50">
        <v>0</v>
      </c>
      <c r="Z59" s="50">
        <v>0</v>
      </c>
      <c r="AA59" s="75">
        <v>59</v>
      </c>
      <c r="AB59" s="75"/>
      <c r="AC59" s="76"/>
      <c r="AD59" s="83" t="s">
        <v>1605</v>
      </c>
      <c r="AE59" s="91" t="s">
        <v>1813</v>
      </c>
      <c r="AF59" s="83">
        <v>807</v>
      </c>
      <c r="AG59" s="83">
        <v>396</v>
      </c>
      <c r="AH59" s="83">
        <v>1137</v>
      </c>
      <c r="AI59" s="83">
        <v>689</v>
      </c>
      <c r="AJ59" s="83"/>
      <c r="AK59" s="83" t="s">
        <v>2022</v>
      </c>
      <c r="AL59" s="83" t="s">
        <v>2207</v>
      </c>
      <c r="AM59" s="88" t="str">
        <f>HYPERLINK("https://t.co/RdulBMRjsO")</f>
        <v>https://t.co/RdulBMRjsO</v>
      </c>
      <c r="AN59" s="83"/>
      <c r="AO59" s="85">
        <v>40456.49762731481</v>
      </c>
      <c r="AP59" s="88" t="str">
        <f>HYPERLINK("https://pbs.twimg.com/profile_banners/198844610/1585829284")</f>
        <v>https://pbs.twimg.com/profile_banners/198844610/1585829284</v>
      </c>
      <c r="AQ59" s="83" t="b">
        <v>0</v>
      </c>
      <c r="AR59" s="83" t="b">
        <v>0</v>
      </c>
      <c r="AS59" s="83" t="b">
        <v>1</v>
      </c>
      <c r="AT59" s="83"/>
      <c r="AU59" s="83">
        <v>3</v>
      </c>
      <c r="AV59" s="88" t="str">
        <f>HYPERLINK("http://abs.twimg.com/images/themes/theme1/bg.png")</f>
        <v>http://abs.twimg.com/images/themes/theme1/bg.png</v>
      </c>
      <c r="AW59" s="83" t="b">
        <v>0</v>
      </c>
      <c r="AX59" s="83" t="s">
        <v>2296</v>
      </c>
      <c r="AY59" s="88" t="str">
        <f>HYPERLINK("https://twitter.com/rickymacharm")</f>
        <v>https://twitter.com/rickymacharm</v>
      </c>
      <c r="AZ59" s="83" t="s">
        <v>66</v>
      </c>
      <c r="BA59" s="83" t="str">
        <f>REPLACE(INDEX(GroupVertices[Group],MATCH(Vertices[[#This Row],[Vertex]],GroupVertices[Vertex],0)),1,1,"")</f>
        <v>5</v>
      </c>
      <c r="BB59" s="49">
        <v>0</v>
      </c>
      <c r="BC59" s="50">
        <v>0</v>
      </c>
      <c r="BD59" s="49">
        <v>0</v>
      </c>
      <c r="BE59" s="50">
        <v>0</v>
      </c>
      <c r="BF59" s="49">
        <v>0</v>
      </c>
      <c r="BG59" s="50">
        <v>0</v>
      </c>
      <c r="BH59" s="49">
        <v>20</v>
      </c>
      <c r="BI59" s="50">
        <v>100</v>
      </c>
      <c r="BJ59" s="49">
        <v>20</v>
      </c>
      <c r="BK59" s="49" t="s">
        <v>4482</v>
      </c>
      <c r="BL59" s="49" t="s">
        <v>4482</v>
      </c>
      <c r="BM59" s="49" t="s">
        <v>535</v>
      </c>
      <c r="BN59" s="49" t="s">
        <v>535</v>
      </c>
      <c r="BO59" s="49" t="s">
        <v>572</v>
      </c>
      <c r="BP59" s="49" t="s">
        <v>572</v>
      </c>
      <c r="BQ59" s="119" t="s">
        <v>4986</v>
      </c>
      <c r="BR59" s="119" t="s">
        <v>4986</v>
      </c>
      <c r="BS59" s="119" t="s">
        <v>5121</v>
      </c>
      <c r="BT59" s="119" t="s">
        <v>5121</v>
      </c>
      <c r="BU59" s="2"/>
      <c r="BV59" s="3"/>
      <c r="BW59" s="3"/>
      <c r="BX59" s="3"/>
      <c r="BY59" s="3"/>
    </row>
    <row r="60" spans="1:77" ht="15">
      <c r="A60" s="68" t="s">
        <v>260</v>
      </c>
      <c r="B60" s="69"/>
      <c r="C60" s="69" t="s">
        <v>46</v>
      </c>
      <c r="D60" s="70"/>
      <c r="E60" s="72"/>
      <c r="F60" s="107" t="str">
        <f>HYPERLINK("http://pbs.twimg.com/profile_images/1245998320696188929/De1LiG2q_normal.jpg")</f>
        <v>http://pbs.twimg.com/profile_images/1245998320696188929/De1LiG2q_normal.jpg</v>
      </c>
      <c r="G60" s="69"/>
      <c r="H60" s="73" t="s">
        <v>260</v>
      </c>
      <c r="I60" s="74" t="s">
        <v>5214</v>
      </c>
      <c r="J60" s="74" t="s">
        <v>73</v>
      </c>
      <c r="K60" s="73" t="s">
        <v>2353</v>
      </c>
      <c r="L60" s="77">
        <v>1</v>
      </c>
      <c r="M60" s="78">
        <v>5526.08447265625</v>
      </c>
      <c r="N60" s="78">
        <v>3116.28173828125</v>
      </c>
      <c r="O60" s="79"/>
      <c r="P60" s="80"/>
      <c r="Q60" s="80"/>
      <c r="R60" s="93"/>
      <c r="S60" s="49">
        <v>0</v>
      </c>
      <c r="T60" s="49">
        <v>1</v>
      </c>
      <c r="U60" s="50">
        <v>0</v>
      </c>
      <c r="V60" s="50">
        <v>0.001083</v>
      </c>
      <c r="W60" s="50">
        <v>2E-06</v>
      </c>
      <c r="X60" s="50">
        <v>0.483625</v>
      </c>
      <c r="Y60" s="50">
        <v>0</v>
      </c>
      <c r="Z60" s="50">
        <v>0</v>
      </c>
      <c r="AA60" s="75">
        <v>60</v>
      </c>
      <c r="AB60" s="75"/>
      <c r="AC60" s="76"/>
      <c r="AD60" s="83" t="s">
        <v>1606</v>
      </c>
      <c r="AE60" s="91" t="s">
        <v>1814</v>
      </c>
      <c r="AF60" s="83">
        <v>658</v>
      </c>
      <c r="AG60" s="83">
        <v>128</v>
      </c>
      <c r="AH60" s="83">
        <v>843</v>
      </c>
      <c r="AI60" s="83">
        <v>118</v>
      </c>
      <c r="AJ60" s="83"/>
      <c r="AK60" s="83" t="s">
        <v>2023</v>
      </c>
      <c r="AL60" s="83" t="s">
        <v>2208</v>
      </c>
      <c r="AM60" s="88" t="str">
        <f>HYPERLINK("https://t.co/cSwoOoPNVs")</f>
        <v>https://t.co/cSwoOoPNVs</v>
      </c>
      <c r="AN60" s="83"/>
      <c r="AO60" s="85">
        <v>43924.37127314815</v>
      </c>
      <c r="AP60" s="88" t="str">
        <f>HYPERLINK("https://pbs.twimg.com/profile_banners/1245997937278189571/1586359658")</f>
        <v>https://pbs.twimg.com/profile_banners/1245997937278189571/1586359658</v>
      </c>
      <c r="AQ60" s="83" t="b">
        <v>1</v>
      </c>
      <c r="AR60" s="83" t="b">
        <v>0</v>
      </c>
      <c r="AS60" s="83" t="b">
        <v>0</v>
      </c>
      <c r="AT60" s="83"/>
      <c r="AU60" s="83">
        <v>3</v>
      </c>
      <c r="AV60" s="83"/>
      <c r="AW60" s="83" t="b">
        <v>0</v>
      </c>
      <c r="AX60" s="83" t="s">
        <v>2296</v>
      </c>
      <c r="AY60" s="88" t="str">
        <f>HYPERLINK("https://twitter.com/sumtic_edtech")</f>
        <v>https://twitter.com/sumtic_edtech</v>
      </c>
      <c r="AZ60" s="83" t="s">
        <v>66</v>
      </c>
      <c r="BA60" s="83" t="str">
        <f>REPLACE(INDEX(GroupVertices[Group],MATCH(Vertices[[#This Row],[Vertex]],GroupVertices[Vertex],0)),1,1,"")</f>
        <v>7</v>
      </c>
      <c r="BB60" s="49">
        <v>0</v>
      </c>
      <c r="BC60" s="50">
        <v>0</v>
      </c>
      <c r="BD60" s="49">
        <v>0</v>
      </c>
      <c r="BE60" s="50">
        <v>0</v>
      </c>
      <c r="BF60" s="49">
        <v>0</v>
      </c>
      <c r="BG60" s="50">
        <v>0</v>
      </c>
      <c r="BH60" s="49">
        <v>34</v>
      </c>
      <c r="BI60" s="50">
        <v>100</v>
      </c>
      <c r="BJ60" s="49">
        <v>34</v>
      </c>
      <c r="BK60" s="49" t="s">
        <v>4498</v>
      </c>
      <c r="BL60" s="49" t="s">
        <v>4498</v>
      </c>
      <c r="BM60" s="49" t="s">
        <v>539</v>
      </c>
      <c r="BN60" s="49" t="s">
        <v>539</v>
      </c>
      <c r="BO60" s="49" t="s">
        <v>577</v>
      </c>
      <c r="BP60" s="49" t="s">
        <v>577</v>
      </c>
      <c r="BQ60" s="119" t="s">
        <v>4992</v>
      </c>
      <c r="BR60" s="119" t="s">
        <v>4992</v>
      </c>
      <c r="BS60" s="119" t="s">
        <v>5127</v>
      </c>
      <c r="BT60" s="119" t="s">
        <v>5127</v>
      </c>
      <c r="BU60" s="2"/>
      <c r="BV60" s="3"/>
      <c r="BW60" s="3"/>
      <c r="BX60" s="3"/>
      <c r="BY60" s="3"/>
    </row>
    <row r="61" spans="1:77" ht="15">
      <c r="A61" s="68" t="s">
        <v>269</v>
      </c>
      <c r="B61" s="69"/>
      <c r="C61" s="69" t="s">
        <v>64</v>
      </c>
      <c r="D61" s="70">
        <v>516.7968891234348</v>
      </c>
      <c r="E61" s="72"/>
      <c r="F61" s="107" t="str">
        <f>HYPERLINK("http://pbs.twimg.com/profile_images/562530463957254145/bXC7tNcP_normal.jpeg")</f>
        <v>http://pbs.twimg.com/profile_images/562530463957254145/bXC7tNcP_normal.jpeg</v>
      </c>
      <c r="G61" s="69"/>
      <c r="H61" s="73" t="s">
        <v>269</v>
      </c>
      <c r="I61" s="74" t="s">
        <v>5214</v>
      </c>
      <c r="J61" s="74" t="s">
        <v>73</v>
      </c>
      <c r="K61" s="73" t="s">
        <v>2354</v>
      </c>
      <c r="L61" s="77">
        <v>1291.0645161290322</v>
      </c>
      <c r="M61" s="78">
        <v>5843.96630859375</v>
      </c>
      <c r="N61" s="78">
        <v>3898.31689453125</v>
      </c>
      <c r="O61" s="79"/>
      <c r="P61" s="80"/>
      <c r="Q61" s="80"/>
      <c r="R61" s="93"/>
      <c r="S61" s="49">
        <v>4</v>
      </c>
      <c r="T61" s="49">
        <v>1</v>
      </c>
      <c r="U61" s="50">
        <v>722</v>
      </c>
      <c r="V61" s="50">
        <v>0.001348</v>
      </c>
      <c r="W61" s="50">
        <v>3.1E-05</v>
      </c>
      <c r="X61" s="50">
        <v>1.569998</v>
      </c>
      <c r="Y61" s="50">
        <v>0</v>
      </c>
      <c r="Z61" s="50">
        <v>0</v>
      </c>
      <c r="AA61" s="75">
        <v>61</v>
      </c>
      <c r="AB61" s="75"/>
      <c r="AC61" s="76"/>
      <c r="AD61" s="83" t="s">
        <v>1607</v>
      </c>
      <c r="AE61" s="91" t="s">
        <v>1815</v>
      </c>
      <c r="AF61" s="83">
        <v>471</v>
      </c>
      <c r="AG61" s="83">
        <v>810</v>
      </c>
      <c r="AH61" s="83">
        <v>1735</v>
      </c>
      <c r="AI61" s="83">
        <v>419</v>
      </c>
      <c r="AJ61" s="83"/>
      <c r="AK61" s="83" t="s">
        <v>2024</v>
      </c>
      <c r="AL61" s="83"/>
      <c r="AM61" s="88" t="str">
        <f>HYPERLINK("https://t.co/OWXWzLcJpc")</f>
        <v>https://t.co/OWXWzLcJpc</v>
      </c>
      <c r="AN61" s="83"/>
      <c r="AO61" s="85">
        <v>41984.70396990741</v>
      </c>
      <c r="AP61" s="88" t="str">
        <f>HYPERLINK("https://pbs.twimg.com/profile_banners/2915855302/1465216776")</f>
        <v>https://pbs.twimg.com/profile_banners/2915855302/1465216776</v>
      </c>
      <c r="AQ61" s="83" t="b">
        <v>0</v>
      </c>
      <c r="AR61" s="83" t="b">
        <v>0</v>
      </c>
      <c r="AS61" s="83" t="b">
        <v>1</v>
      </c>
      <c r="AT61" s="83"/>
      <c r="AU61" s="83">
        <v>29</v>
      </c>
      <c r="AV61" s="88" t="str">
        <f>HYPERLINK("http://abs.twimg.com/images/themes/theme6/bg.gif")</f>
        <v>http://abs.twimg.com/images/themes/theme6/bg.gif</v>
      </c>
      <c r="AW61" s="83" t="b">
        <v>0</v>
      </c>
      <c r="AX61" s="83" t="s">
        <v>2296</v>
      </c>
      <c r="AY61" s="88" t="str">
        <f>HYPERLINK("https://twitter.com/ineditmagazine")</f>
        <v>https://twitter.com/ineditmagazine</v>
      </c>
      <c r="AZ61" s="83" t="s">
        <v>66</v>
      </c>
      <c r="BA61" s="83" t="str">
        <f>REPLACE(INDEX(GroupVertices[Group],MATCH(Vertices[[#This Row],[Vertex]],GroupVertices[Vertex],0)),1,1,"")</f>
        <v>7</v>
      </c>
      <c r="BB61" s="49">
        <v>0</v>
      </c>
      <c r="BC61" s="50">
        <v>0</v>
      </c>
      <c r="BD61" s="49">
        <v>0</v>
      </c>
      <c r="BE61" s="50">
        <v>0</v>
      </c>
      <c r="BF61" s="49">
        <v>0</v>
      </c>
      <c r="BG61" s="50">
        <v>0</v>
      </c>
      <c r="BH61" s="49">
        <v>34</v>
      </c>
      <c r="BI61" s="50">
        <v>100</v>
      </c>
      <c r="BJ61" s="49">
        <v>34</v>
      </c>
      <c r="BK61" s="49" t="s">
        <v>4498</v>
      </c>
      <c r="BL61" s="49" t="s">
        <v>4498</v>
      </c>
      <c r="BM61" s="49" t="s">
        <v>539</v>
      </c>
      <c r="BN61" s="49" t="s">
        <v>539</v>
      </c>
      <c r="BO61" s="49" t="s">
        <v>577</v>
      </c>
      <c r="BP61" s="49" t="s">
        <v>577</v>
      </c>
      <c r="BQ61" s="119" t="s">
        <v>4992</v>
      </c>
      <c r="BR61" s="119" t="s">
        <v>4992</v>
      </c>
      <c r="BS61" s="119" t="s">
        <v>5127</v>
      </c>
      <c r="BT61" s="119" t="s">
        <v>5127</v>
      </c>
      <c r="BU61" s="2"/>
      <c r="BV61" s="3"/>
      <c r="BW61" s="3"/>
      <c r="BX61" s="3"/>
      <c r="BY61" s="3"/>
    </row>
    <row r="62" spans="1:77" ht="15">
      <c r="A62" s="68" t="s">
        <v>261</v>
      </c>
      <c r="B62" s="69"/>
      <c r="C62" s="69" t="s">
        <v>46</v>
      </c>
      <c r="D62" s="70"/>
      <c r="E62" s="72"/>
      <c r="F62" s="107" t="str">
        <f>HYPERLINK("http://pbs.twimg.com/profile_images/729870691017707521/8wDB9z4X_normal.jpg")</f>
        <v>http://pbs.twimg.com/profile_images/729870691017707521/8wDB9z4X_normal.jpg</v>
      </c>
      <c r="G62" s="69"/>
      <c r="H62" s="73" t="s">
        <v>261</v>
      </c>
      <c r="I62" s="74" t="s">
        <v>5210</v>
      </c>
      <c r="J62" s="74" t="s">
        <v>73</v>
      </c>
      <c r="K62" s="73" t="s">
        <v>2355</v>
      </c>
      <c r="L62" s="77">
        <v>1</v>
      </c>
      <c r="M62" s="78">
        <v>2634.3505859375</v>
      </c>
      <c r="N62" s="78">
        <v>6381.55224609375</v>
      </c>
      <c r="O62" s="79"/>
      <c r="P62" s="80"/>
      <c r="Q62" s="80"/>
      <c r="R62" s="93"/>
      <c r="S62" s="49">
        <v>0</v>
      </c>
      <c r="T62" s="49">
        <v>1</v>
      </c>
      <c r="U62" s="50">
        <v>0</v>
      </c>
      <c r="V62" s="50">
        <v>0.001555</v>
      </c>
      <c r="W62" s="50">
        <v>0.00022</v>
      </c>
      <c r="X62" s="50">
        <v>0.353312</v>
      </c>
      <c r="Y62" s="50">
        <v>0</v>
      </c>
      <c r="Z62" s="50">
        <v>0</v>
      </c>
      <c r="AA62" s="75">
        <v>62</v>
      </c>
      <c r="AB62" s="75"/>
      <c r="AC62" s="76"/>
      <c r="AD62" s="83" t="s">
        <v>1608</v>
      </c>
      <c r="AE62" s="91" t="s">
        <v>1816</v>
      </c>
      <c r="AF62" s="83">
        <v>37</v>
      </c>
      <c r="AG62" s="83">
        <v>2603</v>
      </c>
      <c r="AH62" s="83">
        <v>125009</v>
      </c>
      <c r="AI62" s="83">
        <v>9</v>
      </c>
      <c r="AJ62" s="83"/>
      <c r="AK62" s="83" t="s">
        <v>2025</v>
      </c>
      <c r="AL62" s="83"/>
      <c r="AM62" s="88" t="str">
        <f>HYPERLINK("https://t.co/pPO7HGGMv9")</f>
        <v>https://t.co/pPO7HGGMv9</v>
      </c>
      <c r="AN62" s="83"/>
      <c r="AO62" s="85">
        <v>42500.12861111111</v>
      </c>
      <c r="AP62" s="88" t="str">
        <f>HYPERLINK("https://pbs.twimg.com/profile_banners/729869871484260353/1464013932")</f>
        <v>https://pbs.twimg.com/profile_banners/729869871484260353/1464013932</v>
      </c>
      <c r="AQ62" s="83" t="b">
        <v>1</v>
      </c>
      <c r="AR62" s="83" t="b">
        <v>0</v>
      </c>
      <c r="AS62" s="83" t="b">
        <v>0</v>
      </c>
      <c r="AT62" s="83"/>
      <c r="AU62" s="83">
        <v>87</v>
      </c>
      <c r="AV62" s="83"/>
      <c r="AW62" s="83" t="b">
        <v>0</v>
      </c>
      <c r="AX62" s="83" t="s">
        <v>2296</v>
      </c>
      <c r="AY62" s="88" t="str">
        <f>HYPERLINK("https://twitter.com/robotconsumer")</f>
        <v>https://twitter.com/robotconsumer</v>
      </c>
      <c r="AZ62" s="83" t="s">
        <v>66</v>
      </c>
      <c r="BA62" s="83" t="str">
        <f>REPLACE(INDEX(GroupVertices[Group],MATCH(Vertices[[#This Row],[Vertex]],GroupVertices[Vertex],0)),1,1,"")</f>
        <v>1</v>
      </c>
      <c r="BB62" s="49">
        <v>0</v>
      </c>
      <c r="BC62" s="50">
        <v>0</v>
      </c>
      <c r="BD62" s="49">
        <v>0</v>
      </c>
      <c r="BE62" s="50">
        <v>0</v>
      </c>
      <c r="BF62" s="49">
        <v>0</v>
      </c>
      <c r="BG62" s="50">
        <v>0</v>
      </c>
      <c r="BH62" s="49">
        <v>30</v>
      </c>
      <c r="BI62" s="50">
        <v>100</v>
      </c>
      <c r="BJ62" s="49">
        <v>30</v>
      </c>
      <c r="BK62" s="49"/>
      <c r="BL62" s="49"/>
      <c r="BM62" s="49"/>
      <c r="BN62" s="49"/>
      <c r="BO62" s="49" t="s">
        <v>4896</v>
      </c>
      <c r="BP62" s="49" t="s">
        <v>4896</v>
      </c>
      <c r="BQ62" s="119" t="s">
        <v>4993</v>
      </c>
      <c r="BR62" s="119" t="s">
        <v>4993</v>
      </c>
      <c r="BS62" s="119" t="s">
        <v>5128</v>
      </c>
      <c r="BT62" s="119" t="s">
        <v>5128</v>
      </c>
      <c r="BU62" s="2"/>
      <c r="BV62" s="3"/>
      <c r="BW62" s="3"/>
      <c r="BX62" s="3"/>
      <c r="BY62" s="3"/>
    </row>
    <row r="63" spans="1:77" ht="15">
      <c r="A63" s="68" t="s">
        <v>262</v>
      </c>
      <c r="B63" s="69"/>
      <c r="C63" s="69" t="s">
        <v>46</v>
      </c>
      <c r="D63" s="70">
        <v>10</v>
      </c>
      <c r="E63" s="72"/>
      <c r="F63" s="107" t="str">
        <f>HYPERLINK("http://pbs.twimg.com/profile_images/1267491507981910017/hk1tgOFU_normal.jpg")</f>
        <v>http://pbs.twimg.com/profile_images/1267491507981910017/hk1tgOFU_normal.jpg</v>
      </c>
      <c r="G63" s="69"/>
      <c r="H63" s="73" t="s">
        <v>262</v>
      </c>
      <c r="I63" s="74" t="s">
        <v>5218</v>
      </c>
      <c r="J63" s="74" t="s">
        <v>73</v>
      </c>
      <c r="K63" s="73" t="s">
        <v>2356</v>
      </c>
      <c r="L63" s="77">
        <v>323.51612903225805</v>
      </c>
      <c r="M63" s="78"/>
      <c r="N63" s="78"/>
      <c r="O63" s="79"/>
      <c r="P63" s="80"/>
      <c r="Q63" s="80"/>
      <c r="R63" s="93"/>
      <c r="S63" s="49">
        <v>1</v>
      </c>
      <c r="T63" s="49">
        <v>1</v>
      </c>
      <c r="U63" s="50">
        <v>0</v>
      </c>
      <c r="V63" s="50">
        <v>0</v>
      </c>
      <c r="W63" s="50">
        <v>0</v>
      </c>
      <c r="X63" s="50">
        <v>0.999997</v>
      </c>
      <c r="Y63" s="50">
        <v>0</v>
      </c>
      <c r="Z63" s="50">
        <v>0</v>
      </c>
      <c r="AA63" s="75">
        <v>63</v>
      </c>
      <c r="AB63" s="75"/>
      <c r="AC63" s="76"/>
      <c r="AD63" s="83" t="s">
        <v>1478</v>
      </c>
      <c r="AE63" s="91" t="s">
        <v>1817</v>
      </c>
      <c r="AF63" s="83">
        <v>12797</v>
      </c>
      <c r="AG63" s="83">
        <v>59261</v>
      </c>
      <c r="AH63" s="83">
        <v>63209</v>
      </c>
      <c r="AI63" s="83">
        <v>5682</v>
      </c>
      <c r="AJ63" s="83"/>
      <c r="AK63" s="83" t="s">
        <v>2026</v>
      </c>
      <c r="AL63" s="83" t="s">
        <v>2209</v>
      </c>
      <c r="AM63" s="88" t="str">
        <f>HYPERLINK("https://t.co/vraIEndiOl")</f>
        <v>https://t.co/vraIEndiOl</v>
      </c>
      <c r="AN63" s="83"/>
      <c r="AO63" s="85">
        <v>42462.81633101852</v>
      </c>
      <c r="AP63" s="88" t="str">
        <f>HYPERLINK("https://pbs.twimg.com/profile_banners/716348353915686912/1591028300")</f>
        <v>https://pbs.twimg.com/profile_banners/716348353915686912/1591028300</v>
      </c>
      <c r="AQ63" s="83" t="b">
        <v>1</v>
      </c>
      <c r="AR63" s="83" t="b">
        <v>0</v>
      </c>
      <c r="AS63" s="83" t="b">
        <v>1</v>
      </c>
      <c r="AT63" s="83"/>
      <c r="AU63" s="83">
        <v>1566</v>
      </c>
      <c r="AV63" s="83"/>
      <c r="AW63" s="83" t="b">
        <v>0</v>
      </c>
      <c r="AX63" s="83" t="s">
        <v>2296</v>
      </c>
      <c r="AY63" s="88" t="str">
        <f>HYPERLINK("https://twitter.com/hackernoon")</f>
        <v>https://twitter.com/hackernoon</v>
      </c>
      <c r="AZ63" s="83" t="s">
        <v>66</v>
      </c>
      <c r="BA63" s="83" t="str">
        <f>REPLACE(INDEX(GroupVertices[Group],MATCH(Vertices[[#This Row],[Vertex]],GroupVertices[Vertex],0)),1,1,"")</f>
        <v>6</v>
      </c>
      <c r="BB63" s="49">
        <v>0</v>
      </c>
      <c r="BC63" s="50">
        <v>0</v>
      </c>
      <c r="BD63" s="49">
        <v>0</v>
      </c>
      <c r="BE63" s="50">
        <v>0</v>
      </c>
      <c r="BF63" s="49">
        <v>0</v>
      </c>
      <c r="BG63" s="50">
        <v>0</v>
      </c>
      <c r="BH63" s="49">
        <v>13</v>
      </c>
      <c r="BI63" s="50">
        <v>100</v>
      </c>
      <c r="BJ63" s="49">
        <v>13</v>
      </c>
      <c r="BK63" s="49" t="s">
        <v>4487</v>
      </c>
      <c r="BL63" s="49" t="s">
        <v>4487</v>
      </c>
      <c r="BM63" s="49" t="s">
        <v>540</v>
      </c>
      <c r="BN63" s="49" t="s">
        <v>540</v>
      </c>
      <c r="BO63" s="49" t="s">
        <v>579</v>
      </c>
      <c r="BP63" s="49" t="s">
        <v>579</v>
      </c>
      <c r="BQ63" s="119" t="s">
        <v>4994</v>
      </c>
      <c r="BR63" s="119" t="s">
        <v>4994</v>
      </c>
      <c r="BS63" s="119" t="s">
        <v>5129</v>
      </c>
      <c r="BT63" s="119" t="s">
        <v>5129</v>
      </c>
      <c r="BU63" s="2"/>
      <c r="BV63" s="3"/>
      <c r="BW63" s="3"/>
      <c r="BX63" s="3"/>
      <c r="BY63" s="3"/>
    </row>
    <row r="64" spans="1:77" ht="15">
      <c r="A64" s="68" t="s">
        <v>263</v>
      </c>
      <c r="B64" s="69"/>
      <c r="C64" s="69" t="s">
        <v>46</v>
      </c>
      <c r="D64" s="70"/>
      <c r="E64" s="72"/>
      <c r="F64" s="107" t="str">
        <f>HYPERLINK("http://pbs.twimg.com/profile_images/1126141249553977344/bJCWHNpi_normal.png")</f>
        <v>http://pbs.twimg.com/profile_images/1126141249553977344/bJCWHNpi_normal.png</v>
      </c>
      <c r="G64" s="69"/>
      <c r="H64" s="73" t="s">
        <v>263</v>
      </c>
      <c r="I64" s="74" t="s">
        <v>5210</v>
      </c>
      <c r="J64" s="74" t="s">
        <v>73</v>
      </c>
      <c r="K64" s="73" t="s">
        <v>2357</v>
      </c>
      <c r="L64" s="77">
        <v>1</v>
      </c>
      <c r="M64" s="78">
        <v>2448.99462890625</v>
      </c>
      <c r="N64" s="78">
        <v>4745.1982421875</v>
      </c>
      <c r="O64" s="79"/>
      <c r="P64" s="80"/>
      <c r="Q64" s="80"/>
      <c r="R64" s="93"/>
      <c r="S64" s="49">
        <v>0</v>
      </c>
      <c r="T64" s="49">
        <v>1</v>
      </c>
      <c r="U64" s="50">
        <v>0</v>
      </c>
      <c r="V64" s="50">
        <v>0.001555</v>
      </c>
      <c r="W64" s="50">
        <v>0.00022</v>
      </c>
      <c r="X64" s="50">
        <v>0.353312</v>
      </c>
      <c r="Y64" s="50">
        <v>0</v>
      </c>
      <c r="Z64" s="50">
        <v>0</v>
      </c>
      <c r="AA64" s="75">
        <v>64</v>
      </c>
      <c r="AB64" s="75"/>
      <c r="AC64" s="76"/>
      <c r="AD64" s="83" t="s">
        <v>1609</v>
      </c>
      <c r="AE64" s="91" t="s">
        <v>1818</v>
      </c>
      <c r="AF64" s="83">
        <v>37</v>
      </c>
      <c r="AG64" s="83">
        <v>455</v>
      </c>
      <c r="AH64" s="83">
        <v>30262</v>
      </c>
      <c r="AI64" s="83">
        <v>279</v>
      </c>
      <c r="AJ64" s="83"/>
      <c r="AK64" s="83" t="s">
        <v>2027</v>
      </c>
      <c r="AL64" s="83"/>
      <c r="AM64" s="83"/>
      <c r="AN64" s="83"/>
      <c r="AO64" s="85">
        <v>43590.91909722222</v>
      </c>
      <c r="AP64" s="88" t="str">
        <f>HYPERLINK("https://pbs.twimg.com/profile_banners/1125159106262618112/1557333233")</f>
        <v>https://pbs.twimg.com/profile_banners/1125159106262618112/1557333233</v>
      </c>
      <c r="AQ64" s="83" t="b">
        <v>1</v>
      </c>
      <c r="AR64" s="83" t="b">
        <v>0</v>
      </c>
      <c r="AS64" s="83" t="b">
        <v>0</v>
      </c>
      <c r="AT64" s="83"/>
      <c r="AU64" s="83">
        <v>23</v>
      </c>
      <c r="AV64" s="83"/>
      <c r="AW64" s="83" t="b">
        <v>0</v>
      </c>
      <c r="AX64" s="83" t="s">
        <v>2296</v>
      </c>
      <c r="AY64" s="88" t="str">
        <f>HYPERLINK("https://twitter.com/bellsailing")</f>
        <v>https://twitter.com/bellsailing</v>
      </c>
      <c r="AZ64" s="83" t="s">
        <v>66</v>
      </c>
      <c r="BA64" s="83" t="str">
        <f>REPLACE(INDEX(GroupVertices[Group],MATCH(Vertices[[#This Row],[Vertex]],GroupVertices[Vertex],0)),1,1,"")</f>
        <v>1</v>
      </c>
      <c r="BB64" s="49">
        <v>0</v>
      </c>
      <c r="BC64" s="50">
        <v>0</v>
      </c>
      <c r="BD64" s="49">
        <v>0</v>
      </c>
      <c r="BE64" s="50">
        <v>0</v>
      </c>
      <c r="BF64" s="49">
        <v>0</v>
      </c>
      <c r="BG64" s="50">
        <v>0</v>
      </c>
      <c r="BH64" s="49">
        <v>30</v>
      </c>
      <c r="BI64" s="50">
        <v>100</v>
      </c>
      <c r="BJ64" s="49">
        <v>30</v>
      </c>
      <c r="BK64" s="49"/>
      <c r="BL64" s="49"/>
      <c r="BM64" s="49"/>
      <c r="BN64" s="49"/>
      <c r="BO64" s="49" t="s">
        <v>4896</v>
      </c>
      <c r="BP64" s="49" t="s">
        <v>4896</v>
      </c>
      <c r="BQ64" s="119" t="s">
        <v>4993</v>
      </c>
      <c r="BR64" s="119" t="s">
        <v>4993</v>
      </c>
      <c r="BS64" s="119" t="s">
        <v>5128</v>
      </c>
      <c r="BT64" s="119" t="s">
        <v>5128</v>
      </c>
      <c r="BU64" s="2"/>
      <c r="BV64" s="3"/>
      <c r="BW64" s="3"/>
      <c r="BX64" s="3"/>
      <c r="BY64" s="3"/>
    </row>
    <row r="65" spans="1:77" ht="15">
      <c r="A65" s="68" t="s">
        <v>265</v>
      </c>
      <c r="B65" s="69"/>
      <c r="C65" s="69" t="s">
        <v>46</v>
      </c>
      <c r="D65" s="70"/>
      <c r="E65" s="72"/>
      <c r="F65" s="107" t="str">
        <f>HYPERLINK("http://pbs.twimg.com/profile_images/1282245016014880768/JDOoOVwI_normal.jpg")</f>
        <v>http://pbs.twimg.com/profile_images/1282245016014880768/JDOoOVwI_normal.jpg</v>
      </c>
      <c r="G65" s="69"/>
      <c r="H65" s="73" t="s">
        <v>265</v>
      </c>
      <c r="I65" s="74" t="s">
        <v>5214</v>
      </c>
      <c r="J65" s="74" t="s">
        <v>73</v>
      </c>
      <c r="K65" s="73" t="s">
        <v>2358</v>
      </c>
      <c r="L65" s="77">
        <v>1</v>
      </c>
      <c r="M65" s="78">
        <v>5955.69482421875</v>
      </c>
      <c r="N65" s="78">
        <v>4796.47607421875</v>
      </c>
      <c r="O65" s="79"/>
      <c r="P65" s="80"/>
      <c r="Q65" s="80"/>
      <c r="R65" s="93"/>
      <c r="S65" s="49">
        <v>0</v>
      </c>
      <c r="T65" s="49">
        <v>5</v>
      </c>
      <c r="U65" s="50">
        <v>3076.499844</v>
      </c>
      <c r="V65" s="50">
        <v>0.00177</v>
      </c>
      <c r="W65" s="50">
        <v>0.000431</v>
      </c>
      <c r="X65" s="50">
        <v>1.55419</v>
      </c>
      <c r="Y65" s="50">
        <v>0</v>
      </c>
      <c r="Z65" s="50">
        <v>0</v>
      </c>
      <c r="AA65" s="75">
        <v>65</v>
      </c>
      <c r="AB65" s="75"/>
      <c r="AC65" s="76"/>
      <c r="AD65" s="83" t="s">
        <v>1610</v>
      </c>
      <c r="AE65" s="91" t="s">
        <v>1819</v>
      </c>
      <c r="AF65" s="83">
        <v>1</v>
      </c>
      <c r="AG65" s="83">
        <v>143</v>
      </c>
      <c r="AH65" s="83">
        <v>14591</v>
      </c>
      <c r="AI65" s="83">
        <v>14457</v>
      </c>
      <c r="AJ65" s="83"/>
      <c r="AK65" s="83" t="s">
        <v>2028</v>
      </c>
      <c r="AL65" s="83"/>
      <c r="AM65" s="83"/>
      <c r="AN65" s="83"/>
      <c r="AO65" s="85">
        <v>44024.391226851854</v>
      </c>
      <c r="AP65" s="88" t="str">
        <f>HYPERLINK("https://pbs.twimg.com/profile_banners/1282244088620650496/1597497492")</f>
        <v>https://pbs.twimg.com/profile_banners/1282244088620650496/1597497492</v>
      </c>
      <c r="AQ65" s="83" t="b">
        <v>1</v>
      </c>
      <c r="AR65" s="83" t="b">
        <v>0</v>
      </c>
      <c r="AS65" s="83" t="b">
        <v>0</v>
      </c>
      <c r="AT65" s="83"/>
      <c r="AU65" s="83">
        <v>5</v>
      </c>
      <c r="AV65" s="83"/>
      <c r="AW65" s="83" t="b">
        <v>0</v>
      </c>
      <c r="AX65" s="83" t="s">
        <v>2296</v>
      </c>
      <c r="AY65" s="88" t="str">
        <f>HYPERLINK("https://twitter.com/beakpeaklogic")</f>
        <v>https://twitter.com/beakpeaklogic</v>
      </c>
      <c r="AZ65" s="83" t="s">
        <v>66</v>
      </c>
      <c r="BA65" s="83" t="str">
        <f>REPLACE(INDEX(GroupVertices[Group],MATCH(Vertices[[#This Row],[Vertex]],GroupVertices[Vertex],0)),1,1,"")</f>
        <v>7</v>
      </c>
      <c r="BB65" s="49">
        <v>0</v>
      </c>
      <c r="BC65" s="50">
        <v>0</v>
      </c>
      <c r="BD65" s="49">
        <v>0</v>
      </c>
      <c r="BE65" s="50">
        <v>0</v>
      </c>
      <c r="BF65" s="49">
        <v>0</v>
      </c>
      <c r="BG65" s="50">
        <v>0</v>
      </c>
      <c r="BH65" s="49">
        <v>132</v>
      </c>
      <c r="BI65" s="50">
        <v>100</v>
      </c>
      <c r="BJ65" s="49">
        <v>132</v>
      </c>
      <c r="BK65" s="49" t="s">
        <v>4811</v>
      </c>
      <c r="BL65" s="49" t="s">
        <v>4811</v>
      </c>
      <c r="BM65" s="49" t="s">
        <v>4851</v>
      </c>
      <c r="BN65" s="49" t="s">
        <v>4851</v>
      </c>
      <c r="BO65" s="49" t="s">
        <v>4897</v>
      </c>
      <c r="BP65" s="49" t="s">
        <v>4942</v>
      </c>
      <c r="BQ65" s="119" t="s">
        <v>4995</v>
      </c>
      <c r="BR65" s="119" t="s">
        <v>5073</v>
      </c>
      <c r="BS65" s="119" t="s">
        <v>5130</v>
      </c>
      <c r="BT65" s="119" t="s">
        <v>5191</v>
      </c>
      <c r="BU65" s="2"/>
      <c r="BV65" s="3"/>
      <c r="BW65" s="3"/>
      <c r="BX65" s="3"/>
      <c r="BY65" s="3"/>
    </row>
    <row r="66" spans="1:77" ht="15">
      <c r="A66" s="68" t="s">
        <v>389</v>
      </c>
      <c r="B66" s="69"/>
      <c r="C66" s="69" t="s">
        <v>64</v>
      </c>
      <c r="D66" s="70">
        <v>1000</v>
      </c>
      <c r="E66" s="72"/>
      <c r="F66" s="107" t="str">
        <f>HYPERLINK("http://pbs.twimg.com/profile_images/1301218599516868608/6D-rHy4X_normal.jpg")</f>
        <v>http://pbs.twimg.com/profile_images/1301218599516868608/6D-rHy4X_normal.jpg</v>
      </c>
      <c r="G66" s="69"/>
      <c r="H66" s="73" t="s">
        <v>389</v>
      </c>
      <c r="I66" s="74" t="s">
        <v>5220</v>
      </c>
      <c r="J66" s="74" t="s">
        <v>73</v>
      </c>
      <c r="K66" s="73" t="s">
        <v>2359</v>
      </c>
      <c r="L66" s="77">
        <v>9999</v>
      </c>
      <c r="M66" s="78">
        <v>4237.98828125</v>
      </c>
      <c r="N66" s="78">
        <v>2516.829833984375</v>
      </c>
      <c r="O66" s="79"/>
      <c r="P66" s="80"/>
      <c r="Q66" s="80"/>
      <c r="R66" s="93"/>
      <c r="S66" s="49">
        <v>31</v>
      </c>
      <c r="T66" s="49">
        <v>1</v>
      </c>
      <c r="U66" s="50">
        <v>8986.413223</v>
      </c>
      <c r="V66" s="50">
        <v>0.002079</v>
      </c>
      <c r="W66" s="50">
        <v>0.003097</v>
      </c>
      <c r="X66" s="50">
        <v>9.266757</v>
      </c>
      <c r="Y66" s="50">
        <v>0.0022988505747126436</v>
      </c>
      <c r="Z66" s="50">
        <v>0</v>
      </c>
      <c r="AA66" s="75">
        <v>66</v>
      </c>
      <c r="AB66" s="75"/>
      <c r="AC66" s="76"/>
      <c r="AD66" s="83" t="s">
        <v>1611</v>
      </c>
      <c r="AE66" s="91" t="s">
        <v>1820</v>
      </c>
      <c r="AF66" s="83">
        <v>4374</v>
      </c>
      <c r="AG66" s="83">
        <v>6555</v>
      </c>
      <c r="AH66" s="83">
        <v>27034</v>
      </c>
      <c r="AI66" s="83">
        <v>121</v>
      </c>
      <c r="AJ66" s="83"/>
      <c r="AK66" s="83" t="s">
        <v>2029</v>
      </c>
      <c r="AL66" s="83" t="s">
        <v>2210</v>
      </c>
      <c r="AM66" s="88" t="str">
        <f>HYPERLINK("https://t.co/JwxtvmMOu7")</f>
        <v>https://t.co/JwxtvmMOu7</v>
      </c>
      <c r="AN66" s="83"/>
      <c r="AO66" s="85">
        <v>41238.291296296295</v>
      </c>
      <c r="AP66" s="88" t="str">
        <f>HYPERLINK("https://pbs.twimg.com/profile_banners/969542076/1599069704")</f>
        <v>https://pbs.twimg.com/profile_banners/969542076/1599069704</v>
      </c>
      <c r="AQ66" s="83" t="b">
        <v>0</v>
      </c>
      <c r="AR66" s="83" t="b">
        <v>0</v>
      </c>
      <c r="AS66" s="83" t="b">
        <v>1</v>
      </c>
      <c r="AT66" s="83"/>
      <c r="AU66" s="83">
        <v>1250</v>
      </c>
      <c r="AV66" s="88" t="str">
        <f>HYPERLINK("http://abs.twimg.com/images/themes/theme1/bg.png")</f>
        <v>http://abs.twimg.com/images/themes/theme1/bg.png</v>
      </c>
      <c r="AW66" s="83" t="b">
        <v>0</v>
      </c>
      <c r="AX66" s="83" t="s">
        <v>2296</v>
      </c>
      <c r="AY66" s="88" t="str">
        <f>HYPERLINK("https://twitter.com/bigdataconf")</f>
        <v>https://twitter.com/bigdataconf</v>
      </c>
      <c r="AZ66" s="83" t="s">
        <v>66</v>
      </c>
      <c r="BA66" s="83" t="str">
        <f>REPLACE(INDEX(GroupVertices[Group],MATCH(Vertices[[#This Row],[Vertex]],GroupVertices[Vertex],0)),1,1,"")</f>
        <v>3</v>
      </c>
      <c r="BB66" s="49">
        <v>0</v>
      </c>
      <c r="BC66" s="50">
        <v>0</v>
      </c>
      <c r="BD66" s="49">
        <v>0</v>
      </c>
      <c r="BE66" s="50">
        <v>0</v>
      </c>
      <c r="BF66" s="49">
        <v>0</v>
      </c>
      <c r="BG66" s="50">
        <v>0</v>
      </c>
      <c r="BH66" s="49">
        <v>109</v>
      </c>
      <c r="BI66" s="50">
        <v>100</v>
      </c>
      <c r="BJ66" s="49">
        <v>109</v>
      </c>
      <c r="BK66" s="49" t="s">
        <v>4812</v>
      </c>
      <c r="BL66" s="49" t="s">
        <v>4812</v>
      </c>
      <c r="BM66" s="49" t="s">
        <v>541</v>
      </c>
      <c r="BN66" s="49" t="s">
        <v>541</v>
      </c>
      <c r="BO66" s="49" t="s">
        <v>4898</v>
      </c>
      <c r="BP66" s="49" t="s">
        <v>4943</v>
      </c>
      <c r="BQ66" s="119" t="s">
        <v>4996</v>
      </c>
      <c r="BR66" s="119" t="s">
        <v>5074</v>
      </c>
      <c r="BS66" s="119" t="s">
        <v>5131</v>
      </c>
      <c r="BT66" s="119" t="s">
        <v>5192</v>
      </c>
      <c r="BU66" s="2"/>
      <c r="BV66" s="3"/>
      <c r="BW66" s="3"/>
      <c r="BX66" s="3"/>
      <c r="BY66" s="3"/>
    </row>
    <row r="67" spans="1:77" ht="15">
      <c r="A67" s="68" t="s">
        <v>266</v>
      </c>
      <c r="B67" s="69"/>
      <c r="C67" s="69" t="s">
        <v>46</v>
      </c>
      <c r="D67" s="70"/>
      <c r="E67" s="72"/>
      <c r="F67" s="107" t="str">
        <f>HYPERLINK("http://pbs.twimg.com/profile_images/1265714648009015297/hvQB_2IT_normal.jpg")</f>
        <v>http://pbs.twimg.com/profile_images/1265714648009015297/hvQB_2IT_normal.jpg</v>
      </c>
      <c r="G67" s="69"/>
      <c r="H67" s="73" t="s">
        <v>266</v>
      </c>
      <c r="I67" s="74" t="s">
        <v>5210</v>
      </c>
      <c r="J67" s="74" t="s">
        <v>73</v>
      </c>
      <c r="K67" s="73" t="s">
        <v>2360</v>
      </c>
      <c r="L67" s="77">
        <v>1</v>
      </c>
      <c r="M67" s="78">
        <v>2566.66943359375</v>
      </c>
      <c r="N67" s="78">
        <v>5590.92724609375</v>
      </c>
      <c r="O67" s="79"/>
      <c r="P67" s="80"/>
      <c r="Q67" s="80"/>
      <c r="R67" s="93"/>
      <c r="S67" s="49">
        <v>0</v>
      </c>
      <c r="T67" s="49">
        <v>1</v>
      </c>
      <c r="U67" s="50">
        <v>0</v>
      </c>
      <c r="V67" s="50">
        <v>0.001555</v>
      </c>
      <c r="W67" s="50">
        <v>0.00022</v>
      </c>
      <c r="X67" s="50">
        <v>0.353312</v>
      </c>
      <c r="Y67" s="50">
        <v>0</v>
      </c>
      <c r="Z67" s="50">
        <v>0</v>
      </c>
      <c r="AA67" s="75">
        <v>67</v>
      </c>
      <c r="AB67" s="75"/>
      <c r="AC67" s="76"/>
      <c r="AD67" s="83" t="s">
        <v>1612</v>
      </c>
      <c r="AE67" s="91" t="s">
        <v>1821</v>
      </c>
      <c r="AF67" s="83">
        <v>4991</v>
      </c>
      <c r="AG67" s="83">
        <v>1935</v>
      </c>
      <c r="AH67" s="83">
        <v>81861</v>
      </c>
      <c r="AI67" s="83">
        <v>41699</v>
      </c>
      <c r="AJ67" s="83"/>
      <c r="AK67" s="83" t="s">
        <v>2030</v>
      </c>
      <c r="AL67" s="83" t="s">
        <v>2211</v>
      </c>
      <c r="AM67" s="88" t="str">
        <f>HYPERLINK("https://t.co/y39kLoXND8")</f>
        <v>https://t.co/y39kLoXND8</v>
      </c>
      <c r="AN67" s="83"/>
      <c r="AO67" s="85">
        <v>41306.92015046296</v>
      </c>
      <c r="AP67" s="88" t="str">
        <f>HYPERLINK("https://pbs.twimg.com/profile_banners/1140834680/1449168110")</f>
        <v>https://pbs.twimg.com/profile_banners/1140834680/1449168110</v>
      </c>
      <c r="AQ67" s="83" t="b">
        <v>0</v>
      </c>
      <c r="AR67" s="83" t="b">
        <v>0</v>
      </c>
      <c r="AS67" s="83" t="b">
        <v>0</v>
      </c>
      <c r="AT67" s="83"/>
      <c r="AU67" s="83">
        <v>1496</v>
      </c>
      <c r="AV67" s="88" t="str">
        <f>HYPERLINK("http://abs.twimg.com/images/themes/theme17/bg.gif")</f>
        <v>http://abs.twimg.com/images/themes/theme17/bg.gif</v>
      </c>
      <c r="AW67" s="83" t="b">
        <v>0</v>
      </c>
      <c r="AX67" s="83" t="s">
        <v>2296</v>
      </c>
      <c r="AY67" s="88" t="str">
        <f>HYPERLINK("https://twitter.com/nexcomposite")</f>
        <v>https://twitter.com/nexcomposite</v>
      </c>
      <c r="AZ67" s="83" t="s">
        <v>66</v>
      </c>
      <c r="BA67" s="83" t="str">
        <f>REPLACE(INDEX(GroupVertices[Group],MATCH(Vertices[[#This Row],[Vertex]],GroupVertices[Vertex],0)),1,1,"")</f>
        <v>1</v>
      </c>
      <c r="BB67" s="49">
        <v>0</v>
      </c>
      <c r="BC67" s="50">
        <v>0</v>
      </c>
      <c r="BD67" s="49">
        <v>0</v>
      </c>
      <c r="BE67" s="50">
        <v>0</v>
      </c>
      <c r="BF67" s="49">
        <v>0</v>
      </c>
      <c r="BG67" s="50">
        <v>0</v>
      </c>
      <c r="BH67" s="49">
        <v>30</v>
      </c>
      <c r="BI67" s="50">
        <v>100</v>
      </c>
      <c r="BJ67" s="49">
        <v>30</v>
      </c>
      <c r="BK67" s="49"/>
      <c r="BL67" s="49"/>
      <c r="BM67" s="49"/>
      <c r="BN67" s="49"/>
      <c r="BO67" s="49" t="s">
        <v>4896</v>
      </c>
      <c r="BP67" s="49" t="s">
        <v>4896</v>
      </c>
      <c r="BQ67" s="119" t="s">
        <v>4993</v>
      </c>
      <c r="BR67" s="119" t="s">
        <v>4993</v>
      </c>
      <c r="BS67" s="119" t="s">
        <v>5128</v>
      </c>
      <c r="BT67" s="119" t="s">
        <v>5128</v>
      </c>
      <c r="BU67" s="2"/>
      <c r="BV67" s="3"/>
      <c r="BW67" s="3"/>
      <c r="BX67" s="3"/>
      <c r="BY67" s="3"/>
    </row>
    <row r="68" spans="1:77" ht="15">
      <c r="A68" s="68" t="s">
        <v>267</v>
      </c>
      <c r="B68" s="69"/>
      <c r="C68" s="69" t="s">
        <v>46</v>
      </c>
      <c r="D68" s="70"/>
      <c r="E68" s="72"/>
      <c r="F68" s="107" t="str">
        <f>HYPERLINK("http://pbs.twimg.com/profile_images/954138186082672647/gHzAnqPU_normal.jpg")</f>
        <v>http://pbs.twimg.com/profile_images/954138186082672647/gHzAnqPU_normal.jpg</v>
      </c>
      <c r="G68" s="69"/>
      <c r="H68" s="73" t="s">
        <v>267</v>
      </c>
      <c r="I68" s="74" t="s">
        <v>5216</v>
      </c>
      <c r="J68" s="74" t="s">
        <v>73</v>
      </c>
      <c r="K68" s="73" t="s">
        <v>2361</v>
      </c>
      <c r="L68" s="77">
        <v>1</v>
      </c>
      <c r="M68" s="78">
        <v>7728.0546875</v>
      </c>
      <c r="N68" s="78">
        <v>9027.38671875</v>
      </c>
      <c r="O68" s="79"/>
      <c r="P68" s="80"/>
      <c r="Q68" s="80"/>
      <c r="R68" s="93"/>
      <c r="S68" s="49">
        <v>0</v>
      </c>
      <c r="T68" s="49">
        <v>9</v>
      </c>
      <c r="U68" s="50">
        <v>0.315789</v>
      </c>
      <c r="V68" s="50">
        <v>0.001209</v>
      </c>
      <c r="W68" s="50">
        <v>0.033625</v>
      </c>
      <c r="X68" s="50">
        <v>0.761245</v>
      </c>
      <c r="Y68" s="50">
        <v>0.6666666666666666</v>
      </c>
      <c r="Z68" s="50">
        <v>0</v>
      </c>
      <c r="AA68" s="75">
        <v>68</v>
      </c>
      <c r="AB68" s="75"/>
      <c r="AC68" s="76"/>
      <c r="AD68" s="83" t="s">
        <v>1613</v>
      </c>
      <c r="AE68" s="91" t="s">
        <v>1822</v>
      </c>
      <c r="AF68" s="83">
        <v>8686</v>
      </c>
      <c r="AG68" s="83">
        <v>10378</v>
      </c>
      <c r="AH68" s="83">
        <v>35609</v>
      </c>
      <c r="AI68" s="83">
        <v>48975</v>
      </c>
      <c r="AJ68" s="83"/>
      <c r="AK68" s="83" t="s">
        <v>2031</v>
      </c>
      <c r="AL68" s="83" t="s">
        <v>2212</v>
      </c>
      <c r="AM68" s="88" t="str">
        <f>HYPERLINK("https://t.co/SS6M7tfiID")</f>
        <v>https://t.co/SS6M7tfiID</v>
      </c>
      <c r="AN68" s="83"/>
      <c r="AO68" s="85">
        <v>41638.947916666664</v>
      </c>
      <c r="AP68" s="88" t="str">
        <f>HYPERLINK("https://pbs.twimg.com/profile_banners/2269520654/1516364586")</f>
        <v>https://pbs.twimg.com/profile_banners/2269520654/1516364586</v>
      </c>
      <c r="AQ68" s="83" t="b">
        <v>0</v>
      </c>
      <c r="AR68" s="83" t="b">
        <v>0</v>
      </c>
      <c r="AS68" s="83" t="b">
        <v>1</v>
      </c>
      <c r="AT68" s="83"/>
      <c r="AU68" s="83">
        <v>114</v>
      </c>
      <c r="AV68" s="88" t="str">
        <f>HYPERLINK("http://abs.twimg.com/images/themes/theme1/bg.png")</f>
        <v>http://abs.twimg.com/images/themes/theme1/bg.png</v>
      </c>
      <c r="AW68" s="83" t="b">
        <v>0</v>
      </c>
      <c r="AX68" s="83" t="s">
        <v>2296</v>
      </c>
      <c r="AY68" s="88" t="str">
        <f>HYPERLINK("https://twitter.com/jgrobicki")</f>
        <v>https://twitter.com/jgrobicki</v>
      </c>
      <c r="AZ68" s="83" t="s">
        <v>66</v>
      </c>
      <c r="BA68" s="83" t="str">
        <f>REPLACE(INDEX(GroupVertices[Group],MATCH(Vertices[[#This Row],[Vertex]],GroupVertices[Vertex],0)),1,1,"")</f>
        <v>4</v>
      </c>
      <c r="BB68" s="49">
        <v>0</v>
      </c>
      <c r="BC68" s="50">
        <v>0</v>
      </c>
      <c r="BD68" s="49">
        <v>0</v>
      </c>
      <c r="BE68" s="50">
        <v>0</v>
      </c>
      <c r="BF68" s="49">
        <v>0</v>
      </c>
      <c r="BG68" s="50">
        <v>0</v>
      </c>
      <c r="BH68" s="49">
        <v>28</v>
      </c>
      <c r="BI68" s="50">
        <v>100</v>
      </c>
      <c r="BJ68" s="49">
        <v>28</v>
      </c>
      <c r="BK68" s="49" t="s">
        <v>4456</v>
      </c>
      <c r="BL68" s="49" t="s">
        <v>4456</v>
      </c>
      <c r="BM68" s="49" t="s">
        <v>532</v>
      </c>
      <c r="BN68" s="49" t="s">
        <v>532</v>
      </c>
      <c r="BO68" s="49" t="s">
        <v>568</v>
      </c>
      <c r="BP68" s="49" t="s">
        <v>568</v>
      </c>
      <c r="BQ68" s="119" t="s">
        <v>4610</v>
      </c>
      <c r="BR68" s="119" t="s">
        <v>4610</v>
      </c>
      <c r="BS68" s="119" t="s">
        <v>4729</v>
      </c>
      <c r="BT68" s="119" t="s">
        <v>4729</v>
      </c>
      <c r="BU68" s="2"/>
      <c r="BV68" s="3"/>
      <c r="BW68" s="3"/>
      <c r="BX68" s="3"/>
      <c r="BY68" s="3"/>
    </row>
    <row r="69" spans="1:77" ht="15">
      <c r="A69" s="68" t="s">
        <v>268</v>
      </c>
      <c r="B69" s="69"/>
      <c r="C69" s="69" t="s">
        <v>46</v>
      </c>
      <c r="D69" s="70">
        <v>10</v>
      </c>
      <c r="E69" s="72"/>
      <c r="F69" s="107" t="str">
        <f>HYPERLINK("http://pbs.twimg.com/profile_images/824910858908168192/BOuHJ2Pp_normal.jpg")</f>
        <v>http://pbs.twimg.com/profile_images/824910858908168192/BOuHJ2Pp_normal.jpg</v>
      </c>
      <c r="G69" s="69"/>
      <c r="H69" s="73" t="s">
        <v>268</v>
      </c>
      <c r="I69" s="74" t="s">
        <v>5218</v>
      </c>
      <c r="J69" s="74" t="s">
        <v>73</v>
      </c>
      <c r="K69" s="73" t="s">
        <v>2362</v>
      </c>
      <c r="L69" s="77">
        <v>323.51612903225805</v>
      </c>
      <c r="M69" s="78"/>
      <c r="N69" s="78"/>
      <c r="O69" s="79"/>
      <c r="P69" s="80"/>
      <c r="Q69" s="80"/>
      <c r="R69" s="93"/>
      <c r="S69" s="49">
        <v>1</v>
      </c>
      <c r="T69" s="49">
        <v>1</v>
      </c>
      <c r="U69" s="50">
        <v>0</v>
      </c>
      <c r="V69" s="50">
        <v>0</v>
      </c>
      <c r="W69" s="50">
        <v>0</v>
      </c>
      <c r="X69" s="50">
        <v>0.999997</v>
      </c>
      <c r="Y69" s="50">
        <v>0</v>
      </c>
      <c r="Z69" s="50">
        <v>0</v>
      </c>
      <c r="AA69" s="75">
        <v>69</v>
      </c>
      <c r="AB69" s="75"/>
      <c r="AC69" s="76"/>
      <c r="AD69" s="83" t="s">
        <v>1614</v>
      </c>
      <c r="AE69" s="91" t="s">
        <v>1823</v>
      </c>
      <c r="AF69" s="83">
        <v>5128</v>
      </c>
      <c r="AG69" s="83">
        <v>7091</v>
      </c>
      <c r="AH69" s="83">
        <v>893</v>
      </c>
      <c r="AI69" s="83">
        <v>264</v>
      </c>
      <c r="AJ69" s="83"/>
      <c r="AK69" s="83" t="s">
        <v>2032</v>
      </c>
      <c r="AL69" s="83" t="s">
        <v>2213</v>
      </c>
      <c r="AM69" s="88" t="str">
        <f>HYPERLINK("https://t.co/mYwrM5nzqN")</f>
        <v>https://t.co/mYwrM5nzqN</v>
      </c>
      <c r="AN69" s="83"/>
      <c r="AO69" s="85">
        <v>42762.386921296296</v>
      </c>
      <c r="AP69" s="88" t="str">
        <f>HYPERLINK("https://pbs.twimg.com/profile_banners/824909099007488000/1502191175")</f>
        <v>https://pbs.twimg.com/profile_banners/824909099007488000/1502191175</v>
      </c>
      <c r="AQ69" s="83" t="b">
        <v>1</v>
      </c>
      <c r="AR69" s="83" t="b">
        <v>0</v>
      </c>
      <c r="AS69" s="83" t="b">
        <v>1</v>
      </c>
      <c r="AT69" s="83"/>
      <c r="AU69" s="83">
        <v>46</v>
      </c>
      <c r="AV69" s="83"/>
      <c r="AW69" s="83" t="b">
        <v>0</v>
      </c>
      <c r="AX69" s="83" t="s">
        <v>2296</v>
      </c>
      <c r="AY69" s="88" t="str">
        <f>HYPERLINK("https://twitter.com/dasca_insights")</f>
        <v>https://twitter.com/dasca_insights</v>
      </c>
      <c r="AZ69" s="83" t="s">
        <v>66</v>
      </c>
      <c r="BA69" s="83" t="str">
        <f>REPLACE(INDEX(GroupVertices[Group],MATCH(Vertices[[#This Row],[Vertex]],GroupVertices[Vertex],0)),1,1,"")</f>
        <v>6</v>
      </c>
      <c r="BB69" s="49">
        <v>0</v>
      </c>
      <c r="BC69" s="50">
        <v>0</v>
      </c>
      <c r="BD69" s="49">
        <v>0</v>
      </c>
      <c r="BE69" s="50">
        <v>0</v>
      </c>
      <c r="BF69" s="49">
        <v>0</v>
      </c>
      <c r="BG69" s="50">
        <v>0</v>
      </c>
      <c r="BH69" s="49">
        <v>33</v>
      </c>
      <c r="BI69" s="50">
        <v>100</v>
      </c>
      <c r="BJ69" s="49">
        <v>33</v>
      </c>
      <c r="BK69" s="49" t="s">
        <v>4488</v>
      </c>
      <c r="BL69" s="49" t="s">
        <v>4488</v>
      </c>
      <c r="BM69" s="49" t="s">
        <v>542</v>
      </c>
      <c r="BN69" s="49" t="s">
        <v>542</v>
      </c>
      <c r="BO69" s="49" t="s">
        <v>581</v>
      </c>
      <c r="BP69" s="49" t="s">
        <v>581</v>
      </c>
      <c r="BQ69" s="119" t="s">
        <v>4997</v>
      </c>
      <c r="BR69" s="119" t="s">
        <v>4997</v>
      </c>
      <c r="BS69" s="119" t="s">
        <v>5132</v>
      </c>
      <c r="BT69" s="119" t="s">
        <v>5132</v>
      </c>
      <c r="BU69" s="2"/>
      <c r="BV69" s="3"/>
      <c r="BW69" s="3"/>
      <c r="BX69" s="3"/>
      <c r="BY69" s="3"/>
    </row>
    <row r="70" spans="1:77" ht="15">
      <c r="A70" s="68" t="s">
        <v>270</v>
      </c>
      <c r="B70" s="69"/>
      <c r="C70" s="69" t="s">
        <v>46</v>
      </c>
      <c r="D70" s="70"/>
      <c r="E70" s="72"/>
      <c r="F70" s="107" t="str">
        <f>HYPERLINK("http://pbs.twimg.com/profile_images/907001257554071552/83bh6KAc_normal.jpg")</f>
        <v>http://pbs.twimg.com/profile_images/907001257554071552/83bh6KAc_normal.jpg</v>
      </c>
      <c r="G70" s="69"/>
      <c r="H70" s="73" t="s">
        <v>270</v>
      </c>
      <c r="I70" s="74" t="s">
        <v>5214</v>
      </c>
      <c r="J70" s="74" t="s">
        <v>73</v>
      </c>
      <c r="K70" s="73" t="s">
        <v>2363</v>
      </c>
      <c r="L70" s="77">
        <v>1</v>
      </c>
      <c r="M70" s="78">
        <v>6518.630859375</v>
      </c>
      <c r="N70" s="78">
        <v>4212.90869140625</v>
      </c>
      <c r="O70" s="79"/>
      <c r="P70" s="80"/>
      <c r="Q70" s="80"/>
      <c r="R70" s="93"/>
      <c r="S70" s="49">
        <v>0</v>
      </c>
      <c r="T70" s="49">
        <v>1</v>
      </c>
      <c r="U70" s="50">
        <v>0</v>
      </c>
      <c r="V70" s="50">
        <v>0.001083</v>
      </c>
      <c r="W70" s="50">
        <v>2E-06</v>
      </c>
      <c r="X70" s="50">
        <v>0.483625</v>
      </c>
      <c r="Y70" s="50">
        <v>0</v>
      </c>
      <c r="Z70" s="50">
        <v>0</v>
      </c>
      <c r="AA70" s="75">
        <v>70</v>
      </c>
      <c r="AB70" s="75"/>
      <c r="AC70" s="76"/>
      <c r="AD70" s="83" t="s">
        <v>1615</v>
      </c>
      <c r="AE70" s="91" t="s">
        <v>1824</v>
      </c>
      <c r="AF70" s="83">
        <v>862</v>
      </c>
      <c r="AG70" s="83">
        <v>269</v>
      </c>
      <c r="AH70" s="83">
        <v>15438</v>
      </c>
      <c r="AI70" s="83">
        <v>19935</v>
      </c>
      <c r="AJ70" s="83"/>
      <c r="AK70" s="83" t="s">
        <v>2033</v>
      </c>
      <c r="AL70" s="83" t="s">
        <v>2214</v>
      </c>
      <c r="AM70" s="88" t="str">
        <f>HYPERLINK("https://t.co/WBD3F8LVMd")</f>
        <v>https://t.co/WBD3F8LVMd</v>
      </c>
      <c r="AN70" s="83"/>
      <c r="AO70" s="85">
        <v>40556.80503472222</v>
      </c>
      <c r="AP70" s="88" t="str">
        <f>HYPERLINK("https://pbs.twimg.com/profile_banners/237840578/1593521855")</f>
        <v>https://pbs.twimg.com/profile_banners/237840578/1593521855</v>
      </c>
      <c r="AQ70" s="83" t="b">
        <v>0</v>
      </c>
      <c r="AR70" s="83" t="b">
        <v>0</v>
      </c>
      <c r="AS70" s="83" t="b">
        <v>1</v>
      </c>
      <c r="AT70" s="83"/>
      <c r="AU70" s="83">
        <v>3</v>
      </c>
      <c r="AV70" s="88" t="str">
        <f>HYPERLINK("http://abs.twimg.com/images/themes/theme1/bg.png")</f>
        <v>http://abs.twimg.com/images/themes/theme1/bg.png</v>
      </c>
      <c r="AW70" s="83" t="b">
        <v>0</v>
      </c>
      <c r="AX70" s="83" t="s">
        <v>2296</v>
      </c>
      <c r="AY70" s="88" t="str">
        <f>HYPERLINK("https://twitter.com/colorsofashadow")</f>
        <v>https://twitter.com/colorsofashadow</v>
      </c>
      <c r="AZ70" s="83" t="s">
        <v>66</v>
      </c>
      <c r="BA70" s="83" t="str">
        <f>REPLACE(INDEX(GroupVertices[Group],MATCH(Vertices[[#This Row],[Vertex]],GroupVertices[Vertex],0)),1,1,"")</f>
        <v>7</v>
      </c>
      <c r="BB70" s="49">
        <v>0</v>
      </c>
      <c r="BC70" s="50">
        <v>0</v>
      </c>
      <c r="BD70" s="49">
        <v>0</v>
      </c>
      <c r="BE70" s="50">
        <v>0</v>
      </c>
      <c r="BF70" s="49">
        <v>0</v>
      </c>
      <c r="BG70" s="50">
        <v>0</v>
      </c>
      <c r="BH70" s="49">
        <v>34</v>
      </c>
      <c r="BI70" s="50">
        <v>100</v>
      </c>
      <c r="BJ70" s="49">
        <v>34</v>
      </c>
      <c r="BK70" s="49" t="s">
        <v>4498</v>
      </c>
      <c r="BL70" s="49" t="s">
        <v>4498</v>
      </c>
      <c r="BM70" s="49" t="s">
        <v>539</v>
      </c>
      <c r="BN70" s="49" t="s">
        <v>539</v>
      </c>
      <c r="BO70" s="49" t="s">
        <v>577</v>
      </c>
      <c r="BP70" s="49" t="s">
        <v>577</v>
      </c>
      <c r="BQ70" s="119" t="s">
        <v>4992</v>
      </c>
      <c r="BR70" s="119" t="s">
        <v>4992</v>
      </c>
      <c r="BS70" s="119" t="s">
        <v>5127</v>
      </c>
      <c r="BT70" s="119" t="s">
        <v>5127</v>
      </c>
      <c r="BU70" s="2"/>
      <c r="BV70" s="3"/>
      <c r="BW70" s="3"/>
      <c r="BX70" s="3"/>
      <c r="BY70" s="3"/>
    </row>
    <row r="71" spans="1:77" ht="15">
      <c r="A71" s="68" t="s">
        <v>271</v>
      </c>
      <c r="B71" s="69"/>
      <c r="C71" s="69" t="s">
        <v>46</v>
      </c>
      <c r="D71" s="70"/>
      <c r="E71" s="72"/>
      <c r="F71" s="107" t="str">
        <f>HYPERLINK("http://pbs.twimg.com/profile_images/1295715832052551681/CI2N3DD3_normal.jpg")</f>
        <v>http://pbs.twimg.com/profile_images/1295715832052551681/CI2N3DD3_normal.jpg</v>
      </c>
      <c r="G71" s="69"/>
      <c r="H71" s="73" t="s">
        <v>271</v>
      </c>
      <c r="I71" s="74" t="s">
        <v>5216</v>
      </c>
      <c r="J71" s="74" t="s">
        <v>73</v>
      </c>
      <c r="K71" s="73" t="s">
        <v>2364</v>
      </c>
      <c r="L71" s="77">
        <v>1</v>
      </c>
      <c r="M71" s="78">
        <v>7824.00732421875</v>
      </c>
      <c r="N71" s="78">
        <v>7302.4814453125</v>
      </c>
      <c r="O71" s="79"/>
      <c r="P71" s="80"/>
      <c r="Q71" s="80"/>
      <c r="R71" s="93"/>
      <c r="S71" s="49">
        <v>0</v>
      </c>
      <c r="T71" s="49">
        <v>9</v>
      </c>
      <c r="U71" s="50">
        <v>0.315789</v>
      </c>
      <c r="V71" s="50">
        <v>0.001209</v>
      </c>
      <c r="W71" s="50">
        <v>0.033625</v>
      </c>
      <c r="X71" s="50">
        <v>0.761245</v>
      </c>
      <c r="Y71" s="50">
        <v>0.6666666666666666</v>
      </c>
      <c r="Z71" s="50">
        <v>0</v>
      </c>
      <c r="AA71" s="75">
        <v>71</v>
      </c>
      <c r="AB71" s="75"/>
      <c r="AC71" s="76"/>
      <c r="AD71" s="83" t="s">
        <v>1616</v>
      </c>
      <c r="AE71" s="91" t="s">
        <v>1825</v>
      </c>
      <c r="AF71" s="83">
        <v>5</v>
      </c>
      <c r="AG71" s="83">
        <v>89</v>
      </c>
      <c r="AH71" s="83">
        <v>16936</v>
      </c>
      <c r="AI71" s="83">
        <v>0</v>
      </c>
      <c r="AJ71" s="83"/>
      <c r="AK71" s="83" t="s">
        <v>2034</v>
      </c>
      <c r="AL71" s="83"/>
      <c r="AM71" s="83"/>
      <c r="AN71" s="83"/>
      <c r="AO71" s="85">
        <v>44061.564375</v>
      </c>
      <c r="AP71" s="83"/>
      <c r="AQ71" s="83" t="b">
        <v>1</v>
      </c>
      <c r="AR71" s="83" t="b">
        <v>0</v>
      </c>
      <c r="AS71" s="83" t="b">
        <v>0</v>
      </c>
      <c r="AT71" s="83"/>
      <c r="AU71" s="83">
        <v>1</v>
      </c>
      <c r="AV71" s="83"/>
      <c r="AW71" s="83" t="b">
        <v>0</v>
      </c>
      <c r="AX71" s="83" t="s">
        <v>2296</v>
      </c>
      <c r="AY71" s="88" t="str">
        <f>HYPERLINK("https://twitter.com/education_24x7")</f>
        <v>https://twitter.com/education_24x7</v>
      </c>
      <c r="AZ71" s="83" t="s">
        <v>66</v>
      </c>
      <c r="BA71" s="83" t="str">
        <f>REPLACE(INDEX(GroupVertices[Group],MATCH(Vertices[[#This Row],[Vertex]],GroupVertices[Vertex],0)),1,1,"")</f>
        <v>4</v>
      </c>
      <c r="BB71" s="49">
        <v>0</v>
      </c>
      <c r="BC71" s="50">
        <v>0</v>
      </c>
      <c r="BD71" s="49">
        <v>0</v>
      </c>
      <c r="BE71" s="50">
        <v>0</v>
      </c>
      <c r="BF71" s="49">
        <v>0</v>
      </c>
      <c r="BG71" s="50">
        <v>0</v>
      </c>
      <c r="BH71" s="49">
        <v>28</v>
      </c>
      <c r="BI71" s="50">
        <v>100</v>
      </c>
      <c r="BJ71" s="49">
        <v>28</v>
      </c>
      <c r="BK71" s="49" t="s">
        <v>4456</v>
      </c>
      <c r="BL71" s="49" t="s">
        <v>4456</v>
      </c>
      <c r="BM71" s="49" t="s">
        <v>532</v>
      </c>
      <c r="BN71" s="49" t="s">
        <v>532</v>
      </c>
      <c r="BO71" s="49" t="s">
        <v>568</v>
      </c>
      <c r="BP71" s="49" t="s">
        <v>568</v>
      </c>
      <c r="BQ71" s="119" t="s">
        <v>4610</v>
      </c>
      <c r="BR71" s="119" t="s">
        <v>4610</v>
      </c>
      <c r="BS71" s="119" t="s">
        <v>4729</v>
      </c>
      <c r="BT71" s="119" t="s">
        <v>4729</v>
      </c>
      <c r="BU71" s="2"/>
      <c r="BV71" s="3"/>
      <c r="BW71" s="3"/>
      <c r="BX71" s="3"/>
      <c r="BY71" s="3"/>
    </row>
    <row r="72" spans="1:77" ht="15">
      <c r="A72" s="68" t="s">
        <v>272</v>
      </c>
      <c r="B72" s="69"/>
      <c r="C72" s="69" t="s">
        <v>64</v>
      </c>
      <c r="D72" s="70">
        <v>263.3984445617174</v>
      </c>
      <c r="E72" s="72"/>
      <c r="F72" s="107" t="str">
        <f>HYPERLINK("http://pbs.twimg.com/profile_images/1210297292294504449/E1D85qJU_normal.jpg")</f>
        <v>http://pbs.twimg.com/profile_images/1210297292294504449/E1D85qJU_normal.jpg</v>
      </c>
      <c r="G72" s="69"/>
      <c r="H72" s="73" t="s">
        <v>272</v>
      </c>
      <c r="I72" s="74" t="s">
        <v>5221</v>
      </c>
      <c r="J72" s="74" t="s">
        <v>73</v>
      </c>
      <c r="K72" s="73" t="s">
        <v>2365</v>
      </c>
      <c r="L72" s="77">
        <v>646.0322580645161</v>
      </c>
      <c r="M72" s="78">
        <v>8576.2216796875</v>
      </c>
      <c r="N72" s="78">
        <v>2914.5205078125</v>
      </c>
      <c r="O72" s="79"/>
      <c r="P72" s="80"/>
      <c r="Q72" s="80"/>
      <c r="R72" s="93"/>
      <c r="S72" s="49">
        <v>2</v>
      </c>
      <c r="T72" s="49">
        <v>1</v>
      </c>
      <c r="U72" s="50">
        <v>0</v>
      </c>
      <c r="V72" s="50">
        <v>1</v>
      </c>
      <c r="W72" s="50">
        <v>0</v>
      </c>
      <c r="X72" s="50">
        <v>1.298242</v>
      </c>
      <c r="Y72" s="50">
        <v>0</v>
      </c>
      <c r="Z72" s="50">
        <v>0</v>
      </c>
      <c r="AA72" s="75">
        <v>72</v>
      </c>
      <c r="AB72" s="75"/>
      <c r="AC72" s="76"/>
      <c r="AD72" s="83" t="s">
        <v>1617</v>
      </c>
      <c r="AE72" s="91" t="s">
        <v>1826</v>
      </c>
      <c r="AF72" s="83">
        <v>879</v>
      </c>
      <c r="AG72" s="83">
        <v>1157</v>
      </c>
      <c r="AH72" s="83">
        <v>22870</v>
      </c>
      <c r="AI72" s="83">
        <v>2081</v>
      </c>
      <c r="AJ72" s="83"/>
      <c r="AK72" s="83" t="s">
        <v>2035</v>
      </c>
      <c r="AL72" s="83" t="s">
        <v>2215</v>
      </c>
      <c r="AM72" s="88" t="str">
        <f>HYPERLINK("https://t.co/d4eqBLmcow")</f>
        <v>https://t.co/d4eqBLmcow</v>
      </c>
      <c r="AN72" s="83"/>
      <c r="AO72" s="85">
        <v>40386.246087962965</v>
      </c>
      <c r="AP72" s="88" t="str">
        <f>HYPERLINK("https://pbs.twimg.com/profile_banners/171377151/1577415396")</f>
        <v>https://pbs.twimg.com/profile_banners/171377151/1577415396</v>
      </c>
      <c r="AQ72" s="83" t="b">
        <v>0</v>
      </c>
      <c r="AR72" s="83" t="b">
        <v>0</v>
      </c>
      <c r="AS72" s="83" t="b">
        <v>0</v>
      </c>
      <c r="AT72" s="83"/>
      <c r="AU72" s="83">
        <v>17</v>
      </c>
      <c r="AV72" s="88" t="str">
        <f>HYPERLINK("http://abs.twimg.com/images/themes/theme6/bg.gif")</f>
        <v>http://abs.twimg.com/images/themes/theme6/bg.gif</v>
      </c>
      <c r="AW72" s="83" t="b">
        <v>0</v>
      </c>
      <c r="AX72" s="83" t="s">
        <v>2296</v>
      </c>
      <c r="AY72" s="88" t="str">
        <f>HYPERLINK("https://twitter.com/codebug88")</f>
        <v>https://twitter.com/codebug88</v>
      </c>
      <c r="AZ72" s="83" t="s">
        <v>66</v>
      </c>
      <c r="BA72" s="83" t="str">
        <f>REPLACE(INDEX(GroupVertices[Group],MATCH(Vertices[[#This Row],[Vertex]],GroupVertices[Vertex],0)),1,1,"")</f>
        <v>19</v>
      </c>
      <c r="BB72" s="49">
        <v>0</v>
      </c>
      <c r="BC72" s="50">
        <v>0</v>
      </c>
      <c r="BD72" s="49">
        <v>0</v>
      </c>
      <c r="BE72" s="50">
        <v>0</v>
      </c>
      <c r="BF72" s="49">
        <v>0</v>
      </c>
      <c r="BG72" s="50">
        <v>0</v>
      </c>
      <c r="BH72" s="49">
        <v>45</v>
      </c>
      <c r="BI72" s="50">
        <v>100</v>
      </c>
      <c r="BJ72" s="49">
        <v>45</v>
      </c>
      <c r="BK72" s="49"/>
      <c r="BL72" s="49"/>
      <c r="BM72" s="49"/>
      <c r="BN72" s="49"/>
      <c r="BO72" s="49" t="s">
        <v>582</v>
      </c>
      <c r="BP72" s="49" t="s">
        <v>582</v>
      </c>
      <c r="BQ72" s="119" t="s">
        <v>4625</v>
      </c>
      <c r="BR72" s="119" t="s">
        <v>4625</v>
      </c>
      <c r="BS72" s="119" t="s">
        <v>4743</v>
      </c>
      <c r="BT72" s="119" t="s">
        <v>4743</v>
      </c>
      <c r="BU72" s="2"/>
      <c r="BV72" s="3"/>
      <c r="BW72" s="3"/>
      <c r="BX72" s="3"/>
      <c r="BY72" s="3"/>
    </row>
    <row r="73" spans="1:77" ht="15">
      <c r="A73" s="68" t="s">
        <v>273</v>
      </c>
      <c r="B73" s="69"/>
      <c r="C73" s="69" t="s">
        <v>46</v>
      </c>
      <c r="D73" s="70"/>
      <c r="E73" s="72"/>
      <c r="F73" s="107" t="str">
        <f>HYPERLINK("http://pbs.twimg.com/profile_images/880987005164900353/rRH1OfTQ_normal.jpg")</f>
        <v>http://pbs.twimg.com/profile_images/880987005164900353/rRH1OfTQ_normal.jpg</v>
      </c>
      <c r="G73" s="69"/>
      <c r="H73" s="73" t="s">
        <v>273</v>
      </c>
      <c r="I73" s="74" t="s">
        <v>5221</v>
      </c>
      <c r="J73" s="74" t="s">
        <v>73</v>
      </c>
      <c r="K73" s="73" t="s">
        <v>2366</v>
      </c>
      <c r="L73" s="77">
        <v>1</v>
      </c>
      <c r="M73" s="78">
        <v>8057.65771484375</v>
      </c>
      <c r="N73" s="78">
        <v>4147.5810546875</v>
      </c>
      <c r="O73" s="79"/>
      <c r="P73" s="80"/>
      <c r="Q73" s="80"/>
      <c r="R73" s="93"/>
      <c r="S73" s="49">
        <v>0</v>
      </c>
      <c r="T73" s="49">
        <v>1</v>
      </c>
      <c r="U73" s="50">
        <v>0</v>
      </c>
      <c r="V73" s="50">
        <v>1</v>
      </c>
      <c r="W73" s="50">
        <v>0</v>
      </c>
      <c r="X73" s="50">
        <v>0.701753</v>
      </c>
      <c r="Y73" s="50">
        <v>0</v>
      </c>
      <c r="Z73" s="50">
        <v>0</v>
      </c>
      <c r="AA73" s="75">
        <v>73</v>
      </c>
      <c r="AB73" s="75"/>
      <c r="AC73" s="76"/>
      <c r="AD73" s="83" t="s">
        <v>1618</v>
      </c>
      <c r="AE73" s="91" t="s">
        <v>1827</v>
      </c>
      <c r="AF73" s="83">
        <v>272</v>
      </c>
      <c r="AG73" s="83">
        <v>35</v>
      </c>
      <c r="AH73" s="83">
        <v>770</v>
      </c>
      <c r="AI73" s="83">
        <v>640</v>
      </c>
      <c r="AJ73" s="83"/>
      <c r="AK73" s="83" t="s">
        <v>2036</v>
      </c>
      <c r="AL73" s="83"/>
      <c r="AM73" s="83"/>
      <c r="AN73" s="83"/>
      <c r="AO73" s="85">
        <v>40013.37204861111</v>
      </c>
      <c r="AP73" s="88" t="str">
        <f>HYPERLINK("https://pbs.twimg.com/profile_banners/58159850/1591176813")</f>
        <v>https://pbs.twimg.com/profile_banners/58159850/1591176813</v>
      </c>
      <c r="AQ73" s="83" t="b">
        <v>1</v>
      </c>
      <c r="AR73" s="83" t="b">
        <v>0</v>
      </c>
      <c r="AS73" s="83" t="b">
        <v>0</v>
      </c>
      <c r="AT73" s="83"/>
      <c r="AU73" s="83">
        <v>17</v>
      </c>
      <c r="AV73" s="88" t="str">
        <f>HYPERLINK("http://abs.twimg.com/images/themes/theme1/bg.png")</f>
        <v>http://abs.twimg.com/images/themes/theme1/bg.png</v>
      </c>
      <c r="AW73" s="83" t="b">
        <v>0</v>
      </c>
      <c r="AX73" s="83" t="s">
        <v>2296</v>
      </c>
      <c r="AY73" s="88" t="str">
        <f>HYPERLINK("https://twitter.com/tanwarkml")</f>
        <v>https://twitter.com/tanwarkml</v>
      </c>
      <c r="AZ73" s="83" t="s">
        <v>66</v>
      </c>
      <c r="BA73" s="83" t="str">
        <f>REPLACE(INDEX(GroupVertices[Group],MATCH(Vertices[[#This Row],[Vertex]],GroupVertices[Vertex],0)),1,1,"")</f>
        <v>19</v>
      </c>
      <c r="BB73" s="49">
        <v>0</v>
      </c>
      <c r="BC73" s="50">
        <v>0</v>
      </c>
      <c r="BD73" s="49">
        <v>0</v>
      </c>
      <c r="BE73" s="50">
        <v>0</v>
      </c>
      <c r="BF73" s="49">
        <v>0</v>
      </c>
      <c r="BG73" s="50">
        <v>0</v>
      </c>
      <c r="BH73" s="49">
        <v>45</v>
      </c>
      <c r="BI73" s="50">
        <v>100</v>
      </c>
      <c r="BJ73" s="49">
        <v>45</v>
      </c>
      <c r="BK73" s="49"/>
      <c r="BL73" s="49"/>
      <c r="BM73" s="49"/>
      <c r="BN73" s="49"/>
      <c r="BO73" s="49" t="s">
        <v>582</v>
      </c>
      <c r="BP73" s="49" t="s">
        <v>582</v>
      </c>
      <c r="BQ73" s="119" t="s">
        <v>4625</v>
      </c>
      <c r="BR73" s="119" t="s">
        <v>4625</v>
      </c>
      <c r="BS73" s="119" t="s">
        <v>4743</v>
      </c>
      <c r="BT73" s="119" t="s">
        <v>4743</v>
      </c>
      <c r="BU73" s="2"/>
      <c r="BV73" s="3"/>
      <c r="BW73" s="3"/>
      <c r="BX73" s="3"/>
      <c r="BY73" s="3"/>
    </row>
    <row r="74" spans="1:77" ht="15">
      <c r="A74" s="68" t="s">
        <v>274</v>
      </c>
      <c r="B74" s="69"/>
      <c r="C74" s="69" t="s">
        <v>46</v>
      </c>
      <c r="D74" s="70"/>
      <c r="E74" s="72"/>
      <c r="F74" s="107" t="str">
        <f>HYPERLINK("http://pbs.twimg.com/profile_images/1280342093404266496/xZvnBtRj_normal.jpg")</f>
        <v>http://pbs.twimg.com/profile_images/1280342093404266496/xZvnBtRj_normal.jpg</v>
      </c>
      <c r="G74" s="69"/>
      <c r="H74" s="73" t="s">
        <v>274</v>
      </c>
      <c r="I74" s="74" t="s">
        <v>5219</v>
      </c>
      <c r="J74" s="74" t="s">
        <v>73</v>
      </c>
      <c r="K74" s="73" t="s">
        <v>2367</v>
      </c>
      <c r="L74" s="77">
        <v>1</v>
      </c>
      <c r="M74" s="78">
        <v>9562.103515625</v>
      </c>
      <c r="N74" s="78">
        <v>6075.62841796875</v>
      </c>
      <c r="O74" s="79"/>
      <c r="P74" s="80"/>
      <c r="Q74" s="80"/>
      <c r="R74" s="93"/>
      <c r="S74" s="49">
        <v>0</v>
      </c>
      <c r="T74" s="49">
        <v>1</v>
      </c>
      <c r="U74" s="50">
        <v>0</v>
      </c>
      <c r="V74" s="50">
        <v>0.000891</v>
      </c>
      <c r="W74" s="50">
        <v>1E-06</v>
      </c>
      <c r="X74" s="50">
        <v>0.401068</v>
      </c>
      <c r="Y74" s="50">
        <v>0</v>
      </c>
      <c r="Z74" s="50">
        <v>0</v>
      </c>
      <c r="AA74" s="75">
        <v>74</v>
      </c>
      <c r="AB74" s="75"/>
      <c r="AC74" s="76"/>
      <c r="AD74" s="83" t="s">
        <v>1619</v>
      </c>
      <c r="AE74" s="91" t="s">
        <v>1828</v>
      </c>
      <c r="AF74" s="83">
        <v>295</v>
      </c>
      <c r="AG74" s="83">
        <v>29</v>
      </c>
      <c r="AH74" s="83">
        <v>1508</v>
      </c>
      <c r="AI74" s="83">
        <v>1134</v>
      </c>
      <c r="AJ74" s="83"/>
      <c r="AK74" s="83" t="s">
        <v>2037</v>
      </c>
      <c r="AL74" s="83"/>
      <c r="AM74" s="88" t="str">
        <f>HYPERLINK("https://t.co/cUSXnJbUWi")</f>
        <v>https://t.co/cUSXnJbUWi</v>
      </c>
      <c r="AN74" s="83"/>
      <c r="AO74" s="85">
        <v>43856.34850694444</v>
      </c>
      <c r="AP74" s="88" t="str">
        <f>HYPERLINK("https://pbs.twimg.com/profile_banners/1221347478383054848/1594092487")</f>
        <v>https://pbs.twimg.com/profile_banners/1221347478383054848/1594092487</v>
      </c>
      <c r="AQ74" s="83" t="b">
        <v>1</v>
      </c>
      <c r="AR74" s="83" t="b">
        <v>0</v>
      </c>
      <c r="AS74" s="83" t="b">
        <v>0</v>
      </c>
      <c r="AT74" s="83"/>
      <c r="AU74" s="83">
        <v>0</v>
      </c>
      <c r="AV74" s="83"/>
      <c r="AW74" s="83" t="b">
        <v>0</v>
      </c>
      <c r="AX74" s="83" t="s">
        <v>2296</v>
      </c>
      <c r="AY74" s="88" t="str">
        <f>HYPERLINK("https://twitter.com/hiveforensics")</f>
        <v>https://twitter.com/hiveforensics</v>
      </c>
      <c r="AZ74" s="83" t="s">
        <v>66</v>
      </c>
      <c r="BA74" s="83" t="str">
        <f>REPLACE(INDEX(GroupVertices[Group],MATCH(Vertices[[#This Row],[Vertex]],GroupVertices[Vertex],0)),1,1,"")</f>
        <v>10</v>
      </c>
      <c r="BB74" s="49">
        <v>0</v>
      </c>
      <c r="BC74" s="50">
        <v>0</v>
      </c>
      <c r="BD74" s="49">
        <v>0</v>
      </c>
      <c r="BE74" s="50">
        <v>0</v>
      </c>
      <c r="BF74" s="49">
        <v>0</v>
      </c>
      <c r="BG74" s="50">
        <v>0</v>
      </c>
      <c r="BH74" s="49">
        <v>34</v>
      </c>
      <c r="BI74" s="50">
        <v>100</v>
      </c>
      <c r="BJ74" s="49">
        <v>34</v>
      </c>
      <c r="BK74" s="49" t="s">
        <v>4511</v>
      </c>
      <c r="BL74" s="49" t="s">
        <v>4511</v>
      </c>
      <c r="BM74" s="49" t="s">
        <v>536</v>
      </c>
      <c r="BN74" s="49" t="s">
        <v>536</v>
      </c>
      <c r="BO74" s="49" t="s">
        <v>4590</v>
      </c>
      <c r="BP74" s="49" t="s">
        <v>4590</v>
      </c>
      <c r="BQ74" s="119" t="s">
        <v>4616</v>
      </c>
      <c r="BR74" s="119" t="s">
        <v>4616</v>
      </c>
      <c r="BS74" s="119" t="s">
        <v>4735</v>
      </c>
      <c r="BT74" s="119" t="s">
        <v>4735</v>
      </c>
      <c r="BU74" s="2"/>
      <c r="BV74" s="3"/>
      <c r="BW74" s="3"/>
      <c r="BX74" s="3"/>
      <c r="BY74" s="3"/>
    </row>
    <row r="75" spans="1:77" ht="15">
      <c r="A75" s="68" t="s">
        <v>275</v>
      </c>
      <c r="B75" s="69"/>
      <c r="C75" s="69" t="s">
        <v>46</v>
      </c>
      <c r="D75" s="70"/>
      <c r="E75" s="72"/>
      <c r="F75" s="107" t="str">
        <f>HYPERLINK("http://pbs.twimg.com/profile_images/1287450073790664704/2hRqNOES_normal.jpg")</f>
        <v>http://pbs.twimg.com/profile_images/1287450073790664704/2hRqNOES_normal.jpg</v>
      </c>
      <c r="G75" s="69"/>
      <c r="H75" s="73" t="s">
        <v>275</v>
      </c>
      <c r="I75" s="74" t="s">
        <v>5219</v>
      </c>
      <c r="J75" s="74" t="s">
        <v>73</v>
      </c>
      <c r="K75" s="73" t="s">
        <v>2368</v>
      </c>
      <c r="L75" s="77">
        <v>1</v>
      </c>
      <c r="M75" s="78">
        <v>9843.3134765625</v>
      </c>
      <c r="N75" s="78">
        <v>4371.76318359375</v>
      </c>
      <c r="O75" s="79"/>
      <c r="P75" s="80"/>
      <c r="Q75" s="80"/>
      <c r="R75" s="93"/>
      <c r="S75" s="49">
        <v>0</v>
      </c>
      <c r="T75" s="49">
        <v>1</v>
      </c>
      <c r="U75" s="50">
        <v>0</v>
      </c>
      <c r="V75" s="50">
        <v>0.000891</v>
      </c>
      <c r="W75" s="50">
        <v>1E-06</v>
      </c>
      <c r="X75" s="50">
        <v>0.401068</v>
      </c>
      <c r="Y75" s="50">
        <v>0</v>
      </c>
      <c r="Z75" s="50">
        <v>0</v>
      </c>
      <c r="AA75" s="75">
        <v>75</v>
      </c>
      <c r="AB75" s="75"/>
      <c r="AC75" s="76"/>
      <c r="AD75" s="83" t="s">
        <v>1620</v>
      </c>
      <c r="AE75" s="91" t="s">
        <v>1829</v>
      </c>
      <c r="AF75" s="83">
        <v>242</v>
      </c>
      <c r="AG75" s="83">
        <v>56</v>
      </c>
      <c r="AH75" s="83">
        <v>2568</v>
      </c>
      <c r="AI75" s="83">
        <v>687</v>
      </c>
      <c r="AJ75" s="83"/>
      <c r="AK75" s="83" t="s">
        <v>2038</v>
      </c>
      <c r="AL75" s="83"/>
      <c r="AM75" s="83"/>
      <c r="AN75" s="83"/>
      <c r="AO75" s="85">
        <v>43401.61856481482</v>
      </c>
      <c r="AP75" s="88" t="str">
        <f>HYPERLINK("https://pbs.twimg.com/profile_banners/1056558890203185152/1540741304")</f>
        <v>https://pbs.twimg.com/profile_banners/1056558890203185152/1540741304</v>
      </c>
      <c r="AQ75" s="83" t="b">
        <v>1</v>
      </c>
      <c r="AR75" s="83" t="b">
        <v>0</v>
      </c>
      <c r="AS75" s="83" t="b">
        <v>0</v>
      </c>
      <c r="AT75" s="83"/>
      <c r="AU75" s="83">
        <v>0</v>
      </c>
      <c r="AV75" s="83"/>
      <c r="AW75" s="83" t="b">
        <v>0</v>
      </c>
      <c r="AX75" s="83" t="s">
        <v>2296</v>
      </c>
      <c r="AY75" s="88" t="str">
        <f>HYPERLINK("https://twitter.com/tsgabriel__")</f>
        <v>https://twitter.com/tsgabriel__</v>
      </c>
      <c r="AZ75" s="83" t="s">
        <v>66</v>
      </c>
      <c r="BA75" s="83" t="str">
        <f>REPLACE(INDEX(GroupVertices[Group],MATCH(Vertices[[#This Row],[Vertex]],GroupVertices[Vertex],0)),1,1,"")</f>
        <v>10</v>
      </c>
      <c r="BB75" s="49">
        <v>0</v>
      </c>
      <c r="BC75" s="50">
        <v>0</v>
      </c>
      <c r="BD75" s="49">
        <v>0</v>
      </c>
      <c r="BE75" s="50">
        <v>0</v>
      </c>
      <c r="BF75" s="49">
        <v>0</v>
      </c>
      <c r="BG75" s="50">
        <v>0</v>
      </c>
      <c r="BH75" s="49">
        <v>34</v>
      </c>
      <c r="BI75" s="50">
        <v>100</v>
      </c>
      <c r="BJ75" s="49">
        <v>34</v>
      </c>
      <c r="BK75" s="49" t="s">
        <v>4511</v>
      </c>
      <c r="BL75" s="49" t="s">
        <v>4511</v>
      </c>
      <c r="BM75" s="49" t="s">
        <v>536</v>
      </c>
      <c r="BN75" s="49" t="s">
        <v>536</v>
      </c>
      <c r="BO75" s="49" t="s">
        <v>4590</v>
      </c>
      <c r="BP75" s="49" t="s">
        <v>4590</v>
      </c>
      <c r="BQ75" s="119" t="s">
        <v>4616</v>
      </c>
      <c r="BR75" s="119" t="s">
        <v>4616</v>
      </c>
      <c r="BS75" s="119" t="s">
        <v>4735</v>
      </c>
      <c r="BT75" s="119" t="s">
        <v>4735</v>
      </c>
      <c r="BU75" s="2"/>
      <c r="BV75" s="3"/>
      <c r="BW75" s="3"/>
      <c r="BX75" s="3"/>
      <c r="BY75" s="3"/>
    </row>
    <row r="76" spans="1:77" ht="15">
      <c r="A76" s="68" t="s">
        <v>276</v>
      </c>
      <c r="B76" s="69"/>
      <c r="C76" s="69" t="s">
        <v>46</v>
      </c>
      <c r="D76" s="70"/>
      <c r="E76" s="72"/>
      <c r="F76" s="107" t="str">
        <f>HYPERLINK("http://pbs.twimg.com/profile_images/1197135188473475074/8svI-1EO_normal.jpg")</f>
        <v>http://pbs.twimg.com/profile_images/1197135188473475074/8svI-1EO_normal.jpg</v>
      </c>
      <c r="G76" s="69"/>
      <c r="H76" s="73" t="s">
        <v>276</v>
      </c>
      <c r="I76" s="74" t="s">
        <v>5222</v>
      </c>
      <c r="J76" s="74" t="s">
        <v>73</v>
      </c>
      <c r="K76" s="73" t="s">
        <v>2369</v>
      </c>
      <c r="L76" s="77">
        <v>1</v>
      </c>
      <c r="M76" s="78">
        <v>7924.7294921875</v>
      </c>
      <c r="N76" s="78">
        <v>3004.18994140625</v>
      </c>
      <c r="O76" s="79"/>
      <c r="P76" s="80"/>
      <c r="Q76" s="80"/>
      <c r="R76" s="93"/>
      <c r="S76" s="49">
        <v>0</v>
      </c>
      <c r="T76" s="49">
        <v>1</v>
      </c>
      <c r="U76" s="50">
        <v>0</v>
      </c>
      <c r="V76" s="50">
        <v>0.333333</v>
      </c>
      <c r="W76" s="50">
        <v>0</v>
      </c>
      <c r="X76" s="50">
        <v>0.638296</v>
      </c>
      <c r="Y76" s="50">
        <v>0</v>
      </c>
      <c r="Z76" s="50">
        <v>0</v>
      </c>
      <c r="AA76" s="75">
        <v>76</v>
      </c>
      <c r="AB76" s="75"/>
      <c r="AC76" s="76"/>
      <c r="AD76" s="83" t="s">
        <v>1621</v>
      </c>
      <c r="AE76" s="91" t="s">
        <v>1830</v>
      </c>
      <c r="AF76" s="83">
        <v>1</v>
      </c>
      <c r="AG76" s="83">
        <v>7332</v>
      </c>
      <c r="AH76" s="83">
        <v>406864</v>
      </c>
      <c r="AI76" s="83">
        <v>0</v>
      </c>
      <c r="AJ76" s="83"/>
      <c r="AK76" s="83" t="s">
        <v>2039</v>
      </c>
      <c r="AL76" s="83"/>
      <c r="AM76" s="83"/>
      <c r="AN76" s="83"/>
      <c r="AO76" s="85">
        <v>43638.561215277776</v>
      </c>
      <c r="AP76" s="88" t="str">
        <f>HYPERLINK("https://pbs.twimg.com/profile_banners/1142424032794406912/1574254287")</f>
        <v>https://pbs.twimg.com/profile_banners/1142424032794406912/1574254287</v>
      </c>
      <c r="AQ76" s="83" t="b">
        <v>1</v>
      </c>
      <c r="AR76" s="83" t="b">
        <v>0</v>
      </c>
      <c r="AS76" s="83" t="b">
        <v>0</v>
      </c>
      <c r="AT76" s="83"/>
      <c r="AU76" s="83">
        <v>97</v>
      </c>
      <c r="AV76" s="83"/>
      <c r="AW76" s="83" t="b">
        <v>0</v>
      </c>
      <c r="AX76" s="83" t="s">
        <v>2296</v>
      </c>
      <c r="AY76" s="88" t="str">
        <f>HYPERLINK("https://twitter.com/cybersecurityn8")</f>
        <v>https://twitter.com/cybersecurityn8</v>
      </c>
      <c r="AZ76" s="83" t="s">
        <v>66</v>
      </c>
      <c r="BA76" s="83" t="str">
        <f>REPLACE(INDEX(GroupVertices[Group],MATCH(Vertices[[#This Row],[Vertex]],GroupVertices[Vertex],0)),1,1,"")</f>
        <v>13</v>
      </c>
      <c r="BB76" s="49">
        <v>0</v>
      </c>
      <c r="BC76" s="50">
        <v>0</v>
      </c>
      <c r="BD76" s="49">
        <v>0</v>
      </c>
      <c r="BE76" s="50">
        <v>0</v>
      </c>
      <c r="BF76" s="49">
        <v>0</v>
      </c>
      <c r="BG76" s="50">
        <v>0</v>
      </c>
      <c r="BH76" s="49">
        <v>24</v>
      </c>
      <c r="BI76" s="50">
        <v>100</v>
      </c>
      <c r="BJ76" s="49">
        <v>24</v>
      </c>
      <c r="BK76" s="49"/>
      <c r="BL76" s="49"/>
      <c r="BM76" s="49"/>
      <c r="BN76" s="49"/>
      <c r="BO76" s="49" t="s">
        <v>4593</v>
      </c>
      <c r="BP76" s="49" t="s">
        <v>4593</v>
      </c>
      <c r="BQ76" s="119" t="s">
        <v>4619</v>
      </c>
      <c r="BR76" s="119" t="s">
        <v>4619</v>
      </c>
      <c r="BS76" s="119" t="s">
        <v>4738</v>
      </c>
      <c r="BT76" s="119" t="s">
        <v>4738</v>
      </c>
      <c r="BU76" s="2"/>
      <c r="BV76" s="3"/>
      <c r="BW76" s="3"/>
      <c r="BX76" s="3"/>
      <c r="BY76" s="3"/>
    </row>
    <row r="77" spans="1:77" ht="15">
      <c r="A77" s="68" t="s">
        <v>277</v>
      </c>
      <c r="B77" s="69"/>
      <c r="C77" s="69" t="s">
        <v>64</v>
      </c>
      <c r="D77" s="70">
        <v>411.6270323713908</v>
      </c>
      <c r="E77" s="72"/>
      <c r="F77" s="107" t="str">
        <f>HYPERLINK("http://pbs.twimg.com/profile_images/1284087691462627330/Yzo5AlMV_normal.jpg")</f>
        <v>http://pbs.twimg.com/profile_images/1284087691462627330/Yzo5AlMV_normal.jpg</v>
      </c>
      <c r="G77" s="69"/>
      <c r="H77" s="73" t="s">
        <v>277</v>
      </c>
      <c r="I77" s="74" t="s">
        <v>5222</v>
      </c>
      <c r="J77" s="74" t="s">
        <v>73</v>
      </c>
      <c r="K77" s="73" t="s">
        <v>2370</v>
      </c>
      <c r="L77" s="77">
        <v>968.5483870967741</v>
      </c>
      <c r="M77" s="78">
        <v>7473.345703125</v>
      </c>
      <c r="N77" s="78">
        <v>3574.999267578125</v>
      </c>
      <c r="O77" s="79"/>
      <c r="P77" s="80"/>
      <c r="Q77" s="80"/>
      <c r="R77" s="93"/>
      <c r="S77" s="49">
        <v>3</v>
      </c>
      <c r="T77" s="49">
        <v>1</v>
      </c>
      <c r="U77" s="50">
        <v>2</v>
      </c>
      <c r="V77" s="50">
        <v>0.5</v>
      </c>
      <c r="W77" s="50">
        <v>0</v>
      </c>
      <c r="X77" s="50">
        <v>1.723399</v>
      </c>
      <c r="Y77" s="50">
        <v>0</v>
      </c>
      <c r="Z77" s="50">
        <v>0</v>
      </c>
      <c r="AA77" s="75">
        <v>77</v>
      </c>
      <c r="AB77" s="75"/>
      <c r="AC77" s="76"/>
      <c r="AD77" s="83" t="s">
        <v>1622</v>
      </c>
      <c r="AE77" s="91" t="s">
        <v>1831</v>
      </c>
      <c r="AF77" s="83">
        <v>3</v>
      </c>
      <c r="AG77" s="83">
        <v>2</v>
      </c>
      <c r="AH77" s="83">
        <v>5</v>
      </c>
      <c r="AI77" s="83">
        <v>2</v>
      </c>
      <c r="AJ77" s="83"/>
      <c r="AK77" s="83"/>
      <c r="AL77" s="83"/>
      <c r="AM77" s="83"/>
      <c r="AN77" s="83"/>
      <c r="AO77" s="85">
        <v>44023.29456018518</v>
      </c>
      <c r="AP77" s="88" t="str">
        <f>HYPERLINK("https://pbs.twimg.com/profile_banners/1281846636260409345/1594985340")</f>
        <v>https://pbs.twimg.com/profile_banners/1281846636260409345/1594985340</v>
      </c>
      <c r="AQ77" s="83" t="b">
        <v>1</v>
      </c>
      <c r="AR77" s="83" t="b">
        <v>0</v>
      </c>
      <c r="AS77" s="83" t="b">
        <v>0</v>
      </c>
      <c r="AT77" s="83"/>
      <c r="AU77" s="83">
        <v>0</v>
      </c>
      <c r="AV77" s="83"/>
      <c r="AW77" s="83" t="b">
        <v>0</v>
      </c>
      <c r="AX77" s="83" t="s">
        <v>2296</v>
      </c>
      <c r="AY77" s="88" t="str">
        <f>HYPERLINK("https://twitter.com/bitinfocode")</f>
        <v>https://twitter.com/bitinfocode</v>
      </c>
      <c r="AZ77" s="83" t="s">
        <v>66</v>
      </c>
      <c r="BA77" s="83" t="str">
        <f>REPLACE(INDEX(GroupVertices[Group],MATCH(Vertices[[#This Row],[Vertex]],GroupVertices[Vertex],0)),1,1,"")</f>
        <v>13</v>
      </c>
      <c r="BB77" s="49">
        <v>0</v>
      </c>
      <c r="BC77" s="50">
        <v>0</v>
      </c>
      <c r="BD77" s="49">
        <v>0</v>
      </c>
      <c r="BE77" s="50">
        <v>0</v>
      </c>
      <c r="BF77" s="49">
        <v>0</v>
      </c>
      <c r="BG77" s="50">
        <v>0</v>
      </c>
      <c r="BH77" s="49">
        <v>24</v>
      </c>
      <c r="BI77" s="50">
        <v>100</v>
      </c>
      <c r="BJ77" s="49">
        <v>24</v>
      </c>
      <c r="BK77" s="49"/>
      <c r="BL77" s="49"/>
      <c r="BM77" s="49"/>
      <c r="BN77" s="49"/>
      <c r="BO77" s="49" t="s">
        <v>4593</v>
      </c>
      <c r="BP77" s="49" t="s">
        <v>4593</v>
      </c>
      <c r="BQ77" s="119" t="s">
        <v>4619</v>
      </c>
      <c r="BR77" s="119" t="s">
        <v>4619</v>
      </c>
      <c r="BS77" s="119" t="s">
        <v>4738</v>
      </c>
      <c r="BT77" s="119" t="s">
        <v>4738</v>
      </c>
      <c r="BU77" s="2"/>
      <c r="BV77" s="3"/>
      <c r="BW77" s="3"/>
      <c r="BX77" s="3"/>
      <c r="BY77" s="3"/>
    </row>
    <row r="78" spans="1:77" ht="15">
      <c r="A78" s="68" t="s">
        <v>278</v>
      </c>
      <c r="B78" s="69"/>
      <c r="C78" s="69" t="s">
        <v>46</v>
      </c>
      <c r="D78" s="70"/>
      <c r="E78" s="72"/>
      <c r="F78" s="107" t="str">
        <f>HYPERLINK("http://pbs.twimg.com/profile_images/710735123876982784/GjV7JWMk_normal.jpg")</f>
        <v>http://pbs.twimg.com/profile_images/710735123876982784/GjV7JWMk_normal.jpg</v>
      </c>
      <c r="G78" s="69"/>
      <c r="H78" s="73" t="s">
        <v>278</v>
      </c>
      <c r="I78" s="74" t="s">
        <v>5222</v>
      </c>
      <c r="J78" s="74" t="s">
        <v>73</v>
      </c>
      <c r="K78" s="73" t="s">
        <v>2371</v>
      </c>
      <c r="L78" s="77">
        <v>1</v>
      </c>
      <c r="M78" s="78">
        <v>7020.56591796875</v>
      </c>
      <c r="N78" s="78">
        <v>4147.5732421875</v>
      </c>
      <c r="O78" s="79"/>
      <c r="P78" s="80"/>
      <c r="Q78" s="80"/>
      <c r="R78" s="93"/>
      <c r="S78" s="49">
        <v>0</v>
      </c>
      <c r="T78" s="49">
        <v>1</v>
      </c>
      <c r="U78" s="50">
        <v>0</v>
      </c>
      <c r="V78" s="50">
        <v>0.333333</v>
      </c>
      <c r="W78" s="50">
        <v>0</v>
      </c>
      <c r="X78" s="50">
        <v>0.638296</v>
      </c>
      <c r="Y78" s="50">
        <v>0</v>
      </c>
      <c r="Z78" s="50">
        <v>0</v>
      </c>
      <c r="AA78" s="75">
        <v>78</v>
      </c>
      <c r="AB78" s="75"/>
      <c r="AC78" s="76"/>
      <c r="AD78" s="83" t="s">
        <v>1623</v>
      </c>
      <c r="AE78" s="91" t="s">
        <v>1832</v>
      </c>
      <c r="AF78" s="83">
        <v>1</v>
      </c>
      <c r="AG78" s="83">
        <v>32816</v>
      </c>
      <c r="AH78" s="83">
        <v>1960735</v>
      </c>
      <c r="AI78" s="83">
        <v>7</v>
      </c>
      <c r="AJ78" s="83"/>
      <c r="AK78" s="83" t="s">
        <v>2040</v>
      </c>
      <c r="AL78" s="83" t="s">
        <v>2216</v>
      </c>
      <c r="AM78" s="83"/>
      <c r="AN78" s="83"/>
      <c r="AO78" s="85">
        <v>42445.63966435185</v>
      </c>
      <c r="AP78" s="88" t="str">
        <f>HYPERLINK("https://pbs.twimg.com/profile_banners/710123736175783938/1458287472")</f>
        <v>https://pbs.twimg.com/profile_banners/710123736175783938/1458287472</v>
      </c>
      <c r="AQ78" s="83" t="b">
        <v>1</v>
      </c>
      <c r="AR78" s="83" t="b">
        <v>0</v>
      </c>
      <c r="AS78" s="83" t="b">
        <v>0</v>
      </c>
      <c r="AT78" s="83"/>
      <c r="AU78" s="83">
        <v>6961</v>
      </c>
      <c r="AV78" s="83"/>
      <c r="AW78" s="83" t="b">
        <v>0</v>
      </c>
      <c r="AX78" s="83" t="s">
        <v>2296</v>
      </c>
      <c r="AY78" s="88" t="str">
        <f>HYPERLINK("https://twitter.com/sectest9")</f>
        <v>https://twitter.com/sectest9</v>
      </c>
      <c r="AZ78" s="83" t="s">
        <v>66</v>
      </c>
      <c r="BA78" s="83" t="str">
        <f>REPLACE(INDEX(GroupVertices[Group],MATCH(Vertices[[#This Row],[Vertex]],GroupVertices[Vertex],0)),1,1,"")</f>
        <v>13</v>
      </c>
      <c r="BB78" s="49">
        <v>0</v>
      </c>
      <c r="BC78" s="50">
        <v>0</v>
      </c>
      <c r="BD78" s="49">
        <v>0</v>
      </c>
      <c r="BE78" s="50">
        <v>0</v>
      </c>
      <c r="BF78" s="49">
        <v>0</v>
      </c>
      <c r="BG78" s="50">
        <v>0</v>
      </c>
      <c r="BH78" s="49">
        <v>24</v>
      </c>
      <c r="BI78" s="50">
        <v>100</v>
      </c>
      <c r="BJ78" s="49">
        <v>24</v>
      </c>
      <c r="BK78" s="49"/>
      <c r="BL78" s="49"/>
      <c r="BM78" s="49"/>
      <c r="BN78" s="49"/>
      <c r="BO78" s="49" t="s">
        <v>4593</v>
      </c>
      <c r="BP78" s="49" t="s">
        <v>4593</v>
      </c>
      <c r="BQ78" s="119" t="s">
        <v>4619</v>
      </c>
      <c r="BR78" s="119" t="s">
        <v>4619</v>
      </c>
      <c r="BS78" s="119" t="s">
        <v>4738</v>
      </c>
      <c r="BT78" s="119" t="s">
        <v>4738</v>
      </c>
      <c r="BU78" s="2"/>
      <c r="BV78" s="3"/>
      <c r="BW78" s="3"/>
      <c r="BX78" s="3"/>
      <c r="BY78" s="3"/>
    </row>
    <row r="79" spans="1:77" ht="15">
      <c r="A79" s="68" t="s">
        <v>279</v>
      </c>
      <c r="B79" s="69"/>
      <c r="C79" s="69" t="s">
        <v>64</v>
      </c>
      <c r="D79" s="70">
        <v>263.3984445617174</v>
      </c>
      <c r="E79" s="72"/>
      <c r="F79" s="107" t="str">
        <f>HYPERLINK("http://pbs.twimg.com/profile_images/1135162652890685440/KzQqm5HQ_normal.jpg")</f>
        <v>http://pbs.twimg.com/profile_images/1135162652890685440/KzQqm5HQ_normal.jpg</v>
      </c>
      <c r="G79" s="69"/>
      <c r="H79" s="73" t="s">
        <v>279</v>
      </c>
      <c r="I79" s="74" t="s">
        <v>5223</v>
      </c>
      <c r="J79" s="74" t="s">
        <v>73</v>
      </c>
      <c r="K79" s="73" t="s">
        <v>2372</v>
      </c>
      <c r="L79" s="77">
        <v>646.0322580645161</v>
      </c>
      <c r="M79" s="78">
        <v>9214.4423828125</v>
      </c>
      <c r="N79" s="78">
        <v>2914.53955078125</v>
      </c>
      <c r="O79" s="79"/>
      <c r="P79" s="80"/>
      <c r="Q79" s="80"/>
      <c r="R79" s="93"/>
      <c r="S79" s="49">
        <v>2</v>
      </c>
      <c r="T79" s="49">
        <v>1</v>
      </c>
      <c r="U79" s="50">
        <v>0</v>
      </c>
      <c r="V79" s="50">
        <v>1</v>
      </c>
      <c r="W79" s="50">
        <v>0</v>
      </c>
      <c r="X79" s="50">
        <v>1.298242</v>
      </c>
      <c r="Y79" s="50">
        <v>0</v>
      </c>
      <c r="Z79" s="50">
        <v>0</v>
      </c>
      <c r="AA79" s="75">
        <v>79</v>
      </c>
      <c r="AB79" s="75"/>
      <c r="AC79" s="76"/>
      <c r="AD79" s="83" t="s">
        <v>1624</v>
      </c>
      <c r="AE79" s="91" t="s">
        <v>1833</v>
      </c>
      <c r="AF79" s="83">
        <v>12471</v>
      </c>
      <c r="AG79" s="83">
        <v>11343</v>
      </c>
      <c r="AH79" s="83">
        <v>80677</v>
      </c>
      <c r="AI79" s="83">
        <v>10246</v>
      </c>
      <c r="AJ79" s="83"/>
      <c r="AK79" s="83" t="s">
        <v>2041</v>
      </c>
      <c r="AL79" s="83" t="s">
        <v>2217</v>
      </c>
      <c r="AM79" s="83"/>
      <c r="AN79" s="83"/>
      <c r="AO79" s="85">
        <v>40054.58280092593</v>
      </c>
      <c r="AP79" s="88" t="str">
        <f>HYPERLINK("https://pbs.twimg.com/profile_banners/69872718/1559480895")</f>
        <v>https://pbs.twimg.com/profile_banners/69872718/1559480895</v>
      </c>
      <c r="AQ79" s="83" t="b">
        <v>0</v>
      </c>
      <c r="AR79" s="83" t="b">
        <v>0</v>
      </c>
      <c r="AS79" s="83" t="b">
        <v>1</v>
      </c>
      <c r="AT79" s="83"/>
      <c r="AU79" s="83">
        <v>190</v>
      </c>
      <c r="AV79" s="88" t="str">
        <f>HYPERLINK("http://abs.twimg.com/images/themes/theme9/bg.gif")</f>
        <v>http://abs.twimg.com/images/themes/theme9/bg.gif</v>
      </c>
      <c r="AW79" s="83" t="b">
        <v>0</v>
      </c>
      <c r="AX79" s="83" t="s">
        <v>2296</v>
      </c>
      <c r="AY79" s="88" t="str">
        <f>HYPERLINK("https://twitter.com/iphonegalaxymd")</f>
        <v>https://twitter.com/iphonegalaxymd</v>
      </c>
      <c r="AZ79" s="83" t="s">
        <v>66</v>
      </c>
      <c r="BA79" s="83" t="str">
        <f>REPLACE(INDEX(GroupVertices[Group],MATCH(Vertices[[#This Row],[Vertex]],GroupVertices[Vertex],0)),1,1,"")</f>
        <v>18</v>
      </c>
      <c r="BB79" s="49">
        <v>0</v>
      </c>
      <c r="BC79" s="50">
        <v>0</v>
      </c>
      <c r="BD79" s="49">
        <v>0</v>
      </c>
      <c r="BE79" s="50">
        <v>0</v>
      </c>
      <c r="BF79" s="49">
        <v>0</v>
      </c>
      <c r="BG79" s="50">
        <v>0</v>
      </c>
      <c r="BH79" s="49">
        <v>56</v>
      </c>
      <c r="BI79" s="50">
        <v>100</v>
      </c>
      <c r="BJ79" s="49">
        <v>56</v>
      </c>
      <c r="BK79" s="49"/>
      <c r="BL79" s="49"/>
      <c r="BM79" s="49"/>
      <c r="BN79" s="49"/>
      <c r="BO79" s="49" t="s">
        <v>4594</v>
      </c>
      <c r="BP79" s="49" t="s">
        <v>4594</v>
      </c>
      <c r="BQ79" s="119" t="s">
        <v>4624</v>
      </c>
      <c r="BR79" s="119" t="s">
        <v>5075</v>
      </c>
      <c r="BS79" s="119" t="s">
        <v>4742</v>
      </c>
      <c r="BT79" s="119" t="s">
        <v>5193</v>
      </c>
      <c r="BU79" s="2"/>
      <c r="BV79" s="3"/>
      <c r="BW79" s="3"/>
      <c r="BX79" s="3"/>
      <c r="BY79" s="3"/>
    </row>
    <row r="80" spans="1:77" ht="15">
      <c r="A80" s="68" t="s">
        <v>280</v>
      </c>
      <c r="B80" s="69"/>
      <c r="C80" s="69" t="s">
        <v>46</v>
      </c>
      <c r="D80" s="70"/>
      <c r="E80" s="72"/>
      <c r="F80" s="107" t="str">
        <f>HYPERLINK("http://pbs.twimg.com/profile_images/1013540643988049920/y49Ifgdi_normal.jpg")</f>
        <v>http://pbs.twimg.com/profile_images/1013540643988049920/y49Ifgdi_normal.jpg</v>
      </c>
      <c r="G80" s="69"/>
      <c r="H80" s="73" t="s">
        <v>280</v>
      </c>
      <c r="I80" s="74" t="s">
        <v>5223</v>
      </c>
      <c r="J80" s="74" t="s">
        <v>73</v>
      </c>
      <c r="K80" s="73" t="s">
        <v>2373</v>
      </c>
      <c r="L80" s="77">
        <v>1</v>
      </c>
      <c r="M80" s="78">
        <v>8709.177734375</v>
      </c>
      <c r="N80" s="78">
        <v>4147.5966796875</v>
      </c>
      <c r="O80" s="79"/>
      <c r="P80" s="80"/>
      <c r="Q80" s="80"/>
      <c r="R80" s="93"/>
      <c r="S80" s="49">
        <v>0</v>
      </c>
      <c r="T80" s="49">
        <v>1</v>
      </c>
      <c r="U80" s="50">
        <v>0</v>
      </c>
      <c r="V80" s="50">
        <v>1</v>
      </c>
      <c r="W80" s="50">
        <v>0</v>
      </c>
      <c r="X80" s="50">
        <v>0.701753</v>
      </c>
      <c r="Y80" s="50">
        <v>0</v>
      </c>
      <c r="Z80" s="50">
        <v>0</v>
      </c>
      <c r="AA80" s="75">
        <v>80</v>
      </c>
      <c r="AB80" s="75"/>
      <c r="AC80" s="76"/>
      <c r="AD80" s="83" t="s">
        <v>1625</v>
      </c>
      <c r="AE80" s="91" t="s">
        <v>1834</v>
      </c>
      <c r="AF80" s="83">
        <v>24</v>
      </c>
      <c r="AG80" s="83">
        <v>886</v>
      </c>
      <c r="AH80" s="83">
        <v>62817</v>
      </c>
      <c r="AI80" s="83">
        <v>39</v>
      </c>
      <c r="AJ80" s="83"/>
      <c r="AK80" s="83" t="s">
        <v>2042</v>
      </c>
      <c r="AL80" s="83"/>
      <c r="AM80" s="83"/>
      <c r="AN80" s="83"/>
      <c r="AO80" s="85">
        <v>43200.11206018519</v>
      </c>
      <c r="AP80" s="83"/>
      <c r="AQ80" s="83" t="b">
        <v>0</v>
      </c>
      <c r="AR80" s="83" t="b">
        <v>0</v>
      </c>
      <c r="AS80" s="83" t="b">
        <v>0</v>
      </c>
      <c r="AT80" s="83"/>
      <c r="AU80" s="83">
        <v>40</v>
      </c>
      <c r="AV80" s="88" t="str">
        <f>HYPERLINK("http://abs.twimg.com/images/themes/theme1/bg.png")</f>
        <v>http://abs.twimg.com/images/themes/theme1/bg.png</v>
      </c>
      <c r="AW80" s="83" t="b">
        <v>0</v>
      </c>
      <c r="AX80" s="83" t="s">
        <v>2296</v>
      </c>
      <c r="AY80" s="88" t="str">
        <f>HYPERLINK("https://twitter.com/jsfairy")</f>
        <v>https://twitter.com/jsfairy</v>
      </c>
      <c r="AZ80" s="83" t="s">
        <v>66</v>
      </c>
      <c r="BA80" s="83" t="str">
        <f>REPLACE(INDEX(GroupVertices[Group],MATCH(Vertices[[#This Row],[Vertex]],GroupVertices[Vertex],0)),1,1,"")</f>
        <v>18</v>
      </c>
      <c r="BB80" s="49">
        <v>0</v>
      </c>
      <c r="BC80" s="50">
        <v>0</v>
      </c>
      <c r="BD80" s="49">
        <v>0</v>
      </c>
      <c r="BE80" s="50">
        <v>0</v>
      </c>
      <c r="BF80" s="49">
        <v>0</v>
      </c>
      <c r="BG80" s="50">
        <v>0</v>
      </c>
      <c r="BH80" s="49">
        <v>28</v>
      </c>
      <c r="BI80" s="50">
        <v>100</v>
      </c>
      <c r="BJ80" s="49">
        <v>28</v>
      </c>
      <c r="BK80" s="49"/>
      <c r="BL80" s="49"/>
      <c r="BM80" s="49"/>
      <c r="BN80" s="49"/>
      <c r="BO80" s="49" t="s">
        <v>4594</v>
      </c>
      <c r="BP80" s="49" t="s">
        <v>4594</v>
      </c>
      <c r="BQ80" s="119" t="s">
        <v>4998</v>
      </c>
      <c r="BR80" s="119" t="s">
        <v>4998</v>
      </c>
      <c r="BS80" s="119" t="s">
        <v>5133</v>
      </c>
      <c r="BT80" s="119" t="s">
        <v>5133</v>
      </c>
      <c r="BU80" s="2"/>
      <c r="BV80" s="3"/>
      <c r="BW80" s="3"/>
      <c r="BX80" s="3"/>
      <c r="BY80" s="3"/>
    </row>
    <row r="81" spans="1:77" ht="15">
      <c r="A81" s="68" t="s">
        <v>281</v>
      </c>
      <c r="B81" s="69"/>
      <c r="C81" s="69" t="s">
        <v>46</v>
      </c>
      <c r="D81" s="70"/>
      <c r="E81" s="72"/>
      <c r="F81" s="107" t="str">
        <f>HYPERLINK("http://pbs.twimg.com/profile_images/1217761707105210368/uOciLr6-_normal.jpg")</f>
        <v>http://pbs.twimg.com/profile_images/1217761707105210368/uOciLr6-_normal.jpg</v>
      </c>
      <c r="G81" s="69"/>
      <c r="H81" s="73" t="s">
        <v>281</v>
      </c>
      <c r="I81" s="74" t="s">
        <v>5215</v>
      </c>
      <c r="J81" s="74" t="s">
        <v>73</v>
      </c>
      <c r="K81" s="73" t="s">
        <v>2374</v>
      </c>
      <c r="L81" s="77">
        <v>1</v>
      </c>
      <c r="M81" s="78">
        <v>8795.2119140625</v>
      </c>
      <c r="N81" s="78">
        <v>9228.12109375</v>
      </c>
      <c r="O81" s="79"/>
      <c r="P81" s="80"/>
      <c r="Q81" s="80"/>
      <c r="R81" s="93"/>
      <c r="S81" s="49">
        <v>0</v>
      </c>
      <c r="T81" s="49">
        <v>1</v>
      </c>
      <c r="U81" s="50">
        <v>0</v>
      </c>
      <c r="V81" s="50">
        <v>0.001229</v>
      </c>
      <c r="W81" s="50">
        <v>0.000172</v>
      </c>
      <c r="X81" s="50">
        <v>0.408479</v>
      </c>
      <c r="Y81" s="50">
        <v>0</v>
      </c>
      <c r="Z81" s="50">
        <v>0</v>
      </c>
      <c r="AA81" s="75">
        <v>81</v>
      </c>
      <c r="AB81" s="75"/>
      <c r="AC81" s="76"/>
      <c r="AD81" s="83" t="s">
        <v>1626</v>
      </c>
      <c r="AE81" s="91" t="s">
        <v>1835</v>
      </c>
      <c r="AF81" s="83">
        <v>36</v>
      </c>
      <c r="AG81" s="83">
        <v>1237</v>
      </c>
      <c r="AH81" s="83">
        <v>462</v>
      </c>
      <c r="AI81" s="83">
        <v>295</v>
      </c>
      <c r="AJ81" s="83"/>
      <c r="AK81" s="83" t="s">
        <v>2043</v>
      </c>
      <c r="AL81" s="83" t="s">
        <v>2218</v>
      </c>
      <c r="AM81" s="88" t="str">
        <f>HYPERLINK("https://t.co/bmRLYeaIqm")</f>
        <v>https://t.co/bmRLYeaIqm</v>
      </c>
      <c r="AN81" s="83"/>
      <c r="AO81" s="85">
        <v>43461.663136574076</v>
      </c>
      <c r="AP81" s="88" t="str">
        <f>HYPERLINK("https://pbs.twimg.com/profile_banners/1078318314768674821/1582726230")</f>
        <v>https://pbs.twimg.com/profile_banners/1078318314768674821/1582726230</v>
      </c>
      <c r="AQ81" s="83" t="b">
        <v>0</v>
      </c>
      <c r="AR81" s="83" t="b">
        <v>0</v>
      </c>
      <c r="AS81" s="83" t="b">
        <v>1</v>
      </c>
      <c r="AT81" s="83"/>
      <c r="AU81" s="83">
        <v>8</v>
      </c>
      <c r="AV81" s="88" t="str">
        <f>HYPERLINK("http://abs.twimg.com/images/themes/theme1/bg.png")</f>
        <v>http://abs.twimg.com/images/themes/theme1/bg.png</v>
      </c>
      <c r="AW81" s="83" t="b">
        <v>0</v>
      </c>
      <c r="AX81" s="83" t="s">
        <v>2296</v>
      </c>
      <c r="AY81" s="88" t="str">
        <f>HYPERLINK("https://twitter.com/jovianml")</f>
        <v>https://twitter.com/jovianml</v>
      </c>
      <c r="AZ81" s="83" t="s">
        <v>66</v>
      </c>
      <c r="BA81" s="83" t="str">
        <f>REPLACE(INDEX(GroupVertices[Group],MATCH(Vertices[[#This Row],[Vertex]],GroupVertices[Vertex],0)),1,1,"")</f>
        <v>5</v>
      </c>
      <c r="BB81" s="49">
        <v>0</v>
      </c>
      <c r="BC81" s="50">
        <v>0</v>
      </c>
      <c r="BD81" s="49">
        <v>0</v>
      </c>
      <c r="BE81" s="50">
        <v>0</v>
      </c>
      <c r="BF81" s="49">
        <v>0</v>
      </c>
      <c r="BG81" s="50">
        <v>0</v>
      </c>
      <c r="BH81" s="49">
        <v>31</v>
      </c>
      <c r="BI81" s="50">
        <v>100</v>
      </c>
      <c r="BJ81" s="49">
        <v>31</v>
      </c>
      <c r="BK81" s="49" t="s">
        <v>4480</v>
      </c>
      <c r="BL81" s="49" t="s">
        <v>4480</v>
      </c>
      <c r="BM81" s="49" t="s">
        <v>543</v>
      </c>
      <c r="BN81" s="49" t="s">
        <v>543</v>
      </c>
      <c r="BO81" s="49" t="s">
        <v>585</v>
      </c>
      <c r="BP81" s="49" t="s">
        <v>585</v>
      </c>
      <c r="BQ81" s="119" t="s">
        <v>4999</v>
      </c>
      <c r="BR81" s="119" t="s">
        <v>4999</v>
      </c>
      <c r="BS81" s="119" t="s">
        <v>5134</v>
      </c>
      <c r="BT81" s="119" t="s">
        <v>5134</v>
      </c>
      <c r="BU81" s="2"/>
      <c r="BV81" s="3"/>
      <c r="BW81" s="3"/>
      <c r="BX81" s="3"/>
      <c r="BY81" s="3"/>
    </row>
    <row r="82" spans="1:77" ht="15">
      <c r="A82" s="68" t="s">
        <v>282</v>
      </c>
      <c r="B82" s="69"/>
      <c r="C82" s="69" t="s">
        <v>46</v>
      </c>
      <c r="D82" s="70"/>
      <c r="E82" s="72"/>
      <c r="F82" s="107" t="str">
        <f>HYPERLINK("http://pbs.twimg.com/profile_images/1250851439582142464/mmc94ymF_normal.jpg")</f>
        <v>http://pbs.twimg.com/profile_images/1250851439582142464/mmc94ymF_normal.jpg</v>
      </c>
      <c r="G82" s="69"/>
      <c r="H82" s="73" t="s">
        <v>282</v>
      </c>
      <c r="I82" s="74" t="s">
        <v>5215</v>
      </c>
      <c r="J82" s="74" t="s">
        <v>73</v>
      </c>
      <c r="K82" s="73" t="s">
        <v>2375</v>
      </c>
      <c r="L82" s="77">
        <v>1</v>
      </c>
      <c r="M82" s="78">
        <v>9720.3291015625</v>
      </c>
      <c r="N82" s="78">
        <v>9421.7734375</v>
      </c>
      <c r="O82" s="79"/>
      <c r="P82" s="80"/>
      <c r="Q82" s="80"/>
      <c r="R82" s="93"/>
      <c r="S82" s="49">
        <v>0</v>
      </c>
      <c r="T82" s="49">
        <v>1</v>
      </c>
      <c r="U82" s="50">
        <v>0</v>
      </c>
      <c r="V82" s="50">
        <v>0.001229</v>
      </c>
      <c r="W82" s="50">
        <v>0.000172</v>
      </c>
      <c r="X82" s="50">
        <v>0.408479</v>
      </c>
      <c r="Y82" s="50">
        <v>0</v>
      </c>
      <c r="Z82" s="50">
        <v>0</v>
      </c>
      <c r="AA82" s="75">
        <v>82</v>
      </c>
      <c r="AB82" s="75"/>
      <c r="AC82" s="76"/>
      <c r="AD82" s="83" t="s">
        <v>1627</v>
      </c>
      <c r="AE82" s="91" t="s">
        <v>1836</v>
      </c>
      <c r="AF82" s="83">
        <v>23</v>
      </c>
      <c r="AG82" s="83">
        <v>789</v>
      </c>
      <c r="AH82" s="83">
        <v>180</v>
      </c>
      <c r="AI82" s="83">
        <v>116</v>
      </c>
      <c r="AJ82" s="83"/>
      <c r="AK82" s="83" t="s">
        <v>2044</v>
      </c>
      <c r="AL82" s="83" t="s">
        <v>2219</v>
      </c>
      <c r="AM82" s="88" t="str">
        <f>HYPERLINK("https://t.co/xndOhdF3qg")</f>
        <v>https://t.co/xndOhdF3qg</v>
      </c>
      <c r="AN82" s="83"/>
      <c r="AO82" s="85">
        <v>43583.733402777776</v>
      </c>
      <c r="AP82" s="88" t="str">
        <f>HYPERLINK("https://pbs.twimg.com/profile_banners/1122555098566025216/1587061200")</f>
        <v>https://pbs.twimg.com/profile_banners/1122555098566025216/1587061200</v>
      </c>
      <c r="AQ82" s="83" t="b">
        <v>0</v>
      </c>
      <c r="AR82" s="83" t="b">
        <v>0</v>
      </c>
      <c r="AS82" s="83" t="b">
        <v>1</v>
      </c>
      <c r="AT82" s="83"/>
      <c r="AU82" s="83">
        <v>4</v>
      </c>
      <c r="AV82" s="88" t="str">
        <f>HYPERLINK("http://abs.twimg.com/images/themes/theme1/bg.png")</f>
        <v>http://abs.twimg.com/images/themes/theme1/bg.png</v>
      </c>
      <c r="AW82" s="83" t="b">
        <v>0</v>
      </c>
      <c r="AX82" s="83" t="s">
        <v>2296</v>
      </c>
      <c r="AY82" s="88" t="str">
        <f>HYPERLINK("https://twitter.com/dsnetorg")</f>
        <v>https://twitter.com/dsnetorg</v>
      </c>
      <c r="AZ82" s="83" t="s">
        <v>66</v>
      </c>
      <c r="BA82" s="83" t="str">
        <f>REPLACE(INDEX(GroupVertices[Group],MATCH(Vertices[[#This Row],[Vertex]],GroupVertices[Vertex],0)),1,1,"")</f>
        <v>5</v>
      </c>
      <c r="BB82" s="49">
        <v>0</v>
      </c>
      <c r="BC82" s="50">
        <v>0</v>
      </c>
      <c r="BD82" s="49">
        <v>0</v>
      </c>
      <c r="BE82" s="50">
        <v>0</v>
      </c>
      <c r="BF82" s="49">
        <v>0</v>
      </c>
      <c r="BG82" s="50">
        <v>0</v>
      </c>
      <c r="BH82" s="49">
        <v>31</v>
      </c>
      <c r="BI82" s="50">
        <v>100</v>
      </c>
      <c r="BJ82" s="49">
        <v>31</v>
      </c>
      <c r="BK82" s="49" t="s">
        <v>4480</v>
      </c>
      <c r="BL82" s="49" t="s">
        <v>4480</v>
      </c>
      <c r="BM82" s="49" t="s">
        <v>543</v>
      </c>
      <c r="BN82" s="49" t="s">
        <v>543</v>
      </c>
      <c r="BO82" s="49" t="s">
        <v>585</v>
      </c>
      <c r="BP82" s="49" t="s">
        <v>585</v>
      </c>
      <c r="BQ82" s="119" t="s">
        <v>4999</v>
      </c>
      <c r="BR82" s="119" t="s">
        <v>4999</v>
      </c>
      <c r="BS82" s="119" t="s">
        <v>5134</v>
      </c>
      <c r="BT82" s="119" t="s">
        <v>5134</v>
      </c>
      <c r="BU82" s="2"/>
      <c r="BV82" s="3"/>
      <c r="BW82" s="3"/>
      <c r="BX82" s="3"/>
      <c r="BY82" s="3"/>
    </row>
    <row r="83" spans="1:77" ht="15">
      <c r="A83" s="68" t="s">
        <v>283</v>
      </c>
      <c r="B83" s="69"/>
      <c r="C83" s="69" t="s">
        <v>46</v>
      </c>
      <c r="D83" s="70"/>
      <c r="E83" s="72"/>
      <c r="F83" s="107" t="str">
        <f>HYPERLINK("http://pbs.twimg.com/profile_images/1183453214655557634/sZQDP3RK_normal.jpg")</f>
        <v>http://pbs.twimg.com/profile_images/1183453214655557634/sZQDP3RK_normal.jpg</v>
      </c>
      <c r="G83" s="69"/>
      <c r="H83" s="73" t="s">
        <v>283</v>
      </c>
      <c r="I83" s="74" t="s">
        <v>5215</v>
      </c>
      <c r="J83" s="74" t="s">
        <v>73</v>
      </c>
      <c r="K83" s="73" t="s">
        <v>2376</v>
      </c>
      <c r="L83" s="77">
        <v>1</v>
      </c>
      <c r="M83" s="78">
        <v>9802.6904296875</v>
      </c>
      <c r="N83" s="78">
        <v>8059.8837890625</v>
      </c>
      <c r="O83" s="79"/>
      <c r="P83" s="80"/>
      <c r="Q83" s="80"/>
      <c r="R83" s="93"/>
      <c r="S83" s="49">
        <v>0</v>
      </c>
      <c r="T83" s="49">
        <v>1</v>
      </c>
      <c r="U83" s="50">
        <v>0</v>
      </c>
      <c r="V83" s="50">
        <v>0.001229</v>
      </c>
      <c r="W83" s="50">
        <v>0.000172</v>
      </c>
      <c r="X83" s="50">
        <v>0.408479</v>
      </c>
      <c r="Y83" s="50">
        <v>0</v>
      </c>
      <c r="Z83" s="50">
        <v>0</v>
      </c>
      <c r="AA83" s="75">
        <v>83</v>
      </c>
      <c r="AB83" s="75"/>
      <c r="AC83" s="76"/>
      <c r="AD83" s="83" t="s">
        <v>1628</v>
      </c>
      <c r="AE83" s="91" t="s">
        <v>1837</v>
      </c>
      <c r="AF83" s="83">
        <v>5016</v>
      </c>
      <c r="AG83" s="83">
        <v>2893</v>
      </c>
      <c r="AH83" s="83">
        <v>199068</v>
      </c>
      <c r="AI83" s="83">
        <v>205450</v>
      </c>
      <c r="AJ83" s="83"/>
      <c r="AK83" s="83" t="s">
        <v>2045</v>
      </c>
      <c r="AL83" s="83" t="s">
        <v>2220</v>
      </c>
      <c r="AM83" s="83"/>
      <c r="AN83" s="83"/>
      <c r="AO83" s="85">
        <v>41007.64241898148</v>
      </c>
      <c r="AP83" s="88" t="str">
        <f>HYPERLINK("https://pbs.twimg.com/profile_banners/548503531/1418895742")</f>
        <v>https://pbs.twimg.com/profile_banners/548503531/1418895742</v>
      </c>
      <c r="AQ83" s="83" t="b">
        <v>0</v>
      </c>
      <c r="AR83" s="83" t="b">
        <v>0</v>
      </c>
      <c r="AS83" s="83" t="b">
        <v>1</v>
      </c>
      <c r="AT83" s="83"/>
      <c r="AU83" s="83">
        <v>133</v>
      </c>
      <c r="AV83" s="88" t="str">
        <f>HYPERLINK("http://abs.twimg.com/images/themes/theme1/bg.png")</f>
        <v>http://abs.twimg.com/images/themes/theme1/bg.png</v>
      </c>
      <c r="AW83" s="83" t="b">
        <v>0</v>
      </c>
      <c r="AX83" s="83" t="s">
        <v>2296</v>
      </c>
      <c r="AY83" s="88" t="str">
        <f>HYPERLINK("https://twitter.com/gabrielanthonyp")</f>
        <v>https://twitter.com/gabrielanthonyp</v>
      </c>
      <c r="AZ83" s="83" t="s">
        <v>66</v>
      </c>
      <c r="BA83" s="83" t="str">
        <f>REPLACE(INDEX(GroupVertices[Group],MATCH(Vertices[[#This Row],[Vertex]],GroupVertices[Vertex],0)),1,1,"")</f>
        <v>5</v>
      </c>
      <c r="BB83" s="49">
        <v>0</v>
      </c>
      <c r="BC83" s="50">
        <v>0</v>
      </c>
      <c r="BD83" s="49">
        <v>0</v>
      </c>
      <c r="BE83" s="50">
        <v>0</v>
      </c>
      <c r="BF83" s="49">
        <v>0</v>
      </c>
      <c r="BG83" s="50">
        <v>0</v>
      </c>
      <c r="BH83" s="49">
        <v>31</v>
      </c>
      <c r="BI83" s="50">
        <v>100</v>
      </c>
      <c r="BJ83" s="49">
        <v>31</v>
      </c>
      <c r="BK83" s="49" t="s">
        <v>4480</v>
      </c>
      <c r="BL83" s="49" t="s">
        <v>4480</v>
      </c>
      <c r="BM83" s="49" t="s">
        <v>543</v>
      </c>
      <c r="BN83" s="49" t="s">
        <v>543</v>
      </c>
      <c r="BO83" s="49" t="s">
        <v>585</v>
      </c>
      <c r="BP83" s="49" t="s">
        <v>585</v>
      </c>
      <c r="BQ83" s="119" t="s">
        <v>4999</v>
      </c>
      <c r="BR83" s="119" t="s">
        <v>4999</v>
      </c>
      <c r="BS83" s="119" t="s">
        <v>5134</v>
      </c>
      <c r="BT83" s="119" t="s">
        <v>5134</v>
      </c>
      <c r="BU83" s="2"/>
      <c r="BV83" s="3"/>
      <c r="BW83" s="3"/>
      <c r="BX83" s="3"/>
      <c r="BY83" s="3"/>
    </row>
    <row r="84" spans="1:77" ht="15">
      <c r="A84" s="68" t="s">
        <v>284</v>
      </c>
      <c r="B84" s="69"/>
      <c r="C84" s="69" t="s">
        <v>46</v>
      </c>
      <c r="D84" s="70"/>
      <c r="E84" s="72"/>
      <c r="F84" s="107" t="str">
        <f>HYPERLINK("http://pbs.twimg.com/profile_images/1209196711278776324/K1quCt8Z_normal.jpg")</f>
        <v>http://pbs.twimg.com/profile_images/1209196711278776324/K1quCt8Z_normal.jpg</v>
      </c>
      <c r="G84" s="69"/>
      <c r="H84" s="73" t="s">
        <v>284</v>
      </c>
      <c r="I84" s="74" t="s">
        <v>5223</v>
      </c>
      <c r="J84" s="74" t="s">
        <v>73</v>
      </c>
      <c r="K84" s="73" t="s">
        <v>2377</v>
      </c>
      <c r="L84" s="77">
        <v>1</v>
      </c>
      <c r="M84" s="78">
        <v>9373.982421875</v>
      </c>
      <c r="N84" s="78">
        <v>2690.337646484375</v>
      </c>
      <c r="O84" s="79"/>
      <c r="P84" s="80"/>
      <c r="Q84" s="80"/>
      <c r="R84" s="93"/>
      <c r="S84" s="49">
        <v>0</v>
      </c>
      <c r="T84" s="49">
        <v>1</v>
      </c>
      <c r="U84" s="50">
        <v>0</v>
      </c>
      <c r="V84" s="50">
        <v>1</v>
      </c>
      <c r="W84" s="50">
        <v>0</v>
      </c>
      <c r="X84" s="50">
        <v>0.999997</v>
      </c>
      <c r="Y84" s="50">
        <v>0</v>
      </c>
      <c r="Z84" s="50">
        <v>0</v>
      </c>
      <c r="AA84" s="75">
        <v>84</v>
      </c>
      <c r="AB84" s="75"/>
      <c r="AC84" s="76"/>
      <c r="AD84" s="83" t="s">
        <v>1629</v>
      </c>
      <c r="AE84" s="91" t="s">
        <v>1838</v>
      </c>
      <c r="AF84" s="83">
        <v>16</v>
      </c>
      <c r="AG84" s="83">
        <v>2</v>
      </c>
      <c r="AH84" s="83">
        <v>2</v>
      </c>
      <c r="AI84" s="83">
        <v>0</v>
      </c>
      <c r="AJ84" s="83"/>
      <c r="AK84" s="83"/>
      <c r="AL84" s="83"/>
      <c r="AM84" s="83"/>
      <c r="AN84" s="83"/>
      <c r="AO84" s="85">
        <v>43822.81818287037</v>
      </c>
      <c r="AP84" s="83"/>
      <c r="AQ84" s="83" t="b">
        <v>1</v>
      </c>
      <c r="AR84" s="83" t="b">
        <v>0</v>
      </c>
      <c r="AS84" s="83" t="b">
        <v>0</v>
      </c>
      <c r="AT84" s="83"/>
      <c r="AU84" s="83">
        <v>0</v>
      </c>
      <c r="AV84" s="83"/>
      <c r="AW84" s="83" t="b">
        <v>0</v>
      </c>
      <c r="AX84" s="83" t="s">
        <v>2296</v>
      </c>
      <c r="AY84" s="88" t="str">
        <f>HYPERLINK("https://twitter.com/nikolas49942251")</f>
        <v>https://twitter.com/nikolas49942251</v>
      </c>
      <c r="AZ84" s="83" t="s">
        <v>66</v>
      </c>
      <c r="BA84" s="83" t="str">
        <f>REPLACE(INDEX(GroupVertices[Group],MATCH(Vertices[[#This Row],[Vertex]],GroupVertices[Vertex],0)),1,1,"")</f>
        <v>17</v>
      </c>
      <c r="BB84" s="49">
        <v>0</v>
      </c>
      <c r="BC84" s="50">
        <v>0</v>
      </c>
      <c r="BD84" s="49">
        <v>0</v>
      </c>
      <c r="BE84" s="50">
        <v>0</v>
      </c>
      <c r="BF84" s="49">
        <v>0</v>
      </c>
      <c r="BG84" s="50">
        <v>0</v>
      </c>
      <c r="BH84" s="49">
        <v>42</v>
      </c>
      <c r="BI84" s="50">
        <v>100</v>
      </c>
      <c r="BJ84" s="49">
        <v>42</v>
      </c>
      <c r="BK84" s="49"/>
      <c r="BL84" s="49"/>
      <c r="BM84" s="49"/>
      <c r="BN84" s="49"/>
      <c r="BO84" s="49" t="s">
        <v>586</v>
      </c>
      <c r="BP84" s="49" t="s">
        <v>586</v>
      </c>
      <c r="BQ84" s="119" t="s">
        <v>5000</v>
      </c>
      <c r="BR84" s="119" t="s">
        <v>5000</v>
      </c>
      <c r="BS84" s="119" t="s">
        <v>5135</v>
      </c>
      <c r="BT84" s="119" t="s">
        <v>5135</v>
      </c>
      <c r="BU84" s="2"/>
      <c r="BV84" s="3"/>
      <c r="BW84" s="3"/>
      <c r="BX84" s="3"/>
      <c r="BY84" s="3"/>
    </row>
    <row r="85" spans="1:77" ht="15">
      <c r="A85" s="68" t="s">
        <v>434</v>
      </c>
      <c r="B85" s="69"/>
      <c r="C85" s="69" t="s">
        <v>46</v>
      </c>
      <c r="D85" s="70">
        <v>10</v>
      </c>
      <c r="E85" s="72"/>
      <c r="F85" s="107" t="str">
        <f>HYPERLINK("http://pbs.twimg.com/profile_images/981311875643195393/dS0t6BQ8_normal.jpg")</f>
        <v>http://pbs.twimg.com/profile_images/981311875643195393/dS0t6BQ8_normal.jpg</v>
      </c>
      <c r="G85" s="69"/>
      <c r="H85" s="73" t="s">
        <v>434</v>
      </c>
      <c r="I85" s="74" t="s">
        <v>5223</v>
      </c>
      <c r="J85" s="74" t="s">
        <v>75</v>
      </c>
      <c r="K85" s="73" t="s">
        <v>2378</v>
      </c>
      <c r="L85" s="77">
        <v>323.51612903225805</v>
      </c>
      <c r="M85" s="78">
        <v>9865.94921875</v>
      </c>
      <c r="N85" s="78">
        <v>1367.6097412109375</v>
      </c>
      <c r="O85" s="79"/>
      <c r="P85" s="80"/>
      <c r="Q85" s="80"/>
      <c r="R85" s="93"/>
      <c r="S85" s="49">
        <v>1</v>
      </c>
      <c r="T85" s="49">
        <v>0</v>
      </c>
      <c r="U85" s="50">
        <v>0</v>
      </c>
      <c r="V85" s="50">
        <v>1</v>
      </c>
      <c r="W85" s="50">
        <v>0</v>
      </c>
      <c r="X85" s="50">
        <v>0.999997</v>
      </c>
      <c r="Y85" s="50">
        <v>0</v>
      </c>
      <c r="Z85" s="50">
        <v>0</v>
      </c>
      <c r="AA85" s="75">
        <v>85</v>
      </c>
      <c r="AB85" s="75"/>
      <c r="AC85" s="76"/>
      <c r="AD85" s="83" t="s">
        <v>1630</v>
      </c>
      <c r="AE85" s="91" t="s">
        <v>1454</v>
      </c>
      <c r="AF85" s="83">
        <v>792</v>
      </c>
      <c r="AG85" s="83">
        <v>39427</v>
      </c>
      <c r="AH85" s="83">
        <v>4752</v>
      </c>
      <c r="AI85" s="83">
        <v>6979</v>
      </c>
      <c r="AJ85" s="83"/>
      <c r="AK85" s="83" t="s">
        <v>2046</v>
      </c>
      <c r="AL85" s="83" t="s">
        <v>2221</v>
      </c>
      <c r="AM85" s="88" t="str">
        <f>HYPERLINK("https://t.co/RlY2tRJ8S0")</f>
        <v>https://t.co/RlY2tRJ8S0</v>
      </c>
      <c r="AN85" s="83"/>
      <c r="AO85" s="85">
        <v>40702.024189814816</v>
      </c>
      <c r="AP85" s="88" t="str">
        <f>HYPERLINK("https://pbs.twimg.com/profile_banners/312996970/1414158365")</f>
        <v>https://pbs.twimg.com/profile_banners/312996970/1414158365</v>
      </c>
      <c r="AQ85" s="83" t="b">
        <v>1</v>
      </c>
      <c r="AR85" s="83" t="b">
        <v>0</v>
      </c>
      <c r="AS85" s="83" t="b">
        <v>1</v>
      </c>
      <c r="AT85" s="83"/>
      <c r="AU85" s="83">
        <v>357</v>
      </c>
      <c r="AV85" s="88" t="str">
        <f>HYPERLINK("http://abs.twimg.com/images/themes/theme1/bg.png")</f>
        <v>http://abs.twimg.com/images/themes/theme1/bg.png</v>
      </c>
      <c r="AW85" s="83" t="b">
        <v>0</v>
      </c>
      <c r="AX85" s="83" t="s">
        <v>2296</v>
      </c>
      <c r="AY85" s="88" t="str">
        <f>HYPERLINK("https://twitter.com/moshhamedani")</f>
        <v>https://twitter.com/moshhamedani</v>
      </c>
      <c r="AZ85" s="83" t="s">
        <v>65</v>
      </c>
      <c r="BA85" s="83" t="str">
        <f>REPLACE(INDEX(GroupVertices[Group],MATCH(Vertices[[#This Row],[Vertex]],GroupVertices[Vertex],0)),1,1,"")</f>
        <v>17</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8" t="s">
        <v>285</v>
      </c>
      <c r="B86" s="69"/>
      <c r="C86" s="69" t="s">
        <v>46</v>
      </c>
      <c r="D86" s="70"/>
      <c r="E86" s="72"/>
      <c r="F86" s="107" t="str">
        <f>HYPERLINK("http://pbs.twimg.com/profile_images/1286158797606735873/_2c9_nFC_normal.jpg")</f>
        <v>http://pbs.twimg.com/profile_images/1286158797606735873/_2c9_nFC_normal.jpg</v>
      </c>
      <c r="G86" s="69"/>
      <c r="H86" s="73" t="s">
        <v>285</v>
      </c>
      <c r="I86" s="74" t="s">
        <v>5210</v>
      </c>
      <c r="J86" s="74" t="s">
        <v>73</v>
      </c>
      <c r="K86" s="73" t="s">
        <v>2379</v>
      </c>
      <c r="L86" s="77">
        <v>1</v>
      </c>
      <c r="M86" s="78">
        <v>2442.945068359375</v>
      </c>
      <c r="N86" s="78">
        <v>8087.20361328125</v>
      </c>
      <c r="O86" s="79"/>
      <c r="P86" s="80"/>
      <c r="Q86" s="80"/>
      <c r="R86" s="93"/>
      <c r="S86" s="49">
        <v>0</v>
      </c>
      <c r="T86" s="49">
        <v>1</v>
      </c>
      <c r="U86" s="50">
        <v>0</v>
      </c>
      <c r="V86" s="50">
        <v>0.001555</v>
      </c>
      <c r="W86" s="50">
        <v>0.00022</v>
      </c>
      <c r="X86" s="50">
        <v>0.353312</v>
      </c>
      <c r="Y86" s="50">
        <v>0</v>
      </c>
      <c r="Z86" s="50">
        <v>0</v>
      </c>
      <c r="AA86" s="75">
        <v>86</v>
      </c>
      <c r="AB86" s="75"/>
      <c r="AC86" s="76"/>
      <c r="AD86" s="83" t="s">
        <v>1631</v>
      </c>
      <c r="AE86" s="91" t="s">
        <v>1839</v>
      </c>
      <c r="AF86" s="83">
        <v>1883</v>
      </c>
      <c r="AG86" s="83">
        <v>817</v>
      </c>
      <c r="AH86" s="83">
        <v>15453</v>
      </c>
      <c r="AI86" s="83">
        <v>988</v>
      </c>
      <c r="AJ86" s="83"/>
      <c r="AK86" s="83" t="s">
        <v>2047</v>
      </c>
      <c r="AL86" s="83" t="s">
        <v>2222</v>
      </c>
      <c r="AM86" s="83"/>
      <c r="AN86" s="83"/>
      <c r="AO86" s="85">
        <v>43306.90991898148</v>
      </c>
      <c r="AP86" s="88" t="str">
        <f>HYPERLINK("https://pbs.twimg.com/profile_banners/1022237629268414466/1595479127")</f>
        <v>https://pbs.twimg.com/profile_banners/1022237629268414466/1595479127</v>
      </c>
      <c r="AQ86" s="83" t="b">
        <v>1</v>
      </c>
      <c r="AR86" s="83" t="b">
        <v>0</v>
      </c>
      <c r="AS86" s="83" t="b">
        <v>0</v>
      </c>
      <c r="AT86" s="83"/>
      <c r="AU86" s="83">
        <v>2</v>
      </c>
      <c r="AV86" s="83"/>
      <c r="AW86" s="83" t="b">
        <v>0</v>
      </c>
      <c r="AX86" s="83" t="s">
        <v>2296</v>
      </c>
      <c r="AY86" s="88" t="str">
        <f>HYPERLINK("https://twitter.com/rmel4060")</f>
        <v>https://twitter.com/rmel4060</v>
      </c>
      <c r="AZ86" s="83" t="s">
        <v>66</v>
      </c>
      <c r="BA86" s="83" t="str">
        <f>REPLACE(INDEX(GroupVertices[Group],MATCH(Vertices[[#This Row],[Vertex]],GroupVertices[Vertex],0)),1,1,"")</f>
        <v>1</v>
      </c>
      <c r="BB86" s="49">
        <v>0</v>
      </c>
      <c r="BC86" s="50">
        <v>0</v>
      </c>
      <c r="BD86" s="49">
        <v>0</v>
      </c>
      <c r="BE86" s="50">
        <v>0</v>
      </c>
      <c r="BF86" s="49">
        <v>0</v>
      </c>
      <c r="BG86" s="50">
        <v>0</v>
      </c>
      <c r="BH86" s="49">
        <v>30</v>
      </c>
      <c r="BI86" s="50">
        <v>100</v>
      </c>
      <c r="BJ86" s="49">
        <v>30</v>
      </c>
      <c r="BK86" s="49"/>
      <c r="BL86" s="49"/>
      <c r="BM86" s="49"/>
      <c r="BN86" s="49"/>
      <c r="BO86" s="49" t="s">
        <v>4896</v>
      </c>
      <c r="BP86" s="49" t="s">
        <v>4896</v>
      </c>
      <c r="BQ86" s="119" t="s">
        <v>4993</v>
      </c>
      <c r="BR86" s="119" t="s">
        <v>4993</v>
      </c>
      <c r="BS86" s="119" t="s">
        <v>5128</v>
      </c>
      <c r="BT86" s="119" t="s">
        <v>5128</v>
      </c>
      <c r="BU86" s="2"/>
      <c r="BV86" s="3"/>
      <c r="BW86" s="3"/>
      <c r="BX86" s="3"/>
      <c r="BY86" s="3"/>
    </row>
    <row r="87" spans="1:77" ht="15">
      <c r="A87" s="68" t="s">
        <v>286</v>
      </c>
      <c r="B87" s="69"/>
      <c r="C87" s="69" t="s">
        <v>46</v>
      </c>
      <c r="D87" s="70"/>
      <c r="E87" s="72"/>
      <c r="F87" s="107" t="str">
        <f>HYPERLINK("http://pbs.twimg.com/profile_images/1304013122777292800/Bl5yvq1s_normal.jpg")</f>
        <v>http://pbs.twimg.com/profile_images/1304013122777292800/Bl5yvq1s_normal.jpg</v>
      </c>
      <c r="G87" s="69"/>
      <c r="H87" s="73" t="s">
        <v>286</v>
      </c>
      <c r="I87" s="74" t="s">
        <v>5210</v>
      </c>
      <c r="J87" s="74" t="s">
        <v>73</v>
      </c>
      <c r="K87" s="73" t="s">
        <v>2380</v>
      </c>
      <c r="L87" s="77">
        <v>1</v>
      </c>
      <c r="M87" s="78">
        <v>497.71771240234375</v>
      </c>
      <c r="N87" s="78">
        <v>224.19419860839844</v>
      </c>
      <c r="O87" s="79"/>
      <c r="P87" s="80"/>
      <c r="Q87" s="80"/>
      <c r="R87" s="93"/>
      <c r="S87" s="49">
        <v>0</v>
      </c>
      <c r="T87" s="49">
        <v>1</v>
      </c>
      <c r="U87" s="50">
        <v>0</v>
      </c>
      <c r="V87" s="50">
        <v>0.001186</v>
      </c>
      <c r="W87" s="50">
        <v>3E-06</v>
      </c>
      <c r="X87" s="50">
        <v>0.336724</v>
      </c>
      <c r="Y87" s="50">
        <v>0</v>
      </c>
      <c r="Z87" s="50">
        <v>0</v>
      </c>
      <c r="AA87" s="75">
        <v>87</v>
      </c>
      <c r="AB87" s="75"/>
      <c r="AC87" s="76"/>
      <c r="AD87" s="83" t="s">
        <v>1632</v>
      </c>
      <c r="AE87" s="91" t="s">
        <v>1840</v>
      </c>
      <c r="AF87" s="83">
        <v>379</v>
      </c>
      <c r="AG87" s="83">
        <v>433</v>
      </c>
      <c r="AH87" s="83">
        <v>9962</v>
      </c>
      <c r="AI87" s="83">
        <v>1512</v>
      </c>
      <c r="AJ87" s="83"/>
      <c r="AK87" s="83" t="s">
        <v>2048</v>
      </c>
      <c r="AL87" s="83" t="s">
        <v>2223</v>
      </c>
      <c r="AM87" s="83"/>
      <c r="AN87" s="83"/>
      <c r="AO87" s="85">
        <v>41292.7365625</v>
      </c>
      <c r="AP87" s="88" t="str">
        <f>HYPERLINK("https://pbs.twimg.com/profile_banners/1101567602/1586129574")</f>
        <v>https://pbs.twimg.com/profile_banners/1101567602/1586129574</v>
      </c>
      <c r="AQ87" s="83" t="b">
        <v>0</v>
      </c>
      <c r="AR87" s="83" t="b">
        <v>0</v>
      </c>
      <c r="AS87" s="83" t="b">
        <v>1</v>
      </c>
      <c r="AT87" s="83"/>
      <c r="AU87" s="83">
        <v>5</v>
      </c>
      <c r="AV87" s="88" t="str">
        <f>HYPERLINK("http://abs.twimg.com/images/themes/theme1/bg.png")</f>
        <v>http://abs.twimg.com/images/themes/theme1/bg.png</v>
      </c>
      <c r="AW87" s="83" t="b">
        <v>0</v>
      </c>
      <c r="AX87" s="83" t="s">
        <v>2296</v>
      </c>
      <c r="AY87" s="88" t="str">
        <f>HYPERLINK("https://twitter.com/tiiso_j")</f>
        <v>https://twitter.com/tiiso_j</v>
      </c>
      <c r="AZ87" s="83" t="s">
        <v>66</v>
      </c>
      <c r="BA87" s="83" t="str">
        <f>REPLACE(INDEX(GroupVertices[Group],MATCH(Vertices[[#This Row],[Vertex]],GroupVertices[Vertex],0)),1,1,"")</f>
        <v>1</v>
      </c>
      <c r="BB87" s="49">
        <v>0</v>
      </c>
      <c r="BC87" s="50">
        <v>0</v>
      </c>
      <c r="BD87" s="49">
        <v>0</v>
      </c>
      <c r="BE87" s="50">
        <v>0</v>
      </c>
      <c r="BF87" s="49">
        <v>0</v>
      </c>
      <c r="BG87" s="50">
        <v>0</v>
      </c>
      <c r="BH87" s="49">
        <v>37</v>
      </c>
      <c r="BI87" s="50">
        <v>100</v>
      </c>
      <c r="BJ87" s="49">
        <v>37</v>
      </c>
      <c r="BK87" s="49"/>
      <c r="BL87" s="49"/>
      <c r="BM87" s="49"/>
      <c r="BN87" s="49"/>
      <c r="BO87" s="49" t="s">
        <v>4899</v>
      </c>
      <c r="BP87" s="49" t="s">
        <v>4899</v>
      </c>
      <c r="BQ87" s="119" t="s">
        <v>5001</v>
      </c>
      <c r="BR87" s="119" t="s">
        <v>5001</v>
      </c>
      <c r="BS87" s="119" t="s">
        <v>5136</v>
      </c>
      <c r="BT87" s="119" t="s">
        <v>5136</v>
      </c>
      <c r="BU87" s="2"/>
      <c r="BV87" s="3"/>
      <c r="BW87" s="3"/>
      <c r="BX87" s="3"/>
      <c r="BY87" s="3"/>
    </row>
    <row r="88" spans="1:77" ht="15">
      <c r="A88" s="68" t="s">
        <v>403</v>
      </c>
      <c r="B88" s="69"/>
      <c r="C88" s="69" t="s">
        <v>64</v>
      </c>
      <c r="D88" s="70">
        <v>770.195333685152</v>
      </c>
      <c r="E88" s="72"/>
      <c r="F88" s="107" t="str">
        <f>HYPERLINK("http://pbs.twimg.com/profile_images/1288392889031155713/Eo5KfRbR_normal.jpg")</f>
        <v>http://pbs.twimg.com/profile_images/1288392889031155713/Eo5KfRbR_normal.jpg</v>
      </c>
      <c r="G88" s="69"/>
      <c r="H88" s="73" t="s">
        <v>403</v>
      </c>
      <c r="I88" s="74" t="s">
        <v>5210</v>
      </c>
      <c r="J88" s="74" t="s">
        <v>73</v>
      </c>
      <c r="K88" s="73" t="s">
        <v>2381</v>
      </c>
      <c r="L88" s="77">
        <v>2581.1290322580644</v>
      </c>
      <c r="M88" s="78">
        <v>1214.37109375</v>
      </c>
      <c r="N88" s="78">
        <v>1860.8626708984375</v>
      </c>
      <c r="O88" s="79"/>
      <c r="P88" s="80"/>
      <c r="Q88" s="80"/>
      <c r="R88" s="93"/>
      <c r="S88" s="49">
        <v>8</v>
      </c>
      <c r="T88" s="49">
        <v>1</v>
      </c>
      <c r="U88" s="50">
        <v>1738.135976</v>
      </c>
      <c r="V88" s="50">
        <v>0.001511</v>
      </c>
      <c r="W88" s="50">
        <v>5.1E-05</v>
      </c>
      <c r="X88" s="50">
        <v>1.757399</v>
      </c>
      <c r="Y88" s="50">
        <v>0</v>
      </c>
      <c r="Z88" s="50">
        <v>0</v>
      </c>
      <c r="AA88" s="75">
        <v>88</v>
      </c>
      <c r="AB88" s="75"/>
      <c r="AC88" s="76"/>
      <c r="AD88" s="83" t="s">
        <v>1633</v>
      </c>
      <c r="AE88" s="91" t="s">
        <v>1841</v>
      </c>
      <c r="AF88" s="83">
        <v>569</v>
      </c>
      <c r="AG88" s="83">
        <v>678</v>
      </c>
      <c r="AH88" s="83">
        <v>414</v>
      </c>
      <c r="AI88" s="83">
        <v>486</v>
      </c>
      <c r="AJ88" s="83"/>
      <c r="AK88" s="83" t="s">
        <v>2049</v>
      </c>
      <c r="AL88" s="83" t="s">
        <v>2224</v>
      </c>
      <c r="AM88" s="88" t="str">
        <f>HYPERLINK("https://t.co/2easdyXH1G")</f>
        <v>https://t.co/2easdyXH1G</v>
      </c>
      <c r="AN88" s="83"/>
      <c r="AO88" s="85">
        <v>42592.52307870371</v>
      </c>
      <c r="AP88" s="88" t="str">
        <f>HYPERLINK("https://pbs.twimg.com/profile_banners/763352504331632640/1598262050")</f>
        <v>https://pbs.twimg.com/profile_banners/763352504331632640/1598262050</v>
      </c>
      <c r="AQ88" s="83" t="b">
        <v>0</v>
      </c>
      <c r="AR88" s="83" t="b">
        <v>0</v>
      </c>
      <c r="AS88" s="83" t="b">
        <v>0</v>
      </c>
      <c r="AT88" s="83"/>
      <c r="AU88" s="83">
        <v>7</v>
      </c>
      <c r="AV88" s="88" t="str">
        <f>HYPERLINK("http://abs.twimg.com/images/themes/theme1/bg.png")</f>
        <v>http://abs.twimg.com/images/themes/theme1/bg.png</v>
      </c>
      <c r="AW88" s="83" t="b">
        <v>0</v>
      </c>
      <c r="AX88" s="83" t="s">
        <v>2296</v>
      </c>
      <c r="AY88" s="88" t="str">
        <f>HYPERLINK("https://twitter.com/appverticals")</f>
        <v>https://twitter.com/appverticals</v>
      </c>
      <c r="AZ88" s="83" t="s">
        <v>66</v>
      </c>
      <c r="BA88" s="83" t="str">
        <f>REPLACE(INDEX(GroupVertices[Group],MATCH(Vertices[[#This Row],[Vertex]],GroupVertices[Vertex],0)),1,1,"")</f>
        <v>1</v>
      </c>
      <c r="BB88" s="49">
        <v>0</v>
      </c>
      <c r="BC88" s="50">
        <v>0</v>
      </c>
      <c r="BD88" s="49">
        <v>0</v>
      </c>
      <c r="BE88" s="50">
        <v>0</v>
      </c>
      <c r="BF88" s="49">
        <v>0</v>
      </c>
      <c r="BG88" s="50">
        <v>0</v>
      </c>
      <c r="BH88" s="49">
        <v>37</v>
      </c>
      <c r="BI88" s="50">
        <v>100</v>
      </c>
      <c r="BJ88" s="49">
        <v>37</v>
      </c>
      <c r="BK88" s="49"/>
      <c r="BL88" s="49"/>
      <c r="BM88" s="49"/>
      <c r="BN88" s="49"/>
      <c r="BO88" s="49" t="s">
        <v>4899</v>
      </c>
      <c r="BP88" s="49" t="s">
        <v>4899</v>
      </c>
      <c r="BQ88" s="119" t="s">
        <v>5001</v>
      </c>
      <c r="BR88" s="119" t="s">
        <v>5001</v>
      </c>
      <c r="BS88" s="119" t="s">
        <v>5136</v>
      </c>
      <c r="BT88" s="119" t="s">
        <v>5136</v>
      </c>
      <c r="BU88" s="2"/>
      <c r="BV88" s="3"/>
      <c r="BW88" s="3"/>
      <c r="BX88" s="3"/>
      <c r="BY88" s="3"/>
    </row>
    <row r="89" spans="1:77" ht="15">
      <c r="A89" s="68" t="s">
        <v>287</v>
      </c>
      <c r="B89" s="69"/>
      <c r="C89" s="69" t="s">
        <v>46</v>
      </c>
      <c r="D89" s="70"/>
      <c r="E89" s="72"/>
      <c r="F89" s="107" t="str">
        <f>HYPERLINK("http://pbs.twimg.com/profile_images/1298230754325995525/mYJfFVlG_normal.jpg")</f>
        <v>http://pbs.twimg.com/profile_images/1298230754325995525/mYJfFVlG_normal.jpg</v>
      </c>
      <c r="G89" s="69"/>
      <c r="H89" s="73" t="s">
        <v>287</v>
      </c>
      <c r="I89" s="74" t="s">
        <v>5224</v>
      </c>
      <c r="J89" s="74" t="s">
        <v>73</v>
      </c>
      <c r="K89" s="73" t="s">
        <v>2382</v>
      </c>
      <c r="L89" s="77">
        <v>1</v>
      </c>
      <c r="M89" s="78">
        <v>7924.73095703125</v>
      </c>
      <c r="N89" s="78">
        <v>1614.20068359375</v>
      </c>
      <c r="O89" s="79"/>
      <c r="P89" s="80"/>
      <c r="Q89" s="80"/>
      <c r="R89" s="93"/>
      <c r="S89" s="49">
        <v>0</v>
      </c>
      <c r="T89" s="49">
        <v>2</v>
      </c>
      <c r="U89" s="50">
        <v>720</v>
      </c>
      <c r="V89" s="50">
        <v>0.001192</v>
      </c>
      <c r="W89" s="50">
        <v>3E-06</v>
      </c>
      <c r="X89" s="50">
        <v>0.672026</v>
      </c>
      <c r="Y89" s="50">
        <v>0</v>
      </c>
      <c r="Z89" s="50">
        <v>0</v>
      </c>
      <c r="AA89" s="75">
        <v>89</v>
      </c>
      <c r="AB89" s="75"/>
      <c r="AC89" s="76"/>
      <c r="AD89" s="83" t="s">
        <v>1634</v>
      </c>
      <c r="AE89" s="91" t="s">
        <v>1842</v>
      </c>
      <c r="AF89" s="83">
        <v>1</v>
      </c>
      <c r="AG89" s="83">
        <v>17</v>
      </c>
      <c r="AH89" s="83">
        <v>1416</v>
      </c>
      <c r="AI89" s="83">
        <v>1413</v>
      </c>
      <c r="AJ89" s="83"/>
      <c r="AK89" s="83" t="s">
        <v>2050</v>
      </c>
      <c r="AL89" s="83"/>
      <c r="AM89" s="83"/>
      <c r="AN89" s="83"/>
      <c r="AO89" s="85">
        <v>44063.47960648148</v>
      </c>
      <c r="AP89" s="83"/>
      <c r="AQ89" s="83" t="b">
        <v>1</v>
      </c>
      <c r="AR89" s="83" t="b">
        <v>0</v>
      </c>
      <c r="AS89" s="83" t="b">
        <v>0</v>
      </c>
      <c r="AT89" s="83"/>
      <c r="AU89" s="83">
        <v>0</v>
      </c>
      <c r="AV89" s="83"/>
      <c r="AW89" s="83" t="b">
        <v>0</v>
      </c>
      <c r="AX89" s="83" t="s">
        <v>2296</v>
      </c>
      <c r="AY89" s="88" t="str">
        <f>HYPERLINK("https://twitter.com/dscfutabot")</f>
        <v>https://twitter.com/dscfutabot</v>
      </c>
      <c r="AZ89" s="83" t="s">
        <v>66</v>
      </c>
      <c r="BA89" s="83" t="str">
        <f>REPLACE(INDEX(GroupVertices[Group],MATCH(Vertices[[#This Row],[Vertex]],GroupVertices[Vertex],0)),1,1,"")</f>
        <v>12</v>
      </c>
      <c r="BB89" s="49">
        <v>0</v>
      </c>
      <c r="BC89" s="50">
        <v>0</v>
      </c>
      <c r="BD89" s="49">
        <v>0</v>
      </c>
      <c r="BE89" s="50">
        <v>0</v>
      </c>
      <c r="BF89" s="49">
        <v>0</v>
      </c>
      <c r="BG89" s="50">
        <v>0</v>
      </c>
      <c r="BH89" s="49">
        <v>52</v>
      </c>
      <c r="BI89" s="50">
        <v>100</v>
      </c>
      <c r="BJ89" s="49">
        <v>52</v>
      </c>
      <c r="BK89" s="49" t="s">
        <v>4523</v>
      </c>
      <c r="BL89" s="49" t="s">
        <v>4523</v>
      </c>
      <c r="BM89" s="49" t="s">
        <v>535</v>
      </c>
      <c r="BN89" s="49" t="s">
        <v>535</v>
      </c>
      <c r="BO89" s="49" t="s">
        <v>4592</v>
      </c>
      <c r="BP89" s="49" t="s">
        <v>4944</v>
      </c>
      <c r="BQ89" s="119" t="s">
        <v>5002</v>
      </c>
      <c r="BR89" s="119" t="s">
        <v>5076</v>
      </c>
      <c r="BS89" s="119" t="s">
        <v>4737</v>
      </c>
      <c r="BT89" s="119" t="s">
        <v>4737</v>
      </c>
      <c r="BU89" s="2"/>
      <c r="BV89" s="3"/>
      <c r="BW89" s="3"/>
      <c r="BX89" s="3"/>
      <c r="BY89" s="3"/>
    </row>
    <row r="90" spans="1:77" ht="15">
      <c r="A90" s="68" t="s">
        <v>288</v>
      </c>
      <c r="B90" s="69"/>
      <c r="C90" s="69" t="s">
        <v>64</v>
      </c>
      <c r="D90" s="70">
        <v>411.6270323713908</v>
      </c>
      <c r="E90" s="72"/>
      <c r="F90" s="107" t="str">
        <f>HYPERLINK("http://pbs.twimg.com/profile_images/1284776512953049089/kyyppwY2_normal.jpg")</f>
        <v>http://pbs.twimg.com/profile_images/1284776512953049089/kyyppwY2_normal.jpg</v>
      </c>
      <c r="G90" s="69"/>
      <c r="H90" s="73" t="s">
        <v>288</v>
      </c>
      <c r="I90" s="74" t="s">
        <v>5224</v>
      </c>
      <c r="J90" s="74" t="s">
        <v>73</v>
      </c>
      <c r="K90" s="73" t="s">
        <v>2383</v>
      </c>
      <c r="L90" s="77">
        <v>968.5483870967741</v>
      </c>
      <c r="M90" s="78">
        <v>7471.130859375</v>
      </c>
      <c r="N90" s="78">
        <v>2199.057373046875</v>
      </c>
      <c r="O90" s="79"/>
      <c r="P90" s="80"/>
      <c r="Q90" s="80"/>
      <c r="R90" s="93"/>
      <c r="S90" s="49">
        <v>3</v>
      </c>
      <c r="T90" s="49">
        <v>1</v>
      </c>
      <c r="U90" s="50">
        <v>362</v>
      </c>
      <c r="V90" s="50">
        <v>0.000982</v>
      </c>
      <c r="W90" s="50">
        <v>0</v>
      </c>
      <c r="X90" s="50">
        <v>1.18342</v>
      </c>
      <c r="Y90" s="50">
        <v>0</v>
      </c>
      <c r="Z90" s="50">
        <v>0</v>
      </c>
      <c r="AA90" s="75">
        <v>90</v>
      </c>
      <c r="AB90" s="75"/>
      <c r="AC90" s="76"/>
      <c r="AD90" s="83" t="s">
        <v>1635</v>
      </c>
      <c r="AE90" s="91" t="s">
        <v>1843</v>
      </c>
      <c r="AF90" s="83">
        <v>16</v>
      </c>
      <c r="AG90" s="83">
        <v>13</v>
      </c>
      <c r="AH90" s="83">
        <v>29</v>
      </c>
      <c r="AI90" s="83">
        <v>21</v>
      </c>
      <c r="AJ90" s="83"/>
      <c r="AK90" s="83" t="s">
        <v>2051</v>
      </c>
      <c r="AL90" s="83"/>
      <c r="AM90" s="83"/>
      <c r="AN90" s="83"/>
      <c r="AO90" s="85">
        <v>44031.37761574074</v>
      </c>
      <c r="AP90" s="88" t="str">
        <f>HYPERLINK("https://pbs.twimg.com/profile_banners/1284775867244179459/1595150503")</f>
        <v>https://pbs.twimg.com/profile_banners/1284775867244179459/1595150503</v>
      </c>
      <c r="AQ90" s="83" t="b">
        <v>1</v>
      </c>
      <c r="AR90" s="83" t="b">
        <v>0</v>
      </c>
      <c r="AS90" s="83" t="b">
        <v>0</v>
      </c>
      <c r="AT90" s="83"/>
      <c r="AU90" s="83">
        <v>0</v>
      </c>
      <c r="AV90" s="83"/>
      <c r="AW90" s="83" t="b">
        <v>0</v>
      </c>
      <c r="AX90" s="83" t="s">
        <v>2296</v>
      </c>
      <c r="AY90" s="88" t="str">
        <f>HYPERLINK("https://twitter.com/pybron137")</f>
        <v>https://twitter.com/pybron137</v>
      </c>
      <c r="AZ90" s="83" t="s">
        <v>66</v>
      </c>
      <c r="BA90" s="83" t="str">
        <f>REPLACE(INDEX(GroupVertices[Group],MATCH(Vertices[[#This Row],[Vertex]],GroupVertices[Vertex],0)),1,1,"")</f>
        <v>12</v>
      </c>
      <c r="BB90" s="49">
        <v>0</v>
      </c>
      <c r="BC90" s="50">
        <v>0</v>
      </c>
      <c r="BD90" s="49">
        <v>0</v>
      </c>
      <c r="BE90" s="50">
        <v>0</v>
      </c>
      <c r="BF90" s="49">
        <v>0</v>
      </c>
      <c r="BG90" s="50">
        <v>0</v>
      </c>
      <c r="BH90" s="49">
        <v>15</v>
      </c>
      <c r="BI90" s="50">
        <v>100</v>
      </c>
      <c r="BJ90" s="49">
        <v>15</v>
      </c>
      <c r="BK90" s="49" t="s">
        <v>4523</v>
      </c>
      <c r="BL90" s="49" t="s">
        <v>4523</v>
      </c>
      <c r="BM90" s="49" t="s">
        <v>535</v>
      </c>
      <c r="BN90" s="49" t="s">
        <v>535</v>
      </c>
      <c r="BO90" s="49" t="s">
        <v>588</v>
      </c>
      <c r="BP90" s="49" t="s">
        <v>588</v>
      </c>
      <c r="BQ90" s="119" t="s">
        <v>5003</v>
      </c>
      <c r="BR90" s="119" t="s">
        <v>5003</v>
      </c>
      <c r="BS90" s="119" t="s">
        <v>4737</v>
      </c>
      <c r="BT90" s="119" t="s">
        <v>4737</v>
      </c>
      <c r="BU90" s="2"/>
      <c r="BV90" s="3"/>
      <c r="BW90" s="3"/>
      <c r="BX90" s="3"/>
      <c r="BY90" s="3"/>
    </row>
    <row r="91" spans="1:77" ht="15">
      <c r="A91" s="68" t="s">
        <v>289</v>
      </c>
      <c r="B91" s="69"/>
      <c r="C91" s="69" t="s">
        <v>46</v>
      </c>
      <c r="D91" s="70"/>
      <c r="E91" s="72"/>
      <c r="F91" s="107" t="str">
        <f>HYPERLINK("http://pbs.twimg.com/profile_images/996202164593676288/Lj3MfQvu_normal.jpg")</f>
        <v>http://pbs.twimg.com/profile_images/996202164593676288/Lj3MfQvu_normal.jpg</v>
      </c>
      <c r="G91" s="69"/>
      <c r="H91" s="73" t="s">
        <v>289</v>
      </c>
      <c r="I91" s="74" t="s">
        <v>5224</v>
      </c>
      <c r="J91" s="74" t="s">
        <v>73</v>
      </c>
      <c r="K91" s="73" t="s">
        <v>2384</v>
      </c>
      <c r="L91" s="77">
        <v>1</v>
      </c>
      <c r="M91" s="78">
        <v>7020.56591796875</v>
      </c>
      <c r="N91" s="78">
        <v>2780.00244140625</v>
      </c>
      <c r="O91" s="79"/>
      <c r="P91" s="80"/>
      <c r="Q91" s="80"/>
      <c r="R91" s="93"/>
      <c r="S91" s="49">
        <v>0</v>
      </c>
      <c r="T91" s="49">
        <v>1</v>
      </c>
      <c r="U91" s="50">
        <v>0</v>
      </c>
      <c r="V91" s="50">
        <v>0.000834</v>
      </c>
      <c r="W91" s="50">
        <v>0</v>
      </c>
      <c r="X91" s="50">
        <v>0.485302</v>
      </c>
      <c r="Y91" s="50">
        <v>0</v>
      </c>
      <c r="Z91" s="50">
        <v>0</v>
      </c>
      <c r="AA91" s="75">
        <v>91</v>
      </c>
      <c r="AB91" s="75"/>
      <c r="AC91" s="76"/>
      <c r="AD91" s="83" t="s">
        <v>1636</v>
      </c>
      <c r="AE91" s="91" t="s">
        <v>1844</v>
      </c>
      <c r="AF91" s="83">
        <v>393</v>
      </c>
      <c r="AG91" s="83">
        <v>141</v>
      </c>
      <c r="AH91" s="83">
        <v>3057</v>
      </c>
      <c r="AI91" s="83">
        <v>9973</v>
      </c>
      <c r="AJ91" s="83"/>
      <c r="AK91" s="83" t="s">
        <v>2052</v>
      </c>
      <c r="AL91" s="83" t="s">
        <v>2225</v>
      </c>
      <c r="AM91" s="88" t="str">
        <f>HYPERLINK("https://t.co/qOEtiOXpQB")</f>
        <v>https://t.co/qOEtiOXpQB</v>
      </c>
      <c r="AN91" s="83"/>
      <c r="AO91" s="85">
        <v>41728.674942129626</v>
      </c>
      <c r="AP91" s="88" t="str">
        <f>HYPERLINK("https://pbs.twimg.com/profile_banners/2419216435/1560939350")</f>
        <v>https://pbs.twimg.com/profile_banners/2419216435/1560939350</v>
      </c>
      <c r="AQ91" s="83" t="b">
        <v>0</v>
      </c>
      <c r="AR91" s="83" t="b">
        <v>0</v>
      </c>
      <c r="AS91" s="83" t="b">
        <v>1</v>
      </c>
      <c r="AT91" s="83"/>
      <c r="AU91" s="83">
        <v>0</v>
      </c>
      <c r="AV91" s="88" t="str">
        <f>HYPERLINK("http://abs.twimg.com/images/themes/theme1/bg.png")</f>
        <v>http://abs.twimg.com/images/themes/theme1/bg.png</v>
      </c>
      <c r="AW91" s="83" t="b">
        <v>0</v>
      </c>
      <c r="AX91" s="83" t="s">
        <v>2296</v>
      </c>
      <c r="AY91" s="88" t="str">
        <f>HYPERLINK("https://twitter.com/akhigolu23")</f>
        <v>https://twitter.com/akhigolu23</v>
      </c>
      <c r="AZ91" s="83" t="s">
        <v>66</v>
      </c>
      <c r="BA91" s="83" t="str">
        <f>REPLACE(INDEX(GroupVertices[Group],MATCH(Vertices[[#This Row],[Vertex]],GroupVertices[Vertex],0)),1,1,"")</f>
        <v>12</v>
      </c>
      <c r="BB91" s="49">
        <v>0</v>
      </c>
      <c r="BC91" s="50">
        <v>0</v>
      </c>
      <c r="BD91" s="49">
        <v>0</v>
      </c>
      <c r="BE91" s="50">
        <v>0</v>
      </c>
      <c r="BF91" s="49">
        <v>0</v>
      </c>
      <c r="BG91" s="50">
        <v>0</v>
      </c>
      <c r="BH91" s="49">
        <v>15</v>
      </c>
      <c r="BI91" s="50">
        <v>100</v>
      </c>
      <c r="BJ91" s="49">
        <v>15</v>
      </c>
      <c r="BK91" s="49" t="s">
        <v>4523</v>
      </c>
      <c r="BL91" s="49" t="s">
        <v>4523</v>
      </c>
      <c r="BM91" s="49" t="s">
        <v>535</v>
      </c>
      <c r="BN91" s="49" t="s">
        <v>535</v>
      </c>
      <c r="BO91" s="49" t="s">
        <v>588</v>
      </c>
      <c r="BP91" s="49" t="s">
        <v>588</v>
      </c>
      <c r="BQ91" s="119" t="s">
        <v>5003</v>
      </c>
      <c r="BR91" s="119" t="s">
        <v>5003</v>
      </c>
      <c r="BS91" s="119" t="s">
        <v>4737</v>
      </c>
      <c r="BT91" s="119" t="s">
        <v>4737</v>
      </c>
      <c r="BU91" s="2"/>
      <c r="BV91" s="3"/>
      <c r="BW91" s="3"/>
      <c r="BX91" s="3"/>
      <c r="BY91" s="3"/>
    </row>
    <row r="92" spans="1:77" ht="15">
      <c r="A92" s="68" t="s">
        <v>290</v>
      </c>
      <c r="B92" s="69"/>
      <c r="C92" s="69" t="s">
        <v>46</v>
      </c>
      <c r="D92" s="70"/>
      <c r="E92" s="72"/>
      <c r="F92" s="107" t="str">
        <f>HYPERLINK("http://abs.twimg.com/sticky/default_profile_images/default_profile_normal.png")</f>
        <v>http://abs.twimg.com/sticky/default_profile_images/default_profile_normal.png</v>
      </c>
      <c r="G92" s="69"/>
      <c r="H92" s="73" t="s">
        <v>290</v>
      </c>
      <c r="I92" s="74" t="s">
        <v>5210</v>
      </c>
      <c r="J92" s="74" t="s">
        <v>73</v>
      </c>
      <c r="K92" s="73" t="s">
        <v>2385</v>
      </c>
      <c r="L92" s="77">
        <v>1</v>
      </c>
      <c r="M92" s="78">
        <v>1909.6221923828125</v>
      </c>
      <c r="N92" s="78">
        <v>9373.90625</v>
      </c>
      <c r="O92" s="79"/>
      <c r="P92" s="80"/>
      <c r="Q92" s="80"/>
      <c r="R92" s="93"/>
      <c r="S92" s="49">
        <v>0</v>
      </c>
      <c r="T92" s="49">
        <v>1</v>
      </c>
      <c r="U92" s="50">
        <v>0</v>
      </c>
      <c r="V92" s="50">
        <v>0.001555</v>
      </c>
      <c r="W92" s="50">
        <v>0.00022</v>
      </c>
      <c r="X92" s="50">
        <v>0.353312</v>
      </c>
      <c r="Y92" s="50">
        <v>0</v>
      </c>
      <c r="Z92" s="50">
        <v>0</v>
      </c>
      <c r="AA92" s="75">
        <v>92</v>
      </c>
      <c r="AB92" s="75"/>
      <c r="AC92" s="76"/>
      <c r="AD92" s="83" t="s">
        <v>1637</v>
      </c>
      <c r="AE92" s="91" t="s">
        <v>1845</v>
      </c>
      <c r="AF92" s="83">
        <v>158</v>
      </c>
      <c r="AG92" s="83">
        <v>33</v>
      </c>
      <c r="AH92" s="83">
        <v>938</v>
      </c>
      <c r="AI92" s="83">
        <v>1118</v>
      </c>
      <c r="AJ92" s="83"/>
      <c r="AK92" s="83"/>
      <c r="AL92" s="83"/>
      <c r="AM92" s="83"/>
      <c r="AN92" s="83"/>
      <c r="AO92" s="85">
        <v>44022.90409722222</v>
      </c>
      <c r="AP92" s="83"/>
      <c r="AQ92" s="83" t="b">
        <v>1</v>
      </c>
      <c r="AR92" s="83" t="b">
        <v>1</v>
      </c>
      <c r="AS92" s="83" t="b">
        <v>0</v>
      </c>
      <c r="AT92" s="83"/>
      <c r="AU92" s="83">
        <v>0</v>
      </c>
      <c r="AV92" s="83"/>
      <c r="AW92" s="83" t="b">
        <v>0</v>
      </c>
      <c r="AX92" s="83" t="s">
        <v>2296</v>
      </c>
      <c r="AY92" s="88" t="str">
        <f>HYPERLINK("https://twitter.com/sooritrade20")</f>
        <v>https://twitter.com/sooritrade20</v>
      </c>
      <c r="AZ92" s="83" t="s">
        <v>66</v>
      </c>
      <c r="BA92" s="83" t="str">
        <f>REPLACE(INDEX(GroupVertices[Group],MATCH(Vertices[[#This Row],[Vertex]],GroupVertices[Vertex],0)),1,1,"")</f>
        <v>1</v>
      </c>
      <c r="BB92" s="49">
        <v>0</v>
      </c>
      <c r="BC92" s="50">
        <v>0</v>
      </c>
      <c r="BD92" s="49">
        <v>0</v>
      </c>
      <c r="BE92" s="50">
        <v>0</v>
      </c>
      <c r="BF92" s="49">
        <v>0</v>
      </c>
      <c r="BG92" s="50">
        <v>0</v>
      </c>
      <c r="BH92" s="49">
        <v>30</v>
      </c>
      <c r="BI92" s="50">
        <v>100</v>
      </c>
      <c r="BJ92" s="49">
        <v>30</v>
      </c>
      <c r="BK92" s="49"/>
      <c r="BL92" s="49"/>
      <c r="BM92" s="49"/>
      <c r="BN92" s="49"/>
      <c r="BO92" s="49" t="s">
        <v>4896</v>
      </c>
      <c r="BP92" s="49" t="s">
        <v>4896</v>
      </c>
      <c r="BQ92" s="119" t="s">
        <v>4993</v>
      </c>
      <c r="BR92" s="119" t="s">
        <v>4993</v>
      </c>
      <c r="BS92" s="119" t="s">
        <v>5128</v>
      </c>
      <c r="BT92" s="119" t="s">
        <v>5128</v>
      </c>
      <c r="BU92" s="2"/>
      <c r="BV92" s="3"/>
      <c r="BW92" s="3"/>
      <c r="BX92" s="3"/>
      <c r="BY92" s="3"/>
    </row>
    <row r="93" spans="1:77" ht="15">
      <c r="A93" s="68" t="s">
        <v>291</v>
      </c>
      <c r="B93" s="69"/>
      <c r="C93" s="69" t="s">
        <v>46</v>
      </c>
      <c r="D93" s="70"/>
      <c r="E93" s="72"/>
      <c r="F93" s="107" t="str">
        <f>HYPERLINK("http://pbs.twimg.com/profile_images/526492552/polarized_garry_normal.jpg")</f>
        <v>http://pbs.twimg.com/profile_images/526492552/polarized_garry_normal.jpg</v>
      </c>
      <c r="G93" s="69"/>
      <c r="H93" s="73" t="s">
        <v>291</v>
      </c>
      <c r="I93" s="74" t="s">
        <v>5215</v>
      </c>
      <c r="J93" s="74" t="s">
        <v>73</v>
      </c>
      <c r="K93" s="73" t="s">
        <v>2386</v>
      </c>
      <c r="L93" s="77">
        <v>1</v>
      </c>
      <c r="M93" s="78">
        <v>8070.99853515625</v>
      </c>
      <c r="N93" s="78">
        <v>8209.703125</v>
      </c>
      <c r="O93" s="79"/>
      <c r="P93" s="80"/>
      <c r="Q93" s="80"/>
      <c r="R93" s="93"/>
      <c r="S93" s="49">
        <v>0</v>
      </c>
      <c r="T93" s="49">
        <v>1</v>
      </c>
      <c r="U93" s="50">
        <v>0</v>
      </c>
      <c r="V93" s="50">
        <v>0.001267</v>
      </c>
      <c r="W93" s="50">
        <v>0.000173</v>
      </c>
      <c r="X93" s="50">
        <v>0.350546</v>
      </c>
      <c r="Y93" s="50">
        <v>0</v>
      </c>
      <c r="Z93" s="50">
        <v>0</v>
      </c>
      <c r="AA93" s="75">
        <v>93</v>
      </c>
      <c r="AB93" s="75"/>
      <c r="AC93" s="76"/>
      <c r="AD93" s="83" t="s">
        <v>1638</v>
      </c>
      <c r="AE93" s="91" t="s">
        <v>1846</v>
      </c>
      <c r="AF93" s="83">
        <v>9055</v>
      </c>
      <c r="AG93" s="83">
        <v>8240</v>
      </c>
      <c r="AH93" s="83">
        <v>119706</v>
      </c>
      <c r="AI93" s="83">
        <v>8608</v>
      </c>
      <c r="AJ93" s="83"/>
      <c r="AK93" s="83" t="s">
        <v>2053</v>
      </c>
      <c r="AL93" s="83" t="s">
        <v>2226</v>
      </c>
      <c r="AM93" s="88" t="str">
        <f>HYPERLINK("https://t.co/K83sojBLlZ")</f>
        <v>https://t.co/K83sojBLlZ</v>
      </c>
      <c r="AN93" s="83"/>
      <c r="AO93" s="85">
        <v>39302.81520833333</v>
      </c>
      <c r="AP93" s="88" t="str">
        <f>HYPERLINK("https://pbs.twimg.com/profile_banners/8062702/1413311302")</f>
        <v>https://pbs.twimg.com/profile_banners/8062702/1413311302</v>
      </c>
      <c r="AQ93" s="83" t="b">
        <v>0</v>
      </c>
      <c r="AR93" s="83" t="b">
        <v>0</v>
      </c>
      <c r="AS93" s="83" t="b">
        <v>1</v>
      </c>
      <c r="AT93" s="83"/>
      <c r="AU93" s="83">
        <v>596</v>
      </c>
      <c r="AV93" s="88" t="str">
        <f>HYPERLINK("http://abs.twimg.com/images/themes/theme2/bg.gif")</f>
        <v>http://abs.twimg.com/images/themes/theme2/bg.gif</v>
      </c>
      <c r="AW93" s="83" t="b">
        <v>0</v>
      </c>
      <c r="AX93" s="83" t="s">
        <v>2296</v>
      </c>
      <c r="AY93" s="88" t="str">
        <f>HYPERLINK("https://twitter.com/grjenkin")</f>
        <v>https://twitter.com/grjenkin</v>
      </c>
      <c r="AZ93" s="83" t="s">
        <v>66</v>
      </c>
      <c r="BA93" s="83" t="str">
        <f>REPLACE(INDEX(GroupVertices[Group],MATCH(Vertices[[#This Row],[Vertex]],GroupVertices[Vertex],0)),1,1,"")</f>
        <v>5</v>
      </c>
      <c r="BB93" s="49">
        <v>0</v>
      </c>
      <c r="BC93" s="50">
        <v>0</v>
      </c>
      <c r="BD93" s="49">
        <v>0</v>
      </c>
      <c r="BE93" s="50">
        <v>0</v>
      </c>
      <c r="BF93" s="49">
        <v>0</v>
      </c>
      <c r="BG93" s="50">
        <v>0</v>
      </c>
      <c r="BH93" s="49">
        <v>26</v>
      </c>
      <c r="BI93" s="50">
        <v>100</v>
      </c>
      <c r="BJ93" s="49">
        <v>26</v>
      </c>
      <c r="BK93" s="49" t="s">
        <v>4481</v>
      </c>
      <c r="BL93" s="49" t="s">
        <v>4481</v>
      </c>
      <c r="BM93" s="49" t="s">
        <v>544</v>
      </c>
      <c r="BN93" s="49" t="s">
        <v>544</v>
      </c>
      <c r="BO93" s="49" t="s">
        <v>589</v>
      </c>
      <c r="BP93" s="49" t="s">
        <v>589</v>
      </c>
      <c r="BQ93" s="119" t="s">
        <v>5004</v>
      </c>
      <c r="BR93" s="119" t="s">
        <v>5004</v>
      </c>
      <c r="BS93" s="119" t="s">
        <v>5137</v>
      </c>
      <c r="BT93" s="119" t="s">
        <v>5137</v>
      </c>
      <c r="BU93" s="2"/>
      <c r="BV93" s="3"/>
      <c r="BW93" s="3"/>
      <c r="BX93" s="3"/>
      <c r="BY93" s="3"/>
    </row>
    <row r="94" spans="1:77" ht="15">
      <c r="A94" s="68" t="s">
        <v>425</v>
      </c>
      <c r="B94" s="69"/>
      <c r="C94" s="69" t="s">
        <v>64</v>
      </c>
      <c r="D94" s="70">
        <v>770.195333685152</v>
      </c>
      <c r="E94" s="72"/>
      <c r="F94" s="107" t="str">
        <f>HYPERLINK("http://pbs.twimg.com/profile_images/1295999110630092802/YGfeoCgQ_normal.jpg")</f>
        <v>http://pbs.twimg.com/profile_images/1295999110630092802/YGfeoCgQ_normal.jpg</v>
      </c>
      <c r="G94" s="69"/>
      <c r="H94" s="73" t="s">
        <v>425</v>
      </c>
      <c r="I94" s="74" t="s">
        <v>5215</v>
      </c>
      <c r="J94" s="74" t="s">
        <v>73</v>
      </c>
      <c r="K94" s="73" t="s">
        <v>2387</v>
      </c>
      <c r="L94" s="77">
        <v>2581.1290322580644</v>
      </c>
      <c r="M94" s="78">
        <v>8519.9345703125</v>
      </c>
      <c r="N94" s="78">
        <v>8681.4111328125</v>
      </c>
      <c r="O94" s="79"/>
      <c r="P94" s="80"/>
      <c r="Q94" s="80"/>
      <c r="R94" s="93"/>
      <c r="S94" s="49">
        <v>8</v>
      </c>
      <c r="T94" s="49">
        <v>1</v>
      </c>
      <c r="U94" s="50">
        <v>836.020012</v>
      </c>
      <c r="V94" s="50">
        <v>0.001645</v>
      </c>
      <c r="W94" s="50">
        <v>0.002641</v>
      </c>
      <c r="X94" s="50">
        <v>1.887489</v>
      </c>
      <c r="Y94" s="50">
        <v>0</v>
      </c>
      <c r="Z94" s="50">
        <v>0</v>
      </c>
      <c r="AA94" s="75">
        <v>94</v>
      </c>
      <c r="AB94" s="75"/>
      <c r="AC94" s="76"/>
      <c r="AD94" s="83" t="s">
        <v>1639</v>
      </c>
      <c r="AE94" s="91" t="s">
        <v>1847</v>
      </c>
      <c r="AF94" s="83">
        <v>78</v>
      </c>
      <c r="AG94" s="83">
        <v>60</v>
      </c>
      <c r="AH94" s="83">
        <v>64</v>
      </c>
      <c r="AI94" s="83">
        <v>28</v>
      </c>
      <c r="AJ94" s="83"/>
      <c r="AK94" s="83" t="s">
        <v>2054</v>
      </c>
      <c r="AL94" s="83" t="s">
        <v>2227</v>
      </c>
      <c r="AM94" s="88" t="str">
        <f>HYPERLINK("https://t.co/HionzmM6AC")</f>
        <v>https://t.co/HionzmM6AC</v>
      </c>
      <c r="AN94" s="83"/>
      <c r="AO94" s="85">
        <v>42225.8321875</v>
      </c>
      <c r="AP94" s="88" t="str">
        <f>HYPERLINK("https://pbs.twimg.com/profile_banners/3310798650/1597825592")</f>
        <v>https://pbs.twimg.com/profile_banners/3310798650/1597825592</v>
      </c>
      <c r="AQ94" s="83" t="b">
        <v>1</v>
      </c>
      <c r="AR94" s="83" t="b">
        <v>0</v>
      </c>
      <c r="AS94" s="83" t="b">
        <v>0</v>
      </c>
      <c r="AT94" s="83"/>
      <c r="AU94" s="83">
        <v>0</v>
      </c>
      <c r="AV94" s="88" t="str">
        <f>HYPERLINK("http://abs.twimg.com/images/themes/theme1/bg.png")</f>
        <v>http://abs.twimg.com/images/themes/theme1/bg.png</v>
      </c>
      <c r="AW94" s="83" t="b">
        <v>0</v>
      </c>
      <c r="AX94" s="83" t="s">
        <v>2296</v>
      </c>
      <c r="AY94" s="88" t="str">
        <f>HYPERLINK("https://twitter.com/sharmichat82")</f>
        <v>https://twitter.com/sharmichat82</v>
      </c>
      <c r="AZ94" s="83" t="s">
        <v>66</v>
      </c>
      <c r="BA94" s="83" t="str">
        <f>REPLACE(INDEX(GroupVertices[Group],MATCH(Vertices[[#This Row],[Vertex]],GroupVertices[Vertex],0)),1,1,"")</f>
        <v>5</v>
      </c>
      <c r="BB94" s="49">
        <v>0</v>
      </c>
      <c r="BC94" s="50">
        <v>0</v>
      </c>
      <c r="BD94" s="49">
        <v>0</v>
      </c>
      <c r="BE94" s="50">
        <v>0</v>
      </c>
      <c r="BF94" s="49">
        <v>0</v>
      </c>
      <c r="BG94" s="50">
        <v>0</v>
      </c>
      <c r="BH94" s="49">
        <v>26</v>
      </c>
      <c r="BI94" s="50">
        <v>100</v>
      </c>
      <c r="BJ94" s="49">
        <v>26</v>
      </c>
      <c r="BK94" s="49" t="s">
        <v>4481</v>
      </c>
      <c r="BL94" s="49" t="s">
        <v>4481</v>
      </c>
      <c r="BM94" s="49" t="s">
        <v>544</v>
      </c>
      <c r="BN94" s="49" t="s">
        <v>544</v>
      </c>
      <c r="BO94" s="49" t="s">
        <v>4900</v>
      </c>
      <c r="BP94" s="49" t="s">
        <v>4900</v>
      </c>
      <c r="BQ94" s="119" t="s">
        <v>5004</v>
      </c>
      <c r="BR94" s="119" t="s">
        <v>5004</v>
      </c>
      <c r="BS94" s="119" t="s">
        <v>5137</v>
      </c>
      <c r="BT94" s="119" t="s">
        <v>5137</v>
      </c>
      <c r="BU94" s="2"/>
      <c r="BV94" s="3"/>
      <c r="BW94" s="3"/>
      <c r="BX94" s="3"/>
      <c r="BY94" s="3"/>
    </row>
    <row r="95" spans="1:77" ht="15">
      <c r="A95" s="68" t="s">
        <v>292</v>
      </c>
      <c r="B95" s="69"/>
      <c r="C95" s="69" t="s">
        <v>46</v>
      </c>
      <c r="D95" s="70">
        <v>10</v>
      </c>
      <c r="E95" s="72"/>
      <c r="F95" s="107" t="str">
        <f>HYPERLINK("http://pbs.twimg.com/profile_images/1083996354072973312/WwXMoPnQ_normal.jpg")</f>
        <v>http://pbs.twimg.com/profile_images/1083996354072973312/WwXMoPnQ_normal.jpg</v>
      </c>
      <c r="G95" s="69"/>
      <c r="H95" s="73" t="s">
        <v>292</v>
      </c>
      <c r="I95" s="74" t="s">
        <v>5218</v>
      </c>
      <c r="J95" s="74" t="s">
        <v>73</v>
      </c>
      <c r="K95" s="73" t="s">
        <v>2388</v>
      </c>
      <c r="L95" s="77">
        <v>323.51612903225805</v>
      </c>
      <c r="M95" s="78"/>
      <c r="N95" s="78"/>
      <c r="O95" s="79"/>
      <c r="P95" s="80"/>
      <c r="Q95" s="80"/>
      <c r="R95" s="93"/>
      <c r="S95" s="49">
        <v>1</v>
      </c>
      <c r="T95" s="49">
        <v>1</v>
      </c>
      <c r="U95" s="50">
        <v>0</v>
      </c>
      <c r="V95" s="50">
        <v>0</v>
      </c>
      <c r="W95" s="50">
        <v>0</v>
      </c>
      <c r="X95" s="50">
        <v>0.999997</v>
      </c>
      <c r="Y95" s="50">
        <v>0</v>
      </c>
      <c r="Z95" s="50">
        <v>0</v>
      </c>
      <c r="AA95" s="75">
        <v>95</v>
      </c>
      <c r="AB95" s="75"/>
      <c r="AC95" s="76"/>
      <c r="AD95" s="83" t="s">
        <v>1640</v>
      </c>
      <c r="AE95" s="91" t="s">
        <v>1848</v>
      </c>
      <c r="AF95" s="83">
        <v>4707</v>
      </c>
      <c r="AG95" s="83">
        <v>4072</v>
      </c>
      <c r="AH95" s="83">
        <v>8411</v>
      </c>
      <c r="AI95" s="83">
        <v>341</v>
      </c>
      <c r="AJ95" s="83"/>
      <c r="AK95" s="83" t="s">
        <v>2055</v>
      </c>
      <c r="AL95" s="83" t="s">
        <v>2222</v>
      </c>
      <c r="AM95" s="88" t="str">
        <f>HYPERLINK("https://t.co/6RU77mGpWi")</f>
        <v>https://t.co/6RU77mGpWi</v>
      </c>
      <c r="AN95" s="83"/>
      <c r="AO95" s="85">
        <v>42222.10797453704</v>
      </c>
      <c r="AP95" s="88" t="str">
        <f>HYPERLINK("https://pbs.twimg.com/profile_banners/3307345782/1521786732")</f>
        <v>https://pbs.twimg.com/profile_banners/3307345782/1521786732</v>
      </c>
      <c r="AQ95" s="83" t="b">
        <v>1</v>
      </c>
      <c r="AR95" s="83" t="b">
        <v>0</v>
      </c>
      <c r="AS95" s="83" t="b">
        <v>0</v>
      </c>
      <c r="AT95" s="83"/>
      <c r="AU95" s="83">
        <v>38</v>
      </c>
      <c r="AV95" s="88" t="str">
        <f>HYPERLINK("http://abs.twimg.com/images/themes/theme1/bg.png")</f>
        <v>http://abs.twimg.com/images/themes/theme1/bg.png</v>
      </c>
      <c r="AW95" s="83" t="b">
        <v>0</v>
      </c>
      <c r="AX95" s="83" t="s">
        <v>2296</v>
      </c>
      <c r="AY95" s="88" t="str">
        <f>HYPERLINK("https://twitter.com/codequsdotcom")</f>
        <v>https://twitter.com/codequsdotcom</v>
      </c>
      <c r="AZ95" s="83" t="s">
        <v>66</v>
      </c>
      <c r="BA95" s="83" t="str">
        <f>REPLACE(INDEX(GroupVertices[Group],MATCH(Vertices[[#This Row],[Vertex]],GroupVertices[Vertex],0)),1,1,"")</f>
        <v>6</v>
      </c>
      <c r="BB95" s="49">
        <v>0</v>
      </c>
      <c r="BC95" s="50">
        <v>0</v>
      </c>
      <c r="BD95" s="49">
        <v>0</v>
      </c>
      <c r="BE95" s="50">
        <v>0</v>
      </c>
      <c r="BF95" s="49">
        <v>0</v>
      </c>
      <c r="BG95" s="50">
        <v>0</v>
      </c>
      <c r="BH95" s="49">
        <v>10</v>
      </c>
      <c r="BI95" s="50">
        <v>100</v>
      </c>
      <c r="BJ95" s="49">
        <v>10</v>
      </c>
      <c r="BK95" s="49" t="s">
        <v>4489</v>
      </c>
      <c r="BL95" s="49" t="s">
        <v>4489</v>
      </c>
      <c r="BM95" s="49" t="s">
        <v>545</v>
      </c>
      <c r="BN95" s="49" t="s">
        <v>545</v>
      </c>
      <c r="BO95" s="49" t="s">
        <v>590</v>
      </c>
      <c r="BP95" s="49" t="s">
        <v>590</v>
      </c>
      <c r="BQ95" s="119" t="s">
        <v>5005</v>
      </c>
      <c r="BR95" s="119" t="s">
        <v>5005</v>
      </c>
      <c r="BS95" s="119" t="s">
        <v>5138</v>
      </c>
      <c r="BT95" s="119" t="s">
        <v>5138</v>
      </c>
      <c r="BU95" s="2"/>
      <c r="BV95" s="3"/>
      <c r="BW95" s="3"/>
      <c r="BX95" s="3"/>
      <c r="BY95" s="3"/>
    </row>
    <row r="96" spans="1:77" ht="15">
      <c r="A96" s="68" t="s">
        <v>293</v>
      </c>
      <c r="B96" s="69"/>
      <c r="C96" s="69" t="s">
        <v>46</v>
      </c>
      <c r="D96" s="70"/>
      <c r="E96" s="72"/>
      <c r="F96" s="107" t="str">
        <f>HYPERLINK("http://pbs.twimg.com/profile_images/1289990719030071302/zcLDWyHe_normal.jpg")</f>
        <v>http://pbs.twimg.com/profile_images/1289990719030071302/zcLDWyHe_normal.jpg</v>
      </c>
      <c r="G96" s="69"/>
      <c r="H96" s="73" t="s">
        <v>293</v>
      </c>
      <c r="I96" s="74" t="s">
        <v>5210</v>
      </c>
      <c r="J96" s="74" t="s">
        <v>73</v>
      </c>
      <c r="K96" s="73" t="s">
        <v>2389</v>
      </c>
      <c r="L96" s="77">
        <v>1</v>
      </c>
      <c r="M96" s="78">
        <v>406.191650390625</v>
      </c>
      <c r="N96" s="78">
        <v>5613.50146484375</v>
      </c>
      <c r="O96" s="79"/>
      <c r="P96" s="80"/>
      <c r="Q96" s="80"/>
      <c r="R96" s="93"/>
      <c r="S96" s="49">
        <v>0</v>
      </c>
      <c r="T96" s="49">
        <v>1</v>
      </c>
      <c r="U96" s="50">
        <v>0</v>
      </c>
      <c r="V96" s="50">
        <v>0.001555</v>
      </c>
      <c r="W96" s="50">
        <v>0.00022</v>
      </c>
      <c r="X96" s="50">
        <v>0.353312</v>
      </c>
      <c r="Y96" s="50">
        <v>0</v>
      </c>
      <c r="Z96" s="50">
        <v>0</v>
      </c>
      <c r="AA96" s="75">
        <v>96</v>
      </c>
      <c r="AB96" s="75"/>
      <c r="AC96" s="76"/>
      <c r="AD96" s="83" t="s">
        <v>1641</v>
      </c>
      <c r="AE96" s="91" t="s">
        <v>1849</v>
      </c>
      <c r="AF96" s="83">
        <v>18</v>
      </c>
      <c r="AG96" s="83">
        <v>5179</v>
      </c>
      <c r="AH96" s="83">
        <v>20995</v>
      </c>
      <c r="AI96" s="83">
        <v>25372</v>
      </c>
      <c r="AJ96" s="83"/>
      <c r="AK96" s="83" t="s">
        <v>2056</v>
      </c>
      <c r="AL96" s="83" t="s">
        <v>2228</v>
      </c>
      <c r="AM96" s="88" t="str">
        <f>HYPERLINK("https://t.co/oWGo71XmOy")</f>
        <v>https://t.co/oWGo71XmOy</v>
      </c>
      <c r="AN96" s="83"/>
      <c r="AO96" s="85">
        <v>39979.97215277778</v>
      </c>
      <c r="AP96" s="88" t="str">
        <f>HYPERLINK("https://pbs.twimg.com/profile_banners/47476168/1587639741")</f>
        <v>https://pbs.twimg.com/profile_banners/47476168/1587639741</v>
      </c>
      <c r="AQ96" s="83" t="b">
        <v>0</v>
      </c>
      <c r="AR96" s="83" t="b">
        <v>0</v>
      </c>
      <c r="AS96" s="83" t="b">
        <v>1</v>
      </c>
      <c r="AT96" s="83"/>
      <c r="AU96" s="83">
        <v>80</v>
      </c>
      <c r="AV96" s="88" t="str">
        <f>HYPERLINK("http://abs.twimg.com/images/themes/theme1/bg.png")</f>
        <v>http://abs.twimg.com/images/themes/theme1/bg.png</v>
      </c>
      <c r="AW96" s="83" t="b">
        <v>0</v>
      </c>
      <c r="AX96" s="83" t="s">
        <v>2296</v>
      </c>
      <c r="AY96" s="88" t="str">
        <f>HYPERLINK("https://twitter.com/hustle2015")</f>
        <v>https://twitter.com/hustle2015</v>
      </c>
      <c r="AZ96" s="83" t="s">
        <v>66</v>
      </c>
      <c r="BA96" s="83" t="str">
        <f>REPLACE(INDEX(GroupVertices[Group],MATCH(Vertices[[#This Row],[Vertex]],GroupVertices[Vertex],0)),1,1,"")</f>
        <v>1</v>
      </c>
      <c r="BB96" s="49">
        <v>0</v>
      </c>
      <c r="BC96" s="50">
        <v>0</v>
      </c>
      <c r="BD96" s="49">
        <v>0</v>
      </c>
      <c r="BE96" s="50">
        <v>0</v>
      </c>
      <c r="BF96" s="49">
        <v>0</v>
      </c>
      <c r="BG96" s="50">
        <v>0</v>
      </c>
      <c r="BH96" s="49">
        <v>31</v>
      </c>
      <c r="BI96" s="50">
        <v>100</v>
      </c>
      <c r="BJ96" s="49">
        <v>31</v>
      </c>
      <c r="BK96" s="49"/>
      <c r="BL96" s="49"/>
      <c r="BM96" s="49"/>
      <c r="BN96" s="49"/>
      <c r="BO96" s="49" t="s">
        <v>4894</v>
      </c>
      <c r="BP96" s="49" t="s">
        <v>4894</v>
      </c>
      <c r="BQ96" s="119" t="s">
        <v>5006</v>
      </c>
      <c r="BR96" s="119" t="s">
        <v>5006</v>
      </c>
      <c r="BS96" s="119" t="s">
        <v>5139</v>
      </c>
      <c r="BT96" s="119" t="s">
        <v>5139</v>
      </c>
      <c r="BU96" s="2"/>
      <c r="BV96" s="3"/>
      <c r="BW96" s="3"/>
      <c r="BX96" s="3"/>
      <c r="BY96" s="3"/>
    </row>
    <row r="97" spans="1:77" ht="15">
      <c r="A97" s="68" t="s">
        <v>294</v>
      </c>
      <c r="B97" s="69"/>
      <c r="C97" s="69" t="s">
        <v>46</v>
      </c>
      <c r="D97" s="70"/>
      <c r="E97" s="72"/>
      <c r="F97" s="107" t="str">
        <f>HYPERLINK("http://pbs.twimg.com/profile_images/1303640832747212800/V13TFkwe_normal.jpg")</f>
        <v>http://pbs.twimg.com/profile_images/1303640832747212800/V13TFkwe_normal.jpg</v>
      </c>
      <c r="G97" s="69"/>
      <c r="H97" s="73" t="s">
        <v>294</v>
      </c>
      <c r="I97" s="74" t="s">
        <v>5210</v>
      </c>
      <c r="J97" s="74" t="s">
        <v>73</v>
      </c>
      <c r="K97" s="73" t="s">
        <v>2390</v>
      </c>
      <c r="L97" s="77">
        <v>1</v>
      </c>
      <c r="M97" s="78">
        <v>1004.445068359375</v>
      </c>
      <c r="N97" s="78">
        <v>9482.1767578125</v>
      </c>
      <c r="O97" s="79"/>
      <c r="P97" s="80"/>
      <c r="Q97" s="80"/>
      <c r="R97" s="93"/>
      <c r="S97" s="49">
        <v>0</v>
      </c>
      <c r="T97" s="49">
        <v>1</v>
      </c>
      <c r="U97" s="50">
        <v>0</v>
      </c>
      <c r="V97" s="50">
        <v>0.001555</v>
      </c>
      <c r="W97" s="50">
        <v>0.00022</v>
      </c>
      <c r="X97" s="50">
        <v>0.353312</v>
      </c>
      <c r="Y97" s="50">
        <v>0</v>
      </c>
      <c r="Z97" s="50">
        <v>0</v>
      </c>
      <c r="AA97" s="75">
        <v>97</v>
      </c>
      <c r="AB97" s="75"/>
      <c r="AC97" s="76"/>
      <c r="AD97" s="83" t="s">
        <v>1642</v>
      </c>
      <c r="AE97" s="91" t="s">
        <v>1850</v>
      </c>
      <c r="AF97" s="83">
        <v>267</v>
      </c>
      <c r="AG97" s="83">
        <v>88</v>
      </c>
      <c r="AH97" s="83">
        <v>1451</v>
      </c>
      <c r="AI97" s="83">
        <v>2425</v>
      </c>
      <c r="AJ97" s="83"/>
      <c r="AK97" s="83" t="s">
        <v>2057</v>
      </c>
      <c r="AL97" s="83"/>
      <c r="AM97" s="83"/>
      <c r="AN97" s="83"/>
      <c r="AO97" s="85">
        <v>43931.47366898148</v>
      </c>
      <c r="AP97" s="88" t="str">
        <f>HYPERLINK("https://pbs.twimg.com/profile_banners/1248571917096943616/1599647201")</f>
        <v>https://pbs.twimg.com/profile_banners/1248571917096943616/1599647201</v>
      </c>
      <c r="AQ97" s="83" t="b">
        <v>1</v>
      </c>
      <c r="AR97" s="83" t="b">
        <v>0</v>
      </c>
      <c r="AS97" s="83" t="b">
        <v>0</v>
      </c>
      <c r="AT97" s="83"/>
      <c r="AU97" s="83">
        <v>0</v>
      </c>
      <c r="AV97" s="83"/>
      <c r="AW97" s="83" t="b">
        <v>0</v>
      </c>
      <c r="AX97" s="83" t="s">
        <v>2296</v>
      </c>
      <c r="AY97" s="88" t="str">
        <f>HYPERLINK("https://twitter.com/americaasians")</f>
        <v>https://twitter.com/americaasians</v>
      </c>
      <c r="AZ97" s="83" t="s">
        <v>66</v>
      </c>
      <c r="BA97" s="83" t="str">
        <f>REPLACE(INDEX(GroupVertices[Group],MATCH(Vertices[[#This Row],[Vertex]],GroupVertices[Vertex],0)),1,1,"")</f>
        <v>1</v>
      </c>
      <c r="BB97" s="49">
        <v>0</v>
      </c>
      <c r="BC97" s="50">
        <v>0</v>
      </c>
      <c r="BD97" s="49">
        <v>0</v>
      </c>
      <c r="BE97" s="50">
        <v>0</v>
      </c>
      <c r="BF97" s="49">
        <v>0</v>
      </c>
      <c r="BG97" s="50">
        <v>0</v>
      </c>
      <c r="BH97" s="49">
        <v>31</v>
      </c>
      <c r="BI97" s="50">
        <v>100</v>
      </c>
      <c r="BJ97" s="49">
        <v>31</v>
      </c>
      <c r="BK97" s="49"/>
      <c r="BL97" s="49"/>
      <c r="BM97" s="49"/>
      <c r="BN97" s="49"/>
      <c r="BO97" s="49" t="s">
        <v>4894</v>
      </c>
      <c r="BP97" s="49" t="s">
        <v>4894</v>
      </c>
      <c r="BQ97" s="119" t="s">
        <v>5006</v>
      </c>
      <c r="BR97" s="119" t="s">
        <v>5006</v>
      </c>
      <c r="BS97" s="119" t="s">
        <v>5139</v>
      </c>
      <c r="BT97" s="119" t="s">
        <v>5139</v>
      </c>
      <c r="BU97" s="2"/>
      <c r="BV97" s="3"/>
      <c r="BW97" s="3"/>
      <c r="BX97" s="3"/>
      <c r="BY97" s="3"/>
    </row>
    <row r="98" spans="1:77" ht="15">
      <c r="A98" s="68" t="s">
        <v>295</v>
      </c>
      <c r="B98" s="69"/>
      <c r="C98" s="69" t="s">
        <v>46</v>
      </c>
      <c r="D98" s="70"/>
      <c r="E98" s="72"/>
      <c r="F98" s="107" t="str">
        <f>HYPERLINK("http://abs.twimg.com/sticky/default_profile_images/default_profile_normal.png")</f>
        <v>http://abs.twimg.com/sticky/default_profile_images/default_profile_normal.png</v>
      </c>
      <c r="G98" s="69"/>
      <c r="H98" s="73" t="s">
        <v>295</v>
      </c>
      <c r="I98" s="74" t="s">
        <v>5210</v>
      </c>
      <c r="J98" s="74" t="s">
        <v>73</v>
      </c>
      <c r="K98" s="73" t="s">
        <v>2391</v>
      </c>
      <c r="L98" s="77">
        <v>1</v>
      </c>
      <c r="M98" s="78">
        <v>2200.52001953125</v>
      </c>
      <c r="N98" s="78">
        <v>8848.9853515625</v>
      </c>
      <c r="O98" s="79"/>
      <c r="P98" s="80"/>
      <c r="Q98" s="80"/>
      <c r="R98" s="93"/>
      <c r="S98" s="49">
        <v>0</v>
      </c>
      <c r="T98" s="49">
        <v>1</v>
      </c>
      <c r="U98" s="50">
        <v>0</v>
      </c>
      <c r="V98" s="50">
        <v>0.001555</v>
      </c>
      <c r="W98" s="50">
        <v>0.00022</v>
      </c>
      <c r="X98" s="50">
        <v>0.353312</v>
      </c>
      <c r="Y98" s="50">
        <v>0</v>
      </c>
      <c r="Z98" s="50">
        <v>0</v>
      </c>
      <c r="AA98" s="75">
        <v>98</v>
      </c>
      <c r="AB98" s="75"/>
      <c r="AC98" s="76"/>
      <c r="AD98" s="83" t="s">
        <v>1643</v>
      </c>
      <c r="AE98" s="91" t="s">
        <v>1851</v>
      </c>
      <c r="AF98" s="83">
        <v>0</v>
      </c>
      <c r="AG98" s="83">
        <v>8</v>
      </c>
      <c r="AH98" s="83">
        <v>3247</v>
      </c>
      <c r="AI98" s="83">
        <v>570</v>
      </c>
      <c r="AJ98" s="83"/>
      <c r="AK98" s="83"/>
      <c r="AL98" s="83"/>
      <c r="AM98" s="83"/>
      <c r="AN98" s="83"/>
      <c r="AO98" s="85">
        <v>44071.05578703704</v>
      </c>
      <c r="AP98" s="83"/>
      <c r="AQ98" s="83" t="b">
        <v>1</v>
      </c>
      <c r="AR98" s="83" t="b">
        <v>1</v>
      </c>
      <c r="AS98" s="83" t="b">
        <v>0</v>
      </c>
      <c r="AT98" s="83"/>
      <c r="AU98" s="83">
        <v>0</v>
      </c>
      <c r="AV98" s="83"/>
      <c r="AW98" s="83" t="b">
        <v>0</v>
      </c>
      <c r="AX98" s="83" t="s">
        <v>2296</v>
      </c>
      <c r="AY98" s="88" t="str">
        <f>HYPERLINK("https://twitter.com/retweetburner")</f>
        <v>https://twitter.com/retweetburner</v>
      </c>
      <c r="AZ98" s="83" t="s">
        <v>66</v>
      </c>
      <c r="BA98" s="83" t="str">
        <f>REPLACE(INDEX(GroupVertices[Group],MATCH(Vertices[[#This Row],[Vertex]],GroupVertices[Vertex],0)),1,1,"")</f>
        <v>1</v>
      </c>
      <c r="BB98" s="49">
        <v>0</v>
      </c>
      <c r="BC98" s="50">
        <v>0</v>
      </c>
      <c r="BD98" s="49">
        <v>0</v>
      </c>
      <c r="BE98" s="50">
        <v>0</v>
      </c>
      <c r="BF98" s="49">
        <v>0</v>
      </c>
      <c r="BG98" s="50">
        <v>0</v>
      </c>
      <c r="BH98" s="49">
        <v>31</v>
      </c>
      <c r="BI98" s="50">
        <v>100</v>
      </c>
      <c r="BJ98" s="49">
        <v>31</v>
      </c>
      <c r="BK98" s="49"/>
      <c r="BL98" s="49"/>
      <c r="BM98" s="49"/>
      <c r="BN98" s="49"/>
      <c r="BO98" s="49" t="s">
        <v>4894</v>
      </c>
      <c r="BP98" s="49" t="s">
        <v>4894</v>
      </c>
      <c r="BQ98" s="119" t="s">
        <v>5006</v>
      </c>
      <c r="BR98" s="119" t="s">
        <v>5006</v>
      </c>
      <c r="BS98" s="119" t="s">
        <v>5139</v>
      </c>
      <c r="BT98" s="119" t="s">
        <v>5139</v>
      </c>
      <c r="BU98" s="2"/>
      <c r="BV98" s="3"/>
      <c r="BW98" s="3"/>
      <c r="BX98" s="3"/>
      <c r="BY98" s="3"/>
    </row>
    <row r="99" spans="1:77" ht="15">
      <c r="A99" s="68" t="s">
        <v>296</v>
      </c>
      <c r="B99" s="69"/>
      <c r="C99" s="69" t="s">
        <v>46</v>
      </c>
      <c r="D99" s="70"/>
      <c r="E99" s="72"/>
      <c r="F99" s="107" t="str">
        <f>HYPERLINK("http://pbs.twimg.com/profile_images/1287937263913984000/o42_gxAd_normal.jpg")</f>
        <v>http://pbs.twimg.com/profile_images/1287937263913984000/o42_gxAd_normal.jpg</v>
      </c>
      <c r="G99" s="69"/>
      <c r="H99" s="73" t="s">
        <v>296</v>
      </c>
      <c r="I99" s="74" t="s">
        <v>5215</v>
      </c>
      <c r="J99" s="74" t="s">
        <v>73</v>
      </c>
      <c r="K99" s="73" t="s">
        <v>2392</v>
      </c>
      <c r="L99" s="77">
        <v>1</v>
      </c>
      <c r="M99" s="78">
        <v>8948.48828125</v>
      </c>
      <c r="N99" s="78">
        <v>9135.4296875</v>
      </c>
      <c r="O99" s="79"/>
      <c r="P99" s="80"/>
      <c r="Q99" s="80"/>
      <c r="R99" s="93"/>
      <c r="S99" s="49">
        <v>0</v>
      </c>
      <c r="T99" s="49">
        <v>3</v>
      </c>
      <c r="U99" s="50">
        <v>363.081249</v>
      </c>
      <c r="V99" s="50">
        <v>0.001629</v>
      </c>
      <c r="W99" s="50">
        <v>0.000565</v>
      </c>
      <c r="X99" s="50">
        <v>0.812337</v>
      </c>
      <c r="Y99" s="50">
        <v>0</v>
      </c>
      <c r="Z99" s="50">
        <v>0</v>
      </c>
      <c r="AA99" s="75">
        <v>99</v>
      </c>
      <c r="AB99" s="75"/>
      <c r="AC99" s="76"/>
      <c r="AD99" s="83" t="s">
        <v>1644</v>
      </c>
      <c r="AE99" s="91" t="s">
        <v>1852</v>
      </c>
      <c r="AF99" s="83">
        <v>1</v>
      </c>
      <c r="AG99" s="83">
        <v>185</v>
      </c>
      <c r="AH99" s="83">
        <v>23574</v>
      </c>
      <c r="AI99" s="83">
        <v>1270</v>
      </c>
      <c r="AJ99" s="83"/>
      <c r="AK99" s="83" t="s">
        <v>2058</v>
      </c>
      <c r="AL99" s="83"/>
      <c r="AM99" s="83"/>
      <c r="AN99" s="83"/>
      <c r="AO99" s="85">
        <v>44040.10034722222</v>
      </c>
      <c r="AP99" s="88" t="str">
        <f>HYPERLINK("https://pbs.twimg.com/profile_banners/1287936894441930752/1597839405")</f>
        <v>https://pbs.twimg.com/profile_banners/1287936894441930752/1597839405</v>
      </c>
      <c r="AQ99" s="83" t="b">
        <v>1</v>
      </c>
      <c r="AR99" s="83" t="b">
        <v>0</v>
      </c>
      <c r="AS99" s="83" t="b">
        <v>0</v>
      </c>
      <c r="AT99" s="83"/>
      <c r="AU99" s="83">
        <v>7</v>
      </c>
      <c r="AV99" s="83"/>
      <c r="AW99" s="83" t="b">
        <v>0</v>
      </c>
      <c r="AX99" s="83" t="s">
        <v>2296</v>
      </c>
      <c r="AY99" s="88" t="str">
        <f>HYPERLINK("https://twitter.com/algorithmsb")</f>
        <v>https://twitter.com/algorithmsb</v>
      </c>
      <c r="AZ99" s="83" t="s">
        <v>66</v>
      </c>
      <c r="BA99" s="83" t="str">
        <f>REPLACE(INDEX(GroupVertices[Group],MATCH(Vertices[[#This Row],[Vertex]],GroupVertices[Vertex],0)),1,1,"")</f>
        <v>5</v>
      </c>
      <c r="BB99" s="49">
        <v>0</v>
      </c>
      <c r="BC99" s="50">
        <v>0</v>
      </c>
      <c r="BD99" s="49">
        <v>0</v>
      </c>
      <c r="BE99" s="50">
        <v>0</v>
      </c>
      <c r="BF99" s="49">
        <v>0</v>
      </c>
      <c r="BG99" s="50">
        <v>0</v>
      </c>
      <c r="BH99" s="49">
        <v>118</v>
      </c>
      <c r="BI99" s="50">
        <v>100</v>
      </c>
      <c r="BJ99" s="49">
        <v>118</v>
      </c>
      <c r="BK99" s="49" t="s">
        <v>4813</v>
      </c>
      <c r="BL99" s="49" t="s">
        <v>4813</v>
      </c>
      <c r="BM99" s="49" t="s">
        <v>4852</v>
      </c>
      <c r="BN99" s="49" t="s">
        <v>4852</v>
      </c>
      <c r="BO99" s="49" t="s">
        <v>4901</v>
      </c>
      <c r="BP99" s="49" t="s">
        <v>4945</v>
      </c>
      <c r="BQ99" s="119" t="s">
        <v>5007</v>
      </c>
      <c r="BR99" s="119" t="s">
        <v>5077</v>
      </c>
      <c r="BS99" s="119" t="s">
        <v>5140</v>
      </c>
      <c r="BT99" s="119" t="s">
        <v>5126</v>
      </c>
      <c r="BU99" s="2"/>
      <c r="BV99" s="3"/>
      <c r="BW99" s="3"/>
      <c r="BX99" s="3"/>
      <c r="BY99" s="3"/>
    </row>
    <row r="100" spans="1:77" ht="15">
      <c r="A100" s="68" t="s">
        <v>297</v>
      </c>
      <c r="B100" s="69"/>
      <c r="C100" s="69" t="s">
        <v>46</v>
      </c>
      <c r="D100" s="70">
        <v>10</v>
      </c>
      <c r="E100" s="72"/>
      <c r="F100" s="107" t="str">
        <f>HYPERLINK("http://pbs.twimg.com/profile_images/1224352021534240769/VAw8_geV_normal.jpg")</f>
        <v>http://pbs.twimg.com/profile_images/1224352021534240769/VAw8_geV_normal.jpg</v>
      </c>
      <c r="G100" s="69"/>
      <c r="H100" s="73" t="s">
        <v>297</v>
      </c>
      <c r="I100" s="74" t="s">
        <v>5218</v>
      </c>
      <c r="J100" s="74" t="s">
        <v>73</v>
      </c>
      <c r="K100" s="73" t="s">
        <v>2393</v>
      </c>
      <c r="L100" s="77">
        <v>323.51612903225805</v>
      </c>
      <c r="M100" s="78"/>
      <c r="N100" s="78"/>
      <c r="O100" s="79"/>
      <c r="P100" s="80"/>
      <c r="Q100" s="80"/>
      <c r="R100" s="93"/>
      <c r="S100" s="49">
        <v>1</v>
      </c>
      <c r="T100" s="49">
        <v>1</v>
      </c>
      <c r="U100" s="50">
        <v>0</v>
      </c>
      <c r="V100" s="50">
        <v>0</v>
      </c>
      <c r="W100" s="50">
        <v>0</v>
      </c>
      <c r="X100" s="50">
        <v>0.999997</v>
      </c>
      <c r="Y100" s="50">
        <v>0</v>
      </c>
      <c r="Z100" s="50">
        <v>0</v>
      </c>
      <c r="AA100" s="75">
        <v>100</v>
      </c>
      <c r="AB100" s="75"/>
      <c r="AC100" s="76"/>
      <c r="AD100" s="83" t="s">
        <v>1645</v>
      </c>
      <c r="AE100" s="91" t="s">
        <v>1853</v>
      </c>
      <c r="AF100" s="83">
        <v>102</v>
      </c>
      <c r="AG100" s="83">
        <v>40</v>
      </c>
      <c r="AH100" s="83">
        <v>637</v>
      </c>
      <c r="AI100" s="83">
        <v>29</v>
      </c>
      <c r="AJ100" s="83"/>
      <c r="AK100" s="83" t="s">
        <v>2059</v>
      </c>
      <c r="AL100" s="83" t="s">
        <v>2229</v>
      </c>
      <c r="AM100" s="88" t="str">
        <f>HYPERLINK("https://t.co/4ldXkye59b")</f>
        <v>https://t.co/4ldXkye59b</v>
      </c>
      <c r="AN100" s="83"/>
      <c r="AO100" s="85">
        <v>42227.86856481482</v>
      </c>
      <c r="AP100" s="88" t="str">
        <f>HYPERLINK("https://pbs.twimg.com/profile_banners/3312785371/1580743195")</f>
        <v>https://pbs.twimg.com/profile_banners/3312785371/1580743195</v>
      </c>
      <c r="AQ100" s="83" t="b">
        <v>1</v>
      </c>
      <c r="AR100" s="83" t="b">
        <v>0</v>
      </c>
      <c r="AS100" s="83" t="b">
        <v>1</v>
      </c>
      <c r="AT100" s="83"/>
      <c r="AU100" s="83">
        <v>0</v>
      </c>
      <c r="AV100" s="88" t="str">
        <f>HYPERLINK("http://abs.twimg.com/images/themes/theme1/bg.png")</f>
        <v>http://abs.twimg.com/images/themes/theme1/bg.png</v>
      </c>
      <c r="AW100" s="83" t="b">
        <v>0</v>
      </c>
      <c r="AX100" s="83" t="s">
        <v>2296</v>
      </c>
      <c r="AY100" s="88" t="str">
        <f>HYPERLINK("https://twitter.com/innovateod")</f>
        <v>https://twitter.com/innovateod</v>
      </c>
      <c r="AZ100" s="83" t="s">
        <v>66</v>
      </c>
      <c r="BA100" s="83" t="str">
        <f>REPLACE(INDEX(GroupVertices[Group],MATCH(Vertices[[#This Row],[Vertex]],GroupVertices[Vertex],0)),1,1,"")</f>
        <v>6</v>
      </c>
      <c r="BB100" s="49">
        <v>0</v>
      </c>
      <c r="BC100" s="50">
        <v>0</v>
      </c>
      <c r="BD100" s="49">
        <v>0</v>
      </c>
      <c r="BE100" s="50">
        <v>0</v>
      </c>
      <c r="BF100" s="49">
        <v>0</v>
      </c>
      <c r="BG100" s="50">
        <v>0</v>
      </c>
      <c r="BH100" s="49">
        <v>19</v>
      </c>
      <c r="BI100" s="50">
        <v>100</v>
      </c>
      <c r="BJ100" s="49">
        <v>19</v>
      </c>
      <c r="BK100" s="49" t="s">
        <v>4490</v>
      </c>
      <c r="BL100" s="49" t="s">
        <v>4490</v>
      </c>
      <c r="BM100" s="49" t="s">
        <v>546</v>
      </c>
      <c r="BN100" s="49" t="s">
        <v>546</v>
      </c>
      <c r="BO100" s="49" t="s">
        <v>592</v>
      </c>
      <c r="BP100" s="49" t="s">
        <v>592</v>
      </c>
      <c r="BQ100" s="119" t="s">
        <v>5008</v>
      </c>
      <c r="BR100" s="119" t="s">
        <v>5008</v>
      </c>
      <c r="BS100" s="119" t="s">
        <v>5141</v>
      </c>
      <c r="BT100" s="119" t="s">
        <v>5141</v>
      </c>
      <c r="BU100" s="2"/>
      <c r="BV100" s="3"/>
      <c r="BW100" s="3"/>
      <c r="BX100" s="3"/>
      <c r="BY100" s="3"/>
    </row>
    <row r="101" spans="1:77" ht="15">
      <c r="A101" s="68" t="s">
        <v>298</v>
      </c>
      <c r="B101" s="69"/>
      <c r="C101" s="69" t="s">
        <v>46</v>
      </c>
      <c r="D101" s="70"/>
      <c r="E101" s="72"/>
      <c r="F101" s="107" t="str">
        <f>HYPERLINK("http://pbs.twimg.com/profile_images/1281978210192744449/qMQFGMwB_normal.jpg")</f>
        <v>http://pbs.twimg.com/profile_images/1281978210192744449/qMQFGMwB_normal.jpg</v>
      </c>
      <c r="G101" s="69"/>
      <c r="H101" s="73" t="s">
        <v>298</v>
      </c>
      <c r="I101" s="74" t="s">
        <v>5225</v>
      </c>
      <c r="J101" s="74" t="s">
        <v>73</v>
      </c>
      <c r="K101" s="73" t="s">
        <v>2394</v>
      </c>
      <c r="L101" s="77">
        <v>1</v>
      </c>
      <c r="M101" s="78">
        <v>7924.73095703125</v>
      </c>
      <c r="N101" s="78">
        <v>224.20582580566406</v>
      </c>
      <c r="O101" s="79"/>
      <c r="P101" s="80"/>
      <c r="Q101" s="80"/>
      <c r="R101" s="93"/>
      <c r="S101" s="49">
        <v>0</v>
      </c>
      <c r="T101" s="49">
        <v>2</v>
      </c>
      <c r="U101" s="50">
        <v>720</v>
      </c>
      <c r="V101" s="50">
        <v>0.001565</v>
      </c>
      <c r="W101" s="50">
        <v>0.000221</v>
      </c>
      <c r="X101" s="50">
        <v>0.694234</v>
      </c>
      <c r="Y101" s="50">
        <v>0</v>
      </c>
      <c r="Z101" s="50">
        <v>0</v>
      </c>
      <c r="AA101" s="75">
        <v>101</v>
      </c>
      <c r="AB101" s="75"/>
      <c r="AC101" s="76"/>
      <c r="AD101" s="83" t="s">
        <v>1646</v>
      </c>
      <c r="AE101" s="91" t="s">
        <v>1854</v>
      </c>
      <c r="AF101" s="83">
        <v>13</v>
      </c>
      <c r="AG101" s="83">
        <v>22</v>
      </c>
      <c r="AH101" s="83">
        <v>12339</v>
      </c>
      <c r="AI101" s="83">
        <v>12234</v>
      </c>
      <c r="AJ101" s="83"/>
      <c r="AK101" s="83" t="s">
        <v>2060</v>
      </c>
      <c r="AL101" s="83"/>
      <c r="AM101" s="88" t="str">
        <f>HYPERLINK("https://t.co/2By0SMLECQ")</f>
        <v>https://t.co/2By0SMLECQ</v>
      </c>
      <c r="AN101" s="83"/>
      <c r="AO101" s="85">
        <v>44020.781180555554</v>
      </c>
      <c r="AP101" s="88" t="str">
        <f>HYPERLINK("https://pbs.twimg.com/profile_banners/1280935835789975553/1594482401")</f>
        <v>https://pbs.twimg.com/profile_banners/1280935835789975553/1594482401</v>
      </c>
      <c r="AQ101" s="83" t="b">
        <v>1</v>
      </c>
      <c r="AR101" s="83" t="b">
        <v>0</v>
      </c>
      <c r="AS101" s="83" t="b">
        <v>0</v>
      </c>
      <c r="AT101" s="83"/>
      <c r="AU101" s="83">
        <v>0</v>
      </c>
      <c r="AV101" s="83"/>
      <c r="AW101" s="83" t="b">
        <v>0</v>
      </c>
      <c r="AX101" s="83" t="s">
        <v>2296</v>
      </c>
      <c r="AY101" s="88" t="str">
        <f>HYPERLINK("https://twitter.com/advanceml")</f>
        <v>https://twitter.com/advanceml</v>
      </c>
      <c r="AZ101" s="83" t="s">
        <v>66</v>
      </c>
      <c r="BA101" s="83" t="str">
        <f>REPLACE(INDEX(GroupVertices[Group],MATCH(Vertices[[#This Row],[Vertex]],GroupVertices[Vertex],0)),1,1,"")</f>
        <v>11</v>
      </c>
      <c r="BB101" s="49">
        <v>0</v>
      </c>
      <c r="BC101" s="50">
        <v>0</v>
      </c>
      <c r="BD101" s="49">
        <v>0</v>
      </c>
      <c r="BE101" s="50">
        <v>0</v>
      </c>
      <c r="BF101" s="49">
        <v>0</v>
      </c>
      <c r="BG101" s="50">
        <v>0</v>
      </c>
      <c r="BH101" s="49">
        <v>62</v>
      </c>
      <c r="BI101" s="50">
        <v>100</v>
      </c>
      <c r="BJ101" s="49">
        <v>62</v>
      </c>
      <c r="BK101" s="49" t="s">
        <v>4522</v>
      </c>
      <c r="BL101" s="49" t="s">
        <v>4522</v>
      </c>
      <c r="BM101" s="49" t="s">
        <v>546</v>
      </c>
      <c r="BN101" s="49" t="s">
        <v>546</v>
      </c>
      <c r="BO101" s="49" t="s">
        <v>4591</v>
      </c>
      <c r="BP101" s="49" t="s">
        <v>4946</v>
      </c>
      <c r="BQ101" s="119" t="s">
        <v>4617</v>
      </c>
      <c r="BR101" s="119" t="s">
        <v>5009</v>
      </c>
      <c r="BS101" s="119" t="s">
        <v>4736</v>
      </c>
      <c r="BT101" s="119" t="s">
        <v>4736</v>
      </c>
      <c r="BU101" s="2"/>
      <c r="BV101" s="3"/>
      <c r="BW101" s="3"/>
      <c r="BX101" s="3"/>
      <c r="BY101" s="3"/>
    </row>
    <row r="102" spans="1:77" ht="15">
      <c r="A102" s="68" t="s">
        <v>334</v>
      </c>
      <c r="B102" s="69"/>
      <c r="C102" s="69" t="s">
        <v>64</v>
      </c>
      <c r="D102" s="70">
        <v>411.6270323713908</v>
      </c>
      <c r="E102" s="72"/>
      <c r="F102" s="107" t="str">
        <f>HYPERLINK("http://pbs.twimg.com/profile_images/930476539220807681/uksBryWR_normal.jpg")</f>
        <v>http://pbs.twimg.com/profile_images/930476539220807681/uksBryWR_normal.jpg</v>
      </c>
      <c r="G102" s="69"/>
      <c r="H102" s="73" t="s">
        <v>334</v>
      </c>
      <c r="I102" s="74" t="s">
        <v>5225</v>
      </c>
      <c r="J102" s="74" t="s">
        <v>73</v>
      </c>
      <c r="K102" s="73" t="s">
        <v>2395</v>
      </c>
      <c r="L102" s="77">
        <v>968.5483870967741</v>
      </c>
      <c r="M102" s="78">
        <v>7471.130859375</v>
      </c>
      <c r="N102" s="78">
        <v>809.0632934570312</v>
      </c>
      <c r="O102" s="79"/>
      <c r="P102" s="80"/>
      <c r="Q102" s="80"/>
      <c r="R102" s="93"/>
      <c r="S102" s="49">
        <v>3</v>
      </c>
      <c r="T102" s="49">
        <v>1</v>
      </c>
      <c r="U102" s="50">
        <v>362</v>
      </c>
      <c r="V102" s="50">
        <v>0.001222</v>
      </c>
      <c r="W102" s="50">
        <v>1.6E-05</v>
      </c>
      <c r="X102" s="50">
        <v>1.203256</v>
      </c>
      <c r="Y102" s="50">
        <v>0</v>
      </c>
      <c r="Z102" s="50">
        <v>0</v>
      </c>
      <c r="AA102" s="75">
        <v>102</v>
      </c>
      <c r="AB102" s="75"/>
      <c r="AC102" s="76"/>
      <c r="AD102" s="83" t="s">
        <v>1647</v>
      </c>
      <c r="AE102" s="91" t="s">
        <v>1855</v>
      </c>
      <c r="AF102" s="83">
        <v>79</v>
      </c>
      <c r="AG102" s="83">
        <v>45</v>
      </c>
      <c r="AH102" s="83">
        <v>166</v>
      </c>
      <c r="AI102" s="83">
        <v>193</v>
      </c>
      <c r="AJ102" s="83"/>
      <c r="AK102" s="83" t="s">
        <v>2061</v>
      </c>
      <c r="AL102" s="83"/>
      <c r="AM102" s="83"/>
      <c r="AN102" s="83"/>
      <c r="AO102" s="85">
        <v>39879.124976851854</v>
      </c>
      <c r="AP102" s="83"/>
      <c r="AQ102" s="83" t="b">
        <v>1</v>
      </c>
      <c r="AR102" s="83" t="b">
        <v>0</v>
      </c>
      <c r="AS102" s="83" t="b">
        <v>0</v>
      </c>
      <c r="AT102" s="83"/>
      <c r="AU102" s="83">
        <v>3</v>
      </c>
      <c r="AV102" s="88" t="str">
        <f>HYPERLINK("http://abs.twimg.com/images/themes/theme1/bg.png")</f>
        <v>http://abs.twimg.com/images/themes/theme1/bg.png</v>
      </c>
      <c r="AW102" s="83" t="b">
        <v>0</v>
      </c>
      <c r="AX102" s="83" t="s">
        <v>2296</v>
      </c>
      <c r="AY102" s="88" t="str">
        <f>HYPERLINK("https://twitter.com/jrbowling")</f>
        <v>https://twitter.com/jrbowling</v>
      </c>
      <c r="AZ102" s="83" t="s">
        <v>66</v>
      </c>
      <c r="BA102" s="83" t="str">
        <f>REPLACE(INDEX(GroupVertices[Group],MATCH(Vertices[[#This Row],[Vertex]],GroupVertices[Vertex],0)),1,1,"")</f>
        <v>11</v>
      </c>
      <c r="BB102" s="49">
        <v>0</v>
      </c>
      <c r="BC102" s="50">
        <v>0</v>
      </c>
      <c r="BD102" s="49">
        <v>0</v>
      </c>
      <c r="BE102" s="50">
        <v>0</v>
      </c>
      <c r="BF102" s="49">
        <v>0</v>
      </c>
      <c r="BG102" s="50">
        <v>0</v>
      </c>
      <c r="BH102" s="49">
        <v>32</v>
      </c>
      <c r="BI102" s="50">
        <v>100</v>
      </c>
      <c r="BJ102" s="49">
        <v>32</v>
      </c>
      <c r="BK102" s="49" t="s">
        <v>4522</v>
      </c>
      <c r="BL102" s="49" t="s">
        <v>4522</v>
      </c>
      <c r="BM102" s="49" t="s">
        <v>546</v>
      </c>
      <c r="BN102" s="49" t="s">
        <v>546</v>
      </c>
      <c r="BO102" s="49" t="s">
        <v>593</v>
      </c>
      <c r="BP102" s="49" t="s">
        <v>593</v>
      </c>
      <c r="BQ102" s="119" t="s">
        <v>5009</v>
      </c>
      <c r="BR102" s="119" t="s">
        <v>5009</v>
      </c>
      <c r="BS102" s="119" t="s">
        <v>4736</v>
      </c>
      <c r="BT102" s="119" t="s">
        <v>4736</v>
      </c>
      <c r="BU102" s="2"/>
      <c r="BV102" s="3"/>
      <c r="BW102" s="3"/>
      <c r="BX102" s="3"/>
      <c r="BY102" s="3"/>
    </row>
    <row r="103" spans="1:77" ht="15">
      <c r="A103" s="68" t="s">
        <v>299</v>
      </c>
      <c r="B103" s="69"/>
      <c r="C103" s="69" t="s">
        <v>64</v>
      </c>
      <c r="D103" s="70">
        <v>263.3984445617174</v>
      </c>
      <c r="E103" s="72"/>
      <c r="F103" s="107" t="str">
        <f>HYPERLINK("http://pbs.twimg.com/profile_images/1043519973308739590/OHZ16run_normal.jpg")</f>
        <v>http://pbs.twimg.com/profile_images/1043519973308739590/OHZ16run_normal.jpg</v>
      </c>
      <c r="G103" s="69"/>
      <c r="H103" s="73" t="s">
        <v>299</v>
      </c>
      <c r="I103" s="74" t="s">
        <v>5226</v>
      </c>
      <c r="J103" s="74" t="s">
        <v>73</v>
      </c>
      <c r="K103" s="73" t="s">
        <v>2396</v>
      </c>
      <c r="L103" s="77">
        <v>646.0322580645161</v>
      </c>
      <c r="M103" s="78">
        <v>9453.791015625</v>
      </c>
      <c r="N103" s="78">
        <v>277.4612121582031</v>
      </c>
      <c r="O103" s="79"/>
      <c r="P103" s="80"/>
      <c r="Q103" s="80"/>
      <c r="R103" s="93"/>
      <c r="S103" s="49">
        <v>2</v>
      </c>
      <c r="T103" s="49">
        <v>1</v>
      </c>
      <c r="U103" s="50">
        <v>0</v>
      </c>
      <c r="V103" s="50">
        <v>1</v>
      </c>
      <c r="W103" s="50">
        <v>0</v>
      </c>
      <c r="X103" s="50">
        <v>1.298242</v>
      </c>
      <c r="Y103" s="50">
        <v>0</v>
      </c>
      <c r="Z103" s="50">
        <v>0</v>
      </c>
      <c r="AA103" s="75">
        <v>103</v>
      </c>
      <c r="AB103" s="75"/>
      <c r="AC103" s="76"/>
      <c r="AD103" s="83" t="s">
        <v>1648</v>
      </c>
      <c r="AE103" s="91" t="s">
        <v>1856</v>
      </c>
      <c r="AF103" s="83">
        <v>233</v>
      </c>
      <c r="AG103" s="83">
        <v>200</v>
      </c>
      <c r="AH103" s="83">
        <v>744</v>
      </c>
      <c r="AI103" s="83">
        <v>1750</v>
      </c>
      <c r="AJ103" s="83"/>
      <c r="AK103" s="83" t="s">
        <v>2062</v>
      </c>
      <c r="AL103" s="83" t="s">
        <v>2230</v>
      </c>
      <c r="AM103" s="83"/>
      <c r="AN103" s="83"/>
      <c r="AO103" s="85">
        <v>41492.90304398148</v>
      </c>
      <c r="AP103" s="88" t="str">
        <f>HYPERLINK("https://pbs.twimg.com/profile_banners/1651276428/1452195801")</f>
        <v>https://pbs.twimg.com/profile_banners/1651276428/1452195801</v>
      </c>
      <c r="AQ103" s="83" t="b">
        <v>0</v>
      </c>
      <c r="AR103" s="83" t="b">
        <v>0</v>
      </c>
      <c r="AS103" s="83" t="b">
        <v>1</v>
      </c>
      <c r="AT103" s="83"/>
      <c r="AU103" s="83">
        <v>6</v>
      </c>
      <c r="AV103" s="88" t="str">
        <f>HYPERLINK("http://abs.twimg.com/images/themes/theme1/bg.png")</f>
        <v>http://abs.twimg.com/images/themes/theme1/bg.png</v>
      </c>
      <c r="AW103" s="83" t="b">
        <v>0</v>
      </c>
      <c r="AX103" s="83" t="s">
        <v>2296</v>
      </c>
      <c r="AY103" s="88" t="str">
        <f>HYPERLINK("https://twitter.com/wwrandazzo")</f>
        <v>https://twitter.com/wwrandazzo</v>
      </c>
      <c r="AZ103" s="83" t="s">
        <v>66</v>
      </c>
      <c r="BA103" s="83" t="str">
        <f>REPLACE(INDEX(GroupVertices[Group],MATCH(Vertices[[#This Row],[Vertex]],GroupVertices[Vertex],0)),1,1,"")</f>
        <v>16</v>
      </c>
      <c r="BB103" s="49">
        <v>0</v>
      </c>
      <c r="BC103" s="50">
        <v>0</v>
      </c>
      <c r="BD103" s="49">
        <v>0</v>
      </c>
      <c r="BE103" s="50">
        <v>0</v>
      </c>
      <c r="BF103" s="49">
        <v>0</v>
      </c>
      <c r="BG103" s="50">
        <v>0</v>
      </c>
      <c r="BH103" s="49">
        <v>52</v>
      </c>
      <c r="BI103" s="50">
        <v>100</v>
      </c>
      <c r="BJ103" s="49">
        <v>52</v>
      </c>
      <c r="BK103" s="49"/>
      <c r="BL103" s="49"/>
      <c r="BM103" s="49"/>
      <c r="BN103" s="49"/>
      <c r="BO103" s="49" t="s">
        <v>594</v>
      </c>
      <c r="BP103" s="49" t="s">
        <v>594</v>
      </c>
      <c r="BQ103" s="119" t="s">
        <v>4622</v>
      </c>
      <c r="BR103" s="119" t="s">
        <v>4622</v>
      </c>
      <c r="BS103" s="119" t="s">
        <v>4741</v>
      </c>
      <c r="BT103" s="119" t="s">
        <v>4741</v>
      </c>
      <c r="BU103" s="2"/>
      <c r="BV103" s="3"/>
      <c r="BW103" s="3"/>
      <c r="BX103" s="3"/>
      <c r="BY103" s="3"/>
    </row>
    <row r="104" spans="1:77" ht="15">
      <c r="A104" s="68" t="s">
        <v>300</v>
      </c>
      <c r="B104" s="69"/>
      <c r="C104" s="69" t="s">
        <v>46</v>
      </c>
      <c r="D104" s="70"/>
      <c r="E104" s="72"/>
      <c r="F104" s="107" t="str">
        <f>HYPERLINK("http://pbs.twimg.com/profile_images/1019357311767375872/F3UFScD2_normal.jpg")</f>
        <v>http://pbs.twimg.com/profile_images/1019357311767375872/F3UFScD2_normal.jpg</v>
      </c>
      <c r="G104" s="69"/>
      <c r="H104" s="73" t="s">
        <v>300</v>
      </c>
      <c r="I104" s="74" t="s">
        <v>5226</v>
      </c>
      <c r="J104" s="74" t="s">
        <v>73</v>
      </c>
      <c r="K104" s="73" t="s">
        <v>2397</v>
      </c>
      <c r="L104" s="77">
        <v>1</v>
      </c>
      <c r="M104" s="78">
        <v>8762.375</v>
      </c>
      <c r="N104" s="78">
        <v>1143.399169921875</v>
      </c>
      <c r="O104" s="79"/>
      <c r="P104" s="80"/>
      <c r="Q104" s="80"/>
      <c r="R104" s="93"/>
      <c r="S104" s="49">
        <v>0</v>
      </c>
      <c r="T104" s="49">
        <v>1</v>
      </c>
      <c r="U104" s="50">
        <v>0</v>
      </c>
      <c r="V104" s="50">
        <v>1</v>
      </c>
      <c r="W104" s="50">
        <v>0</v>
      </c>
      <c r="X104" s="50">
        <v>0.701753</v>
      </c>
      <c r="Y104" s="50">
        <v>0</v>
      </c>
      <c r="Z104" s="50">
        <v>0</v>
      </c>
      <c r="AA104" s="75">
        <v>104</v>
      </c>
      <c r="AB104" s="75"/>
      <c r="AC104" s="76"/>
      <c r="AD104" s="83" t="s">
        <v>1649</v>
      </c>
      <c r="AE104" s="91" t="s">
        <v>1857</v>
      </c>
      <c r="AF104" s="83">
        <v>973</v>
      </c>
      <c r="AG104" s="83">
        <v>955</v>
      </c>
      <c r="AH104" s="83">
        <v>41592</v>
      </c>
      <c r="AI104" s="83">
        <v>16883</v>
      </c>
      <c r="AJ104" s="83"/>
      <c r="AK104" s="83" t="s">
        <v>2063</v>
      </c>
      <c r="AL104" s="83" t="s">
        <v>2231</v>
      </c>
      <c r="AM104" s="88" t="str">
        <f>HYPERLINK("https://t.co/ZIAnPqtPgj")</f>
        <v>https://t.co/ZIAnPqtPgj</v>
      </c>
      <c r="AN104" s="83"/>
      <c r="AO104" s="85">
        <v>39706.80079861111</v>
      </c>
      <c r="AP104" s="88" t="str">
        <f>HYPERLINK("https://pbs.twimg.com/profile_banners/16300005/1535306324")</f>
        <v>https://pbs.twimg.com/profile_banners/16300005/1535306324</v>
      </c>
      <c r="AQ104" s="83" t="b">
        <v>0</v>
      </c>
      <c r="AR104" s="83" t="b">
        <v>0</v>
      </c>
      <c r="AS104" s="83" t="b">
        <v>0</v>
      </c>
      <c r="AT104" s="83"/>
      <c r="AU104" s="83">
        <v>40</v>
      </c>
      <c r="AV104" s="88" t="str">
        <f>HYPERLINK("http://abs.twimg.com/images/themes/theme14/bg.gif")</f>
        <v>http://abs.twimg.com/images/themes/theme14/bg.gif</v>
      </c>
      <c r="AW104" s="83" t="b">
        <v>0</v>
      </c>
      <c r="AX104" s="83" t="s">
        <v>2296</v>
      </c>
      <c r="AY104" s="88" t="str">
        <f>HYPERLINK("https://twitter.com/rodo_nasif")</f>
        <v>https://twitter.com/rodo_nasif</v>
      </c>
      <c r="AZ104" s="83" t="s">
        <v>66</v>
      </c>
      <c r="BA104" s="83" t="str">
        <f>REPLACE(INDEX(GroupVertices[Group],MATCH(Vertices[[#This Row],[Vertex]],GroupVertices[Vertex],0)),1,1,"")</f>
        <v>16</v>
      </c>
      <c r="BB104" s="49">
        <v>0</v>
      </c>
      <c r="BC104" s="50">
        <v>0</v>
      </c>
      <c r="BD104" s="49">
        <v>0</v>
      </c>
      <c r="BE104" s="50">
        <v>0</v>
      </c>
      <c r="BF104" s="49">
        <v>0</v>
      </c>
      <c r="BG104" s="50">
        <v>0</v>
      </c>
      <c r="BH104" s="49">
        <v>52</v>
      </c>
      <c r="BI104" s="50">
        <v>100</v>
      </c>
      <c r="BJ104" s="49">
        <v>52</v>
      </c>
      <c r="BK104" s="49"/>
      <c r="BL104" s="49"/>
      <c r="BM104" s="49"/>
      <c r="BN104" s="49"/>
      <c r="BO104" s="49" t="s">
        <v>594</v>
      </c>
      <c r="BP104" s="49" t="s">
        <v>594</v>
      </c>
      <c r="BQ104" s="119" t="s">
        <v>4622</v>
      </c>
      <c r="BR104" s="119" t="s">
        <v>4622</v>
      </c>
      <c r="BS104" s="119" t="s">
        <v>4741</v>
      </c>
      <c r="BT104" s="119" t="s">
        <v>4741</v>
      </c>
      <c r="BU104" s="2"/>
      <c r="BV104" s="3"/>
      <c r="BW104" s="3"/>
      <c r="BX104" s="3"/>
      <c r="BY104" s="3"/>
    </row>
    <row r="105" spans="1:77" ht="15">
      <c r="A105" s="68" t="s">
        <v>301</v>
      </c>
      <c r="B105" s="69"/>
      <c r="C105" s="69" t="s">
        <v>46</v>
      </c>
      <c r="D105" s="70"/>
      <c r="E105" s="72"/>
      <c r="F105" s="107" t="str">
        <f>HYPERLINK("http://pbs.twimg.com/profile_images/1290235414075379712/ow_SxZJS_normal.jpg")</f>
        <v>http://pbs.twimg.com/profile_images/1290235414075379712/ow_SxZJS_normal.jpg</v>
      </c>
      <c r="G105" s="69"/>
      <c r="H105" s="73" t="s">
        <v>301</v>
      </c>
      <c r="I105" s="74" t="s">
        <v>5215</v>
      </c>
      <c r="J105" s="74" t="s">
        <v>73</v>
      </c>
      <c r="K105" s="73" t="s">
        <v>2398</v>
      </c>
      <c r="L105" s="77">
        <v>1</v>
      </c>
      <c r="M105" s="78">
        <v>9359.2744140625</v>
      </c>
      <c r="N105" s="78">
        <v>8056.05908203125</v>
      </c>
      <c r="O105" s="79"/>
      <c r="P105" s="80"/>
      <c r="Q105" s="80"/>
      <c r="R105" s="93"/>
      <c r="S105" s="49">
        <v>0</v>
      </c>
      <c r="T105" s="49">
        <v>1</v>
      </c>
      <c r="U105" s="50">
        <v>0</v>
      </c>
      <c r="V105" s="50">
        <v>0.001229</v>
      </c>
      <c r="W105" s="50">
        <v>0.000172</v>
      </c>
      <c r="X105" s="50">
        <v>0.408479</v>
      </c>
      <c r="Y105" s="50">
        <v>0</v>
      </c>
      <c r="Z105" s="50">
        <v>0</v>
      </c>
      <c r="AA105" s="75">
        <v>105</v>
      </c>
      <c r="AB105" s="75"/>
      <c r="AC105" s="76"/>
      <c r="AD105" s="83" t="s">
        <v>1490</v>
      </c>
      <c r="AE105" s="91" t="s">
        <v>1858</v>
      </c>
      <c r="AF105" s="83">
        <v>24</v>
      </c>
      <c r="AG105" s="83">
        <v>85</v>
      </c>
      <c r="AH105" s="83">
        <v>2709</v>
      </c>
      <c r="AI105" s="83">
        <v>2702</v>
      </c>
      <c r="AJ105" s="83"/>
      <c r="AK105" s="83" t="s">
        <v>2064</v>
      </c>
      <c r="AL105" s="83" t="s">
        <v>2232</v>
      </c>
      <c r="AM105" s="88" t="str">
        <f>HYPERLINK("https://t.co/XdWKEwuXN3")</f>
        <v>https://t.co/XdWKEwuXN3</v>
      </c>
      <c r="AN105" s="83"/>
      <c r="AO105" s="85">
        <v>44046.44259259259</v>
      </c>
      <c r="AP105" s="88" t="str">
        <f>HYPERLINK("https://pbs.twimg.com/profile_banners/1290234301490106368/1596451175")</f>
        <v>https://pbs.twimg.com/profile_banners/1290234301490106368/1596451175</v>
      </c>
      <c r="AQ105" s="83" t="b">
        <v>1</v>
      </c>
      <c r="AR105" s="83" t="b">
        <v>0</v>
      </c>
      <c r="AS105" s="83" t="b">
        <v>0</v>
      </c>
      <c r="AT105" s="83"/>
      <c r="AU105" s="83">
        <v>1</v>
      </c>
      <c r="AV105" s="83"/>
      <c r="AW105" s="83" t="b">
        <v>0</v>
      </c>
      <c r="AX105" s="83" t="s">
        <v>2296</v>
      </c>
      <c r="AY105" s="88" t="str">
        <f>HYPERLINK("https://twitter.com/rush_data")</f>
        <v>https://twitter.com/rush_data</v>
      </c>
      <c r="AZ105" s="83" t="s">
        <v>66</v>
      </c>
      <c r="BA105" s="83" t="str">
        <f>REPLACE(INDEX(GroupVertices[Group],MATCH(Vertices[[#This Row],[Vertex]],GroupVertices[Vertex],0)),1,1,"")</f>
        <v>5</v>
      </c>
      <c r="BB105" s="49">
        <v>0</v>
      </c>
      <c r="BC105" s="50">
        <v>0</v>
      </c>
      <c r="BD105" s="49">
        <v>0</v>
      </c>
      <c r="BE105" s="50">
        <v>0</v>
      </c>
      <c r="BF105" s="49">
        <v>0</v>
      </c>
      <c r="BG105" s="50">
        <v>0</v>
      </c>
      <c r="BH105" s="49">
        <v>51</v>
      </c>
      <c r="BI105" s="50">
        <v>100</v>
      </c>
      <c r="BJ105" s="49">
        <v>51</v>
      </c>
      <c r="BK105" s="49" t="s">
        <v>4814</v>
      </c>
      <c r="BL105" s="49" t="s">
        <v>4814</v>
      </c>
      <c r="BM105" s="49" t="s">
        <v>4853</v>
      </c>
      <c r="BN105" s="49" t="s">
        <v>4853</v>
      </c>
      <c r="BO105" s="49" t="s">
        <v>585</v>
      </c>
      <c r="BP105" s="49" t="s">
        <v>4940</v>
      </c>
      <c r="BQ105" s="119" t="s">
        <v>5010</v>
      </c>
      <c r="BR105" s="119" t="s">
        <v>5078</v>
      </c>
      <c r="BS105" s="119" t="s">
        <v>5142</v>
      </c>
      <c r="BT105" s="119" t="s">
        <v>5194</v>
      </c>
      <c r="BU105" s="2"/>
      <c r="BV105" s="3"/>
      <c r="BW105" s="3"/>
      <c r="BX105" s="3"/>
      <c r="BY105" s="3"/>
    </row>
    <row r="106" spans="1:77" ht="15">
      <c r="A106" s="68" t="s">
        <v>302</v>
      </c>
      <c r="B106" s="69"/>
      <c r="C106" s="69" t="s">
        <v>46</v>
      </c>
      <c r="D106" s="70"/>
      <c r="E106" s="72"/>
      <c r="F106" s="107" t="str">
        <f>HYPERLINK("http://pbs.twimg.com/profile_images/1099736189802819584/2O9O06qv_normal.jpg")</f>
        <v>http://pbs.twimg.com/profile_images/1099736189802819584/2O9O06qv_normal.jpg</v>
      </c>
      <c r="G106" s="69"/>
      <c r="H106" s="73" t="s">
        <v>302</v>
      </c>
      <c r="I106" s="74" t="s">
        <v>5220</v>
      </c>
      <c r="J106" s="74" t="s">
        <v>73</v>
      </c>
      <c r="K106" s="73" t="s">
        <v>2399</v>
      </c>
      <c r="L106" s="77">
        <v>1</v>
      </c>
      <c r="M106" s="78">
        <v>4016.97314453125</v>
      </c>
      <c r="N106" s="78">
        <v>4435.04052734375</v>
      </c>
      <c r="O106" s="79"/>
      <c r="P106" s="80"/>
      <c r="Q106" s="80"/>
      <c r="R106" s="93"/>
      <c r="S106" s="49">
        <v>0</v>
      </c>
      <c r="T106" s="49">
        <v>1</v>
      </c>
      <c r="U106" s="50">
        <v>0</v>
      </c>
      <c r="V106" s="50">
        <v>0.001511</v>
      </c>
      <c r="W106" s="50">
        <v>0.000203</v>
      </c>
      <c r="X106" s="50">
        <v>0.404088</v>
      </c>
      <c r="Y106" s="50">
        <v>0</v>
      </c>
      <c r="Z106" s="50">
        <v>0</v>
      </c>
      <c r="AA106" s="75">
        <v>106</v>
      </c>
      <c r="AB106" s="75"/>
      <c r="AC106" s="76"/>
      <c r="AD106" s="83" t="s">
        <v>1650</v>
      </c>
      <c r="AE106" s="91" t="s">
        <v>1859</v>
      </c>
      <c r="AF106" s="83">
        <v>4595</v>
      </c>
      <c r="AG106" s="83">
        <v>4638</v>
      </c>
      <c r="AH106" s="83">
        <v>115599</v>
      </c>
      <c r="AI106" s="83">
        <v>25294</v>
      </c>
      <c r="AJ106" s="83"/>
      <c r="AK106" s="83" t="s">
        <v>2065</v>
      </c>
      <c r="AL106" s="83" t="s">
        <v>2233</v>
      </c>
      <c r="AM106" s="88" t="str">
        <f>HYPERLINK("https://t.co/n4bEqQMNMm")</f>
        <v>https://t.co/n4bEqQMNMm</v>
      </c>
      <c r="AN106" s="83"/>
      <c r="AO106" s="85">
        <v>39571.715416666666</v>
      </c>
      <c r="AP106" s="88" t="str">
        <f>HYPERLINK("https://pbs.twimg.com/profile_banners/14639551/1551032515")</f>
        <v>https://pbs.twimg.com/profile_banners/14639551/1551032515</v>
      </c>
      <c r="AQ106" s="83" t="b">
        <v>0</v>
      </c>
      <c r="AR106" s="83" t="b">
        <v>0</v>
      </c>
      <c r="AS106" s="83" t="b">
        <v>1</v>
      </c>
      <c r="AT106" s="83"/>
      <c r="AU106" s="83">
        <v>1266</v>
      </c>
      <c r="AV106" s="88" t="str">
        <f>HYPERLINK("http://abs.twimg.com/images/themes/theme9/bg.gif")</f>
        <v>http://abs.twimg.com/images/themes/theme9/bg.gif</v>
      </c>
      <c r="AW106" s="83" t="b">
        <v>0</v>
      </c>
      <c r="AX106" s="83" t="s">
        <v>2296</v>
      </c>
      <c r="AY106" s="88" t="str">
        <f>HYPERLINK("https://twitter.com/bizcom")</f>
        <v>https://twitter.com/bizcom</v>
      </c>
      <c r="AZ106" s="83" t="s">
        <v>66</v>
      </c>
      <c r="BA106" s="83" t="str">
        <f>REPLACE(INDEX(GroupVertices[Group],MATCH(Vertices[[#This Row],[Vertex]],GroupVertices[Vertex],0)),1,1,"")</f>
        <v>3</v>
      </c>
      <c r="BB106" s="49">
        <v>0</v>
      </c>
      <c r="BC106" s="50">
        <v>0</v>
      </c>
      <c r="BD106" s="49">
        <v>0</v>
      </c>
      <c r="BE106" s="50">
        <v>0</v>
      </c>
      <c r="BF106" s="49">
        <v>0</v>
      </c>
      <c r="BG106" s="50">
        <v>0</v>
      </c>
      <c r="BH106" s="49">
        <v>25</v>
      </c>
      <c r="BI106" s="50">
        <v>100</v>
      </c>
      <c r="BJ106" s="49">
        <v>25</v>
      </c>
      <c r="BK106" s="49" t="s">
        <v>4457</v>
      </c>
      <c r="BL106" s="49" t="s">
        <v>4457</v>
      </c>
      <c r="BM106" s="49" t="s">
        <v>541</v>
      </c>
      <c r="BN106" s="49" t="s">
        <v>541</v>
      </c>
      <c r="BO106" s="49" t="s">
        <v>580</v>
      </c>
      <c r="BP106" s="49" t="s">
        <v>580</v>
      </c>
      <c r="BQ106" s="119" t="s">
        <v>5011</v>
      </c>
      <c r="BR106" s="119" t="s">
        <v>5011</v>
      </c>
      <c r="BS106" s="119" t="s">
        <v>5143</v>
      </c>
      <c r="BT106" s="119" t="s">
        <v>5143</v>
      </c>
      <c r="BU106" s="2"/>
      <c r="BV106" s="3"/>
      <c r="BW106" s="3"/>
      <c r="BX106" s="3"/>
      <c r="BY106" s="3"/>
    </row>
    <row r="107" spans="1:77" ht="15">
      <c r="A107" s="68" t="s">
        <v>303</v>
      </c>
      <c r="B107" s="69"/>
      <c r="C107" s="69" t="s">
        <v>46</v>
      </c>
      <c r="D107" s="70"/>
      <c r="E107" s="72"/>
      <c r="F107" s="107" t="str">
        <f>HYPERLINK("http://pbs.twimg.com/profile_images/1169982621054623744/P6_xoN3J_normal.png")</f>
        <v>http://pbs.twimg.com/profile_images/1169982621054623744/P6_xoN3J_normal.png</v>
      </c>
      <c r="G107" s="69"/>
      <c r="H107" s="73" t="s">
        <v>303</v>
      </c>
      <c r="I107" s="74" t="s">
        <v>5220</v>
      </c>
      <c r="J107" s="74" t="s">
        <v>73</v>
      </c>
      <c r="K107" s="73" t="s">
        <v>2400</v>
      </c>
      <c r="L107" s="77">
        <v>1</v>
      </c>
      <c r="M107" s="78">
        <v>3466.556884765625</v>
      </c>
      <c r="N107" s="78">
        <v>989.3377075195312</v>
      </c>
      <c r="O107" s="79"/>
      <c r="P107" s="80"/>
      <c r="Q107" s="80"/>
      <c r="R107" s="93"/>
      <c r="S107" s="49">
        <v>0</v>
      </c>
      <c r="T107" s="49">
        <v>1</v>
      </c>
      <c r="U107" s="50">
        <v>0</v>
      </c>
      <c r="V107" s="50">
        <v>0.001511</v>
      </c>
      <c r="W107" s="50">
        <v>0.000203</v>
      </c>
      <c r="X107" s="50">
        <v>0.404088</v>
      </c>
      <c r="Y107" s="50">
        <v>0</v>
      </c>
      <c r="Z107" s="50">
        <v>0</v>
      </c>
      <c r="AA107" s="75">
        <v>107</v>
      </c>
      <c r="AB107" s="75"/>
      <c r="AC107" s="76"/>
      <c r="AD107" s="83" t="s">
        <v>1651</v>
      </c>
      <c r="AE107" s="91" t="s">
        <v>1860</v>
      </c>
      <c r="AF107" s="83">
        <v>469</v>
      </c>
      <c r="AG107" s="83">
        <v>902</v>
      </c>
      <c r="AH107" s="83">
        <v>23519</v>
      </c>
      <c r="AI107" s="83">
        <v>33017</v>
      </c>
      <c r="AJ107" s="83"/>
      <c r="AK107" s="83" t="s">
        <v>2066</v>
      </c>
      <c r="AL107" s="83" t="s">
        <v>2234</v>
      </c>
      <c r="AM107" s="83"/>
      <c r="AN107" s="83"/>
      <c r="AO107" s="85">
        <v>43709.66956018518</v>
      </c>
      <c r="AP107" s="88" t="str">
        <f>HYPERLINK("https://pbs.twimg.com/profile_banners/1168192787990425600/1567846543")</f>
        <v>https://pbs.twimg.com/profile_banners/1168192787990425600/1567846543</v>
      </c>
      <c r="AQ107" s="83" t="b">
        <v>1</v>
      </c>
      <c r="AR107" s="83" t="b">
        <v>0</v>
      </c>
      <c r="AS107" s="83" t="b">
        <v>0</v>
      </c>
      <c r="AT107" s="83"/>
      <c r="AU107" s="83">
        <v>19</v>
      </c>
      <c r="AV107" s="83"/>
      <c r="AW107" s="83" t="b">
        <v>0</v>
      </c>
      <c r="AX107" s="83" t="s">
        <v>2296</v>
      </c>
      <c r="AY107" s="88" t="str">
        <f>HYPERLINK("https://twitter.com/hackingdom_io")</f>
        <v>https://twitter.com/hackingdom_io</v>
      </c>
      <c r="AZ107" s="83" t="s">
        <v>66</v>
      </c>
      <c r="BA107" s="83" t="str">
        <f>REPLACE(INDEX(GroupVertices[Group],MATCH(Vertices[[#This Row],[Vertex]],GroupVertices[Vertex],0)),1,1,"")</f>
        <v>3</v>
      </c>
      <c r="BB107" s="49">
        <v>0</v>
      </c>
      <c r="BC107" s="50">
        <v>0</v>
      </c>
      <c r="BD107" s="49">
        <v>0</v>
      </c>
      <c r="BE107" s="50">
        <v>0</v>
      </c>
      <c r="BF107" s="49">
        <v>0</v>
      </c>
      <c r="BG107" s="50">
        <v>0</v>
      </c>
      <c r="BH107" s="49">
        <v>25</v>
      </c>
      <c r="BI107" s="50">
        <v>100</v>
      </c>
      <c r="BJ107" s="49">
        <v>25</v>
      </c>
      <c r="BK107" s="49" t="s">
        <v>4457</v>
      </c>
      <c r="BL107" s="49" t="s">
        <v>4457</v>
      </c>
      <c r="BM107" s="49" t="s">
        <v>541</v>
      </c>
      <c r="BN107" s="49" t="s">
        <v>541</v>
      </c>
      <c r="BO107" s="49" t="s">
        <v>580</v>
      </c>
      <c r="BP107" s="49" t="s">
        <v>580</v>
      </c>
      <c r="BQ107" s="119" t="s">
        <v>5011</v>
      </c>
      <c r="BR107" s="119" t="s">
        <v>5011</v>
      </c>
      <c r="BS107" s="119" t="s">
        <v>5143</v>
      </c>
      <c r="BT107" s="119" t="s">
        <v>5143</v>
      </c>
      <c r="BU107" s="2"/>
      <c r="BV107" s="3"/>
      <c r="BW107" s="3"/>
      <c r="BX107" s="3"/>
      <c r="BY107" s="3"/>
    </row>
    <row r="108" spans="1:77" ht="15">
      <c r="A108" s="68" t="s">
        <v>304</v>
      </c>
      <c r="B108" s="69"/>
      <c r="C108" s="69" t="s">
        <v>46</v>
      </c>
      <c r="D108" s="70"/>
      <c r="E108" s="72"/>
      <c r="F108" s="107" t="str">
        <f>HYPERLINK("http://pbs.twimg.com/profile_images/1303110444425654274/-khGQSNw_normal.jpg")</f>
        <v>http://pbs.twimg.com/profile_images/1303110444425654274/-khGQSNw_normal.jpg</v>
      </c>
      <c r="G108" s="69"/>
      <c r="H108" s="73" t="s">
        <v>304</v>
      </c>
      <c r="I108" s="74" t="s">
        <v>5220</v>
      </c>
      <c r="J108" s="74" t="s">
        <v>73</v>
      </c>
      <c r="K108" s="73" t="s">
        <v>2401</v>
      </c>
      <c r="L108" s="77">
        <v>1</v>
      </c>
      <c r="M108" s="78">
        <v>3449.566162109375</v>
      </c>
      <c r="N108" s="78">
        <v>3783.293701171875</v>
      </c>
      <c r="O108" s="79"/>
      <c r="P108" s="80"/>
      <c r="Q108" s="80"/>
      <c r="R108" s="93"/>
      <c r="S108" s="49">
        <v>0</v>
      </c>
      <c r="T108" s="49">
        <v>1</v>
      </c>
      <c r="U108" s="50">
        <v>0</v>
      </c>
      <c r="V108" s="50">
        <v>0.001511</v>
      </c>
      <c r="W108" s="50">
        <v>0.000203</v>
      </c>
      <c r="X108" s="50">
        <v>0.404088</v>
      </c>
      <c r="Y108" s="50">
        <v>0</v>
      </c>
      <c r="Z108" s="50">
        <v>0</v>
      </c>
      <c r="AA108" s="75">
        <v>108</v>
      </c>
      <c r="AB108" s="75"/>
      <c r="AC108" s="76"/>
      <c r="AD108" s="83" t="s">
        <v>1652</v>
      </c>
      <c r="AE108" s="91" t="s">
        <v>1861</v>
      </c>
      <c r="AF108" s="83">
        <v>3963</v>
      </c>
      <c r="AG108" s="83">
        <v>30360</v>
      </c>
      <c r="AH108" s="83">
        <v>122360</v>
      </c>
      <c r="AI108" s="83">
        <v>41897</v>
      </c>
      <c r="AJ108" s="83"/>
      <c r="AK108" s="83" t="s">
        <v>2067</v>
      </c>
      <c r="AL108" s="83" t="s">
        <v>2235</v>
      </c>
      <c r="AM108" s="83"/>
      <c r="AN108" s="83"/>
      <c r="AO108" s="85">
        <v>40290.91153935185</v>
      </c>
      <c r="AP108" s="88" t="str">
        <f>HYPERLINK("https://pbs.twimg.com/profile_banners/136039679/1581889579")</f>
        <v>https://pbs.twimg.com/profile_banners/136039679/1581889579</v>
      </c>
      <c r="AQ108" s="83" t="b">
        <v>1</v>
      </c>
      <c r="AR108" s="83" t="b">
        <v>0</v>
      </c>
      <c r="AS108" s="83" t="b">
        <v>1</v>
      </c>
      <c r="AT108" s="83"/>
      <c r="AU108" s="83">
        <v>3608</v>
      </c>
      <c r="AV108" s="88" t="str">
        <f>HYPERLINK("http://abs.twimg.com/images/themes/theme1/bg.png")</f>
        <v>http://abs.twimg.com/images/themes/theme1/bg.png</v>
      </c>
      <c r="AW108" s="83" t="b">
        <v>1</v>
      </c>
      <c r="AX108" s="83" t="s">
        <v>2296</v>
      </c>
      <c r="AY108" s="88" t="str">
        <f>HYPERLINK("https://twitter.com/patosins")</f>
        <v>https://twitter.com/patosins</v>
      </c>
      <c r="AZ108" s="83" t="s">
        <v>66</v>
      </c>
      <c r="BA108" s="83" t="str">
        <f>REPLACE(INDEX(GroupVertices[Group],MATCH(Vertices[[#This Row],[Vertex]],GroupVertices[Vertex],0)),1,1,"")</f>
        <v>3</v>
      </c>
      <c r="BB108" s="49">
        <v>0</v>
      </c>
      <c r="BC108" s="50">
        <v>0</v>
      </c>
      <c r="BD108" s="49">
        <v>0</v>
      </c>
      <c r="BE108" s="50">
        <v>0</v>
      </c>
      <c r="BF108" s="49">
        <v>0</v>
      </c>
      <c r="BG108" s="50">
        <v>0</v>
      </c>
      <c r="BH108" s="49">
        <v>25</v>
      </c>
      <c r="BI108" s="50">
        <v>100</v>
      </c>
      <c r="BJ108" s="49">
        <v>25</v>
      </c>
      <c r="BK108" s="49" t="s">
        <v>4457</v>
      </c>
      <c r="BL108" s="49" t="s">
        <v>4457</v>
      </c>
      <c r="BM108" s="49" t="s">
        <v>541</v>
      </c>
      <c r="BN108" s="49" t="s">
        <v>541</v>
      </c>
      <c r="BO108" s="49" t="s">
        <v>580</v>
      </c>
      <c r="BP108" s="49" t="s">
        <v>580</v>
      </c>
      <c r="BQ108" s="119" t="s">
        <v>5011</v>
      </c>
      <c r="BR108" s="119" t="s">
        <v>5011</v>
      </c>
      <c r="BS108" s="119" t="s">
        <v>5143</v>
      </c>
      <c r="BT108" s="119" t="s">
        <v>5143</v>
      </c>
      <c r="BU108" s="2"/>
      <c r="BV108" s="3"/>
      <c r="BW108" s="3"/>
      <c r="BX108" s="3"/>
      <c r="BY108" s="3"/>
    </row>
    <row r="109" spans="1:77" ht="15">
      <c r="A109" s="68" t="s">
        <v>305</v>
      </c>
      <c r="B109" s="69"/>
      <c r="C109" s="69" t="s">
        <v>46</v>
      </c>
      <c r="D109" s="70"/>
      <c r="E109" s="72"/>
      <c r="F109" s="107" t="str">
        <f>HYPERLINK("http://pbs.twimg.com/profile_images/1271018990178045953/M-vBrs0H_normal.png")</f>
        <v>http://pbs.twimg.com/profile_images/1271018990178045953/M-vBrs0H_normal.png</v>
      </c>
      <c r="G109" s="69"/>
      <c r="H109" s="73" t="s">
        <v>305</v>
      </c>
      <c r="I109" s="74" t="s">
        <v>5220</v>
      </c>
      <c r="J109" s="74" t="s">
        <v>73</v>
      </c>
      <c r="K109" s="73" t="s">
        <v>2402</v>
      </c>
      <c r="L109" s="77">
        <v>1</v>
      </c>
      <c r="M109" s="78">
        <v>4663.3681640625</v>
      </c>
      <c r="N109" s="78">
        <v>4399.96533203125</v>
      </c>
      <c r="O109" s="79"/>
      <c r="P109" s="80"/>
      <c r="Q109" s="80"/>
      <c r="R109" s="93"/>
      <c r="S109" s="49">
        <v>0</v>
      </c>
      <c r="T109" s="49">
        <v>1</v>
      </c>
      <c r="U109" s="50">
        <v>0</v>
      </c>
      <c r="V109" s="50">
        <v>0.001511</v>
      </c>
      <c r="W109" s="50">
        <v>0.000203</v>
      </c>
      <c r="X109" s="50">
        <v>0.404088</v>
      </c>
      <c r="Y109" s="50">
        <v>0</v>
      </c>
      <c r="Z109" s="50">
        <v>0</v>
      </c>
      <c r="AA109" s="75">
        <v>109</v>
      </c>
      <c r="AB109" s="75"/>
      <c r="AC109" s="76"/>
      <c r="AD109" s="83" t="s">
        <v>1653</v>
      </c>
      <c r="AE109" s="91" t="s">
        <v>1862</v>
      </c>
      <c r="AF109" s="83">
        <v>24</v>
      </c>
      <c r="AG109" s="83">
        <v>101</v>
      </c>
      <c r="AH109" s="83">
        <v>2550</v>
      </c>
      <c r="AI109" s="83">
        <v>523</v>
      </c>
      <c r="AJ109" s="83"/>
      <c r="AK109" s="83" t="s">
        <v>2068</v>
      </c>
      <c r="AL109" s="83"/>
      <c r="AM109" s="83"/>
      <c r="AN109" s="83"/>
      <c r="AO109" s="85">
        <v>43992.30298611111</v>
      </c>
      <c r="AP109" s="88" t="str">
        <f>HYPERLINK("https://pbs.twimg.com/profile_banners/1270615348115582976/1591869517")</f>
        <v>https://pbs.twimg.com/profile_banners/1270615348115582976/1591869517</v>
      </c>
      <c r="AQ109" s="83" t="b">
        <v>1</v>
      </c>
      <c r="AR109" s="83" t="b">
        <v>0</v>
      </c>
      <c r="AS109" s="83" t="b">
        <v>0</v>
      </c>
      <c r="AT109" s="83"/>
      <c r="AU109" s="83">
        <v>2</v>
      </c>
      <c r="AV109" s="83"/>
      <c r="AW109" s="83" t="b">
        <v>0</v>
      </c>
      <c r="AX109" s="83" t="s">
        <v>2296</v>
      </c>
      <c r="AY109" s="88" t="str">
        <f>HYPERLINK("https://twitter.com/aisear_ch")</f>
        <v>https://twitter.com/aisear_ch</v>
      </c>
      <c r="AZ109" s="83" t="s">
        <v>66</v>
      </c>
      <c r="BA109" s="83" t="str">
        <f>REPLACE(INDEX(GroupVertices[Group],MATCH(Vertices[[#This Row],[Vertex]],GroupVertices[Vertex],0)),1,1,"")</f>
        <v>3</v>
      </c>
      <c r="BB109" s="49">
        <v>0</v>
      </c>
      <c r="BC109" s="50">
        <v>0</v>
      </c>
      <c r="BD109" s="49">
        <v>0</v>
      </c>
      <c r="BE109" s="50">
        <v>0</v>
      </c>
      <c r="BF109" s="49">
        <v>0</v>
      </c>
      <c r="BG109" s="50">
        <v>0</v>
      </c>
      <c r="BH109" s="49">
        <v>25</v>
      </c>
      <c r="BI109" s="50">
        <v>100</v>
      </c>
      <c r="BJ109" s="49">
        <v>25</v>
      </c>
      <c r="BK109" s="49" t="s">
        <v>4457</v>
      </c>
      <c r="BL109" s="49" t="s">
        <v>4457</v>
      </c>
      <c r="BM109" s="49" t="s">
        <v>541</v>
      </c>
      <c r="BN109" s="49" t="s">
        <v>541</v>
      </c>
      <c r="BO109" s="49" t="s">
        <v>580</v>
      </c>
      <c r="BP109" s="49" t="s">
        <v>580</v>
      </c>
      <c r="BQ109" s="119" t="s">
        <v>5011</v>
      </c>
      <c r="BR109" s="119" t="s">
        <v>5011</v>
      </c>
      <c r="BS109" s="119" t="s">
        <v>5143</v>
      </c>
      <c r="BT109" s="119" t="s">
        <v>5143</v>
      </c>
      <c r="BU109" s="2"/>
      <c r="BV109" s="3"/>
      <c r="BW109" s="3"/>
      <c r="BX109" s="3"/>
      <c r="BY109" s="3"/>
    </row>
    <row r="110" spans="1:77" ht="15">
      <c r="A110" s="68" t="s">
        <v>306</v>
      </c>
      <c r="B110" s="69"/>
      <c r="C110" s="69" t="s">
        <v>46</v>
      </c>
      <c r="D110" s="70"/>
      <c r="E110" s="72"/>
      <c r="F110" s="107" t="str">
        <f>HYPERLINK("http://pbs.twimg.com/profile_images/1038762339368087554/JICJ5viP_normal.jpg")</f>
        <v>http://pbs.twimg.com/profile_images/1038762339368087554/JICJ5viP_normal.jpg</v>
      </c>
      <c r="G110" s="69"/>
      <c r="H110" s="73" t="s">
        <v>306</v>
      </c>
      <c r="I110" s="74" t="s">
        <v>5220</v>
      </c>
      <c r="J110" s="74" t="s">
        <v>73</v>
      </c>
      <c r="K110" s="73" t="s">
        <v>2403</v>
      </c>
      <c r="L110" s="77">
        <v>1</v>
      </c>
      <c r="M110" s="78">
        <v>5177.21337890625</v>
      </c>
      <c r="N110" s="78">
        <v>1484.2073974609375</v>
      </c>
      <c r="O110" s="79"/>
      <c r="P110" s="80"/>
      <c r="Q110" s="80"/>
      <c r="R110" s="93"/>
      <c r="S110" s="49">
        <v>0</v>
      </c>
      <c r="T110" s="49">
        <v>1</v>
      </c>
      <c r="U110" s="50">
        <v>0</v>
      </c>
      <c r="V110" s="50">
        <v>0.001511</v>
      </c>
      <c r="W110" s="50">
        <v>0.000203</v>
      </c>
      <c r="X110" s="50">
        <v>0.404088</v>
      </c>
      <c r="Y110" s="50">
        <v>0</v>
      </c>
      <c r="Z110" s="50">
        <v>0</v>
      </c>
      <c r="AA110" s="75">
        <v>110</v>
      </c>
      <c r="AB110" s="75"/>
      <c r="AC110" s="76"/>
      <c r="AD110" s="83" t="s">
        <v>1654</v>
      </c>
      <c r="AE110" s="91" t="s">
        <v>1863</v>
      </c>
      <c r="AF110" s="83">
        <v>2149</v>
      </c>
      <c r="AG110" s="83">
        <v>1917</v>
      </c>
      <c r="AH110" s="83">
        <v>26639</v>
      </c>
      <c r="AI110" s="83">
        <v>2886</v>
      </c>
      <c r="AJ110" s="83"/>
      <c r="AK110" s="83" t="s">
        <v>2069</v>
      </c>
      <c r="AL110" s="83" t="s">
        <v>2232</v>
      </c>
      <c r="AM110" s="88" t="str">
        <f>HYPERLINK("https://t.co/d24fTnTKAQ")</f>
        <v>https://t.co/d24fTnTKAQ</v>
      </c>
      <c r="AN110" s="83"/>
      <c r="AO110" s="85">
        <v>41359.49875</v>
      </c>
      <c r="AP110" s="88" t="str">
        <f>HYPERLINK("https://pbs.twimg.com/profile_banners/1303713480/1578329341")</f>
        <v>https://pbs.twimg.com/profile_banners/1303713480/1578329341</v>
      </c>
      <c r="AQ110" s="83" t="b">
        <v>0</v>
      </c>
      <c r="AR110" s="83" t="b">
        <v>0</v>
      </c>
      <c r="AS110" s="83" t="b">
        <v>0</v>
      </c>
      <c r="AT110" s="83"/>
      <c r="AU110" s="83">
        <v>290</v>
      </c>
      <c r="AV110" s="88" t="str">
        <f>HYPERLINK("http://abs.twimg.com/images/themes/theme1/bg.png")</f>
        <v>http://abs.twimg.com/images/themes/theme1/bg.png</v>
      </c>
      <c r="AW110" s="83" t="b">
        <v>0</v>
      </c>
      <c r="AX110" s="83" t="s">
        <v>2296</v>
      </c>
      <c r="AY110" s="88" t="str">
        <f>HYPERLINK("https://twitter.com/sureshrukman")</f>
        <v>https://twitter.com/sureshrukman</v>
      </c>
      <c r="AZ110" s="83" t="s">
        <v>66</v>
      </c>
      <c r="BA110" s="83" t="str">
        <f>REPLACE(INDEX(GroupVertices[Group],MATCH(Vertices[[#This Row],[Vertex]],GroupVertices[Vertex],0)),1,1,"")</f>
        <v>3</v>
      </c>
      <c r="BB110" s="49">
        <v>0</v>
      </c>
      <c r="BC110" s="50">
        <v>0</v>
      </c>
      <c r="BD110" s="49">
        <v>0</v>
      </c>
      <c r="BE110" s="50">
        <v>0</v>
      </c>
      <c r="BF110" s="49">
        <v>0</v>
      </c>
      <c r="BG110" s="50">
        <v>0</v>
      </c>
      <c r="BH110" s="49">
        <v>25</v>
      </c>
      <c r="BI110" s="50">
        <v>100</v>
      </c>
      <c r="BJ110" s="49">
        <v>25</v>
      </c>
      <c r="BK110" s="49" t="s">
        <v>4457</v>
      </c>
      <c r="BL110" s="49" t="s">
        <v>4457</v>
      </c>
      <c r="BM110" s="49" t="s">
        <v>541</v>
      </c>
      <c r="BN110" s="49" t="s">
        <v>541</v>
      </c>
      <c r="BO110" s="49" t="s">
        <v>580</v>
      </c>
      <c r="BP110" s="49" t="s">
        <v>580</v>
      </c>
      <c r="BQ110" s="119" t="s">
        <v>5011</v>
      </c>
      <c r="BR110" s="119" t="s">
        <v>5011</v>
      </c>
      <c r="BS110" s="119" t="s">
        <v>5143</v>
      </c>
      <c r="BT110" s="119" t="s">
        <v>5143</v>
      </c>
      <c r="BU110" s="2"/>
      <c r="BV110" s="3"/>
      <c r="BW110" s="3"/>
      <c r="BX110" s="3"/>
      <c r="BY110" s="3"/>
    </row>
    <row r="111" spans="1:77" ht="15">
      <c r="A111" s="68" t="s">
        <v>307</v>
      </c>
      <c r="B111" s="69"/>
      <c r="C111" s="69" t="s">
        <v>46</v>
      </c>
      <c r="D111" s="70"/>
      <c r="E111" s="72"/>
      <c r="F111" s="107" t="str">
        <f>HYPERLINK("http://pbs.twimg.com/profile_images/671869096389021696/Z1Kr3P0K_normal.png")</f>
        <v>http://pbs.twimg.com/profile_images/671869096389021696/Z1Kr3P0K_normal.png</v>
      </c>
      <c r="G111" s="69"/>
      <c r="H111" s="73" t="s">
        <v>307</v>
      </c>
      <c r="I111" s="74" t="s">
        <v>5220</v>
      </c>
      <c r="J111" s="74" t="s">
        <v>73</v>
      </c>
      <c r="K111" s="73" t="s">
        <v>2404</v>
      </c>
      <c r="L111" s="77">
        <v>1</v>
      </c>
      <c r="M111" s="78">
        <v>3665.175537109375</v>
      </c>
      <c r="N111" s="78">
        <v>4410.24658203125</v>
      </c>
      <c r="O111" s="79"/>
      <c r="P111" s="80"/>
      <c r="Q111" s="80"/>
      <c r="R111" s="93"/>
      <c r="S111" s="49">
        <v>0</v>
      </c>
      <c r="T111" s="49">
        <v>1</v>
      </c>
      <c r="U111" s="50">
        <v>0</v>
      </c>
      <c r="V111" s="50">
        <v>0.001511</v>
      </c>
      <c r="W111" s="50">
        <v>0.000203</v>
      </c>
      <c r="X111" s="50">
        <v>0.404088</v>
      </c>
      <c r="Y111" s="50">
        <v>0</v>
      </c>
      <c r="Z111" s="50">
        <v>0</v>
      </c>
      <c r="AA111" s="75">
        <v>111</v>
      </c>
      <c r="AB111" s="75"/>
      <c r="AC111" s="76"/>
      <c r="AD111" s="83" t="s">
        <v>1655</v>
      </c>
      <c r="AE111" s="91" t="s">
        <v>1864</v>
      </c>
      <c r="AF111" s="83">
        <v>19397</v>
      </c>
      <c r="AG111" s="83">
        <v>18907</v>
      </c>
      <c r="AH111" s="83">
        <v>30453</v>
      </c>
      <c r="AI111" s="83">
        <v>3574</v>
      </c>
      <c r="AJ111" s="83"/>
      <c r="AK111" s="83" t="s">
        <v>2070</v>
      </c>
      <c r="AL111" s="83" t="s">
        <v>2236</v>
      </c>
      <c r="AM111" s="88" t="str">
        <f>HYPERLINK("http://t.co/sLAOrEHtet")</f>
        <v>http://t.co/sLAOrEHtet</v>
      </c>
      <c r="AN111" s="83"/>
      <c r="AO111" s="85">
        <v>39977.988599537035</v>
      </c>
      <c r="AP111" s="88" t="str">
        <f>HYPERLINK("https://pbs.twimg.com/profile_banners/46988713/1449021085")</f>
        <v>https://pbs.twimg.com/profile_banners/46988713/1449021085</v>
      </c>
      <c r="AQ111" s="83" t="b">
        <v>0</v>
      </c>
      <c r="AR111" s="83" t="b">
        <v>0</v>
      </c>
      <c r="AS111" s="83" t="b">
        <v>0</v>
      </c>
      <c r="AT111" s="83"/>
      <c r="AU111" s="83">
        <v>459</v>
      </c>
      <c r="AV111" s="88" t="str">
        <f>HYPERLINK("http://abs.twimg.com/images/themes/theme14/bg.gif")</f>
        <v>http://abs.twimg.com/images/themes/theme14/bg.gif</v>
      </c>
      <c r="AW111" s="83" t="b">
        <v>0</v>
      </c>
      <c r="AX111" s="83" t="s">
        <v>2296</v>
      </c>
      <c r="AY111" s="88" t="str">
        <f>HYPERLINK("https://twitter.com/medicaliphone")</f>
        <v>https://twitter.com/medicaliphone</v>
      </c>
      <c r="AZ111" s="83" t="s">
        <v>66</v>
      </c>
      <c r="BA111" s="83" t="str">
        <f>REPLACE(INDEX(GroupVertices[Group],MATCH(Vertices[[#This Row],[Vertex]],GroupVertices[Vertex],0)),1,1,"")</f>
        <v>3</v>
      </c>
      <c r="BB111" s="49">
        <v>0</v>
      </c>
      <c r="BC111" s="50">
        <v>0</v>
      </c>
      <c r="BD111" s="49">
        <v>0</v>
      </c>
      <c r="BE111" s="50">
        <v>0</v>
      </c>
      <c r="BF111" s="49">
        <v>0</v>
      </c>
      <c r="BG111" s="50">
        <v>0</v>
      </c>
      <c r="BH111" s="49">
        <v>25</v>
      </c>
      <c r="BI111" s="50">
        <v>100</v>
      </c>
      <c r="BJ111" s="49">
        <v>25</v>
      </c>
      <c r="BK111" s="49" t="s">
        <v>4457</v>
      </c>
      <c r="BL111" s="49" t="s">
        <v>4457</v>
      </c>
      <c r="BM111" s="49" t="s">
        <v>541</v>
      </c>
      <c r="BN111" s="49" t="s">
        <v>541</v>
      </c>
      <c r="BO111" s="49" t="s">
        <v>580</v>
      </c>
      <c r="BP111" s="49" t="s">
        <v>580</v>
      </c>
      <c r="BQ111" s="119" t="s">
        <v>5011</v>
      </c>
      <c r="BR111" s="119" t="s">
        <v>5011</v>
      </c>
      <c r="BS111" s="119" t="s">
        <v>5143</v>
      </c>
      <c r="BT111" s="119" t="s">
        <v>5143</v>
      </c>
      <c r="BU111" s="2"/>
      <c r="BV111" s="3"/>
      <c r="BW111" s="3"/>
      <c r="BX111" s="3"/>
      <c r="BY111" s="3"/>
    </row>
    <row r="112" spans="1:77" ht="15">
      <c r="A112" s="68" t="s">
        <v>308</v>
      </c>
      <c r="B112" s="69"/>
      <c r="C112" s="69" t="s">
        <v>46</v>
      </c>
      <c r="D112" s="70"/>
      <c r="E112" s="72"/>
      <c r="F112" s="107" t="str">
        <f>HYPERLINK("http://pbs.twimg.com/profile_images/1223176339697565697/q38i7r9K_normal.jpg")</f>
        <v>http://pbs.twimg.com/profile_images/1223176339697565697/q38i7r9K_normal.jpg</v>
      </c>
      <c r="G112" s="69"/>
      <c r="H112" s="73" t="s">
        <v>308</v>
      </c>
      <c r="I112" s="74" t="s">
        <v>5220</v>
      </c>
      <c r="J112" s="74" t="s">
        <v>73</v>
      </c>
      <c r="K112" s="73" t="s">
        <v>2405</v>
      </c>
      <c r="L112" s="77">
        <v>1</v>
      </c>
      <c r="M112" s="78">
        <v>4361.63037109375</v>
      </c>
      <c r="N112" s="78">
        <v>918.4544067382812</v>
      </c>
      <c r="O112" s="79"/>
      <c r="P112" s="80"/>
      <c r="Q112" s="80"/>
      <c r="R112" s="93"/>
      <c r="S112" s="49">
        <v>0</v>
      </c>
      <c r="T112" s="49">
        <v>1</v>
      </c>
      <c r="U112" s="50">
        <v>0</v>
      </c>
      <c r="V112" s="50">
        <v>0.001511</v>
      </c>
      <c r="W112" s="50">
        <v>0.000203</v>
      </c>
      <c r="X112" s="50">
        <v>0.404088</v>
      </c>
      <c r="Y112" s="50">
        <v>0</v>
      </c>
      <c r="Z112" s="50">
        <v>0</v>
      </c>
      <c r="AA112" s="75">
        <v>112</v>
      </c>
      <c r="AB112" s="75"/>
      <c r="AC112" s="76"/>
      <c r="AD112" s="83" t="s">
        <v>1656</v>
      </c>
      <c r="AE112" s="91" t="s">
        <v>1865</v>
      </c>
      <c r="AF112" s="83">
        <v>335</v>
      </c>
      <c r="AG112" s="83">
        <v>315</v>
      </c>
      <c r="AH112" s="83">
        <v>17804</v>
      </c>
      <c r="AI112" s="83">
        <v>1689</v>
      </c>
      <c r="AJ112" s="83"/>
      <c r="AK112" s="83" t="s">
        <v>2071</v>
      </c>
      <c r="AL112" s="83" t="s">
        <v>2237</v>
      </c>
      <c r="AM112" s="88" t="str">
        <f>HYPERLINK("https://t.co/d24fTnTKAQ")</f>
        <v>https://t.co/d24fTnTKAQ</v>
      </c>
      <c r="AN112" s="83"/>
      <c r="AO112" s="85">
        <v>43789.449791666666</v>
      </c>
      <c r="AP112" s="88" t="str">
        <f>HYPERLINK("https://pbs.twimg.com/profile_banners/1197104147696439298/1578328945")</f>
        <v>https://pbs.twimg.com/profile_banners/1197104147696439298/1578328945</v>
      </c>
      <c r="AQ112" s="83" t="b">
        <v>1</v>
      </c>
      <c r="AR112" s="83" t="b">
        <v>0</v>
      </c>
      <c r="AS112" s="83" t="b">
        <v>0</v>
      </c>
      <c r="AT112" s="83"/>
      <c r="AU112" s="83">
        <v>5</v>
      </c>
      <c r="AV112" s="83"/>
      <c r="AW112" s="83" t="b">
        <v>0</v>
      </c>
      <c r="AX112" s="83" t="s">
        <v>2296</v>
      </c>
      <c r="AY112" s="88" t="str">
        <f>HYPERLINK("https://twitter.com/corizance")</f>
        <v>https://twitter.com/corizance</v>
      </c>
      <c r="AZ112" s="83" t="s">
        <v>66</v>
      </c>
      <c r="BA112" s="83" t="str">
        <f>REPLACE(INDEX(GroupVertices[Group],MATCH(Vertices[[#This Row],[Vertex]],GroupVertices[Vertex],0)),1,1,"")</f>
        <v>3</v>
      </c>
      <c r="BB112" s="49">
        <v>0</v>
      </c>
      <c r="BC112" s="50">
        <v>0</v>
      </c>
      <c r="BD112" s="49">
        <v>0</v>
      </c>
      <c r="BE112" s="50">
        <v>0</v>
      </c>
      <c r="BF112" s="49">
        <v>0</v>
      </c>
      <c r="BG112" s="50">
        <v>0</v>
      </c>
      <c r="BH112" s="49">
        <v>25</v>
      </c>
      <c r="BI112" s="50">
        <v>100</v>
      </c>
      <c r="BJ112" s="49">
        <v>25</v>
      </c>
      <c r="BK112" s="49" t="s">
        <v>4457</v>
      </c>
      <c r="BL112" s="49" t="s">
        <v>4457</v>
      </c>
      <c r="BM112" s="49" t="s">
        <v>541</v>
      </c>
      <c r="BN112" s="49" t="s">
        <v>541</v>
      </c>
      <c r="BO112" s="49" t="s">
        <v>580</v>
      </c>
      <c r="BP112" s="49" t="s">
        <v>580</v>
      </c>
      <c r="BQ112" s="119" t="s">
        <v>5011</v>
      </c>
      <c r="BR112" s="119" t="s">
        <v>5011</v>
      </c>
      <c r="BS112" s="119" t="s">
        <v>5143</v>
      </c>
      <c r="BT112" s="119" t="s">
        <v>5143</v>
      </c>
      <c r="BU112" s="2"/>
      <c r="BV112" s="3"/>
      <c r="BW112" s="3"/>
      <c r="BX112" s="3"/>
      <c r="BY112" s="3"/>
    </row>
    <row r="113" spans="1:77" ht="15">
      <c r="A113" s="68" t="s">
        <v>309</v>
      </c>
      <c r="B113" s="69"/>
      <c r="C113" s="69" t="s">
        <v>46</v>
      </c>
      <c r="D113" s="70"/>
      <c r="E113" s="72"/>
      <c r="F113" s="107" t="str">
        <f>HYPERLINK("http://abs.twimg.com/sticky/default_profile_images/default_profile_normal.png")</f>
        <v>http://abs.twimg.com/sticky/default_profile_images/default_profile_normal.png</v>
      </c>
      <c r="G113" s="69"/>
      <c r="H113" s="73" t="s">
        <v>309</v>
      </c>
      <c r="I113" s="74" t="s">
        <v>5210</v>
      </c>
      <c r="J113" s="74" t="s">
        <v>73</v>
      </c>
      <c r="K113" s="73" t="s">
        <v>2406</v>
      </c>
      <c r="L113" s="77">
        <v>1</v>
      </c>
      <c r="M113" s="78">
        <v>365.70068359375</v>
      </c>
      <c r="N113" s="78">
        <v>7400.611328125</v>
      </c>
      <c r="O113" s="79"/>
      <c r="P113" s="80"/>
      <c r="Q113" s="80"/>
      <c r="R113" s="93"/>
      <c r="S113" s="49">
        <v>0</v>
      </c>
      <c r="T113" s="49">
        <v>1</v>
      </c>
      <c r="U113" s="50">
        <v>0</v>
      </c>
      <c r="V113" s="50">
        <v>0.001555</v>
      </c>
      <c r="W113" s="50">
        <v>0.00022</v>
      </c>
      <c r="X113" s="50">
        <v>0.353312</v>
      </c>
      <c r="Y113" s="50">
        <v>0</v>
      </c>
      <c r="Z113" s="50">
        <v>0</v>
      </c>
      <c r="AA113" s="75">
        <v>113</v>
      </c>
      <c r="AB113" s="75"/>
      <c r="AC113" s="76"/>
      <c r="AD113" s="83" t="s">
        <v>1657</v>
      </c>
      <c r="AE113" s="91" t="s">
        <v>1866</v>
      </c>
      <c r="AF113" s="83">
        <v>18</v>
      </c>
      <c r="AG113" s="83">
        <v>6</v>
      </c>
      <c r="AH113" s="83">
        <v>834</v>
      </c>
      <c r="AI113" s="83">
        <v>792</v>
      </c>
      <c r="AJ113" s="83"/>
      <c r="AK113" s="83"/>
      <c r="AL113" s="83"/>
      <c r="AM113" s="83"/>
      <c r="AN113" s="83"/>
      <c r="AO113" s="85">
        <v>44035.703101851854</v>
      </c>
      <c r="AP113" s="83"/>
      <c r="AQ113" s="83" t="b">
        <v>1</v>
      </c>
      <c r="AR113" s="83" t="b">
        <v>1</v>
      </c>
      <c r="AS113" s="83" t="b">
        <v>0</v>
      </c>
      <c r="AT113" s="83"/>
      <c r="AU113" s="83">
        <v>0</v>
      </c>
      <c r="AV113" s="83"/>
      <c r="AW113" s="83" t="b">
        <v>0</v>
      </c>
      <c r="AX113" s="83" t="s">
        <v>2296</v>
      </c>
      <c r="AY113" s="88" t="str">
        <f>HYPERLINK("https://twitter.com/cardsdoc2012")</f>
        <v>https://twitter.com/cardsdoc2012</v>
      </c>
      <c r="AZ113" s="83" t="s">
        <v>66</v>
      </c>
      <c r="BA113" s="83" t="str">
        <f>REPLACE(INDEX(GroupVertices[Group],MATCH(Vertices[[#This Row],[Vertex]],GroupVertices[Vertex],0)),1,1,"")</f>
        <v>1</v>
      </c>
      <c r="BB113" s="49">
        <v>0</v>
      </c>
      <c r="BC113" s="50">
        <v>0</v>
      </c>
      <c r="BD113" s="49">
        <v>0</v>
      </c>
      <c r="BE113" s="50">
        <v>0</v>
      </c>
      <c r="BF113" s="49">
        <v>0</v>
      </c>
      <c r="BG113" s="50">
        <v>0</v>
      </c>
      <c r="BH113" s="49">
        <v>31</v>
      </c>
      <c r="BI113" s="50">
        <v>100</v>
      </c>
      <c r="BJ113" s="49">
        <v>31</v>
      </c>
      <c r="BK113" s="49"/>
      <c r="BL113" s="49"/>
      <c r="BM113" s="49"/>
      <c r="BN113" s="49"/>
      <c r="BO113" s="49" t="s">
        <v>4894</v>
      </c>
      <c r="BP113" s="49" t="s">
        <v>4894</v>
      </c>
      <c r="BQ113" s="119" t="s">
        <v>5006</v>
      </c>
      <c r="BR113" s="119" t="s">
        <v>5006</v>
      </c>
      <c r="BS113" s="119" t="s">
        <v>5139</v>
      </c>
      <c r="BT113" s="119" t="s">
        <v>5139</v>
      </c>
      <c r="BU113" s="2"/>
      <c r="BV113" s="3"/>
      <c r="BW113" s="3"/>
      <c r="BX113" s="3"/>
      <c r="BY113" s="3"/>
    </row>
    <row r="114" spans="1:77" ht="15">
      <c r="A114" s="68" t="s">
        <v>310</v>
      </c>
      <c r="B114" s="69"/>
      <c r="C114" s="69" t="s">
        <v>46</v>
      </c>
      <c r="D114" s="70"/>
      <c r="E114" s="72"/>
      <c r="F114" s="107" t="str">
        <f>HYPERLINK("http://pbs.twimg.com/profile_images/1154383562088599552/RbyNTvSg_normal.jpg")</f>
        <v>http://pbs.twimg.com/profile_images/1154383562088599552/RbyNTvSg_normal.jpg</v>
      </c>
      <c r="G114" s="69"/>
      <c r="H114" s="73" t="s">
        <v>310</v>
      </c>
      <c r="I114" s="74" t="s">
        <v>5220</v>
      </c>
      <c r="J114" s="74" t="s">
        <v>73</v>
      </c>
      <c r="K114" s="73" t="s">
        <v>2407</v>
      </c>
      <c r="L114" s="77">
        <v>1</v>
      </c>
      <c r="M114" s="78">
        <v>4707.59423828125</v>
      </c>
      <c r="N114" s="78">
        <v>425.4580383300781</v>
      </c>
      <c r="O114" s="79"/>
      <c r="P114" s="80"/>
      <c r="Q114" s="80"/>
      <c r="R114" s="93"/>
      <c r="S114" s="49">
        <v>0</v>
      </c>
      <c r="T114" s="49">
        <v>1</v>
      </c>
      <c r="U114" s="50">
        <v>0</v>
      </c>
      <c r="V114" s="50">
        <v>0.001511</v>
      </c>
      <c r="W114" s="50">
        <v>0.000203</v>
      </c>
      <c r="X114" s="50">
        <v>0.404088</v>
      </c>
      <c r="Y114" s="50">
        <v>0</v>
      </c>
      <c r="Z114" s="50">
        <v>0</v>
      </c>
      <c r="AA114" s="75">
        <v>114</v>
      </c>
      <c r="AB114" s="75"/>
      <c r="AC114" s="76"/>
      <c r="AD114" s="83" t="s">
        <v>1658</v>
      </c>
      <c r="AE114" s="91" t="s">
        <v>1867</v>
      </c>
      <c r="AF114" s="83">
        <v>2074</v>
      </c>
      <c r="AG114" s="83">
        <v>764</v>
      </c>
      <c r="AH114" s="83">
        <v>54614</v>
      </c>
      <c r="AI114" s="83">
        <v>11395</v>
      </c>
      <c r="AJ114" s="83"/>
      <c r="AK114" s="83" t="s">
        <v>2072</v>
      </c>
      <c r="AL114" s="83" t="s">
        <v>2196</v>
      </c>
      <c r="AM114" s="88" t="str">
        <f>HYPERLINK("https://t.co/r7nD8V7XJX")</f>
        <v>https://t.co/r7nD8V7XJX</v>
      </c>
      <c r="AN114" s="83"/>
      <c r="AO114" s="85">
        <v>43671.557291666664</v>
      </c>
      <c r="AP114" s="88" t="str">
        <f>HYPERLINK("https://pbs.twimg.com/profile_banners/1154381411614416906/1564600386")</f>
        <v>https://pbs.twimg.com/profile_banners/1154381411614416906/1564600386</v>
      </c>
      <c r="AQ114" s="83" t="b">
        <v>1</v>
      </c>
      <c r="AR114" s="83" t="b">
        <v>0</v>
      </c>
      <c r="AS114" s="83" t="b">
        <v>0</v>
      </c>
      <c r="AT114" s="83"/>
      <c r="AU114" s="83">
        <v>13</v>
      </c>
      <c r="AV114" s="83"/>
      <c r="AW114" s="83" t="b">
        <v>0</v>
      </c>
      <c r="AX114" s="83" t="s">
        <v>2296</v>
      </c>
      <c r="AY114" s="88" t="str">
        <f>HYPERLINK("https://twitter.com/1nterestingtech")</f>
        <v>https://twitter.com/1nterestingtech</v>
      </c>
      <c r="AZ114" s="83" t="s">
        <v>66</v>
      </c>
      <c r="BA114" s="83" t="str">
        <f>REPLACE(INDEX(GroupVertices[Group],MATCH(Vertices[[#This Row],[Vertex]],GroupVertices[Vertex],0)),1,1,"")</f>
        <v>3</v>
      </c>
      <c r="BB114" s="49">
        <v>0</v>
      </c>
      <c r="BC114" s="50">
        <v>0</v>
      </c>
      <c r="BD114" s="49">
        <v>0</v>
      </c>
      <c r="BE114" s="50">
        <v>0</v>
      </c>
      <c r="BF114" s="49">
        <v>0</v>
      </c>
      <c r="BG114" s="50">
        <v>0</v>
      </c>
      <c r="BH114" s="49">
        <v>25</v>
      </c>
      <c r="BI114" s="50">
        <v>100</v>
      </c>
      <c r="BJ114" s="49">
        <v>25</v>
      </c>
      <c r="BK114" s="49" t="s">
        <v>4457</v>
      </c>
      <c r="BL114" s="49" t="s">
        <v>4457</v>
      </c>
      <c r="BM114" s="49" t="s">
        <v>541</v>
      </c>
      <c r="BN114" s="49" t="s">
        <v>541</v>
      </c>
      <c r="BO114" s="49" t="s">
        <v>580</v>
      </c>
      <c r="BP114" s="49" t="s">
        <v>580</v>
      </c>
      <c r="BQ114" s="119" t="s">
        <v>5011</v>
      </c>
      <c r="BR114" s="119" t="s">
        <v>5011</v>
      </c>
      <c r="BS114" s="119" t="s">
        <v>5143</v>
      </c>
      <c r="BT114" s="119" t="s">
        <v>5143</v>
      </c>
      <c r="BU114" s="2"/>
      <c r="BV114" s="3"/>
      <c r="BW114" s="3"/>
      <c r="BX114" s="3"/>
      <c r="BY114" s="3"/>
    </row>
    <row r="115" spans="1:77" ht="15">
      <c r="A115" s="68" t="s">
        <v>311</v>
      </c>
      <c r="B115" s="69"/>
      <c r="C115" s="69" t="s">
        <v>46</v>
      </c>
      <c r="D115" s="70"/>
      <c r="E115" s="72"/>
      <c r="F115" s="107" t="str">
        <f>HYPERLINK("http://pbs.twimg.com/profile_images/1256807129668714497/aHEdi75y_normal.jpg")</f>
        <v>http://pbs.twimg.com/profile_images/1256807129668714497/aHEdi75y_normal.jpg</v>
      </c>
      <c r="G115" s="69"/>
      <c r="H115" s="73" t="s">
        <v>311</v>
      </c>
      <c r="I115" s="74" t="s">
        <v>5213</v>
      </c>
      <c r="J115" s="74" t="s">
        <v>73</v>
      </c>
      <c r="K115" s="73" t="s">
        <v>2408</v>
      </c>
      <c r="L115" s="77">
        <v>1</v>
      </c>
      <c r="M115" s="78">
        <v>5503.5673828125</v>
      </c>
      <c r="N115" s="78">
        <v>2439.2568359375</v>
      </c>
      <c r="O115" s="79"/>
      <c r="P115" s="80"/>
      <c r="Q115" s="80"/>
      <c r="R115" s="93"/>
      <c r="S115" s="49">
        <v>0</v>
      </c>
      <c r="T115" s="49">
        <v>1</v>
      </c>
      <c r="U115" s="50">
        <v>0</v>
      </c>
      <c r="V115" s="50">
        <v>0.001235</v>
      </c>
      <c r="W115" s="50">
        <v>2E-05</v>
      </c>
      <c r="X115" s="50">
        <v>0.359433</v>
      </c>
      <c r="Y115" s="50">
        <v>0</v>
      </c>
      <c r="Z115" s="50">
        <v>0</v>
      </c>
      <c r="AA115" s="75">
        <v>115</v>
      </c>
      <c r="AB115" s="75"/>
      <c r="AC115" s="76"/>
      <c r="AD115" s="83" t="s">
        <v>1659</v>
      </c>
      <c r="AE115" s="91" t="s">
        <v>1868</v>
      </c>
      <c r="AF115" s="83">
        <v>48</v>
      </c>
      <c r="AG115" s="83">
        <v>11</v>
      </c>
      <c r="AH115" s="83">
        <v>931</v>
      </c>
      <c r="AI115" s="83">
        <v>1489</v>
      </c>
      <c r="AJ115" s="83"/>
      <c r="AK115" s="83"/>
      <c r="AL115" s="83" t="s">
        <v>2238</v>
      </c>
      <c r="AM115" s="83"/>
      <c r="AN115" s="83"/>
      <c r="AO115" s="85">
        <v>43918.15113425926</v>
      </c>
      <c r="AP115" s="83"/>
      <c r="AQ115" s="83" t="b">
        <v>1</v>
      </c>
      <c r="AR115" s="83" t="b">
        <v>0</v>
      </c>
      <c r="AS115" s="83" t="b">
        <v>0</v>
      </c>
      <c r="AT115" s="83"/>
      <c r="AU115" s="83">
        <v>0</v>
      </c>
      <c r="AV115" s="83"/>
      <c r="AW115" s="83" t="b">
        <v>0</v>
      </c>
      <c r="AX115" s="83" t="s">
        <v>2296</v>
      </c>
      <c r="AY115" s="88" t="str">
        <f>HYPERLINK("https://twitter.com/dybalafan10")</f>
        <v>https://twitter.com/dybalafan10</v>
      </c>
      <c r="AZ115" s="83" t="s">
        <v>66</v>
      </c>
      <c r="BA115" s="83" t="str">
        <f>REPLACE(INDEX(GroupVertices[Group],MATCH(Vertices[[#This Row],[Vertex]],GroupVertices[Vertex],0)),1,1,"")</f>
        <v>8</v>
      </c>
      <c r="BB115" s="49">
        <v>0</v>
      </c>
      <c r="BC115" s="50">
        <v>0</v>
      </c>
      <c r="BD115" s="49">
        <v>0</v>
      </c>
      <c r="BE115" s="50">
        <v>0</v>
      </c>
      <c r="BF115" s="49">
        <v>0</v>
      </c>
      <c r="BG115" s="50">
        <v>0</v>
      </c>
      <c r="BH115" s="49">
        <v>42</v>
      </c>
      <c r="BI115" s="50">
        <v>100</v>
      </c>
      <c r="BJ115" s="49">
        <v>42</v>
      </c>
      <c r="BK115" s="49" t="s">
        <v>4458</v>
      </c>
      <c r="BL115" s="49" t="s">
        <v>4458</v>
      </c>
      <c r="BM115" s="49" t="s">
        <v>547</v>
      </c>
      <c r="BN115" s="49" t="s">
        <v>547</v>
      </c>
      <c r="BO115" s="49" t="s">
        <v>595</v>
      </c>
      <c r="BP115" s="49" t="s">
        <v>595</v>
      </c>
      <c r="BQ115" s="119" t="s">
        <v>5012</v>
      </c>
      <c r="BR115" s="119" t="s">
        <v>5012</v>
      </c>
      <c r="BS115" s="119" t="s">
        <v>5144</v>
      </c>
      <c r="BT115" s="119" t="s">
        <v>5144</v>
      </c>
      <c r="BU115" s="2"/>
      <c r="BV115" s="3"/>
      <c r="BW115" s="3"/>
      <c r="BX115" s="3"/>
      <c r="BY115" s="3"/>
    </row>
    <row r="116" spans="1:77" ht="15">
      <c r="A116" s="68" t="s">
        <v>421</v>
      </c>
      <c r="B116" s="69"/>
      <c r="C116" s="69" t="s">
        <v>64</v>
      </c>
      <c r="D116" s="70">
        <v>947.6856687713524</v>
      </c>
      <c r="E116" s="72"/>
      <c r="F116" s="107" t="str">
        <f>HYPERLINK("http://pbs.twimg.com/profile_images/1304601732345769984/c_7sBCp5_normal.jpg")</f>
        <v>http://pbs.twimg.com/profile_images/1304601732345769984/c_7sBCp5_normal.jpg</v>
      </c>
      <c r="G116" s="69"/>
      <c r="H116" s="73" t="s">
        <v>421</v>
      </c>
      <c r="I116" s="74" t="s">
        <v>5213</v>
      </c>
      <c r="J116" s="74" t="s">
        <v>73</v>
      </c>
      <c r="K116" s="73" t="s">
        <v>2409</v>
      </c>
      <c r="L116" s="77">
        <v>4193.709677419355</v>
      </c>
      <c r="M116" s="78">
        <v>5859.2333984375</v>
      </c>
      <c r="N116" s="78">
        <v>1545.9049072265625</v>
      </c>
      <c r="O116" s="79"/>
      <c r="P116" s="80"/>
      <c r="Q116" s="80"/>
      <c r="R116" s="93"/>
      <c r="S116" s="49">
        <v>13</v>
      </c>
      <c r="T116" s="49">
        <v>1</v>
      </c>
      <c r="U116" s="50">
        <v>2867.675729</v>
      </c>
      <c r="V116" s="50">
        <v>0.00159</v>
      </c>
      <c r="W116" s="50">
        <v>0.000305</v>
      </c>
      <c r="X116" s="50">
        <v>3.20309</v>
      </c>
      <c r="Y116" s="50">
        <v>0</v>
      </c>
      <c r="Z116" s="50">
        <v>0</v>
      </c>
      <c r="AA116" s="75">
        <v>116</v>
      </c>
      <c r="AB116" s="75"/>
      <c r="AC116" s="76"/>
      <c r="AD116" s="83" t="s">
        <v>1660</v>
      </c>
      <c r="AE116" s="91" t="s">
        <v>1869</v>
      </c>
      <c r="AF116" s="83">
        <v>388</v>
      </c>
      <c r="AG116" s="83">
        <v>2276</v>
      </c>
      <c r="AH116" s="83">
        <v>7486</v>
      </c>
      <c r="AI116" s="83">
        <v>9814</v>
      </c>
      <c r="AJ116" s="83"/>
      <c r="AK116" s="83" t="s">
        <v>2073</v>
      </c>
      <c r="AL116" s="83" t="s">
        <v>2174</v>
      </c>
      <c r="AM116" s="88" t="str">
        <f>HYPERLINK("https://t.co/a8ej7rgRy1")</f>
        <v>https://t.co/a8ej7rgRy1</v>
      </c>
      <c r="AN116" s="83"/>
      <c r="AO116" s="85">
        <v>41282.22076388889</v>
      </c>
      <c r="AP116" s="88" t="str">
        <f>HYPERLINK("https://pbs.twimg.com/profile_banners/1070045767/1596554614")</f>
        <v>https://pbs.twimg.com/profile_banners/1070045767/1596554614</v>
      </c>
      <c r="AQ116" s="83" t="b">
        <v>0</v>
      </c>
      <c r="AR116" s="83" t="b">
        <v>0</v>
      </c>
      <c r="AS116" s="83" t="b">
        <v>0</v>
      </c>
      <c r="AT116" s="83"/>
      <c r="AU116" s="83">
        <v>4</v>
      </c>
      <c r="AV116" s="88" t="str">
        <f>HYPERLINK("http://abs.twimg.com/images/themes/theme1/bg.png")</f>
        <v>http://abs.twimg.com/images/themes/theme1/bg.png</v>
      </c>
      <c r="AW116" s="83" t="b">
        <v>0</v>
      </c>
      <c r="AX116" s="83" t="s">
        <v>2296</v>
      </c>
      <c r="AY116" s="88" t="str">
        <f>HYPERLINK("https://twitter.com/switchhitx")</f>
        <v>https://twitter.com/switchhitx</v>
      </c>
      <c r="AZ116" s="83" t="s">
        <v>66</v>
      </c>
      <c r="BA116" s="83" t="str">
        <f>REPLACE(INDEX(GroupVertices[Group],MATCH(Vertices[[#This Row],[Vertex]],GroupVertices[Vertex],0)),1,1,"")</f>
        <v>8</v>
      </c>
      <c r="BB116" s="49">
        <v>0</v>
      </c>
      <c r="BC116" s="50">
        <v>0</v>
      </c>
      <c r="BD116" s="49">
        <v>0</v>
      </c>
      <c r="BE116" s="50">
        <v>0</v>
      </c>
      <c r="BF116" s="49">
        <v>0</v>
      </c>
      <c r="BG116" s="50">
        <v>0</v>
      </c>
      <c r="BH116" s="49">
        <v>42</v>
      </c>
      <c r="BI116" s="50">
        <v>100</v>
      </c>
      <c r="BJ116" s="49">
        <v>42</v>
      </c>
      <c r="BK116" s="49" t="s">
        <v>4458</v>
      </c>
      <c r="BL116" s="49" t="s">
        <v>4458</v>
      </c>
      <c r="BM116" s="49" t="s">
        <v>547</v>
      </c>
      <c r="BN116" s="49" t="s">
        <v>547</v>
      </c>
      <c r="BO116" s="49" t="s">
        <v>595</v>
      </c>
      <c r="BP116" s="49" t="s">
        <v>595</v>
      </c>
      <c r="BQ116" s="119" t="s">
        <v>5012</v>
      </c>
      <c r="BR116" s="119" t="s">
        <v>5012</v>
      </c>
      <c r="BS116" s="119" t="s">
        <v>5144</v>
      </c>
      <c r="BT116" s="119" t="s">
        <v>5144</v>
      </c>
      <c r="BU116" s="2"/>
      <c r="BV116" s="3"/>
      <c r="BW116" s="3"/>
      <c r="BX116" s="3"/>
      <c r="BY116" s="3"/>
    </row>
    <row r="117" spans="1:77" ht="15">
      <c r="A117" s="68" t="s">
        <v>312</v>
      </c>
      <c r="B117" s="69"/>
      <c r="C117" s="69" t="s">
        <v>46</v>
      </c>
      <c r="D117" s="70">
        <v>10</v>
      </c>
      <c r="E117" s="72"/>
      <c r="F117" s="107" t="str">
        <f>HYPERLINK("http://pbs.twimg.com/profile_images/1109075084738744322/Cn-1CzS7_normal.jpg")</f>
        <v>http://pbs.twimg.com/profile_images/1109075084738744322/Cn-1CzS7_normal.jpg</v>
      </c>
      <c r="G117" s="69"/>
      <c r="H117" s="73" t="s">
        <v>312</v>
      </c>
      <c r="I117" s="74" t="s">
        <v>5218</v>
      </c>
      <c r="J117" s="74" t="s">
        <v>73</v>
      </c>
      <c r="K117" s="73" t="s">
        <v>2410</v>
      </c>
      <c r="L117" s="77">
        <v>323.51612903225805</v>
      </c>
      <c r="M117" s="78"/>
      <c r="N117" s="78"/>
      <c r="O117" s="79"/>
      <c r="P117" s="80"/>
      <c r="Q117" s="80"/>
      <c r="R117" s="93"/>
      <c r="S117" s="49">
        <v>1</v>
      </c>
      <c r="T117" s="49">
        <v>1</v>
      </c>
      <c r="U117" s="50">
        <v>0</v>
      </c>
      <c r="V117" s="50">
        <v>0</v>
      </c>
      <c r="W117" s="50">
        <v>0</v>
      </c>
      <c r="X117" s="50">
        <v>0.999997</v>
      </c>
      <c r="Y117" s="50">
        <v>0</v>
      </c>
      <c r="Z117" s="50">
        <v>0</v>
      </c>
      <c r="AA117" s="75">
        <v>117</v>
      </c>
      <c r="AB117" s="75"/>
      <c r="AC117" s="76"/>
      <c r="AD117" s="83" t="s">
        <v>1661</v>
      </c>
      <c r="AE117" s="91" t="s">
        <v>1870</v>
      </c>
      <c r="AF117" s="83">
        <v>1718</v>
      </c>
      <c r="AG117" s="83">
        <v>273</v>
      </c>
      <c r="AH117" s="83">
        <v>1258</v>
      </c>
      <c r="AI117" s="83">
        <v>109</v>
      </c>
      <c r="AJ117" s="83"/>
      <c r="AK117" s="83" t="s">
        <v>2074</v>
      </c>
      <c r="AL117" s="83" t="s">
        <v>2239</v>
      </c>
      <c r="AM117" s="83"/>
      <c r="AN117" s="83"/>
      <c r="AO117" s="85">
        <v>40337.648993055554</v>
      </c>
      <c r="AP117" s="88" t="str">
        <f>HYPERLINK("https://pbs.twimg.com/profile_banners/153445819/1599219921")</f>
        <v>https://pbs.twimg.com/profile_banners/153445819/1599219921</v>
      </c>
      <c r="AQ117" s="83" t="b">
        <v>1</v>
      </c>
      <c r="AR117" s="83" t="b">
        <v>0</v>
      </c>
      <c r="AS117" s="83" t="b">
        <v>0</v>
      </c>
      <c r="AT117" s="83"/>
      <c r="AU117" s="83">
        <v>2</v>
      </c>
      <c r="AV117" s="88" t="str">
        <f>HYPERLINK("http://abs.twimg.com/images/themes/theme1/bg.png")</f>
        <v>http://abs.twimg.com/images/themes/theme1/bg.png</v>
      </c>
      <c r="AW117" s="83" t="b">
        <v>0</v>
      </c>
      <c r="AX117" s="83" t="s">
        <v>2296</v>
      </c>
      <c r="AY117" s="88" t="str">
        <f>HYPERLINK("https://twitter.com/rajrahula_")</f>
        <v>https://twitter.com/rajrahula_</v>
      </c>
      <c r="AZ117" s="83" t="s">
        <v>66</v>
      </c>
      <c r="BA117" s="83" t="str">
        <f>REPLACE(INDEX(GroupVertices[Group],MATCH(Vertices[[#This Row],[Vertex]],GroupVertices[Vertex],0)),1,1,"")</f>
        <v>6</v>
      </c>
      <c r="BB117" s="49">
        <v>0</v>
      </c>
      <c r="BC117" s="50">
        <v>0</v>
      </c>
      <c r="BD117" s="49">
        <v>0</v>
      </c>
      <c r="BE117" s="50">
        <v>0</v>
      </c>
      <c r="BF117" s="49">
        <v>0</v>
      </c>
      <c r="BG117" s="50">
        <v>0</v>
      </c>
      <c r="BH117" s="49">
        <v>16</v>
      </c>
      <c r="BI117" s="50">
        <v>100</v>
      </c>
      <c r="BJ117" s="49">
        <v>16</v>
      </c>
      <c r="BK117" s="49" t="s">
        <v>4491</v>
      </c>
      <c r="BL117" s="49" t="s">
        <v>4491</v>
      </c>
      <c r="BM117" s="49" t="s">
        <v>533</v>
      </c>
      <c r="BN117" s="49" t="s">
        <v>533</v>
      </c>
      <c r="BO117" s="49" t="s">
        <v>596</v>
      </c>
      <c r="BP117" s="49" t="s">
        <v>596</v>
      </c>
      <c r="BQ117" s="119" t="s">
        <v>5013</v>
      </c>
      <c r="BR117" s="119" t="s">
        <v>5013</v>
      </c>
      <c r="BS117" s="119" t="s">
        <v>5145</v>
      </c>
      <c r="BT117" s="119" t="s">
        <v>5145</v>
      </c>
      <c r="BU117" s="2"/>
      <c r="BV117" s="3"/>
      <c r="BW117" s="3"/>
      <c r="BX117" s="3"/>
      <c r="BY117" s="3"/>
    </row>
    <row r="118" spans="1:77" ht="15">
      <c r="A118" s="68" t="s">
        <v>313</v>
      </c>
      <c r="B118" s="69"/>
      <c r="C118" s="69" t="s">
        <v>46</v>
      </c>
      <c r="D118" s="70"/>
      <c r="E118" s="72"/>
      <c r="F118" s="107" t="str">
        <f>HYPERLINK("http://pbs.twimg.com/profile_images/609755796327538689/6E6fehAx_normal.jpg")</f>
        <v>http://pbs.twimg.com/profile_images/609755796327538689/6E6fehAx_normal.jpg</v>
      </c>
      <c r="G118" s="69"/>
      <c r="H118" s="73" t="s">
        <v>313</v>
      </c>
      <c r="I118" s="74" t="s">
        <v>5220</v>
      </c>
      <c r="J118" s="74" t="s">
        <v>73</v>
      </c>
      <c r="K118" s="73" t="s">
        <v>2411</v>
      </c>
      <c r="L118" s="77">
        <v>1</v>
      </c>
      <c r="M118" s="78">
        <v>5252.1337890625</v>
      </c>
      <c r="N118" s="78">
        <v>3208.8818359375</v>
      </c>
      <c r="O118" s="79"/>
      <c r="P118" s="80"/>
      <c r="Q118" s="80"/>
      <c r="R118" s="93"/>
      <c r="S118" s="49">
        <v>0</v>
      </c>
      <c r="T118" s="49">
        <v>1</v>
      </c>
      <c r="U118" s="50">
        <v>0</v>
      </c>
      <c r="V118" s="50">
        <v>0.001511</v>
      </c>
      <c r="W118" s="50">
        <v>0.000203</v>
      </c>
      <c r="X118" s="50">
        <v>0.404088</v>
      </c>
      <c r="Y118" s="50">
        <v>0</v>
      </c>
      <c r="Z118" s="50">
        <v>0</v>
      </c>
      <c r="AA118" s="75">
        <v>118</v>
      </c>
      <c r="AB118" s="75"/>
      <c r="AC118" s="76"/>
      <c r="AD118" s="83" t="s">
        <v>1662</v>
      </c>
      <c r="AE118" s="91" t="s">
        <v>1871</v>
      </c>
      <c r="AF118" s="83">
        <v>698</v>
      </c>
      <c r="AG118" s="83">
        <v>1157</v>
      </c>
      <c r="AH118" s="83">
        <v>16138</v>
      </c>
      <c r="AI118" s="83">
        <v>1997</v>
      </c>
      <c r="AJ118" s="83"/>
      <c r="AK118" s="83" t="s">
        <v>2075</v>
      </c>
      <c r="AL118" s="83" t="s">
        <v>2240</v>
      </c>
      <c r="AM118" s="88" t="str">
        <f>HYPERLINK("https://t.co/G7i2NqSJtW")</f>
        <v>https://t.co/G7i2NqSJtW</v>
      </c>
      <c r="AN118" s="83"/>
      <c r="AO118" s="85">
        <v>42168.62280092593</v>
      </c>
      <c r="AP118" s="88" t="str">
        <f>HYPERLINK("https://pbs.twimg.com/profile_banners/3323137787/1434299119")</f>
        <v>https://pbs.twimg.com/profile_banners/3323137787/1434299119</v>
      </c>
      <c r="AQ118" s="83" t="b">
        <v>1</v>
      </c>
      <c r="AR118" s="83" t="b">
        <v>0</v>
      </c>
      <c r="AS118" s="83" t="b">
        <v>1</v>
      </c>
      <c r="AT118" s="83"/>
      <c r="AU118" s="83">
        <v>358</v>
      </c>
      <c r="AV118" s="88" t="str">
        <f>HYPERLINK("http://abs.twimg.com/images/themes/theme1/bg.png")</f>
        <v>http://abs.twimg.com/images/themes/theme1/bg.png</v>
      </c>
      <c r="AW118" s="83" t="b">
        <v>0</v>
      </c>
      <c r="AX118" s="83" t="s">
        <v>2296</v>
      </c>
      <c r="AY118" s="88" t="str">
        <f>HYPERLINK("https://twitter.com/andrea_ilsergio")</f>
        <v>https://twitter.com/andrea_ilsergio</v>
      </c>
      <c r="AZ118" s="83" t="s">
        <v>66</v>
      </c>
      <c r="BA118" s="83" t="str">
        <f>REPLACE(INDEX(GroupVertices[Group],MATCH(Vertices[[#This Row],[Vertex]],GroupVertices[Vertex],0)),1,1,"")</f>
        <v>3</v>
      </c>
      <c r="BB118" s="49">
        <v>0</v>
      </c>
      <c r="BC118" s="50">
        <v>0</v>
      </c>
      <c r="BD118" s="49">
        <v>0</v>
      </c>
      <c r="BE118" s="50">
        <v>0</v>
      </c>
      <c r="BF118" s="49">
        <v>0</v>
      </c>
      <c r="BG118" s="50">
        <v>0</v>
      </c>
      <c r="BH118" s="49">
        <v>25</v>
      </c>
      <c r="BI118" s="50">
        <v>100</v>
      </c>
      <c r="BJ118" s="49">
        <v>25</v>
      </c>
      <c r="BK118" s="49" t="s">
        <v>4457</v>
      </c>
      <c r="BL118" s="49" t="s">
        <v>4457</v>
      </c>
      <c r="BM118" s="49" t="s">
        <v>541</v>
      </c>
      <c r="BN118" s="49" t="s">
        <v>541</v>
      </c>
      <c r="BO118" s="49" t="s">
        <v>580</v>
      </c>
      <c r="BP118" s="49" t="s">
        <v>580</v>
      </c>
      <c r="BQ118" s="119" t="s">
        <v>5011</v>
      </c>
      <c r="BR118" s="119" t="s">
        <v>5011</v>
      </c>
      <c r="BS118" s="119" t="s">
        <v>5143</v>
      </c>
      <c r="BT118" s="119" t="s">
        <v>5143</v>
      </c>
      <c r="BU118" s="2"/>
      <c r="BV118" s="3"/>
      <c r="BW118" s="3"/>
      <c r="BX118" s="3"/>
      <c r="BY118" s="3"/>
    </row>
    <row r="119" spans="1:77" ht="15">
      <c r="A119" s="68" t="s">
        <v>314</v>
      </c>
      <c r="B119" s="69"/>
      <c r="C119" s="69" t="s">
        <v>46</v>
      </c>
      <c r="D119" s="70"/>
      <c r="E119" s="72"/>
      <c r="F119" s="107" t="str">
        <f>HYPERLINK("http://pbs.twimg.com/profile_images/1300160365620269057/Ch9guQML_normal.jpg")</f>
        <v>http://pbs.twimg.com/profile_images/1300160365620269057/Ch9guQML_normal.jpg</v>
      </c>
      <c r="G119" s="69"/>
      <c r="H119" s="73" t="s">
        <v>314</v>
      </c>
      <c r="I119" s="74" t="s">
        <v>5217</v>
      </c>
      <c r="J119" s="74" t="s">
        <v>73</v>
      </c>
      <c r="K119" s="73" t="s">
        <v>2412</v>
      </c>
      <c r="L119" s="77">
        <v>1</v>
      </c>
      <c r="M119" s="78">
        <v>4618.39599609375</v>
      </c>
      <c r="N119" s="78">
        <v>9389.966796875</v>
      </c>
      <c r="O119" s="79"/>
      <c r="P119" s="80"/>
      <c r="Q119" s="80"/>
      <c r="R119" s="93"/>
      <c r="S119" s="49">
        <v>0</v>
      </c>
      <c r="T119" s="49">
        <v>1</v>
      </c>
      <c r="U119" s="50">
        <v>0</v>
      </c>
      <c r="V119" s="50">
        <v>0.001366</v>
      </c>
      <c r="W119" s="50">
        <v>2E-05</v>
      </c>
      <c r="X119" s="50">
        <v>0.37486</v>
      </c>
      <c r="Y119" s="50">
        <v>0</v>
      </c>
      <c r="Z119" s="50">
        <v>0</v>
      </c>
      <c r="AA119" s="75">
        <v>119</v>
      </c>
      <c r="AB119" s="75"/>
      <c r="AC119" s="76"/>
      <c r="AD119" s="83" t="s">
        <v>1663</v>
      </c>
      <c r="AE119" s="91" t="s">
        <v>1872</v>
      </c>
      <c r="AF119" s="83">
        <v>3927</v>
      </c>
      <c r="AG119" s="83">
        <v>6018</v>
      </c>
      <c r="AH119" s="83">
        <v>80016</v>
      </c>
      <c r="AI119" s="83">
        <v>36012</v>
      </c>
      <c r="AJ119" s="83"/>
      <c r="AK119" s="83" t="s">
        <v>2076</v>
      </c>
      <c r="AL119" s="83" t="s">
        <v>2241</v>
      </c>
      <c r="AM119" s="83"/>
      <c r="AN119" s="83"/>
      <c r="AO119" s="85">
        <v>42946.295219907406</v>
      </c>
      <c r="AP119" s="88" t="str">
        <f>HYPERLINK("https://pbs.twimg.com/profile_banners/891555237848375297/1588524879")</f>
        <v>https://pbs.twimg.com/profile_banners/891555237848375297/1588524879</v>
      </c>
      <c r="AQ119" s="83" t="b">
        <v>1</v>
      </c>
      <c r="AR119" s="83" t="b">
        <v>0</v>
      </c>
      <c r="AS119" s="83" t="b">
        <v>0</v>
      </c>
      <c r="AT119" s="83"/>
      <c r="AU119" s="83">
        <v>7</v>
      </c>
      <c r="AV119" s="83"/>
      <c r="AW119" s="83" t="b">
        <v>0</v>
      </c>
      <c r="AX119" s="83" t="s">
        <v>2296</v>
      </c>
      <c r="AY119" s="88" t="str">
        <f>HYPERLINK("https://twitter.com/k_cybersecwrld")</f>
        <v>https://twitter.com/k_cybersecwrld</v>
      </c>
      <c r="AZ119" s="83" t="s">
        <v>66</v>
      </c>
      <c r="BA119" s="83" t="str">
        <f>REPLACE(INDEX(GroupVertices[Group],MATCH(Vertices[[#This Row],[Vertex]],GroupVertices[Vertex],0)),1,1,"")</f>
        <v>2</v>
      </c>
      <c r="BB119" s="49">
        <v>0</v>
      </c>
      <c r="BC119" s="50">
        <v>0</v>
      </c>
      <c r="BD119" s="49">
        <v>0</v>
      </c>
      <c r="BE119" s="50">
        <v>0</v>
      </c>
      <c r="BF119" s="49">
        <v>0</v>
      </c>
      <c r="BG119" s="50">
        <v>0</v>
      </c>
      <c r="BH119" s="49">
        <v>26</v>
      </c>
      <c r="BI119" s="50">
        <v>100</v>
      </c>
      <c r="BJ119" s="49">
        <v>26</v>
      </c>
      <c r="BK119" s="49" t="s">
        <v>4455</v>
      </c>
      <c r="BL119" s="49" t="s">
        <v>4455</v>
      </c>
      <c r="BM119" s="49" t="s">
        <v>533</v>
      </c>
      <c r="BN119" s="49" t="s">
        <v>533</v>
      </c>
      <c r="BO119" s="49"/>
      <c r="BP119" s="49"/>
      <c r="BQ119" s="119" t="s">
        <v>4983</v>
      </c>
      <c r="BR119" s="119" t="s">
        <v>4983</v>
      </c>
      <c r="BS119" s="119" t="s">
        <v>5118</v>
      </c>
      <c r="BT119" s="119" t="s">
        <v>5118</v>
      </c>
      <c r="BU119" s="2"/>
      <c r="BV119" s="3"/>
      <c r="BW119" s="3"/>
      <c r="BX119" s="3"/>
      <c r="BY119" s="3"/>
    </row>
    <row r="120" spans="1:77" ht="15">
      <c r="A120" s="68" t="s">
        <v>315</v>
      </c>
      <c r="B120" s="69"/>
      <c r="C120" s="69" t="s">
        <v>46</v>
      </c>
      <c r="D120" s="70"/>
      <c r="E120" s="72"/>
      <c r="F120" s="107" t="str">
        <f>HYPERLINK("http://pbs.twimg.com/profile_images/1181927089991229440/yNLLigav_normal.jpg")</f>
        <v>http://pbs.twimg.com/profile_images/1181927089991229440/yNLLigav_normal.jpg</v>
      </c>
      <c r="G120" s="69"/>
      <c r="H120" s="73" t="s">
        <v>315</v>
      </c>
      <c r="I120" s="74" t="s">
        <v>5217</v>
      </c>
      <c r="J120" s="74" t="s">
        <v>73</v>
      </c>
      <c r="K120" s="73" t="s">
        <v>2413</v>
      </c>
      <c r="L120" s="77">
        <v>1</v>
      </c>
      <c r="M120" s="78">
        <v>3650.467529296875</v>
      </c>
      <c r="N120" s="78">
        <v>9023.1025390625</v>
      </c>
      <c r="O120" s="79"/>
      <c r="P120" s="80"/>
      <c r="Q120" s="80"/>
      <c r="R120" s="93"/>
      <c r="S120" s="49">
        <v>0</v>
      </c>
      <c r="T120" s="49">
        <v>1</v>
      </c>
      <c r="U120" s="50">
        <v>0</v>
      </c>
      <c r="V120" s="50">
        <v>0.001366</v>
      </c>
      <c r="W120" s="50">
        <v>2E-05</v>
      </c>
      <c r="X120" s="50">
        <v>0.37486</v>
      </c>
      <c r="Y120" s="50">
        <v>0</v>
      </c>
      <c r="Z120" s="50">
        <v>0</v>
      </c>
      <c r="AA120" s="75">
        <v>120</v>
      </c>
      <c r="AB120" s="75"/>
      <c r="AC120" s="76"/>
      <c r="AD120" s="83" t="s">
        <v>1664</v>
      </c>
      <c r="AE120" s="91" t="s">
        <v>1873</v>
      </c>
      <c r="AF120" s="83">
        <v>610</v>
      </c>
      <c r="AG120" s="83">
        <v>1910</v>
      </c>
      <c r="AH120" s="83">
        <v>172722</v>
      </c>
      <c r="AI120" s="83">
        <v>2923</v>
      </c>
      <c r="AJ120" s="83"/>
      <c r="AK120" s="83" t="s">
        <v>2077</v>
      </c>
      <c r="AL120" s="83"/>
      <c r="AM120" s="83"/>
      <c r="AN120" s="83"/>
      <c r="AO120" s="85">
        <v>40402.54708333333</v>
      </c>
      <c r="AP120" s="88" t="str">
        <f>HYPERLINK("https://pbs.twimg.com/profile_banners/177556998/1554073180")</f>
        <v>https://pbs.twimg.com/profile_banners/177556998/1554073180</v>
      </c>
      <c r="AQ120" s="83" t="b">
        <v>0</v>
      </c>
      <c r="AR120" s="83" t="b">
        <v>0</v>
      </c>
      <c r="AS120" s="83" t="b">
        <v>1</v>
      </c>
      <c r="AT120" s="83"/>
      <c r="AU120" s="83">
        <v>54</v>
      </c>
      <c r="AV120" s="88" t="str">
        <f>HYPERLINK("http://abs.twimg.com/images/themes/theme19/bg.gif")</f>
        <v>http://abs.twimg.com/images/themes/theme19/bg.gif</v>
      </c>
      <c r="AW120" s="83" t="b">
        <v>0</v>
      </c>
      <c r="AX120" s="83" t="s">
        <v>2296</v>
      </c>
      <c r="AY120" s="88" t="str">
        <f>HYPERLINK("https://twitter.com/_choccie")</f>
        <v>https://twitter.com/_choccie</v>
      </c>
      <c r="AZ120" s="83" t="s">
        <v>66</v>
      </c>
      <c r="BA120" s="83" t="str">
        <f>REPLACE(INDEX(GroupVertices[Group],MATCH(Vertices[[#This Row],[Vertex]],GroupVertices[Vertex],0)),1,1,"")</f>
        <v>2</v>
      </c>
      <c r="BB120" s="49">
        <v>0</v>
      </c>
      <c r="BC120" s="50">
        <v>0</v>
      </c>
      <c r="BD120" s="49">
        <v>0</v>
      </c>
      <c r="BE120" s="50">
        <v>0</v>
      </c>
      <c r="BF120" s="49">
        <v>0</v>
      </c>
      <c r="BG120" s="50">
        <v>0</v>
      </c>
      <c r="BH120" s="49">
        <v>26</v>
      </c>
      <c r="BI120" s="50">
        <v>100</v>
      </c>
      <c r="BJ120" s="49">
        <v>26</v>
      </c>
      <c r="BK120" s="49" t="s">
        <v>4455</v>
      </c>
      <c r="BL120" s="49" t="s">
        <v>4455</v>
      </c>
      <c r="BM120" s="49" t="s">
        <v>533</v>
      </c>
      <c r="BN120" s="49" t="s">
        <v>533</v>
      </c>
      <c r="BO120" s="49"/>
      <c r="BP120" s="49"/>
      <c r="BQ120" s="119" t="s">
        <v>4983</v>
      </c>
      <c r="BR120" s="119" t="s">
        <v>4983</v>
      </c>
      <c r="BS120" s="119" t="s">
        <v>5118</v>
      </c>
      <c r="BT120" s="119" t="s">
        <v>5118</v>
      </c>
      <c r="BU120" s="2"/>
      <c r="BV120" s="3"/>
      <c r="BW120" s="3"/>
      <c r="BX120" s="3"/>
      <c r="BY120" s="3"/>
    </row>
    <row r="121" spans="1:77" ht="15">
      <c r="A121" s="68" t="s">
        <v>316</v>
      </c>
      <c r="B121" s="69"/>
      <c r="C121" s="69" t="s">
        <v>46</v>
      </c>
      <c r="D121" s="70"/>
      <c r="E121" s="72"/>
      <c r="F121" s="107" t="str">
        <f>HYPERLINK("http://pbs.twimg.com/profile_images/378800000382679758/53586888b72ffcd73e0b4b372c4b3853_normal.jpeg")</f>
        <v>http://pbs.twimg.com/profile_images/378800000382679758/53586888b72ffcd73e0b4b372c4b3853_normal.jpeg</v>
      </c>
      <c r="G121" s="69"/>
      <c r="H121" s="73" t="s">
        <v>316</v>
      </c>
      <c r="I121" s="74" t="s">
        <v>5217</v>
      </c>
      <c r="J121" s="74" t="s">
        <v>73</v>
      </c>
      <c r="K121" s="73" t="s">
        <v>2414</v>
      </c>
      <c r="L121" s="77">
        <v>1</v>
      </c>
      <c r="M121" s="78">
        <v>4697.50390625</v>
      </c>
      <c r="N121" s="78">
        <v>8836.6044921875</v>
      </c>
      <c r="O121" s="79"/>
      <c r="P121" s="80"/>
      <c r="Q121" s="80"/>
      <c r="R121" s="93"/>
      <c r="S121" s="49">
        <v>0</v>
      </c>
      <c r="T121" s="49">
        <v>1</v>
      </c>
      <c r="U121" s="50">
        <v>0</v>
      </c>
      <c r="V121" s="50">
        <v>0.001366</v>
      </c>
      <c r="W121" s="50">
        <v>2E-05</v>
      </c>
      <c r="X121" s="50">
        <v>0.37486</v>
      </c>
      <c r="Y121" s="50">
        <v>0</v>
      </c>
      <c r="Z121" s="50">
        <v>0</v>
      </c>
      <c r="AA121" s="75">
        <v>121</v>
      </c>
      <c r="AB121" s="75"/>
      <c r="AC121" s="76"/>
      <c r="AD121" s="83" t="s">
        <v>1665</v>
      </c>
      <c r="AE121" s="91" t="s">
        <v>1874</v>
      </c>
      <c r="AF121" s="83">
        <v>777</v>
      </c>
      <c r="AG121" s="83">
        <v>4574</v>
      </c>
      <c r="AH121" s="83">
        <v>19543</v>
      </c>
      <c r="AI121" s="83">
        <v>16876</v>
      </c>
      <c r="AJ121" s="83"/>
      <c r="AK121" s="83" t="s">
        <v>2078</v>
      </c>
      <c r="AL121" s="83"/>
      <c r="AM121" s="83"/>
      <c r="AN121" s="83"/>
      <c r="AO121" s="85">
        <v>41516.11633101852</v>
      </c>
      <c r="AP121" s="88" t="str">
        <f>HYPERLINK("https://pbs.twimg.com/profile_banners/1711571520/1377831998")</f>
        <v>https://pbs.twimg.com/profile_banners/1711571520/1377831998</v>
      </c>
      <c r="AQ121" s="83" t="b">
        <v>0</v>
      </c>
      <c r="AR121" s="83" t="b">
        <v>0</v>
      </c>
      <c r="AS121" s="83" t="b">
        <v>0</v>
      </c>
      <c r="AT121" s="83"/>
      <c r="AU121" s="83">
        <v>1091</v>
      </c>
      <c r="AV121" s="88" t="str">
        <f>HYPERLINK("http://abs.twimg.com/images/themes/theme1/bg.png")</f>
        <v>http://abs.twimg.com/images/themes/theme1/bg.png</v>
      </c>
      <c r="AW121" s="83" t="b">
        <v>0</v>
      </c>
      <c r="AX121" s="83" t="s">
        <v>2296</v>
      </c>
      <c r="AY121" s="88" t="str">
        <f>HYPERLINK("https://twitter.com/bigdatabra")</f>
        <v>https://twitter.com/bigdatabra</v>
      </c>
      <c r="AZ121" s="83" t="s">
        <v>66</v>
      </c>
      <c r="BA121" s="83" t="str">
        <f>REPLACE(INDEX(GroupVertices[Group],MATCH(Vertices[[#This Row],[Vertex]],GroupVertices[Vertex],0)),1,1,"")</f>
        <v>2</v>
      </c>
      <c r="BB121" s="49">
        <v>0</v>
      </c>
      <c r="BC121" s="50">
        <v>0</v>
      </c>
      <c r="BD121" s="49">
        <v>0</v>
      </c>
      <c r="BE121" s="50">
        <v>0</v>
      </c>
      <c r="BF121" s="49">
        <v>0</v>
      </c>
      <c r="BG121" s="50">
        <v>0</v>
      </c>
      <c r="BH121" s="49">
        <v>26</v>
      </c>
      <c r="BI121" s="50">
        <v>100</v>
      </c>
      <c r="BJ121" s="49">
        <v>26</v>
      </c>
      <c r="BK121" s="49" t="s">
        <v>4455</v>
      </c>
      <c r="BL121" s="49" t="s">
        <v>4455</v>
      </c>
      <c r="BM121" s="49" t="s">
        <v>533</v>
      </c>
      <c r="BN121" s="49" t="s">
        <v>533</v>
      </c>
      <c r="BO121" s="49"/>
      <c r="BP121" s="49"/>
      <c r="BQ121" s="119" t="s">
        <v>4983</v>
      </c>
      <c r="BR121" s="119" t="s">
        <v>4983</v>
      </c>
      <c r="BS121" s="119" t="s">
        <v>5118</v>
      </c>
      <c r="BT121" s="119" t="s">
        <v>5118</v>
      </c>
      <c r="BU121" s="2"/>
      <c r="BV121" s="3"/>
      <c r="BW121" s="3"/>
      <c r="BX121" s="3"/>
      <c r="BY121" s="3"/>
    </row>
    <row r="122" spans="1:77" ht="15">
      <c r="A122" s="68" t="s">
        <v>317</v>
      </c>
      <c r="B122" s="69"/>
      <c r="C122" s="69" t="s">
        <v>46</v>
      </c>
      <c r="D122" s="70"/>
      <c r="E122" s="72"/>
      <c r="F122" s="107" t="str">
        <f>HYPERLINK("http://pbs.twimg.com/profile_images/1255512632406298627/KSXGB8St_normal.jpg")</f>
        <v>http://pbs.twimg.com/profile_images/1255512632406298627/KSXGB8St_normal.jpg</v>
      </c>
      <c r="G122" s="69"/>
      <c r="H122" s="73" t="s">
        <v>317</v>
      </c>
      <c r="I122" s="74" t="s">
        <v>5220</v>
      </c>
      <c r="J122" s="74" t="s">
        <v>73</v>
      </c>
      <c r="K122" s="73" t="s">
        <v>2415</v>
      </c>
      <c r="L122" s="77">
        <v>1</v>
      </c>
      <c r="M122" s="78">
        <v>4337.63671875</v>
      </c>
      <c r="N122" s="78">
        <v>4775.30810546875</v>
      </c>
      <c r="O122" s="79"/>
      <c r="P122" s="80"/>
      <c r="Q122" s="80"/>
      <c r="R122" s="93"/>
      <c r="S122" s="49">
        <v>0</v>
      </c>
      <c r="T122" s="49">
        <v>1</v>
      </c>
      <c r="U122" s="50">
        <v>0</v>
      </c>
      <c r="V122" s="50">
        <v>0.001511</v>
      </c>
      <c r="W122" s="50">
        <v>0.000203</v>
      </c>
      <c r="X122" s="50">
        <v>0.404088</v>
      </c>
      <c r="Y122" s="50">
        <v>0</v>
      </c>
      <c r="Z122" s="50">
        <v>0</v>
      </c>
      <c r="AA122" s="75">
        <v>122</v>
      </c>
      <c r="AB122" s="75"/>
      <c r="AC122" s="76"/>
      <c r="AD122" s="83" t="s">
        <v>1666</v>
      </c>
      <c r="AE122" s="91" t="s">
        <v>1875</v>
      </c>
      <c r="AF122" s="83">
        <v>1131</v>
      </c>
      <c r="AG122" s="83">
        <v>490</v>
      </c>
      <c r="AH122" s="83">
        <v>18674</v>
      </c>
      <c r="AI122" s="83">
        <v>3392</v>
      </c>
      <c r="AJ122" s="83"/>
      <c r="AK122" s="83" t="s">
        <v>2079</v>
      </c>
      <c r="AL122" s="83" t="s">
        <v>2242</v>
      </c>
      <c r="AM122" s="88" t="str">
        <f>HYPERLINK("https://t.co/VJxG3PRwLo")</f>
        <v>https://t.co/VJxG3PRwLo</v>
      </c>
      <c r="AN122" s="83"/>
      <c r="AO122" s="85">
        <v>43902.76773148148</v>
      </c>
      <c r="AP122" s="88" t="str">
        <f>HYPERLINK("https://pbs.twimg.com/profile_banners/1238169157524508673/1584039888")</f>
        <v>https://pbs.twimg.com/profile_banners/1238169157524508673/1584039888</v>
      </c>
      <c r="AQ122" s="83" t="b">
        <v>1</v>
      </c>
      <c r="AR122" s="83" t="b">
        <v>0</v>
      </c>
      <c r="AS122" s="83" t="b">
        <v>0</v>
      </c>
      <c r="AT122" s="83"/>
      <c r="AU122" s="83">
        <v>7</v>
      </c>
      <c r="AV122" s="83"/>
      <c r="AW122" s="83" t="b">
        <v>0</v>
      </c>
      <c r="AX122" s="83" t="s">
        <v>2296</v>
      </c>
      <c r="AY122" s="88" t="str">
        <f>HYPERLINK("https://twitter.com/wawan19831")</f>
        <v>https://twitter.com/wawan19831</v>
      </c>
      <c r="AZ122" s="83" t="s">
        <v>66</v>
      </c>
      <c r="BA122" s="83" t="str">
        <f>REPLACE(INDEX(GroupVertices[Group],MATCH(Vertices[[#This Row],[Vertex]],GroupVertices[Vertex],0)),1,1,"")</f>
        <v>3</v>
      </c>
      <c r="BB122" s="49">
        <v>0</v>
      </c>
      <c r="BC122" s="50">
        <v>0</v>
      </c>
      <c r="BD122" s="49">
        <v>0</v>
      </c>
      <c r="BE122" s="50">
        <v>0</v>
      </c>
      <c r="BF122" s="49">
        <v>0</v>
      </c>
      <c r="BG122" s="50">
        <v>0</v>
      </c>
      <c r="BH122" s="49">
        <v>25</v>
      </c>
      <c r="BI122" s="50">
        <v>100</v>
      </c>
      <c r="BJ122" s="49">
        <v>25</v>
      </c>
      <c r="BK122" s="49" t="s">
        <v>4457</v>
      </c>
      <c r="BL122" s="49" t="s">
        <v>4457</v>
      </c>
      <c r="BM122" s="49" t="s">
        <v>541</v>
      </c>
      <c r="BN122" s="49" t="s">
        <v>541</v>
      </c>
      <c r="BO122" s="49" t="s">
        <v>580</v>
      </c>
      <c r="BP122" s="49" t="s">
        <v>580</v>
      </c>
      <c r="BQ122" s="119" t="s">
        <v>5011</v>
      </c>
      <c r="BR122" s="119" t="s">
        <v>5011</v>
      </c>
      <c r="BS122" s="119" t="s">
        <v>5143</v>
      </c>
      <c r="BT122" s="119" t="s">
        <v>5143</v>
      </c>
      <c r="BU122" s="2"/>
      <c r="BV122" s="3"/>
      <c r="BW122" s="3"/>
      <c r="BX122" s="3"/>
      <c r="BY122" s="3"/>
    </row>
    <row r="123" spans="1:77" ht="15">
      <c r="A123" s="68" t="s">
        <v>318</v>
      </c>
      <c r="B123" s="69"/>
      <c r="C123" s="69" t="s">
        <v>46</v>
      </c>
      <c r="D123" s="70"/>
      <c r="E123" s="72"/>
      <c r="F123" s="107" t="str">
        <f>HYPERLINK("http://pbs.twimg.com/profile_images/831991276740411399/HYyVp9sU_normal.jpg")</f>
        <v>http://pbs.twimg.com/profile_images/831991276740411399/HYyVp9sU_normal.jpg</v>
      </c>
      <c r="G123" s="69"/>
      <c r="H123" s="73" t="s">
        <v>318</v>
      </c>
      <c r="I123" s="74" t="s">
        <v>5210</v>
      </c>
      <c r="J123" s="74" t="s">
        <v>73</v>
      </c>
      <c r="K123" s="73" t="s">
        <v>2416</v>
      </c>
      <c r="L123" s="77">
        <v>1</v>
      </c>
      <c r="M123" s="78">
        <v>186.11334228515625</v>
      </c>
      <c r="N123" s="78">
        <v>4844.01220703125</v>
      </c>
      <c r="O123" s="79"/>
      <c r="P123" s="80"/>
      <c r="Q123" s="80"/>
      <c r="R123" s="93"/>
      <c r="S123" s="49">
        <v>0</v>
      </c>
      <c r="T123" s="49">
        <v>1</v>
      </c>
      <c r="U123" s="50">
        <v>0</v>
      </c>
      <c r="V123" s="50">
        <v>0.0016</v>
      </c>
      <c r="W123" s="50">
        <v>7.4E-05</v>
      </c>
      <c r="X123" s="50">
        <v>0.321214</v>
      </c>
      <c r="Y123" s="50">
        <v>0</v>
      </c>
      <c r="Z123" s="50">
        <v>0</v>
      </c>
      <c r="AA123" s="75">
        <v>123</v>
      </c>
      <c r="AB123" s="75"/>
      <c r="AC123" s="76"/>
      <c r="AD123" s="83" t="s">
        <v>1667</v>
      </c>
      <c r="AE123" s="91" t="s">
        <v>1876</v>
      </c>
      <c r="AF123" s="83">
        <v>1573</v>
      </c>
      <c r="AG123" s="83">
        <v>346</v>
      </c>
      <c r="AH123" s="83">
        <v>36792</v>
      </c>
      <c r="AI123" s="83">
        <v>1014</v>
      </c>
      <c r="AJ123" s="83"/>
      <c r="AK123" s="83"/>
      <c r="AL123" s="83"/>
      <c r="AM123" s="83"/>
      <c r="AN123" s="83"/>
      <c r="AO123" s="85">
        <v>42022.95653935185</v>
      </c>
      <c r="AP123" s="88" t="str">
        <f>HYPERLINK("https://pbs.twimg.com/profile_banners/2984831896/1481047800")</f>
        <v>https://pbs.twimg.com/profile_banners/2984831896/1481047800</v>
      </c>
      <c r="AQ123" s="83" t="b">
        <v>1</v>
      </c>
      <c r="AR123" s="83" t="b">
        <v>0</v>
      </c>
      <c r="AS123" s="83" t="b">
        <v>0</v>
      </c>
      <c r="AT123" s="83"/>
      <c r="AU123" s="83">
        <v>30</v>
      </c>
      <c r="AV123" s="88" t="str">
        <f>HYPERLINK("http://abs.twimg.com/images/themes/theme1/bg.png")</f>
        <v>http://abs.twimg.com/images/themes/theme1/bg.png</v>
      </c>
      <c r="AW123" s="83" t="b">
        <v>0</v>
      </c>
      <c r="AX123" s="83" t="s">
        <v>2296</v>
      </c>
      <c r="AY123" s="88" t="str">
        <f>HYPERLINK("https://twitter.com/deletedthisbihh")</f>
        <v>https://twitter.com/deletedthisbihh</v>
      </c>
      <c r="AZ123" s="83" t="s">
        <v>66</v>
      </c>
      <c r="BA123" s="83" t="str">
        <f>REPLACE(INDEX(GroupVertices[Group],MATCH(Vertices[[#This Row],[Vertex]],GroupVertices[Vertex],0)),1,1,"")</f>
        <v>1</v>
      </c>
      <c r="BB123" s="49">
        <v>0</v>
      </c>
      <c r="BC123" s="50">
        <v>0</v>
      </c>
      <c r="BD123" s="49">
        <v>0</v>
      </c>
      <c r="BE123" s="50">
        <v>0</v>
      </c>
      <c r="BF123" s="49">
        <v>0</v>
      </c>
      <c r="BG123" s="50">
        <v>0</v>
      </c>
      <c r="BH123" s="49">
        <v>28</v>
      </c>
      <c r="BI123" s="50">
        <v>100</v>
      </c>
      <c r="BJ123" s="49">
        <v>28</v>
      </c>
      <c r="BK123" s="49" t="s">
        <v>4462</v>
      </c>
      <c r="BL123" s="49" t="s">
        <v>4462</v>
      </c>
      <c r="BM123" s="49" t="s">
        <v>548</v>
      </c>
      <c r="BN123" s="49" t="s">
        <v>548</v>
      </c>
      <c r="BO123" s="49" t="s">
        <v>597</v>
      </c>
      <c r="BP123" s="49" t="s">
        <v>597</v>
      </c>
      <c r="BQ123" s="119" t="s">
        <v>5014</v>
      </c>
      <c r="BR123" s="119" t="s">
        <v>5014</v>
      </c>
      <c r="BS123" s="119" t="s">
        <v>5146</v>
      </c>
      <c r="BT123" s="119" t="s">
        <v>5146</v>
      </c>
      <c r="BU123" s="2"/>
      <c r="BV123" s="3"/>
      <c r="BW123" s="3"/>
      <c r="BX123" s="3"/>
      <c r="BY123" s="3"/>
    </row>
    <row r="124" spans="1:77" ht="15">
      <c r="A124" s="68" t="s">
        <v>390</v>
      </c>
      <c r="B124" s="69"/>
      <c r="C124" s="69" t="s">
        <v>64</v>
      </c>
      <c r="D124" s="70">
        <v>1000</v>
      </c>
      <c r="E124" s="72"/>
      <c r="F124" s="107" t="str">
        <f>HYPERLINK("http://pbs.twimg.com/profile_images/760774125522518016/jhzjWv0i_normal.jpg")</f>
        <v>http://pbs.twimg.com/profile_images/760774125522518016/jhzjWv0i_normal.jpg</v>
      </c>
      <c r="G124" s="69"/>
      <c r="H124" s="73" t="s">
        <v>390</v>
      </c>
      <c r="I124" s="74" t="s">
        <v>5210</v>
      </c>
      <c r="J124" s="74" t="s">
        <v>73</v>
      </c>
      <c r="K124" s="73" t="s">
        <v>2417</v>
      </c>
      <c r="L124" s="77">
        <v>7418.870967741936</v>
      </c>
      <c r="M124" s="78">
        <v>1301.2818603515625</v>
      </c>
      <c r="N124" s="78">
        <v>5344.017578125</v>
      </c>
      <c r="O124" s="79"/>
      <c r="P124" s="80"/>
      <c r="Q124" s="80"/>
      <c r="R124" s="93"/>
      <c r="S124" s="49">
        <v>23</v>
      </c>
      <c r="T124" s="49">
        <v>8</v>
      </c>
      <c r="U124" s="50">
        <v>8867.355263</v>
      </c>
      <c r="V124" s="50">
        <v>0.002252</v>
      </c>
      <c r="W124" s="50">
        <v>0.001127</v>
      </c>
      <c r="X124" s="50">
        <v>6.04285</v>
      </c>
      <c r="Y124" s="50">
        <v>0.05295566502463054</v>
      </c>
      <c r="Z124" s="50">
        <v>0</v>
      </c>
      <c r="AA124" s="75">
        <v>124</v>
      </c>
      <c r="AB124" s="75"/>
      <c r="AC124" s="76"/>
      <c r="AD124" s="83" t="s">
        <v>1668</v>
      </c>
      <c r="AE124" s="91" t="s">
        <v>1877</v>
      </c>
      <c r="AF124" s="83">
        <v>13</v>
      </c>
      <c r="AG124" s="83">
        <v>7375</v>
      </c>
      <c r="AH124" s="83">
        <v>1140536</v>
      </c>
      <c r="AI124" s="83">
        <v>326</v>
      </c>
      <c r="AJ124" s="83"/>
      <c r="AK124" s="83" t="s">
        <v>2080</v>
      </c>
      <c r="AL124" s="83" t="s">
        <v>2243</v>
      </c>
      <c r="AM124" s="83"/>
      <c r="AN124" s="83"/>
      <c r="AO124" s="85">
        <v>42520.19642361111</v>
      </c>
      <c r="AP124" s="88" t="str">
        <f>HYPERLINK("https://pbs.twimg.com/profile_banners/737142202481016832/1538216794")</f>
        <v>https://pbs.twimg.com/profile_banners/737142202481016832/1538216794</v>
      </c>
      <c r="AQ124" s="83" t="b">
        <v>1</v>
      </c>
      <c r="AR124" s="83" t="b">
        <v>0</v>
      </c>
      <c r="AS124" s="83" t="b">
        <v>0</v>
      </c>
      <c r="AT124" s="83"/>
      <c r="AU124" s="83">
        <v>4427</v>
      </c>
      <c r="AV124" s="83"/>
      <c r="AW124" s="83" t="b">
        <v>0</v>
      </c>
      <c r="AX124" s="83" t="s">
        <v>2296</v>
      </c>
      <c r="AY124" s="88" t="str">
        <f>HYPERLINK("https://twitter.com/chidambara09")</f>
        <v>https://twitter.com/chidambara09</v>
      </c>
      <c r="AZ124" s="83" t="s">
        <v>66</v>
      </c>
      <c r="BA124" s="83" t="str">
        <f>REPLACE(INDEX(GroupVertices[Group],MATCH(Vertices[[#This Row],[Vertex]],GroupVertices[Vertex],0)),1,1,"")</f>
        <v>1</v>
      </c>
      <c r="BB124" s="49">
        <v>0</v>
      </c>
      <c r="BC124" s="50">
        <v>0</v>
      </c>
      <c r="BD124" s="49">
        <v>0</v>
      </c>
      <c r="BE124" s="50">
        <v>0</v>
      </c>
      <c r="BF124" s="49">
        <v>0</v>
      </c>
      <c r="BG124" s="50">
        <v>0</v>
      </c>
      <c r="BH124" s="49">
        <v>283</v>
      </c>
      <c r="BI124" s="50">
        <v>100</v>
      </c>
      <c r="BJ124" s="49">
        <v>283</v>
      </c>
      <c r="BK124" s="49" t="s">
        <v>4815</v>
      </c>
      <c r="BL124" s="49" t="s">
        <v>4815</v>
      </c>
      <c r="BM124" s="49" t="s">
        <v>4854</v>
      </c>
      <c r="BN124" s="49" t="s">
        <v>4880</v>
      </c>
      <c r="BO124" s="49" t="s">
        <v>4902</v>
      </c>
      <c r="BP124" s="49" t="s">
        <v>4947</v>
      </c>
      <c r="BQ124" s="119" t="s">
        <v>5015</v>
      </c>
      <c r="BR124" s="119" t="s">
        <v>5079</v>
      </c>
      <c r="BS124" s="119" t="s">
        <v>5147</v>
      </c>
      <c r="BT124" s="119" t="s">
        <v>5195</v>
      </c>
      <c r="BU124" s="2"/>
      <c r="BV124" s="3"/>
      <c r="BW124" s="3"/>
      <c r="BX124" s="3"/>
      <c r="BY124" s="3"/>
    </row>
    <row r="125" spans="1:77" ht="15">
      <c r="A125" s="68" t="s">
        <v>319</v>
      </c>
      <c r="B125" s="69"/>
      <c r="C125" s="69" t="s">
        <v>46</v>
      </c>
      <c r="D125" s="70"/>
      <c r="E125" s="72"/>
      <c r="F125" s="107" t="str">
        <f>HYPERLINK("http://pbs.twimg.com/profile_images/801330179012431872/mwiDs43W_normal.jpg")</f>
        <v>http://pbs.twimg.com/profile_images/801330179012431872/mwiDs43W_normal.jpg</v>
      </c>
      <c r="G125" s="69"/>
      <c r="H125" s="73" t="s">
        <v>319</v>
      </c>
      <c r="I125" s="74" t="s">
        <v>5210</v>
      </c>
      <c r="J125" s="74" t="s">
        <v>73</v>
      </c>
      <c r="K125" s="73" t="s">
        <v>2418</v>
      </c>
      <c r="L125" s="77">
        <v>1</v>
      </c>
      <c r="M125" s="78">
        <v>993.7755126953125</v>
      </c>
      <c r="N125" s="78">
        <v>8430.0185546875</v>
      </c>
      <c r="O125" s="79"/>
      <c r="P125" s="80"/>
      <c r="Q125" s="80"/>
      <c r="R125" s="93"/>
      <c r="S125" s="49">
        <v>0</v>
      </c>
      <c r="T125" s="49">
        <v>1</v>
      </c>
      <c r="U125" s="50">
        <v>0</v>
      </c>
      <c r="V125" s="50">
        <v>0.0016</v>
      </c>
      <c r="W125" s="50">
        <v>7.4E-05</v>
      </c>
      <c r="X125" s="50">
        <v>0.321214</v>
      </c>
      <c r="Y125" s="50">
        <v>0</v>
      </c>
      <c r="Z125" s="50">
        <v>0</v>
      </c>
      <c r="AA125" s="75">
        <v>125</v>
      </c>
      <c r="AB125" s="75"/>
      <c r="AC125" s="76"/>
      <c r="AD125" s="83" t="s">
        <v>1669</v>
      </c>
      <c r="AE125" s="91" t="s">
        <v>1878</v>
      </c>
      <c r="AF125" s="83">
        <v>2432</v>
      </c>
      <c r="AG125" s="83">
        <v>413</v>
      </c>
      <c r="AH125" s="83">
        <v>33109</v>
      </c>
      <c r="AI125" s="83">
        <v>268</v>
      </c>
      <c r="AJ125" s="83"/>
      <c r="AK125" s="83" t="s">
        <v>2081</v>
      </c>
      <c r="AL125" s="83" t="s">
        <v>2244</v>
      </c>
      <c r="AM125" s="88" t="str">
        <f>HYPERLINK("https://t.co/DMRyE44fmb")</f>
        <v>https://t.co/DMRyE44fmb</v>
      </c>
      <c r="AN125" s="83"/>
      <c r="AO125" s="85">
        <v>42354.956782407404</v>
      </c>
      <c r="AP125" s="88" t="str">
        <f>HYPERLINK("https://pbs.twimg.com/profile_banners/4507606697/1450977525")</f>
        <v>https://pbs.twimg.com/profile_banners/4507606697/1450977525</v>
      </c>
      <c r="AQ125" s="83" t="b">
        <v>1</v>
      </c>
      <c r="AR125" s="83" t="b">
        <v>0</v>
      </c>
      <c r="AS125" s="83" t="b">
        <v>0</v>
      </c>
      <c r="AT125" s="83"/>
      <c r="AU125" s="83">
        <v>29</v>
      </c>
      <c r="AV125" s="83"/>
      <c r="AW125" s="83" t="b">
        <v>0</v>
      </c>
      <c r="AX125" s="83" t="s">
        <v>2296</v>
      </c>
      <c r="AY125" s="88" t="str">
        <f>HYPERLINK("https://twitter.com/lildukieme")</f>
        <v>https://twitter.com/lildukieme</v>
      </c>
      <c r="AZ125" s="83" t="s">
        <v>66</v>
      </c>
      <c r="BA125" s="83" t="str">
        <f>REPLACE(INDEX(GroupVertices[Group],MATCH(Vertices[[#This Row],[Vertex]],GroupVertices[Vertex],0)),1,1,"")</f>
        <v>1</v>
      </c>
      <c r="BB125" s="49">
        <v>0</v>
      </c>
      <c r="BC125" s="50">
        <v>0</v>
      </c>
      <c r="BD125" s="49">
        <v>0</v>
      </c>
      <c r="BE125" s="50">
        <v>0</v>
      </c>
      <c r="BF125" s="49">
        <v>0</v>
      </c>
      <c r="BG125" s="50">
        <v>0</v>
      </c>
      <c r="BH125" s="49">
        <v>28</v>
      </c>
      <c r="BI125" s="50">
        <v>100</v>
      </c>
      <c r="BJ125" s="49">
        <v>28</v>
      </c>
      <c r="BK125" s="49" t="s">
        <v>4462</v>
      </c>
      <c r="BL125" s="49" t="s">
        <v>4462</v>
      </c>
      <c r="BM125" s="49" t="s">
        <v>548</v>
      </c>
      <c r="BN125" s="49" t="s">
        <v>548</v>
      </c>
      <c r="BO125" s="49" t="s">
        <v>597</v>
      </c>
      <c r="BP125" s="49" t="s">
        <v>597</v>
      </c>
      <c r="BQ125" s="119" t="s">
        <v>5014</v>
      </c>
      <c r="BR125" s="119" t="s">
        <v>5014</v>
      </c>
      <c r="BS125" s="119" t="s">
        <v>5146</v>
      </c>
      <c r="BT125" s="119" t="s">
        <v>5146</v>
      </c>
      <c r="BU125" s="2"/>
      <c r="BV125" s="3"/>
      <c r="BW125" s="3"/>
      <c r="BX125" s="3"/>
      <c r="BY125" s="3"/>
    </row>
    <row r="126" spans="1:77" ht="15">
      <c r="A126" s="68" t="s">
        <v>320</v>
      </c>
      <c r="B126" s="69"/>
      <c r="C126" s="69" t="s">
        <v>46</v>
      </c>
      <c r="D126" s="70"/>
      <c r="E126" s="72"/>
      <c r="F126" s="107" t="str">
        <f>HYPERLINK("http://pbs.twimg.com/profile_images/749693026591584256/-J3-0qAF_normal.jpg")</f>
        <v>http://pbs.twimg.com/profile_images/749693026591584256/-J3-0qAF_normal.jpg</v>
      </c>
      <c r="G126" s="69"/>
      <c r="H126" s="73" t="s">
        <v>320</v>
      </c>
      <c r="I126" s="74" t="s">
        <v>5210</v>
      </c>
      <c r="J126" s="74" t="s">
        <v>73</v>
      </c>
      <c r="K126" s="73" t="s">
        <v>2419</v>
      </c>
      <c r="L126" s="77">
        <v>1</v>
      </c>
      <c r="M126" s="78">
        <v>2269.3408203125</v>
      </c>
      <c r="N126" s="78">
        <v>6131.7431640625</v>
      </c>
      <c r="O126" s="79"/>
      <c r="P126" s="80"/>
      <c r="Q126" s="80"/>
      <c r="R126" s="93"/>
      <c r="S126" s="49">
        <v>0</v>
      </c>
      <c r="T126" s="49">
        <v>1</v>
      </c>
      <c r="U126" s="50">
        <v>0</v>
      </c>
      <c r="V126" s="50">
        <v>0.0016</v>
      </c>
      <c r="W126" s="50">
        <v>7.4E-05</v>
      </c>
      <c r="X126" s="50">
        <v>0.321214</v>
      </c>
      <c r="Y126" s="50">
        <v>0</v>
      </c>
      <c r="Z126" s="50">
        <v>0</v>
      </c>
      <c r="AA126" s="75">
        <v>126</v>
      </c>
      <c r="AB126" s="75"/>
      <c r="AC126" s="76"/>
      <c r="AD126" s="83" t="s">
        <v>1670</v>
      </c>
      <c r="AE126" s="91" t="s">
        <v>1879</v>
      </c>
      <c r="AF126" s="83">
        <v>597</v>
      </c>
      <c r="AG126" s="83">
        <v>244</v>
      </c>
      <c r="AH126" s="83">
        <v>39737</v>
      </c>
      <c r="AI126" s="83">
        <v>119</v>
      </c>
      <c r="AJ126" s="83"/>
      <c r="AK126" s="83" t="s">
        <v>2082</v>
      </c>
      <c r="AL126" s="83" t="s">
        <v>2245</v>
      </c>
      <c r="AM126" s="88" t="str">
        <f>HYPERLINK("https://t.co/it1Wh1whAV")</f>
        <v>https://t.co/it1Wh1whAV</v>
      </c>
      <c r="AN126" s="83"/>
      <c r="AO126" s="85">
        <v>42275.61975694444</v>
      </c>
      <c r="AP126" s="88" t="str">
        <f>HYPERLINK("https://pbs.twimg.com/profile_banners/3804685035/1467574238")</f>
        <v>https://pbs.twimg.com/profile_banners/3804685035/1467574238</v>
      </c>
      <c r="AQ126" s="83" t="b">
        <v>0</v>
      </c>
      <c r="AR126" s="83" t="b">
        <v>0</v>
      </c>
      <c r="AS126" s="83" t="b">
        <v>0</v>
      </c>
      <c r="AT126" s="83"/>
      <c r="AU126" s="83">
        <v>17</v>
      </c>
      <c r="AV126" s="88" t="str">
        <f>HYPERLINK("http://abs.twimg.com/images/themes/theme1/bg.png")</f>
        <v>http://abs.twimg.com/images/themes/theme1/bg.png</v>
      </c>
      <c r="AW126" s="83" t="b">
        <v>0</v>
      </c>
      <c r="AX126" s="83" t="s">
        <v>2296</v>
      </c>
      <c r="AY126" s="88" t="str">
        <f>HYPERLINK("https://twitter.com/kiilla3sup")</f>
        <v>https://twitter.com/kiilla3sup</v>
      </c>
      <c r="AZ126" s="83" t="s">
        <v>66</v>
      </c>
      <c r="BA126" s="83" t="str">
        <f>REPLACE(INDEX(GroupVertices[Group],MATCH(Vertices[[#This Row],[Vertex]],GroupVertices[Vertex],0)),1,1,"")</f>
        <v>1</v>
      </c>
      <c r="BB126" s="49">
        <v>0</v>
      </c>
      <c r="BC126" s="50">
        <v>0</v>
      </c>
      <c r="BD126" s="49">
        <v>0</v>
      </c>
      <c r="BE126" s="50">
        <v>0</v>
      </c>
      <c r="BF126" s="49">
        <v>0</v>
      </c>
      <c r="BG126" s="50">
        <v>0</v>
      </c>
      <c r="BH126" s="49">
        <v>28</v>
      </c>
      <c r="BI126" s="50">
        <v>100</v>
      </c>
      <c r="BJ126" s="49">
        <v>28</v>
      </c>
      <c r="BK126" s="49" t="s">
        <v>4462</v>
      </c>
      <c r="BL126" s="49" t="s">
        <v>4462</v>
      </c>
      <c r="BM126" s="49" t="s">
        <v>548</v>
      </c>
      <c r="BN126" s="49" t="s">
        <v>548</v>
      </c>
      <c r="BO126" s="49" t="s">
        <v>597</v>
      </c>
      <c r="BP126" s="49" t="s">
        <v>597</v>
      </c>
      <c r="BQ126" s="119" t="s">
        <v>5014</v>
      </c>
      <c r="BR126" s="119" t="s">
        <v>5014</v>
      </c>
      <c r="BS126" s="119" t="s">
        <v>5146</v>
      </c>
      <c r="BT126" s="119" t="s">
        <v>5146</v>
      </c>
      <c r="BU126" s="2"/>
      <c r="BV126" s="3"/>
      <c r="BW126" s="3"/>
      <c r="BX126" s="3"/>
      <c r="BY126" s="3"/>
    </row>
    <row r="127" spans="1:77" ht="15">
      <c r="A127" s="68" t="s">
        <v>321</v>
      </c>
      <c r="B127" s="69"/>
      <c r="C127" s="69" t="s">
        <v>46</v>
      </c>
      <c r="D127" s="70"/>
      <c r="E127" s="72"/>
      <c r="F127" s="107" t="str">
        <f>HYPERLINK("http://pbs.twimg.com/profile_images/1296407078404145153/1mty7AVv_normal.jpg")</f>
        <v>http://pbs.twimg.com/profile_images/1296407078404145153/1mty7AVv_normal.jpg</v>
      </c>
      <c r="G127" s="69"/>
      <c r="H127" s="73" t="s">
        <v>321</v>
      </c>
      <c r="I127" s="74" t="s">
        <v>5213</v>
      </c>
      <c r="J127" s="74" t="s">
        <v>73</v>
      </c>
      <c r="K127" s="73" t="s">
        <v>2420</v>
      </c>
      <c r="L127" s="77">
        <v>1</v>
      </c>
      <c r="M127" s="78">
        <v>6209.19140625</v>
      </c>
      <c r="N127" s="78">
        <v>2436.056640625</v>
      </c>
      <c r="O127" s="79"/>
      <c r="P127" s="80"/>
      <c r="Q127" s="80"/>
      <c r="R127" s="93"/>
      <c r="S127" s="49">
        <v>0</v>
      </c>
      <c r="T127" s="49">
        <v>1</v>
      </c>
      <c r="U127" s="50">
        <v>0</v>
      </c>
      <c r="V127" s="50">
        <v>0.001235</v>
      </c>
      <c r="W127" s="50">
        <v>2E-05</v>
      </c>
      <c r="X127" s="50">
        <v>0.359433</v>
      </c>
      <c r="Y127" s="50">
        <v>0</v>
      </c>
      <c r="Z127" s="50">
        <v>0</v>
      </c>
      <c r="AA127" s="75">
        <v>127</v>
      </c>
      <c r="AB127" s="75"/>
      <c r="AC127" s="76"/>
      <c r="AD127" s="83" t="s">
        <v>1671</v>
      </c>
      <c r="AE127" s="91" t="s">
        <v>1880</v>
      </c>
      <c r="AF127" s="83">
        <v>11</v>
      </c>
      <c r="AG127" s="83">
        <v>1</v>
      </c>
      <c r="AH127" s="83">
        <v>137</v>
      </c>
      <c r="AI127" s="83">
        <v>216</v>
      </c>
      <c r="AJ127" s="83"/>
      <c r="AK127" s="83"/>
      <c r="AL127" s="83"/>
      <c r="AM127" s="83"/>
      <c r="AN127" s="83"/>
      <c r="AO127" s="85">
        <v>44063.47319444444</v>
      </c>
      <c r="AP127" s="83"/>
      <c r="AQ127" s="83" t="b">
        <v>1</v>
      </c>
      <c r="AR127" s="83" t="b">
        <v>0</v>
      </c>
      <c r="AS127" s="83" t="b">
        <v>0</v>
      </c>
      <c r="AT127" s="83"/>
      <c r="AU127" s="83">
        <v>0</v>
      </c>
      <c r="AV127" s="83"/>
      <c r="AW127" s="83" t="b">
        <v>0</v>
      </c>
      <c r="AX127" s="83" t="s">
        <v>2296</v>
      </c>
      <c r="AY127" s="88" t="str">
        <f>HYPERLINK("https://twitter.com/zokio8")</f>
        <v>https://twitter.com/zokio8</v>
      </c>
      <c r="AZ127" s="83" t="s">
        <v>66</v>
      </c>
      <c r="BA127" s="83" t="str">
        <f>REPLACE(INDEX(GroupVertices[Group],MATCH(Vertices[[#This Row],[Vertex]],GroupVertices[Vertex],0)),1,1,"")</f>
        <v>8</v>
      </c>
      <c r="BB127" s="49">
        <v>0</v>
      </c>
      <c r="BC127" s="50">
        <v>0</v>
      </c>
      <c r="BD127" s="49">
        <v>0</v>
      </c>
      <c r="BE127" s="50">
        <v>0</v>
      </c>
      <c r="BF127" s="49">
        <v>0</v>
      </c>
      <c r="BG127" s="50">
        <v>0</v>
      </c>
      <c r="BH127" s="49">
        <v>42</v>
      </c>
      <c r="BI127" s="50">
        <v>100</v>
      </c>
      <c r="BJ127" s="49">
        <v>42</v>
      </c>
      <c r="BK127" s="49" t="s">
        <v>4458</v>
      </c>
      <c r="BL127" s="49" t="s">
        <v>4458</v>
      </c>
      <c r="BM127" s="49" t="s">
        <v>547</v>
      </c>
      <c r="BN127" s="49" t="s">
        <v>547</v>
      </c>
      <c r="BO127" s="49" t="s">
        <v>595</v>
      </c>
      <c r="BP127" s="49" t="s">
        <v>595</v>
      </c>
      <c r="BQ127" s="119" t="s">
        <v>5012</v>
      </c>
      <c r="BR127" s="119" t="s">
        <v>5012</v>
      </c>
      <c r="BS127" s="119" t="s">
        <v>5144</v>
      </c>
      <c r="BT127" s="119" t="s">
        <v>5144</v>
      </c>
      <c r="BU127" s="2"/>
      <c r="BV127" s="3"/>
      <c r="BW127" s="3"/>
      <c r="BX127" s="3"/>
      <c r="BY127" s="3"/>
    </row>
    <row r="128" spans="1:77" ht="15">
      <c r="A128" s="68" t="s">
        <v>322</v>
      </c>
      <c r="B128" s="69"/>
      <c r="C128" s="69" t="s">
        <v>46</v>
      </c>
      <c r="D128" s="70"/>
      <c r="E128" s="72"/>
      <c r="F128" s="107" t="str">
        <f>HYPERLINK("http://pbs.twimg.com/profile_images/1135480817776566272/rlVeWp7t_normal.png")</f>
        <v>http://pbs.twimg.com/profile_images/1135480817776566272/rlVeWp7t_normal.png</v>
      </c>
      <c r="G128" s="69"/>
      <c r="H128" s="73" t="s">
        <v>322</v>
      </c>
      <c r="I128" s="74" t="s">
        <v>5213</v>
      </c>
      <c r="J128" s="74" t="s">
        <v>73</v>
      </c>
      <c r="K128" s="73" t="s">
        <v>2421</v>
      </c>
      <c r="L128" s="77">
        <v>1</v>
      </c>
      <c r="M128" s="78">
        <v>5553.37451171875</v>
      </c>
      <c r="N128" s="78">
        <v>509.07464599609375</v>
      </c>
      <c r="O128" s="79"/>
      <c r="P128" s="80"/>
      <c r="Q128" s="80"/>
      <c r="R128" s="93"/>
      <c r="S128" s="49">
        <v>0</v>
      </c>
      <c r="T128" s="49">
        <v>4</v>
      </c>
      <c r="U128" s="50">
        <v>503.163109</v>
      </c>
      <c r="V128" s="50">
        <v>0.001842</v>
      </c>
      <c r="W128" s="50">
        <v>0.000334</v>
      </c>
      <c r="X128" s="50">
        <v>0.958819</v>
      </c>
      <c r="Y128" s="50">
        <v>0.16666666666666666</v>
      </c>
      <c r="Z128" s="50">
        <v>0</v>
      </c>
      <c r="AA128" s="75">
        <v>128</v>
      </c>
      <c r="AB128" s="75"/>
      <c r="AC128" s="76"/>
      <c r="AD128" s="83" t="s">
        <v>1672</v>
      </c>
      <c r="AE128" s="91" t="s">
        <v>1881</v>
      </c>
      <c r="AF128" s="83">
        <v>0</v>
      </c>
      <c r="AG128" s="83">
        <v>1036</v>
      </c>
      <c r="AH128" s="83">
        <v>182912</v>
      </c>
      <c r="AI128" s="83">
        <v>1</v>
      </c>
      <c r="AJ128" s="83"/>
      <c r="AK128" s="83" t="s">
        <v>2083</v>
      </c>
      <c r="AL128" s="83"/>
      <c r="AM128" s="83"/>
      <c r="AN128" s="83"/>
      <c r="AO128" s="85">
        <v>43617.68239583333</v>
      </c>
      <c r="AP128" s="83"/>
      <c r="AQ128" s="83" t="b">
        <v>1</v>
      </c>
      <c r="AR128" s="83" t="b">
        <v>0</v>
      </c>
      <c r="AS128" s="83" t="b">
        <v>0</v>
      </c>
      <c r="AT128" s="83"/>
      <c r="AU128" s="83">
        <v>41</v>
      </c>
      <c r="AV128" s="83"/>
      <c r="AW128" s="83" t="b">
        <v>0</v>
      </c>
      <c r="AX128" s="83" t="s">
        <v>2296</v>
      </c>
      <c r="AY128" s="88" t="str">
        <f>HYPERLINK("https://twitter.com/js_bot_code")</f>
        <v>https://twitter.com/js_bot_code</v>
      </c>
      <c r="AZ128" s="83" t="s">
        <v>66</v>
      </c>
      <c r="BA128" s="83" t="str">
        <f>REPLACE(INDEX(GroupVertices[Group],MATCH(Vertices[[#This Row],[Vertex]],GroupVertices[Vertex],0)),1,1,"")</f>
        <v>8</v>
      </c>
      <c r="BB128" s="49">
        <v>0</v>
      </c>
      <c r="BC128" s="50">
        <v>0</v>
      </c>
      <c r="BD128" s="49">
        <v>0</v>
      </c>
      <c r="BE128" s="50">
        <v>0</v>
      </c>
      <c r="BF128" s="49">
        <v>0</v>
      </c>
      <c r="BG128" s="50">
        <v>0</v>
      </c>
      <c r="BH128" s="49">
        <v>127</v>
      </c>
      <c r="BI128" s="50">
        <v>100</v>
      </c>
      <c r="BJ128" s="49">
        <v>127</v>
      </c>
      <c r="BK128" s="49" t="s">
        <v>4816</v>
      </c>
      <c r="BL128" s="49" t="s">
        <v>4816</v>
      </c>
      <c r="BM128" s="49" t="s">
        <v>4855</v>
      </c>
      <c r="BN128" s="49" t="s">
        <v>4855</v>
      </c>
      <c r="BO128" s="49" t="s">
        <v>4903</v>
      </c>
      <c r="BP128" s="49" t="s">
        <v>4948</v>
      </c>
      <c r="BQ128" s="119" t="s">
        <v>5016</v>
      </c>
      <c r="BR128" s="119" t="s">
        <v>5080</v>
      </c>
      <c r="BS128" s="119" t="s">
        <v>4733</v>
      </c>
      <c r="BT128" s="119" t="s">
        <v>4733</v>
      </c>
      <c r="BU128" s="2"/>
      <c r="BV128" s="3"/>
      <c r="BW128" s="3"/>
      <c r="BX128" s="3"/>
      <c r="BY128" s="3"/>
    </row>
    <row r="129" spans="1:77" ht="15">
      <c r="A129" s="68" t="s">
        <v>323</v>
      </c>
      <c r="B129" s="69"/>
      <c r="C129" s="69" t="s">
        <v>46</v>
      </c>
      <c r="D129" s="70"/>
      <c r="E129" s="72"/>
      <c r="F129" s="107" t="str">
        <f>HYPERLINK("http://pbs.twimg.com/profile_images/1134668251844136960/VXLcIeXE_normal.jpg")</f>
        <v>http://pbs.twimg.com/profile_images/1134668251844136960/VXLcIeXE_normal.jpg</v>
      </c>
      <c r="G129" s="69"/>
      <c r="H129" s="73" t="s">
        <v>323</v>
      </c>
      <c r="I129" s="74" t="s">
        <v>5215</v>
      </c>
      <c r="J129" s="74" t="s">
        <v>73</v>
      </c>
      <c r="K129" s="73" t="s">
        <v>2422</v>
      </c>
      <c r="L129" s="77">
        <v>1</v>
      </c>
      <c r="M129" s="78">
        <v>8200.490234375</v>
      </c>
      <c r="N129" s="78">
        <v>9559.755859375</v>
      </c>
      <c r="O129" s="79"/>
      <c r="P129" s="80"/>
      <c r="Q129" s="80"/>
      <c r="R129" s="93"/>
      <c r="S129" s="49">
        <v>0</v>
      </c>
      <c r="T129" s="49">
        <v>2</v>
      </c>
      <c r="U129" s="50">
        <v>37.615433</v>
      </c>
      <c r="V129" s="50">
        <v>0.001529</v>
      </c>
      <c r="W129" s="50">
        <v>0.000377</v>
      </c>
      <c r="X129" s="50">
        <v>0.604634</v>
      </c>
      <c r="Y129" s="50">
        <v>0</v>
      </c>
      <c r="Z129" s="50">
        <v>0</v>
      </c>
      <c r="AA129" s="75">
        <v>129</v>
      </c>
      <c r="AB129" s="75"/>
      <c r="AC129" s="76"/>
      <c r="AD129" s="83" t="s">
        <v>1673</v>
      </c>
      <c r="AE129" s="91" t="s">
        <v>1882</v>
      </c>
      <c r="AF129" s="83">
        <v>1</v>
      </c>
      <c r="AG129" s="83">
        <v>268</v>
      </c>
      <c r="AH129" s="83">
        <v>54438</v>
      </c>
      <c r="AI129" s="83">
        <v>2</v>
      </c>
      <c r="AJ129" s="83"/>
      <c r="AK129" s="83" t="s">
        <v>2084</v>
      </c>
      <c r="AL129" s="83"/>
      <c r="AM129" s="83"/>
      <c r="AN129" s="83"/>
      <c r="AO129" s="85">
        <v>43617.15899305556</v>
      </c>
      <c r="AP129" s="83"/>
      <c r="AQ129" s="83" t="b">
        <v>1</v>
      </c>
      <c r="AR129" s="83" t="b">
        <v>0</v>
      </c>
      <c r="AS129" s="83" t="b">
        <v>0</v>
      </c>
      <c r="AT129" s="83"/>
      <c r="AU129" s="83">
        <v>12</v>
      </c>
      <c r="AV129" s="83"/>
      <c r="AW129" s="83" t="b">
        <v>0</v>
      </c>
      <c r="AX129" s="83" t="s">
        <v>2296</v>
      </c>
      <c r="AY129" s="88" t="str">
        <f>HYPERLINK("https://twitter.com/shybot7")</f>
        <v>https://twitter.com/shybot7</v>
      </c>
      <c r="AZ129" s="83" t="s">
        <v>66</v>
      </c>
      <c r="BA129" s="83" t="str">
        <f>REPLACE(INDEX(GroupVertices[Group],MATCH(Vertices[[#This Row],[Vertex]],GroupVertices[Vertex],0)),1,1,"")</f>
        <v>5</v>
      </c>
      <c r="BB129" s="49">
        <v>0</v>
      </c>
      <c r="BC129" s="50">
        <v>0</v>
      </c>
      <c r="BD129" s="49">
        <v>0</v>
      </c>
      <c r="BE129" s="50">
        <v>0</v>
      </c>
      <c r="BF129" s="49">
        <v>0</v>
      </c>
      <c r="BG129" s="50">
        <v>0</v>
      </c>
      <c r="BH129" s="49">
        <v>79</v>
      </c>
      <c r="BI129" s="50">
        <v>100</v>
      </c>
      <c r="BJ129" s="49">
        <v>79</v>
      </c>
      <c r="BK129" s="49" t="s">
        <v>4817</v>
      </c>
      <c r="BL129" s="49" t="s">
        <v>4817</v>
      </c>
      <c r="BM129" s="49" t="s">
        <v>4856</v>
      </c>
      <c r="BN129" s="49" t="s">
        <v>4881</v>
      </c>
      <c r="BO129" s="49" t="s">
        <v>4904</v>
      </c>
      <c r="BP129" s="49" t="s">
        <v>4949</v>
      </c>
      <c r="BQ129" s="119" t="s">
        <v>5017</v>
      </c>
      <c r="BR129" s="119" t="s">
        <v>5081</v>
      </c>
      <c r="BS129" s="119" t="s">
        <v>5148</v>
      </c>
      <c r="BT129" s="119" t="s">
        <v>5149</v>
      </c>
      <c r="BU129" s="2"/>
      <c r="BV129" s="3"/>
      <c r="BW129" s="3"/>
      <c r="BX129" s="3"/>
      <c r="BY129" s="3"/>
    </row>
    <row r="130" spans="1:77" ht="15">
      <c r="A130" s="68" t="s">
        <v>324</v>
      </c>
      <c r="B130" s="69"/>
      <c r="C130" s="69" t="s">
        <v>46</v>
      </c>
      <c r="D130" s="70"/>
      <c r="E130" s="72"/>
      <c r="F130" s="107" t="str">
        <f>HYPERLINK("http://pbs.twimg.com/profile_images/1200174725189840897/0c_BIU0Y_normal.jpg")</f>
        <v>http://pbs.twimg.com/profile_images/1200174725189840897/0c_BIU0Y_normal.jpg</v>
      </c>
      <c r="G130" s="69"/>
      <c r="H130" s="73" t="s">
        <v>324</v>
      </c>
      <c r="I130" s="74" t="s">
        <v>5220</v>
      </c>
      <c r="J130" s="74" t="s">
        <v>73</v>
      </c>
      <c r="K130" s="73" t="s">
        <v>2423</v>
      </c>
      <c r="L130" s="77">
        <v>1</v>
      </c>
      <c r="M130" s="78">
        <v>3324.70703125</v>
      </c>
      <c r="N130" s="78">
        <v>3098.34912109375</v>
      </c>
      <c r="O130" s="79"/>
      <c r="P130" s="80"/>
      <c r="Q130" s="80"/>
      <c r="R130" s="93"/>
      <c r="S130" s="49">
        <v>0</v>
      </c>
      <c r="T130" s="49">
        <v>1</v>
      </c>
      <c r="U130" s="50">
        <v>0</v>
      </c>
      <c r="V130" s="50">
        <v>0.001511</v>
      </c>
      <c r="W130" s="50">
        <v>0.000203</v>
      </c>
      <c r="X130" s="50">
        <v>0.404088</v>
      </c>
      <c r="Y130" s="50">
        <v>0</v>
      </c>
      <c r="Z130" s="50">
        <v>0</v>
      </c>
      <c r="AA130" s="75">
        <v>130</v>
      </c>
      <c r="AB130" s="75"/>
      <c r="AC130" s="76"/>
      <c r="AD130" s="83" t="s">
        <v>1674</v>
      </c>
      <c r="AE130" s="91" t="s">
        <v>1883</v>
      </c>
      <c r="AF130" s="83">
        <v>689</v>
      </c>
      <c r="AG130" s="83">
        <v>720</v>
      </c>
      <c r="AH130" s="83">
        <v>8292</v>
      </c>
      <c r="AI130" s="83">
        <v>1873</v>
      </c>
      <c r="AJ130" s="83"/>
      <c r="AK130" s="83" t="s">
        <v>2085</v>
      </c>
      <c r="AL130" s="83" t="s">
        <v>2246</v>
      </c>
      <c r="AM130" s="88" t="str">
        <f>HYPERLINK("https://t.co/OrjW2xHHPI")</f>
        <v>https://t.co/OrjW2xHHPI</v>
      </c>
      <c r="AN130" s="83"/>
      <c r="AO130" s="85">
        <v>43719.418078703704</v>
      </c>
      <c r="AP130" s="88" t="str">
        <f>HYPERLINK("https://pbs.twimg.com/profile_banners/1171725274909675521/1575041577")</f>
        <v>https://pbs.twimg.com/profile_banners/1171725274909675521/1575041577</v>
      </c>
      <c r="AQ130" s="83" t="b">
        <v>1</v>
      </c>
      <c r="AR130" s="83" t="b">
        <v>0</v>
      </c>
      <c r="AS130" s="83" t="b">
        <v>0</v>
      </c>
      <c r="AT130" s="83"/>
      <c r="AU130" s="83">
        <v>13</v>
      </c>
      <c r="AV130" s="83"/>
      <c r="AW130" s="83" t="b">
        <v>0</v>
      </c>
      <c r="AX130" s="83" t="s">
        <v>2296</v>
      </c>
      <c r="AY130" s="88" t="str">
        <f>HYPERLINK("https://twitter.com/cyril_chiffot")</f>
        <v>https://twitter.com/cyril_chiffot</v>
      </c>
      <c r="AZ130" s="83" t="s">
        <v>66</v>
      </c>
      <c r="BA130" s="83" t="str">
        <f>REPLACE(INDEX(GroupVertices[Group],MATCH(Vertices[[#This Row],[Vertex]],GroupVertices[Vertex],0)),1,1,"")</f>
        <v>3</v>
      </c>
      <c r="BB130" s="49">
        <v>0</v>
      </c>
      <c r="BC130" s="50">
        <v>0</v>
      </c>
      <c r="BD130" s="49">
        <v>0</v>
      </c>
      <c r="BE130" s="50">
        <v>0</v>
      </c>
      <c r="BF130" s="49">
        <v>0</v>
      </c>
      <c r="BG130" s="50">
        <v>0</v>
      </c>
      <c r="BH130" s="49">
        <v>28</v>
      </c>
      <c r="BI130" s="50">
        <v>100</v>
      </c>
      <c r="BJ130" s="49">
        <v>28</v>
      </c>
      <c r="BK130" s="49" t="s">
        <v>4460</v>
      </c>
      <c r="BL130" s="49" t="s">
        <v>4460</v>
      </c>
      <c r="BM130" s="49" t="s">
        <v>541</v>
      </c>
      <c r="BN130" s="49" t="s">
        <v>541</v>
      </c>
      <c r="BO130" s="49" t="s">
        <v>598</v>
      </c>
      <c r="BP130" s="49" t="s">
        <v>598</v>
      </c>
      <c r="BQ130" s="119" t="s">
        <v>5018</v>
      </c>
      <c r="BR130" s="119" t="s">
        <v>5018</v>
      </c>
      <c r="BS130" s="119" t="s">
        <v>5149</v>
      </c>
      <c r="BT130" s="119" t="s">
        <v>5149</v>
      </c>
      <c r="BU130" s="2"/>
      <c r="BV130" s="3"/>
      <c r="BW130" s="3"/>
      <c r="BX130" s="3"/>
      <c r="BY130" s="3"/>
    </row>
    <row r="131" spans="1:77" ht="15">
      <c r="A131" s="68" t="s">
        <v>325</v>
      </c>
      <c r="B131" s="69"/>
      <c r="C131" s="69" t="s">
        <v>46</v>
      </c>
      <c r="D131" s="70"/>
      <c r="E131" s="72"/>
      <c r="F131" s="107" t="str">
        <f>HYPERLINK("http://pbs.twimg.com/profile_images/1071480273940824064/dJg1h7C4_normal.jpg")</f>
        <v>http://pbs.twimg.com/profile_images/1071480273940824064/dJg1h7C4_normal.jpg</v>
      </c>
      <c r="G131" s="69"/>
      <c r="H131" s="73" t="s">
        <v>325</v>
      </c>
      <c r="I131" s="74" t="s">
        <v>5220</v>
      </c>
      <c r="J131" s="74" t="s">
        <v>73</v>
      </c>
      <c r="K131" s="73" t="s">
        <v>2424</v>
      </c>
      <c r="L131" s="77">
        <v>1</v>
      </c>
      <c r="M131" s="78">
        <v>4996.26904296875</v>
      </c>
      <c r="N131" s="78">
        <v>4031.510986328125</v>
      </c>
      <c r="O131" s="79"/>
      <c r="P131" s="80"/>
      <c r="Q131" s="80"/>
      <c r="R131" s="93"/>
      <c r="S131" s="49">
        <v>0</v>
      </c>
      <c r="T131" s="49">
        <v>1</v>
      </c>
      <c r="U131" s="50">
        <v>0</v>
      </c>
      <c r="V131" s="50">
        <v>0.001511</v>
      </c>
      <c r="W131" s="50">
        <v>0.000203</v>
      </c>
      <c r="X131" s="50">
        <v>0.404088</v>
      </c>
      <c r="Y131" s="50">
        <v>0</v>
      </c>
      <c r="Z131" s="50">
        <v>0</v>
      </c>
      <c r="AA131" s="75">
        <v>131</v>
      </c>
      <c r="AB131" s="75"/>
      <c r="AC131" s="76"/>
      <c r="AD131" s="83" t="s">
        <v>1675</v>
      </c>
      <c r="AE131" s="91" t="s">
        <v>1884</v>
      </c>
      <c r="AF131" s="83">
        <v>853</v>
      </c>
      <c r="AG131" s="83">
        <v>475</v>
      </c>
      <c r="AH131" s="83">
        <v>24090</v>
      </c>
      <c r="AI131" s="83">
        <v>5227</v>
      </c>
      <c r="AJ131" s="83"/>
      <c r="AK131" s="83" t="s">
        <v>2086</v>
      </c>
      <c r="AL131" s="83" t="s">
        <v>2247</v>
      </c>
      <c r="AM131" s="83"/>
      <c r="AN131" s="83"/>
      <c r="AO131" s="85">
        <v>43442.78938657408</v>
      </c>
      <c r="AP131" s="83"/>
      <c r="AQ131" s="83" t="b">
        <v>1</v>
      </c>
      <c r="AR131" s="83" t="b">
        <v>0</v>
      </c>
      <c r="AS131" s="83" t="b">
        <v>0</v>
      </c>
      <c r="AT131" s="83"/>
      <c r="AU131" s="83">
        <v>9</v>
      </c>
      <c r="AV131" s="83"/>
      <c r="AW131" s="83" t="b">
        <v>0</v>
      </c>
      <c r="AX131" s="83" t="s">
        <v>2296</v>
      </c>
      <c r="AY131" s="88" t="str">
        <f>HYPERLINK("https://twitter.com/techsolzenastra")</f>
        <v>https://twitter.com/techsolzenastra</v>
      </c>
      <c r="AZ131" s="83" t="s">
        <v>66</v>
      </c>
      <c r="BA131" s="83" t="str">
        <f>REPLACE(INDEX(GroupVertices[Group],MATCH(Vertices[[#This Row],[Vertex]],GroupVertices[Vertex],0)),1,1,"")</f>
        <v>3</v>
      </c>
      <c r="BB131" s="49">
        <v>0</v>
      </c>
      <c r="BC131" s="50">
        <v>0</v>
      </c>
      <c r="BD131" s="49">
        <v>0</v>
      </c>
      <c r="BE131" s="50">
        <v>0</v>
      </c>
      <c r="BF131" s="49">
        <v>0</v>
      </c>
      <c r="BG131" s="50">
        <v>0</v>
      </c>
      <c r="BH131" s="49">
        <v>28</v>
      </c>
      <c r="BI131" s="50">
        <v>100</v>
      </c>
      <c r="BJ131" s="49">
        <v>28</v>
      </c>
      <c r="BK131" s="49" t="s">
        <v>4460</v>
      </c>
      <c r="BL131" s="49" t="s">
        <v>4460</v>
      </c>
      <c r="BM131" s="49" t="s">
        <v>541</v>
      </c>
      <c r="BN131" s="49" t="s">
        <v>541</v>
      </c>
      <c r="BO131" s="49" t="s">
        <v>598</v>
      </c>
      <c r="BP131" s="49" t="s">
        <v>598</v>
      </c>
      <c r="BQ131" s="119" t="s">
        <v>5018</v>
      </c>
      <c r="BR131" s="119" t="s">
        <v>5018</v>
      </c>
      <c r="BS131" s="119" t="s">
        <v>5149</v>
      </c>
      <c r="BT131" s="119" t="s">
        <v>5149</v>
      </c>
      <c r="BU131" s="2"/>
      <c r="BV131" s="3"/>
      <c r="BW131" s="3"/>
      <c r="BX131" s="3"/>
      <c r="BY131" s="3"/>
    </row>
    <row r="132" spans="1:77" ht="15">
      <c r="A132" s="68" t="s">
        <v>326</v>
      </c>
      <c r="B132" s="69"/>
      <c r="C132" s="69" t="s">
        <v>46</v>
      </c>
      <c r="D132" s="70"/>
      <c r="E132" s="72"/>
      <c r="F132" s="107" t="str">
        <f>HYPERLINK("http://pbs.twimg.com/profile_images/1163450709653807104/vGmiJHgw_normal.jpg")</f>
        <v>http://pbs.twimg.com/profile_images/1163450709653807104/vGmiJHgw_normal.jpg</v>
      </c>
      <c r="G132" s="69"/>
      <c r="H132" s="73" t="s">
        <v>326</v>
      </c>
      <c r="I132" s="74" t="s">
        <v>5220</v>
      </c>
      <c r="J132" s="74" t="s">
        <v>73</v>
      </c>
      <c r="K132" s="73" t="s">
        <v>2425</v>
      </c>
      <c r="L132" s="77">
        <v>1</v>
      </c>
      <c r="M132" s="78">
        <v>4849.71630859375</v>
      </c>
      <c r="N132" s="78">
        <v>1230.2650146484375</v>
      </c>
      <c r="O132" s="79"/>
      <c r="P132" s="80"/>
      <c r="Q132" s="80"/>
      <c r="R132" s="93"/>
      <c r="S132" s="49">
        <v>0</v>
      </c>
      <c r="T132" s="49">
        <v>1</v>
      </c>
      <c r="U132" s="50">
        <v>0</v>
      </c>
      <c r="V132" s="50">
        <v>0.001511</v>
      </c>
      <c r="W132" s="50">
        <v>0.000203</v>
      </c>
      <c r="X132" s="50">
        <v>0.404088</v>
      </c>
      <c r="Y132" s="50">
        <v>0</v>
      </c>
      <c r="Z132" s="50">
        <v>0</v>
      </c>
      <c r="AA132" s="75">
        <v>132</v>
      </c>
      <c r="AB132" s="75"/>
      <c r="AC132" s="76"/>
      <c r="AD132" s="83" t="s">
        <v>1676</v>
      </c>
      <c r="AE132" s="91" t="s">
        <v>1885</v>
      </c>
      <c r="AF132" s="83">
        <v>23612</v>
      </c>
      <c r="AG132" s="83">
        <v>50411</v>
      </c>
      <c r="AH132" s="83">
        <v>66799</v>
      </c>
      <c r="AI132" s="83">
        <v>18147</v>
      </c>
      <c r="AJ132" s="83"/>
      <c r="AK132" s="83" t="s">
        <v>2087</v>
      </c>
      <c r="AL132" s="83" t="s">
        <v>2248</v>
      </c>
      <c r="AM132" s="88" t="str">
        <f>HYPERLINK("https://t.co/cGk3pgSkTe")</f>
        <v>https://t.co/cGk3pgSkTe</v>
      </c>
      <c r="AN132" s="83"/>
      <c r="AO132" s="85">
        <v>39776.90996527778</v>
      </c>
      <c r="AP132" s="88" t="str">
        <f>HYPERLINK("https://pbs.twimg.com/profile_banners/17602262/1566223240")</f>
        <v>https://pbs.twimg.com/profile_banners/17602262/1566223240</v>
      </c>
      <c r="AQ132" s="83" t="b">
        <v>0</v>
      </c>
      <c r="AR132" s="83" t="b">
        <v>0</v>
      </c>
      <c r="AS132" s="83" t="b">
        <v>0</v>
      </c>
      <c r="AT132" s="83"/>
      <c r="AU132" s="83">
        <v>251</v>
      </c>
      <c r="AV132" s="88" t="str">
        <f>HYPERLINK("http://abs.twimg.com/images/themes/theme10/bg.gif")</f>
        <v>http://abs.twimg.com/images/themes/theme10/bg.gif</v>
      </c>
      <c r="AW132" s="83" t="b">
        <v>0</v>
      </c>
      <c r="AX132" s="83" t="s">
        <v>2296</v>
      </c>
      <c r="AY132" s="88" t="str">
        <f>HYPERLINK("https://twitter.com/melissablive")</f>
        <v>https://twitter.com/melissablive</v>
      </c>
      <c r="AZ132" s="83" t="s">
        <v>66</v>
      </c>
      <c r="BA132" s="83" t="str">
        <f>REPLACE(INDEX(GroupVertices[Group],MATCH(Vertices[[#This Row],[Vertex]],GroupVertices[Vertex],0)),1,1,"")</f>
        <v>3</v>
      </c>
      <c r="BB132" s="49">
        <v>0</v>
      </c>
      <c r="BC132" s="50">
        <v>0</v>
      </c>
      <c r="BD132" s="49">
        <v>0</v>
      </c>
      <c r="BE132" s="50">
        <v>0</v>
      </c>
      <c r="BF132" s="49">
        <v>0</v>
      </c>
      <c r="BG132" s="50">
        <v>0</v>
      </c>
      <c r="BH132" s="49">
        <v>28</v>
      </c>
      <c r="BI132" s="50">
        <v>100</v>
      </c>
      <c r="BJ132" s="49">
        <v>28</v>
      </c>
      <c r="BK132" s="49" t="s">
        <v>4460</v>
      </c>
      <c r="BL132" s="49" t="s">
        <v>4460</v>
      </c>
      <c r="BM132" s="49" t="s">
        <v>541</v>
      </c>
      <c r="BN132" s="49" t="s">
        <v>541</v>
      </c>
      <c r="BO132" s="49" t="s">
        <v>598</v>
      </c>
      <c r="BP132" s="49" t="s">
        <v>598</v>
      </c>
      <c r="BQ132" s="119" t="s">
        <v>5018</v>
      </c>
      <c r="BR132" s="119" t="s">
        <v>5018</v>
      </c>
      <c r="BS132" s="119" t="s">
        <v>5149</v>
      </c>
      <c r="BT132" s="119" t="s">
        <v>5149</v>
      </c>
      <c r="BU132" s="2"/>
      <c r="BV132" s="3"/>
      <c r="BW132" s="3"/>
      <c r="BX132" s="3"/>
      <c r="BY132" s="3"/>
    </row>
    <row r="133" spans="1:77" ht="15">
      <c r="A133" s="68" t="s">
        <v>327</v>
      </c>
      <c r="B133" s="69"/>
      <c r="C133" s="69" t="s">
        <v>46</v>
      </c>
      <c r="D133" s="70"/>
      <c r="E133" s="72"/>
      <c r="F133" s="107" t="str">
        <f>HYPERLINK("http://pbs.twimg.com/profile_images/1203160322330284032/97rec9oK_normal.jpg")</f>
        <v>http://pbs.twimg.com/profile_images/1203160322330284032/97rec9oK_normal.jpg</v>
      </c>
      <c r="G133" s="69"/>
      <c r="H133" s="73" t="s">
        <v>327</v>
      </c>
      <c r="I133" s="74" t="s">
        <v>5220</v>
      </c>
      <c r="J133" s="74" t="s">
        <v>73</v>
      </c>
      <c r="K133" s="73" t="s">
        <v>2426</v>
      </c>
      <c r="L133" s="77">
        <v>1</v>
      </c>
      <c r="M133" s="78">
        <v>3991.017333984375</v>
      </c>
      <c r="N133" s="78">
        <v>2053.960693359375</v>
      </c>
      <c r="O133" s="79"/>
      <c r="P133" s="80"/>
      <c r="Q133" s="80"/>
      <c r="R133" s="93"/>
      <c r="S133" s="49">
        <v>0</v>
      </c>
      <c r="T133" s="49">
        <v>1</v>
      </c>
      <c r="U133" s="50">
        <v>0</v>
      </c>
      <c r="V133" s="50">
        <v>0.001511</v>
      </c>
      <c r="W133" s="50">
        <v>0.000203</v>
      </c>
      <c r="X133" s="50">
        <v>0.404088</v>
      </c>
      <c r="Y133" s="50">
        <v>0</v>
      </c>
      <c r="Z133" s="50">
        <v>0</v>
      </c>
      <c r="AA133" s="75">
        <v>133</v>
      </c>
      <c r="AB133" s="75"/>
      <c r="AC133" s="76"/>
      <c r="AD133" s="83" t="s">
        <v>1677</v>
      </c>
      <c r="AE133" s="91" t="s">
        <v>1886</v>
      </c>
      <c r="AF133" s="83">
        <v>547</v>
      </c>
      <c r="AG133" s="83">
        <v>886</v>
      </c>
      <c r="AH133" s="83">
        <v>12162</v>
      </c>
      <c r="AI133" s="83">
        <v>2127</v>
      </c>
      <c r="AJ133" s="83"/>
      <c r="AK133" s="83" t="s">
        <v>2088</v>
      </c>
      <c r="AL133" s="83"/>
      <c r="AM133" s="83"/>
      <c r="AN133" s="83"/>
      <c r="AO133" s="85">
        <v>43799.38636574074</v>
      </c>
      <c r="AP133" s="88" t="str">
        <f>HYPERLINK("https://pbs.twimg.com/profile_banners/1200705083157168128/1575690857")</f>
        <v>https://pbs.twimg.com/profile_banners/1200705083157168128/1575690857</v>
      </c>
      <c r="AQ133" s="83" t="b">
        <v>1</v>
      </c>
      <c r="AR133" s="83" t="b">
        <v>0</v>
      </c>
      <c r="AS133" s="83" t="b">
        <v>0</v>
      </c>
      <c r="AT133" s="83"/>
      <c r="AU133" s="83">
        <v>16</v>
      </c>
      <c r="AV133" s="83"/>
      <c r="AW133" s="83" t="b">
        <v>0</v>
      </c>
      <c r="AX133" s="83" t="s">
        <v>2296</v>
      </c>
      <c r="AY133" s="88" t="str">
        <f>HYPERLINK("https://twitter.com/neuralnetwork_")</f>
        <v>https://twitter.com/neuralnetwork_</v>
      </c>
      <c r="AZ133" s="83" t="s">
        <v>66</v>
      </c>
      <c r="BA133" s="83" t="str">
        <f>REPLACE(INDEX(GroupVertices[Group],MATCH(Vertices[[#This Row],[Vertex]],GroupVertices[Vertex],0)),1,1,"")</f>
        <v>3</v>
      </c>
      <c r="BB133" s="49">
        <v>0</v>
      </c>
      <c r="BC133" s="50">
        <v>0</v>
      </c>
      <c r="BD133" s="49">
        <v>0</v>
      </c>
      <c r="BE133" s="50">
        <v>0</v>
      </c>
      <c r="BF133" s="49">
        <v>0</v>
      </c>
      <c r="BG133" s="50">
        <v>0</v>
      </c>
      <c r="BH133" s="49">
        <v>53</v>
      </c>
      <c r="BI133" s="50">
        <v>100</v>
      </c>
      <c r="BJ133" s="49">
        <v>53</v>
      </c>
      <c r="BK133" s="49" t="s">
        <v>4818</v>
      </c>
      <c r="BL133" s="49" t="s">
        <v>4818</v>
      </c>
      <c r="BM133" s="49" t="s">
        <v>541</v>
      </c>
      <c r="BN133" s="49" t="s">
        <v>541</v>
      </c>
      <c r="BO133" s="49" t="s">
        <v>598</v>
      </c>
      <c r="BP133" s="49" t="s">
        <v>4950</v>
      </c>
      <c r="BQ133" s="119" t="s">
        <v>5019</v>
      </c>
      <c r="BR133" s="119" t="s">
        <v>5082</v>
      </c>
      <c r="BS133" s="119" t="s">
        <v>5148</v>
      </c>
      <c r="BT133" s="119" t="s">
        <v>5149</v>
      </c>
      <c r="BU133" s="2"/>
      <c r="BV133" s="3"/>
      <c r="BW133" s="3"/>
      <c r="BX133" s="3"/>
      <c r="BY133" s="3"/>
    </row>
    <row r="134" spans="1:77" ht="15">
      <c r="A134" s="68" t="s">
        <v>328</v>
      </c>
      <c r="B134" s="69"/>
      <c r="C134" s="69" t="s">
        <v>46</v>
      </c>
      <c r="D134" s="70"/>
      <c r="E134" s="72"/>
      <c r="F134" s="107" t="str">
        <f>HYPERLINK("http://pbs.twimg.com/profile_images/1042035585970581510/oQfSazaq_normal.jpg")</f>
        <v>http://pbs.twimg.com/profile_images/1042035585970581510/oQfSazaq_normal.jpg</v>
      </c>
      <c r="G134" s="69"/>
      <c r="H134" s="73" t="s">
        <v>328</v>
      </c>
      <c r="I134" s="74" t="s">
        <v>5220</v>
      </c>
      <c r="J134" s="74" t="s">
        <v>73</v>
      </c>
      <c r="K134" s="73" t="s">
        <v>2427</v>
      </c>
      <c r="L134" s="77">
        <v>1</v>
      </c>
      <c r="M134" s="78">
        <v>5211.0048828125</v>
      </c>
      <c r="N134" s="78">
        <v>2296.77978515625</v>
      </c>
      <c r="O134" s="79"/>
      <c r="P134" s="80"/>
      <c r="Q134" s="80"/>
      <c r="R134" s="93"/>
      <c r="S134" s="49">
        <v>0</v>
      </c>
      <c r="T134" s="49">
        <v>2</v>
      </c>
      <c r="U134" s="50">
        <v>190.816878</v>
      </c>
      <c r="V134" s="50">
        <v>0.001715</v>
      </c>
      <c r="W134" s="50">
        <v>0.000423</v>
      </c>
      <c r="X134" s="50">
        <v>0.6074</v>
      </c>
      <c r="Y134" s="50">
        <v>0</v>
      </c>
      <c r="Z134" s="50">
        <v>0</v>
      </c>
      <c r="AA134" s="75">
        <v>134</v>
      </c>
      <c r="AB134" s="75"/>
      <c r="AC134" s="76"/>
      <c r="AD134" s="83" t="s">
        <v>1678</v>
      </c>
      <c r="AE134" s="91" t="s">
        <v>1887</v>
      </c>
      <c r="AF134" s="83">
        <v>1</v>
      </c>
      <c r="AG134" s="83">
        <v>1671</v>
      </c>
      <c r="AH134" s="83">
        <v>94292</v>
      </c>
      <c r="AI134" s="83">
        <v>116</v>
      </c>
      <c r="AJ134" s="83"/>
      <c r="AK134" s="83" t="s">
        <v>2089</v>
      </c>
      <c r="AL134" s="83"/>
      <c r="AM134" s="88" t="str">
        <f>HYPERLINK("https://t.co/D8mo2y29Nh")</f>
        <v>https://t.co/D8mo2y29Nh</v>
      </c>
      <c r="AN134" s="83"/>
      <c r="AO134" s="85">
        <v>43054.78748842593</v>
      </c>
      <c r="AP134" s="88" t="str">
        <f>HYPERLINK("https://pbs.twimg.com/profile_banners/930871517860319232/1534697123")</f>
        <v>https://pbs.twimg.com/profile_banners/930871517860319232/1534697123</v>
      </c>
      <c r="AQ134" s="83" t="b">
        <v>0</v>
      </c>
      <c r="AR134" s="83" t="b">
        <v>0</v>
      </c>
      <c r="AS134" s="83" t="b">
        <v>0</v>
      </c>
      <c r="AT134" s="83"/>
      <c r="AU134" s="83">
        <v>137</v>
      </c>
      <c r="AV134" s="88" t="str">
        <f>HYPERLINK("http://abs.twimg.com/images/themes/theme1/bg.png")</f>
        <v>http://abs.twimg.com/images/themes/theme1/bg.png</v>
      </c>
      <c r="AW134" s="83" t="b">
        <v>0</v>
      </c>
      <c r="AX134" s="83" t="s">
        <v>2296</v>
      </c>
      <c r="AY134" s="88" t="str">
        <f>HYPERLINK("https://twitter.com/thomashilbig2")</f>
        <v>https://twitter.com/thomashilbig2</v>
      </c>
      <c r="AZ134" s="83" t="s">
        <v>66</v>
      </c>
      <c r="BA134" s="83" t="str">
        <f>REPLACE(INDEX(GroupVertices[Group],MATCH(Vertices[[#This Row],[Vertex]],GroupVertices[Vertex],0)),1,1,"")</f>
        <v>3</v>
      </c>
      <c r="BB134" s="49">
        <v>0</v>
      </c>
      <c r="BC134" s="50">
        <v>0</v>
      </c>
      <c r="BD134" s="49">
        <v>0</v>
      </c>
      <c r="BE134" s="50">
        <v>0</v>
      </c>
      <c r="BF134" s="49">
        <v>0</v>
      </c>
      <c r="BG134" s="50">
        <v>0</v>
      </c>
      <c r="BH134" s="49">
        <v>58</v>
      </c>
      <c r="BI134" s="50">
        <v>100</v>
      </c>
      <c r="BJ134" s="49">
        <v>58</v>
      </c>
      <c r="BK134" s="49" t="s">
        <v>4460</v>
      </c>
      <c r="BL134" s="49" t="s">
        <v>4460</v>
      </c>
      <c r="BM134" s="49" t="s">
        <v>541</v>
      </c>
      <c r="BN134" s="49" t="s">
        <v>541</v>
      </c>
      <c r="BO134" s="49" t="s">
        <v>4905</v>
      </c>
      <c r="BP134" s="49" t="s">
        <v>4905</v>
      </c>
      <c r="BQ134" s="119" t="s">
        <v>5020</v>
      </c>
      <c r="BR134" s="119" t="s">
        <v>5018</v>
      </c>
      <c r="BS134" s="119" t="s">
        <v>5149</v>
      </c>
      <c r="BT134" s="119" t="s">
        <v>5149</v>
      </c>
      <c r="BU134" s="2"/>
      <c r="BV134" s="3"/>
      <c r="BW134" s="3"/>
      <c r="BX134" s="3"/>
      <c r="BY134" s="3"/>
    </row>
    <row r="135" spans="1:77" ht="15">
      <c r="A135" s="68" t="s">
        <v>329</v>
      </c>
      <c r="B135" s="69"/>
      <c r="C135" s="69" t="s">
        <v>46</v>
      </c>
      <c r="D135" s="70"/>
      <c r="E135" s="72"/>
      <c r="F135" s="107" t="str">
        <f>HYPERLINK("http://pbs.twimg.com/profile_images/969886519921201153/6yhlHmIQ_normal.jpg")</f>
        <v>http://pbs.twimg.com/profile_images/969886519921201153/6yhlHmIQ_normal.jpg</v>
      </c>
      <c r="G135" s="69"/>
      <c r="H135" s="73" t="s">
        <v>329</v>
      </c>
      <c r="I135" s="74" t="s">
        <v>5220</v>
      </c>
      <c r="J135" s="74" t="s">
        <v>73</v>
      </c>
      <c r="K135" s="73" t="s">
        <v>2428</v>
      </c>
      <c r="L135" s="77">
        <v>1</v>
      </c>
      <c r="M135" s="78">
        <v>3797.993896484375</v>
      </c>
      <c r="N135" s="78">
        <v>605.6237182617188</v>
      </c>
      <c r="O135" s="79"/>
      <c r="P135" s="80"/>
      <c r="Q135" s="80"/>
      <c r="R135" s="93"/>
      <c r="S135" s="49">
        <v>0</v>
      </c>
      <c r="T135" s="49">
        <v>1</v>
      </c>
      <c r="U135" s="50">
        <v>0</v>
      </c>
      <c r="V135" s="50">
        <v>0.001511</v>
      </c>
      <c r="W135" s="50">
        <v>0.000203</v>
      </c>
      <c r="X135" s="50">
        <v>0.404088</v>
      </c>
      <c r="Y135" s="50">
        <v>0</v>
      </c>
      <c r="Z135" s="50">
        <v>0</v>
      </c>
      <c r="AA135" s="75">
        <v>135</v>
      </c>
      <c r="AB135" s="75"/>
      <c r="AC135" s="76"/>
      <c r="AD135" s="83" t="s">
        <v>1679</v>
      </c>
      <c r="AE135" s="91" t="s">
        <v>1888</v>
      </c>
      <c r="AF135" s="83">
        <v>1782</v>
      </c>
      <c r="AG135" s="83">
        <v>3224</v>
      </c>
      <c r="AH135" s="83">
        <v>307232</v>
      </c>
      <c r="AI135" s="83">
        <v>226485</v>
      </c>
      <c r="AJ135" s="83"/>
      <c r="AK135" s="83" t="s">
        <v>2090</v>
      </c>
      <c r="AL135" s="83"/>
      <c r="AM135" s="83"/>
      <c r="AN135" s="83"/>
      <c r="AO135" s="85">
        <v>40061.92017361111</v>
      </c>
      <c r="AP135" s="88" t="str">
        <f>HYPERLINK("https://pbs.twimg.com/profile_banners/71902263/1513457891")</f>
        <v>https://pbs.twimg.com/profile_banners/71902263/1513457891</v>
      </c>
      <c r="AQ135" s="83" t="b">
        <v>0</v>
      </c>
      <c r="AR135" s="83" t="b">
        <v>0</v>
      </c>
      <c r="AS135" s="83" t="b">
        <v>0</v>
      </c>
      <c r="AT135" s="83"/>
      <c r="AU135" s="83">
        <v>42</v>
      </c>
      <c r="AV135" s="88" t="str">
        <f>HYPERLINK("http://abs.twimg.com/images/themes/theme1/bg.png")</f>
        <v>http://abs.twimg.com/images/themes/theme1/bg.png</v>
      </c>
      <c r="AW135" s="83" t="b">
        <v>0</v>
      </c>
      <c r="AX135" s="83" t="s">
        <v>2296</v>
      </c>
      <c r="AY135" s="88" t="str">
        <f>HYPERLINK("https://twitter.com/o_g_log")</f>
        <v>https://twitter.com/o_g_log</v>
      </c>
      <c r="AZ135" s="83" t="s">
        <v>66</v>
      </c>
      <c r="BA135" s="83" t="str">
        <f>REPLACE(INDEX(GroupVertices[Group],MATCH(Vertices[[#This Row],[Vertex]],GroupVertices[Vertex],0)),1,1,"")</f>
        <v>3</v>
      </c>
      <c r="BB135" s="49">
        <v>0</v>
      </c>
      <c r="BC135" s="50">
        <v>0</v>
      </c>
      <c r="BD135" s="49">
        <v>0</v>
      </c>
      <c r="BE135" s="50">
        <v>0</v>
      </c>
      <c r="BF135" s="49">
        <v>0</v>
      </c>
      <c r="BG135" s="50">
        <v>0</v>
      </c>
      <c r="BH135" s="49">
        <v>28</v>
      </c>
      <c r="BI135" s="50">
        <v>100</v>
      </c>
      <c r="BJ135" s="49">
        <v>28</v>
      </c>
      <c r="BK135" s="49" t="s">
        <v>4460</v>
      </c>
      <c r="BL135" s="49" t="s">
        <v>4460</v>
      </c>
      <c r="BM135" s="49" t="s">
        <v>541</v>
      </c>
      <c r="BN135" s="49" t="s">
        <v>541</v>
      </c>
      <c r="BO135" s="49" t="s">
        <v>598</v>
      </c>
      <c r="BP135" s="49" t="s">
        <v>598</v>
      </c>
      <c r="BQ135" s="119" t="s">
        <v>5018</v>
      </c>
      <c r="BR135" s="119" t="s">
        <v>5018</v>
      </c>
      <c r="BS135" s="119" t="s">
        <v>5149</v>
      </c>
      <c r="BT135" s="119" t="s">
        <v>5149</v>
      </c>
      <c r="BU135" s="2"/>
      <c r="BV135" s="3"/>
      <c r="BW135" s="3"/>
      <c r="BX135" s="3"/>
      <c r="BY135" s="3"/>
    </row>
    <row r="136" spans="1:77" ht="15">
      <c r="A136" s="68" t="s">
        <v>330</v>
      </c>
      <c r="B136" s="69"/>
      <c r="C136" s="69" t="s">
        <v>46</v>
      </c>
      <c r="D136" s="70"/>
      <c r="E136" s="72"/>
      <c r="F136" s="107" t="str">
        <f>HYPERLINK("http://pbs.twimg.com/profile_images/1296179324131966976/fy9tjo_S_normal.jpg")</f>
        <v>http://pbs.twimg.com/profile_images/1296179324131966976/fy9tjo_S_normal.jpg</v>
      </c>
      <c r="G136" s="69"/>
      <c r="H136" s="73" t="s">
        <v>330</v>
      </c>
      <c r="I136" s="74" t="s">
        <v>5220</v>
      </c>
      <c r="J136" s="74" t="s">
        <v>73</v>
      </c>
      <c r="K136" s="73" t="s">
        <v>2429</v>
      </c>
      <c r="L136" s="77">
        <v>1</v>
      </c>
      <c r="M136" s="78">
        <v>4198.23046875</v>
      </c>
      <c r="N136" s="78">
        <v>3211.342041015625</v>
      </c>
      <c r="O136" s="79"/>
      <c r="P136" s="80"/>
      <c r="Q136" s="80"/>
      <c r="R136" s="93"/>
      <c r="S136" s="49">
        <v>0</v>
      </c>
      <c r="T136" s="49">
        <v>1</v>
      </c>
      <c r="U136" s="50">
        <v>0</v>
      </c>
      <c r="V136" s="50">
        <v>0.001511</v>
      </c>
      <c r="W136" s="50">
        <v>0.000203</v>
      </c>
      <c r="X136" s="50">
        <v>0.404088</v>
      </c>
      <c r="Y136" s="50">
        <v>0</v>
      </c>
      <c r="Z136" s="50">
        <v>0</v>
      </c>
      <c r="AA136" s="75">
        <v>136</v>
      </c>
      <c r="AB136" s="75"/>
      <c r="AC136" s="76"/>
      <c r="AD136" s="83" t="s">
        <v>1680</v>
      </c>
      <c r="AE136" s="91" t="s">
        <v>1889</v>
      </c>
      <c r="AF136" s="83">
        <v>998</v>
      </c>
      <c r="AG136" s="83">
        <v>1612</v>
      </c>
      <c r="AH136" s="83">
        <v>8917</v>
      </c>
      <c r="AI136" s="83">
        <v>5526</v>
      </c>
      <c r="AJ136" s="83"/>
      <c r="AK136" s="83" t="s">
        <v>2091</v>
      </c>
      <c r="AL136" s="83" t="s">
        <v>2249</v>
      </c>
      <c r="AM136" s="88" t="str">
        <f>HYPERLINK("https://t.co/Tu8LSBuyNZ")</f>
        <v>https://t.co/Tu8LSBuyNZ</v>
      </c>
      <c r="AN136" s="83"/>
      <c r="AO136" s="85">
        <v>43154.17753472222</v>
      </c>
      <c r="AP136" s="88" t="str">
        <f>HYPERLINK("https://pbs.twimg.com/profile_banners/966889263655673858/1598550227")</f>
        <v>https://pbs.twimg.com/profile_banners/966889263655673858/1598550227</v>
      </c>
      <c r="AQ136" s="83" t="b">
        <v>1</v>
      </c>
      <c r="AR136" s="83" t="b">
        <v>0</v>
      </c>
      <c r="AS136" s="83" t="b">
        <v>1</v>
      </c>
      <c r="AT136" s="83"/>
      <c r="AU136" s="83">
        <v>11</v>
      </c>
      <c r="AV136" s="83"/>
      <c r="AW136" s="83" t="b">
        <v>0</v>
      </c>
      <c r="AX136" s="83" t="s">
        <v>2296</v>
      </c>
      <c r="AY136" s="88" t="str">
        <f>HYPERLINK("https://twitter.com/ga7actic")</f>
        <v>https://twitter.com/ga7actic</v>
      </c>
      <c r="AZ136" s="83" t="s">
        <v>66</v>
      </c>
      <c r="BA136" s="83" t="str">
        <f>REPLACE(INDEX(GroupVertices[Group],MATCH(Vertices[[#This Row],[Vertex]],GroupVertices[Vertex],0)),1,1,"")</f>
        <v>3</v>
      </c>
      <c r="BB136" s="49">
        <v>0</v>
      </c>
      <c r="BC136" s="50">
        <v>0</v>
      </c>
      <c r="BD136" s="49">
        <v>0</v>
      </c>
      <c r="BE136" s="50">
        <v>0</v>
      </c>
      <c r="BF136" s="49">
        <v>0</v>
      </c>
      <c r="BG136" s="50">
        <v>0</v>
      </c>
      <c r="BH136" s="49">
        <v>53</v>
      </c>
      <c r="BI136" s="50">
        <v>100</v>
      </c>
      <c r="BJ136" s="49">
        <v>53</v>
      </c>
      <c r="BK136" s="49" t="s">
        <v>4818</v>
      </c>
      <c r="BL136" s="49" t="s">
        <v>4818</v>
      </c>
      <c r="BM136" s="49" t="s">
        <v>541</v>
      </c>
      <c r="BN136" s="49" t="s">
        <v>541</v>
      </c>
      <c r="BO136" s="49" t="s">
        <v>598</v>
      </c>
      <c r="BP136" s="49" t="s">
        <v>4950</v>
      </c>
      <c r="BQ136" s="119" t="s">
        <v>5019</v>
      </c>
      <c r="BR136" s="119" t="s">
        <v>5082</v>
      </c>
      <c r="BS136" s="119" t="s">
        <v>5148</v>
      </c>
      <c r="BT136" s="119" t="s">
        <v>5149</v>
      </c>
      <c r="BU136" s="2"/>
      <c r="BV136" s="3"/>
      <c r="BW136" s="3"/>
      <c r="BX136" s="3"/>
      <c r="BY136" s="3"/>
    </row>
    <row r="137" spans="1:77" ht="15">
      <c r="A137" s="68" t="s">
        <v>331</v>
      </c>
      <c r="B137" s="69"/>
      <c r="C137" s="69" t="s">
        <v>46</v>
      </c>
      <c r="D137" s="70"/>
      <c r="E137" s="72"/>
      <c r="F137" s="107" t="str">
        <f>HYPERLINK("http://pbs.twimg.com/profile_images/1234794854355369984/b5uzwAtt_normal.jpg")</f>
        <v>http://pbs.twimg.com/profile_images/1234794854355369984/b5uzwAtt_normal.jpg</v>
      </c>
      <c r="G137" s="69"/>
      <c r="H137" s="73" t="s">
        <v>331</v>
      </c>
      <c r="I137" s="74" t="s">
        <v>5220</v>
      </c>
      <c r="J137" s="74" t="s">
        <v>73</v>
      </c>
      <c r="K137" s="73" t="s">
        <v>2430</v>
      </c>
      <c r="L137" s="77">
        <v>1</v>
      </c>
      <c r="M137" s="78">
        <v>3191.16943359375</v>
      </c>
      <c r="N137" s="78">
        <v>2384.638427734375</v>
      </c>
      <c r="O137" s="79"/>
      <c r="P137" s="80"/>
      <c r="Q137" s="80"/>
      <c r="R137" s="93"/>
      <c r="S137" s="49">
        <v>0</v>
      </c>
      <c r="T137" s="49">
        <v>1</v>
      </c>
      <c r="U137" s="50">
        <v>0</v>
      </c>
      <c r="V137" s="50">
        <v>0.001511</v>
      </c>
      <c r="W137" s="50">
        <v>0.000203</v>
      </c>
      <c r="X137" s="50">
        <v>0.404088</v>
      </c>
      <c r="Y137" s="50">
        <v>0</v>
      </c>
      <c r="Z137" s="50">
        <v>0</v>
      </c>
      <c r="AA137" s="75">
        <v>137</v>
      </c>
      <c r="AB137" s="75"/>
      <c r="AC137" s="76"/>
      <c r="AD137" s="83" t="s">
        <v>1681</v>
      </c>
      <c r="AE137" s="91" t="s">
        <v>1890</v>
      </c>
      <c r="AF137" s="83">
        <v>1390</v>
      </c>
      <c r="AG137" s="83">
        <v>742</v>
      </c>
      <c r="AH137" s="83">
        <v>18841</v>
      </c>
      <c r="AI137" s="83">
        <v>3772</v>
      </c>
      <c r="AJ137" s="83"/>
      <c r="AK137" s="83" t="s">
        <v>2092</v>
      </c>
      <c r="AL137" s="83" t="s">
        <v>2216</v>
      </c>
      <c r="AM137" s="88" t="str">
        <f>HYPERLINK("https://t.co/WWfmzUcaSQ")</f>
        <v>https://t.co/WWfmzUcaSQ</v>
      </c>
      <c r="AN137" s="83"/>
      <c r="AO137" s="85">
        <v>42629.424050925925</v>
      </c>
      <c r="AP137" s="83"/>
      <c r="AQ137" s="83" t="b">
        <v>0</v>
      </c>
      <c r="AR137" s="83" t="b">
        <v>0</v>
      </c>
      <c r="AS137" s="83" t="b">
        <v>0</v>
      </c>
      <c r="AT137" s="83"/>
      <c r="AU137" s="83">
        <v>7</v>
      </c>
      <c r="AV137" s="88" t="str">
        <f>HYPERLINK("http://abs.twimg.com/images/themes/theme1/bg.png")</f>
        <v>http://abs.twimg.com/images/themes/theme1/bg.png</v>
      </c>
      <c r="AW137" s="83" t="b">
        <v>0</v>
      </c>
      <c r="AX137" s="83" t="s">
        <v>2296</v>
      </c>
      <c r="AY137" s="88" t="str">
        <f>HYPERLINK("https://twitter.com/pawansomanchi")</f>
        <v>https://twitter.com/pawansomanchi</v>
      </c>
      <c r="AZ137" s="83" t="s">
        <v>66</v>
      </c>
      <c r="BA137" s="83" t="str">
        <f>REPLACE(INDEX(GroupVertices[Group],MATCH(Vertices[[#This Row],[Vertex]],GroupVertices[Vertex],0)),1,1,"")</f>
        <v>3</v>
      </c>
      <c r="BB137" s="49">
        <v>0</v>
      </c>
      <c r="BC137" s="50">
        <v>0</v>
      </c>
      <c r="BD137" s="49">
        <v>0</v>
      </c>
      <c r="BE137" s="50">
        <v>0</v>
      </c>
      <c r="BF137" s="49">
        <v>0</v>
      </c>
      <c r="BG137" s="50">
        <v>0</v>
      </c>
      <c r="BH137" s="49">
        <v>28</v>
      </c>
      <c r="BI137" s="50">
        <v>100</v>
      </c>
      <c r="BJ137" s="49">
        <v>28</v>
      </c>
      <c r="BK137" s="49" t="s">
        <v>4460</v>
      </c>
      <c r="BL137" s="49" t="s">
        <v>4460</v>
      </c>
      <c r="BM137" s="49" t="s">
        <v>541</v>
      </c>
      <c r="BN137" s="49" t="s">
        <v>541</v>
      </c>
      <c r="BO137" s="49" t="s">
        <v>598</v>
      </c>
      <c r="BP137" s="49" t="s">
        <v>598</v>
      </c>
      <c r="BQ137" s="119" t="s">
        <v>5018</v>
      </c>
      <c r="BR137" s="119" t="s">
        <v>5018</v>
      </c>
      <c r="BS137" s="119" t="s">
        <v>5149</v>
      </c>
      <c r="BT137" s="119" t="s">
        <v>5149</v>
      </c>
      <c r="BU137" s="2"/>
      <c r="BV137" s="3"/>
      <c r="BW137" s="3"/>
      <c r="BX137" s="3"/>
      <c r="BY137" s="3"/>
    </row>
    <row r="138" spans="1:77" ht="15">
      <c r="A138" s="68" t="s">
        <v>332</v>
      </c>
      <c r="B138" s="69"/>
      <c r="C138" s="69" t="s">
        <v>46</v>
      </c>
      <c r="D138" s="70"/>
      <c r="E138" s="72"/>
      <c r="F138" s="107" t="str">
        <f>HYPERLINK("http://pbs.twimg.com/profile_images/1201246977150922755/lKxY2XSy_normal.jpg")</f>
        <v>http://pbs.twimg.com/profile_images/1201246977150922755/lKxY2XSy_normal.jpg</v>
      </c>
      <c r="G138" s="69"/>
      <c r="H138" s="73" t="s">
        <v>332</v>
      </c>
      <c r="I138" s="74" t="s">
        <v>5220</v>
      </c>
      <c r="J138" s="74" t="s">
        <v>73</v>
      </c>
      <c r="K138" s="73" t="s">
        <v>2431</v>
      </c>
      <c r="L138" s="77">
        <v>1</v>
      </c>
      <c r="M138" s="78">
        <v>4161.9814453125</v>
      </c>
      <c r="N138" s="78">
        <v>224.19419860839844</v>
      </c>
      <c r="O138" s="79"/>
      <c r="P138" s="80"/>
      <c r="Q138" s="80"/>
      <c r="R138" s="93"/>
      <c r="S138" s="49">
        <v>0</v>
      </c>
      <c r="T138" s="49">
        <v>1</v>
      </c>
      <c r="U138" s="50">
        <v>0</v>
      </c>
      <c r="V138" s="50">
        <v>0.001511</v>
      </c>
      <c r="W138" s="50">
        <v>0.000203</v>
      </c>
      <c r="X138" s="50">
        <v>0.404088</v>
      </c>
      <c r="Y138" s="50">
        <v>0</v>
      </c>
      <c r="Z138" s="50">
        <v>0</v>
      </c>
      <c r="AA138" s="75">
        <v>138</v>
      </c>
      <c r="AB138" s="75"/>
      <c r="AC138" s="76"/>
      <c r="AD138" s="83" t="s">
        <v>1682</v>
      </c>
      <c r="AE138" s="91" t="s">
        <v>1891</v>
      </c>
      <c r="AF138" s="83">
        <v>423</v>
      </c>
      <c r="AG138" s="83">
        <v>638</v>
      </c>
      <c r="AH138" s="83">
        <v>22639</v>
      </c>
      <c r="AI138" s="83">
        <v>4493</v>
      </c>
      <c r="AJ138" s="83"/>
      <c r="AK138" s="83" t="s">
        <v>2093</v>
      </c>
      <c r="AL138" s="83" t="s">
        <v>2222</v>
      </c>
      <c r="AM138" s="83"/>
      <c r="AN138" s="83"/>
      <c r="AO138" s="85">
        <v>43080.4924537037</v>
      </c>
      <c r="AP138" s="88" t="str">
        <f>HYPERLINK("https://pbs.twimg.com/profile_banners/940186685492596738/1575260315")</f>
        <v>https://pbs.twimg.com/profile_banners/940186685492596738/1575260315</v>
      </c>
      <c r="AQ138" s="83" t="b">
        <v>1</v>
      </c>
      <c r="AR138" s="83" t="b">
        <v>0</v>
      </c>
      <c r="AS138" s="83" t="b">
        <v>0</v>
      </c>
      <c r="AT138" s="83"/>
      <c r="AU138" s="83">
        <v>6</v>
      </c>
      <c r="AV138" s="83"/>
      <c r="AW138" s="83" t="b">
        <v>0</v>
      </c>
      <c r="AX138" s="83" t="s">
        <v>2296</v>
      </c>
      <c r="AY138" s="88" t="str">
        <f>HYPERLINK("https://twitter.com/techfuturenew")</f>
        <v>https://twitter.com/techfuturenew</v>
      </c>
      <c r="AZ138" s="83" t="s">
        <v>66</v>
      </c>
      <c r="BA138" s="83" t="str">
        <f>REPLACE(INDEX(GroupVertices[Group],MATCH(Vertices[[#This Row],[Vertex]],GroupVertices[Vertex],0)),1,1,"")</f>
        <v>3</v>
      </c>
      <c r="BB138" s="49">
        <v>0</v>
      </c>
      <c r="BC138" s="50">
        <v>0</v>
      </c>
      <c r="BD138" s="49">
        <v>0</v>
      </c>
      <c r="BE138" s="50">
        <v>0</v>
      </c>
      <c r="BF138" s="49">
        <v>0</v>
      </c>
      <c r="BG138" s="50">
        <v>0</v>
      </c>
      <c r="BH138" s="49">
        <v>28</v>
      </c>
      <c r="BI138" s="50">
        <v>100</v>
      </c>
      <c r="BJ138" s="49">
        <v>28</v>
      </c>
      <c r="BK138" s="49" t="s">
        <v>4460</v>
      </c>
      <c r="BL138" s="49" t="s">
        <v>4460</v>
      </c>
      <c r="BM138" s="49" t="s">
        <v>541</v>
      </c>
      <c r="BN138" s="49" t="s">
        <v>541</v>
      </c>
      <c r="BO138" s="49" t="s">
        <v>598</v>
      </c>
      <c r="BP138" s="49" t="s">
        <v>598</v>
      </c>
      <c r="BQ138" s="119" t="s">
        <v>5018</v>
      </c>
      <c r="BR138" s="119" t="s">
        <v>5018</v>
      </c>
      <c r="BS138" s="119" t="s">
        <v>5149</v>
      </c>
      <c r="BT138" s="119" t="s">
        <v>5149</v>
      </c>
      <c r="BU138" s="2"/>
      <c r="BV138" s="3"/>
      <c r="BW138" s="3"/>
      <c r="BX138" s="3"/>
      <c r="BY138" s="3"/>
    </row>
    <row r="139" spans="1:77" ht="15">
      <c r="A139" s="68" t="s">
        <v>333</v>
      </c>
      <c r="B139" s="69"/>
      <c r="C139" s="69" t="s">
        <v>46</v>
      </c>
      <c r="D139" s="70">
        <v>10</v>
      </c>
      <c r="E139" s="72"/>
      <c r="F139" s="107" t="str">
        <f>HYPERLINK("http://pbs.twimg.com/profile_images/928332936700719106/QKmLf37O_normal.jpg")</f>
        <v>http://pbs.twimg.com/profile_images/928332936700719106/QKmLf37O_normal.jpg</v>
      </c>
      <c r="G139" s="69"/>
      <c r="H139" s="73" t="s">
        <v>333</v>
      </c>
      <c r="I139" s="74" t="s">
        <v>5218</v>
      </c>
      <c r="J139" s="74" t="s">
        <v>73</v>
      </c>
      <c r="K139" s="73" t="s">
        <v>2432</v>
      </c>
      <c r="L139" s="77">
        <v>323.51612903225805</v>
      </c>
      <c r="M139" s="78"/>
      <c r="N139" s="78"/>
      <c r="O139" s="79"/>
      <c r="P139" s="80"/>
      <c r="Q139" s="80"/>
      <c r="R139" s="93"/>
      <c r="S139" s="49">
        <v>1</v>
      </c>
      <c r="T139" s="49">
        <v>1</v>
      </c>
      <c r="U139" s="50">
        <v>0</v>
      </c>
      <c r="V139" s="50">
        <v>0</v>
      </c>
      <c r="W139" s="50">
        <v>0</v>
      </c>
      <c r="X139" s="50">
        <v>0.999997</v>
      </c>
      <c r="Y139" s="50">
        <v>0</v>
      </c>
      <c r="Z139" s="50">
        <v>0</v>
      </c>
      <c r="AA139" s="75">
        <v>139</v>
      </c>
      <c r="AB139" s="75"/>
      <c r="AC139" s="76"/>
      <c r="AD139" s="83" t="s">
        <v>1683</v>
      </c>
      <c r="AE139" s="91" t="s">
        <v>1892</v>
      </c>
      <c r="AF139" s="83">
        <v>466</v>
      </c>
      <c r="AG139" s="83">
        <v>124</v>
      </c>
      <c r="AH139" s="83">
        <v>350</v>
      </c>
      <c r="AI139" s="83">
        <v>1110</v>
      </c>
      <c r="AJ139" s="83"/>
      <c r="AK139" s="83"/>
      <c r="AL139" s="83"/>
      <c r="AM139" s="83"/>
      <c r="AN139" s="83"/>
      <c r="AO139" s="85">
        <v>41716.38650462963</v>
      </c>
      <c r="AP139" s="88" t="str">
        <f>HYPERLINK("https://pbs.twimg.com/profile_banners/2419611113/1409679963")</f>
        <v>https://pbs.twimg.com/profile_banners/2419611113/1409679963</v>
      </c>
      <c r="AQ139" s="83" t="b">
        <v>1</v>
      </c>
      <c r="AR139" s="83" t="b">
        <v>0</v>
      </c>
      <c r="AS139" s="83" t="b">
        <v>0</v>
      </c>
      <c r="AT139" s="83"/>
      <c r="AU139" s="83">
        <v>0</v>
      </c>
      <c r="AV139" s="88" t="str">
        <f>HYPERLINK("http://abs.twimg.com/images/themes/theme1/bg.png")</f>
        <v>http://abs.twimg.com/images/themes/theme1/bg.png</v>
      </c>
      <c r="AW139" s="83" t="b">
        <v>0</v>
      </c>
      <c r="AX139" s="83" t="s">
        <v>2296</v>
      </c>
      <c r="AY139" s="88" t="str">
        <f>HYPERLINK("https://twitter.com/metintokerer")</f>
        <v>https://twitter.com/metintokerer</v>
      </c>
      <c r="AZ139" s="83" t="s">
        <v>66</v>
      </c>
      <c r="BA139" s="83" t="str">
        <f>REPLACE(INDEX(GroupVertices[Group],MATCH(Vertices[[#This Row],[Vertex]],GroupVertices[Vertex],0)),1,1,"")</f>
        <v>6</v>
      </c>
      <c r="BB139" s="49">
        <v>0</v>
      </c>
      <c r="BC139" s="50">
        <v>0</v>
      </c>
      <c r="BD139" s="49">
        <v>0</v>
      </c>
      <c r="BE139" s="50">
        <v>0</v>
      </c>
      <c r="BF139" s="49">
        <v>0</v>
      </c>
      <c r="BG139" s="50">
        <v>0</v>
      </c>
      <c r="BH139" s="49">
        <v>7</v>
      </c>
      <c r="BI139" s="50">
        <v>100</v>
      </c>
      <c r="BJ139" s="49">
        <v>7</v>
      </c>
      <c r="BK139" s="49"/>
      <c r="BL139" s="49"/>
      <c r="BM139" s="49"/>
      <c r="BN139" s="49"/>
      <c r="BO139" s="49" t="s">
        <v>599</v>
      </c>
      <c r="BP139" s="49" t="s">
        <v>599</v>
      </c>
      <c r="BQ139" s="119" t="s">
        <v>5021</v>
      </c>
      <c r="BR139" s="119" t="s">
        <v>5021</v>
      </c>
      <c r="BS139" s="119" t="s">
        <v>5150</v>
      </c>
      <c r="BT139" s="119" t="s">
        <v>5150</v>
      </c>
      <c r="BU139" s="2"/>
      <c r="BV139" s="3"/>
      <c r="BW139" s="3"/>
      <c r="BX139" s="3"/>
      <c r="BY139" s="3"/>
    </row>
    <row r="140" spans="1:77" ht="15">
      <c r="A140" s="68" t="s">
        <v>335</v>
      </c>
      <c r="B140" s="69"/>
      <c r="C140" s="69" t="s">
        <v>46</v>
      </c>
      <c r="D140" s="70"/>
      <c r="E140" s="72"/>
      <c r="F140" s="107" t="str">
        <f>HYPERLINK("http://pbs.twimg.com/profile_images/1285755398813876224/W_vN9euM_normal.jpg")</f>
        <v>http://pbs.twimg.com/profile_images/1285755398813876224/W_vN9euM_normal.jpg</v>
      </c>
      <c r="G140" s="69"/>
      <c r="H140" s="73" t="s">
        <v>335</v>
      </c>
      <c r="I140" s="74" t="s">
        <v>5225</v>
      </c>
      <c r="J140" s="74" t="s">
        <v>73</v>
      </c>
      <c r="K140" s="73" t="s">
        <v>2433</v>
      </c>
      <c r="L140" s="77">
        <v>1</v>
      </c>
      <c r="M140" s="78">
        <v>7020.564453125</v>
      </c>
      <c r="N140" s="78">
        <v>1390.008544921875</v>
      </c>
      <c r="O140" s="79"/>
      <c r="P140" s="80"/>
      <c r="Q140" s="80"/>
      <c r="R140" s="93"/>
      <c r="S140" s="49">
        <v>0</v>
      </c>
      <c r="T140" s="49">
        <v>1</v>
      </c>
      <c r="U140" s="50">
        <v>0</v>
      </c>
      <c r="V140" s="50">
        <v>0.001001</v>
      </c>
      <c r="W140" s="50">
        <v>1E-06</v>
      </c>
      <c r="X140" s="50">
        <v>0.490922</v>
      </c>
      <c r="Y140" s="50">
        <v>0</v>
      </c>
      <c r="Z140" s="50">
        <v>0</v>
      </c>
      <c r="AA140" s="75">
        <v>140</v>
      </c>
      <c r="AB140" s="75"/>
      <c r="AC140" s="76"/>
      <c r="AD140" s="83" t="s">
        <v>1684</v>
      </c>
      <c r="AE140" s="91" t="s">
        <v>1893</v>
      </c>
      <c r="AF140" s="83">
        <v>519</v>
      </c>
      <c r="AG140" s="83">
        <v>19</v>
      </c>
      <c r="AH140" s="83">
        <v>646</v>
      </c>
      <c r="AI140" s="83">
        <v>816</v>
      </c>
      <c r="AJ140" s="83"/>
      <c r="AK140" s="83" t="s">
        <v>2094</v>
      </c>
      <c r="AL140" s="83"/>
      <c r="AM140" s="83"/>
      <c r="AN140" s="83"/>
      <c r="AO140" s="85">
        <v>44008.386782407404</v>
      </c>
      <c r="AP140" s="88" t="str">
        <f>HYPERLINK("https://pbs.twimg.com/profile_banners/1276444303854895104/1595382954")</f>
        <v>https://pbs.twimg.com/profile_banners/1276444303854895104/1595382954</v>
      </c>
      <c r="AQ140" s="83" t="b">
        <v>1</v>
      </c>
      <c r="AR140" s="83" t="b">
        <v>0</v>
      </c>
      <c r="AS140" s="83" t="b">
        <v>0</v>
      </c>
      <c r="AT140" s="83"/>
      <c r="AU140" s="83">
        <v>0</v>
      </c>
      <c r="AV140" s="83"/>
      <c r="AW140" s="83" t="b">
        <v>0</v>
      </c>
      <c r="AX140" s="83" t="s">
        <v>2296</v>
      </c>
      <c r="AY140" s="88" t="str">
        <f>HYPERLINK("https://twitter.com/paigedi85253011")</f>
        <v>https://twitter.com/paigedi85253011</v>
      </c>
      <c r="AZ140" s="83" t="s">
        <v>66</v>
      </c>
      <c r="BA140" s="83" t="str">
        <f>REPLACE(INDEX(GroupVertices[Group],MATCH(Vertices[[#This Row],[Vertex]],GroupVertices[Vertex],0)),1,1,"")</f>
        <v>11</v>
      </c>
      <c r="BB140" s="49">
        <v>0</v>
      </c>
      <c r="BC140" s="50">
        <v>0</v>
      </c>
      <c r="BD140" s="49">
        <v>0</v>
      </c>
      <c r="BE140" s="50">
        <v>0</v>
      </c>
      <c r="BF140" s="49">
        <v>0</v>
      </c>
      <c r="BG140" s="50">
        <v>0</v>
      </c>
      <c r="BH140" s="49">
        <v>32</v>
      </c>
      <c r="BI140" s="50">
        <v>100</v>
      </c>
      <c r="BJ140" s="49">
        <v>32</v>
      </c>
      <c r="BK140" s="49" t="s">
        <v>4522</v>
      </c>
      <c r="BL140" s="49" t="s">
        <v>4522</v>
      </c>
      <c r="BM140" s="49" t="s">
        <v>546</v>
      </c>
      <c r="BN140" s="49" t="s">
        <v>546</v>
      </c>
      <c r="BO140" s="49" t="s">
        <v>593</v>
      </c>
      <c r="BP140" s="49" t="s">
        <v>593</v>
      </c>
      <c r="BQ140" s="119" t="s">
        <v>5009</v>
      </c>
      <c r="BR140" s="119" t="s">
        <v>5009</v>
      </c>
      <c r="BS140" s="119" t="s">
        <v>4736</v>
      </c>
      <c r="BT140" s="119" t="s">
        <v>4736</v>
      </c>
      <c r="BU140" s="2"/>
      <c r="BV140" s="3"/>
      <c r="BW140" s="3"/>
      <c r="BX140" s="3"/>
      <c r="BY140" s="3"/>
    </row>
    <row r="141" spans="1:77" ht="15">
      <c r="A141" s="68" t="s">
        <v>336</v>
      </c>
      <c r="B141" s="69"/>
      <c r="C141" s="69" t="s">
        <v>46</v>
      </c>
      <c r="D141" s="70"/>
      <c r="E141" s="72"/>
      <c r="F141" s="107" t="str">
        <f>HYPERLINK("http://pbs.twimg.com/profile_images/1146772070547841024/u1aKb70M_normal.jpg")</f>
        <v>http://pbs.twimg.com/profile_images/1146772070547841024/u1aKb70M_normal.jpg</v>
      </c>
      <c r="G141" s="69"/>
      <c r="H141" s="73" t="s">
        <v>336</v>
      </c>
      <c r="I141" s="74" t="s">
        <v>5215</v>
      </c>
      <c r="J141" s="74" t="s">
        <v>73</v>
      </c>
      <c r="K141" s="73" t="s">
        <v>2434</v>
      </c>
      <c r="L141" s="77">
        <v>1</v>
      </c>
      <c r="M141" s="78">
        <v>8778.4833984375</v>
      </c>
      <c r="N141" s="78">
        <v>8199.982421875</v>
      </c>
      <c r="O141" s="79"/>
      <c r="P141" s="80"/>
      <c r="Q141" s="80"/>
      <c r="R141" s="93"/>
      <c r="S141" s="49">
        <v>0</v>
      </c>
      <c r="T141" s="49">
        <v>5</v>
      </c>
      <c r="U141" s="50">
        <v>1236.082099</v>
      </c>
      <c r="V141" s="50">
        <v>0.001835</v>
      </c>
      <c r="W141" s="50">
        <v>0.000658</v>
      </c>
      <c r="X141" s="50">
        <v>1.199678</v>
      </c>
      <c r="Y141" s="50">
        <v>0.1</v>
      </c>
      <c r="Z141" s="50">
        <v>0</v>
      </c>
      <c r="AA141" s="75">
        <v>141</v>
      </c>
      <c r="AB141" s="75"/>
      <c r="AC141" s="76"/>
      <c r="AD141" s="83" t="s">
        <v>1685</v>
      </c>
      <c r="AE141" s="91" t="s">
        <v>1894</v>
      </c>
      <c r="AF141" s="83">
        <v>260</v>
      </c>
      <c r="AG141" s="83">
        <v>5341</v>
      </c>
      <c r="AH141" s="83">
        <v>232906</v>
      </c>
      <c r="AI141" s="83">
        <v>83</v>
      </c>
      <c r="AJ141" s="83"/>
      <c r="AK141" s="83" t="s">
        <v>2095</v>
      </c>
      <c r="AL141" s="83" t="s">
        <v>2250</v>
      </c>
      <c r="AM141" s="83"/>
      <c r="AN141" s="83"/>
      <c r="AO141" s="85">
        <v>43422.45193287037</v>
      </c>
      <c r="AP141" s="88" t="str">
        <f>HYPERLINK("https://pbs.twimg.com/profile_banners/1064108650271309826/1542538859")</f>
        <v>https://pbs.twimg.com/profile_banners/1064108650271309826/1542538859</v>
      </c>
      <c r="AQ141" s="83" t="b">
        <v>0</v>
      </c>
      <c r="AR141" s="83" t="b">
        <v>0</v>
      </c>
      <c r="AS141" s="83" t="b">
        <v>0</v>
      </c>
      <c r="AT141" s="83"/>
      <c r="AU141" s="83">
        <v>150</v>
      </c>
      <c r="AV141" s="88" t="str">
        <f>HYPERLINK("http://abs.twimg.com/images/themes/theme1/bg.png")</f>
        <v>http://abs.twimg.com/images/themes/theme1/bg.png</v>
      </c>
      <c r="AW141" s="83" t="b">
        <v>0</v>
      </c>
      <c r="AX141" s="83" t="s">
        <v>2296</v>
      </c>
      <c r="AY141" s="88" t="str">
        <f>HYPERLINK("https://twitter.com/thecuriousluke")</f>
        <v>https://twitter.com/thecuriousluke</v>
      </c>
      <c r="AZ141" s="83" t="s">
        <v>66</v>
      </c>
      <c r="BA141" s="83" t="str">
        <f>REPLACE(INDEX(GroupVertices[Group],MATCH(Vertices[[#This Row],[Vertex]],GroupVertices[Vertex],0)),1,1,"")</f>
        <v>5</v>
      </c>
      <c r="BB141" s="49">
        <v>0</v>
      </c>
      <c r="BC141" s="50">
        <v>0</v>
      </c>
      <c r="BD141" s="49">
        <v>0</v>
      </c>
      <c r="BE141" s="50">
        <v>0</v>
      </c>
      <c r="BF141" s="49">
        <v>0</v>
      </c>
      <c r="BG141" s="50">
        <v>0</v>
      </c>
      <c r="BH141" s="49">
        <v>113</v>
      </c>
      <c r="BI141" s="50">
        <v>100</v>
      </c>
      <c r="BJ141" s="49">
        <v>113</v>
      </c>
      <c r="BK141" s="49" t="s">
        <v>4819</v>
      </c>
      <c r="BL141" s="49" t="s">
        <v>4819</v>
      </c>
      <c r="BM141" s="49" t="s">
        <v>4857</v>
      </c>
      <c r="BN141" s="49" t="s">
        <v>4857</v>
      </c>
      <c r="BO141" s="49" t="s">
        <v>4906</v>
      </c>
      <c r="BP141" s="49" t="s">
        <v>4951</v>
      </c>
      <c r="BQ141" s="119" t="s">
        <v>5022</v>
      </c>
      <c r="BR141" s="119" t="s">
        <v>5083</v>
      </c>
      <c r="BS141" s="119" t="s">
        <v>5151</v>
      </c>
      <c r="BT141" s="119" t="s">
        <v>5152</v>
      </c>
      <c r="BU141" s="2"/>
      <c r="BV141" s="3"/>
      <c r="BW141" s="3"/>
      <c r="BX141" s="3"/>
      <c r="BY141" s="3"/>
    </row>
    <row r="142" spans="1:77" ht="15">
      <c r="A142" s="68" t="s">
        <v>435</v>
      </c>
      <c r="B142" s="69"/>
      <c r="C142" s="69" t="s">
        <v>64</v>
      </c>
      <c r="D142" s="70">
        <v>1000</v>
      </c>
      <c r="E142" s="72"/>
      <c r="F142" s="107" t="str">
        <f>HYPERLINK("http://pbs.twimg.com/profile_images/565498192171507712/r2Hb2gvX_normal.png")</f>
        <v>http://pbs.twimg.com/profile_images/565498192171507712/r2Hb2gvX_normal.png</v>
      </c>
      <c r="G142" s="69"/>
      <c r="H142" s="73" t="s">
        <v>435</v>
      </c>
      <c r="I142" s="74" t="s">
        <v>5210</v>
      </c>
      <c r="J142" s="74" t="s">
        <v>75</v>
      </c>
      <c r="K142" s="73" t="s">
        <v>2435</v>
      </c>
      <c r="L142" s="77">
        <v>5483.774193548387</v>
      </c>
      <c r="M142" s="78">
        <v>1172.997314453125</v>
      </c>
      <c r="N142" s="78">
        <v>4933.375</v>
      </c>
      <c r="O142" s="79"/>
      <c r="P142" s="80"/>
      <c r="Q142" s="80"/>
      <c r="R142" s="93"/>
      <c r="S142" s="49">
        <v>17</v>
      </c>
      <c r="T142" s="49">
        <v>0</v>
      </c>
      <c r="U142" s="50">
        <v>972.205578</v>
      </c>
      <c r="V142" s="50">
        <v>0.001815</v>
      </c>
      <c r="W142" s="50">
        <v>0.000528</v>
      </c>
      <c r="X142" s="50">
        <v>3.307015</v>
      </c>
      <c r="Y142" s="50">
        <v>0.058823529411764705</v>
      </c>
      <c r="Z142" s="50">
        <v>0</v>
      </c>
      <c r="AA142" s="75">
        <v>142</v>
      </c>
      <c r="AB142" s="75"/>
      <c r="AC142" s="76"/>
      <c r="AD142" s="83" t="s">
        <v>1686</v>
      </c>
      <c r="AE142" s="91" t="s">
        <v>1895</v>
      </c>
      <c r="AF142" s="83">
        <v>507</v>
      </c>
      <c r="AG142" s="83">
        <v>3856047</v>
      </c>
      <c r="AH142" s="83">
        <v>156498</v>
      </c>
      <c r="AI142" s="83">
        <v>1786</v>
      </c>
      <c r="AJ142" s="83"/>
      <c r="AK142" s="83" t="s">
        <v>2096</v>
      </c>
      <c r="AL142" s="83" t="s">
        <v>2251</v>
      </c>
      <c r="AM142" s="88" t="str">
        <f>HYPERLINK("https://t.co/QP0DqZaM6z")</f>
        <v>https://t.co/QP0DqZaM6z</v>
      </c>
      <c r="AN142" s="83"/>
      <c r="AO142" s="85">
        <v>39190.583553240744</v>
      </c>
      <c r="AP142" s="88" t="str">
        <f>HYPERLINK("https://pbs.twimg.com/profile_banners/5120691/1547196121")</f>
        <v>https://pbs.twimg.com/profile_banners/5120691/1547196121</v>
      </c>
      <c r="AQ142" s="83" t="b">
        <v>0</v>
      </c>
      <c r="AR142" s="83" t="b">
        <v>0</v>
      </c>
      <c r="AS142" s="83" t="b">
        <v>1</v>
      </c>
      <c r="AT142" s="83"/>
      <c r="AU142" s="83">
        <v>25975</v>
      </c>
      <c r="AV142" s="88" t="str">
        <f>HYPERLINK("http://abs.twimg.com/images/themes/theme1/bg.png")</f>
        <v>http://abs.twimg.com/images/themes/theme1/bg.png</v>
      </c>
      <c r="AW142" s="83" t="b">
        <v>1</v>
      </c>
      <c r="AX142" s="83" t="s">
        <v>2296</v>
      </c>
      <c r="AY142" s="88" t="str">
        <f>HYPERLINK("https://twitter.com/wef")</f>
        <v>https://twitter.com/wef</v>
      </c>
      <c r="AZ142" s="83" t="s">
        <v>65</v>
      </c>
      <c r="BA142" s="83"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8" t="s">
        <v>337</v>
      </c>
      <c r="B143" s="69"/>
      <c r="C143" s="69" t="s">
        <v>46</v>
      </c>
      <c r="D143" s="70"/>
      <c r="E143" s="72"/>
      <c r="F143" s="107" t="str">
        <f>HYPERLINK("http://pbs.twimg.com/profile_images/797477411059302400/ZAG-LPx6_normal.jpg")</f>
        <v>http://pbs.twimg.com/profile_images/797477411059302400/ZAG-LPx6_normal.jpg</v>
      </c>
      <c r="G143" s="69"/>
      <c r="H143" s="73" t="s">
        <v>337</v>
      </c>
      <c r="I143" s="74" t="s">
        <v>5210</v>
      </c>
      <c r="J143" s="74" t="s">
        <v>73</v>
      </c>
      <c r="K143" s="73" t="s">
        <v>2436</v>
      </c>
      <c r="L143" s="77">
        <v>1</v>
      </c>
      <c r="M143" s="78">
        <v>2016.5970458984375</v>
      </c>
      <c r="N143" s="78">
        <v>4531.60302734375</v>
      </c>
      <c r="O143" s="79"/>
      <c r="P143" s="80"/>
      <c r="Q143" s="80"/>
      <c r="R143" s="93"/>
      <c r="S143" s="49">
        <v>0</v>
      </c>
      <c r="T143" s="49">
        <v>2</v>
      </c>
      <c r="U143" s="50">
        <v>0</v>
      </c>
      <c r="V143" s="50">
        <v>0.001603</v>
      </c>
      <c r="W143" s="50">
        <v>0.000109</v>
      </c>
      <c r="X143" s="50">
        <v>0.486565</v>
      </c>
      <c r="Y143" s="50">
        <v>0.5</v>
      </c>
      <c r="Z143" s="50">
        <v>0</v>
      </c>
      <c r="AA143" s="75">
        <v>143</v>
      </c>
      <c r="AB143" s="75"/>
      <c r="AC143" s="76"/>
      <c r="AD143" s="83" t="s">
        <v>1687</v>
      </c>
      <c r="AE143" s="91" t="s">
        <v>1896</v>
      </c>
      <c r="AF143" s="83">
        <v>1342</v>
      </c>
      <c r="AG143" s="83">
        <v>486</v>
      </c>
      <c r="AH143" s="83">
        <v>31326</v>
      </c>
      <c r="AI143" s="83">
        <v>642</v>
      </c>
      <c r="AJ143" s="83"/>
      <c r="AK143" s="83" t="s">
        <v>2097</v>
      </c>
      <c r="AL143" s="83" t="s">
        <v>2252</v>
      </c>
      <c r="AM143" s="88" t="str">
        <f>HYPERLINK("https://t.co/EfpH025O95")</f>
        <v>https://t.co/EfpH025O95</v>
      </c>
      <c r="AN143" s="83"/>
      <c r="AO143" s="85">
        <v>42686.685949074075</v>
      </c>
      <c r="AP143" s="88" t="str">
        <f>HYPERLINK("https://pbs.twimg.com/profile_banners/797475985927053312/1478968478")</f>
        <v>https://pbs.twimg.com/profile_banners/797475985927053312/1478968478</v>
      </c>
      <c r="AQ143" s="83" t="b">
        <v>0</v>
      </c>
      <c r="AR143" s="83" t="b">
        <v>0</v>
      </c>
      <c r="AS143" s="83" t="b">
        <v>0</v>
      </c>
      <c r="AT143" s="83"/>
      <c r="AU143" s="83">
        <v>35</v>
      </c>
      <c r="AV143" s="88" t="str">
        <f>HYPERLINK("http://abs.twimg.com/images/themes/theme1/bg.png")</f>
        <v>http://abs.twimg.com/images/themes/theme1/bg.png</v>
      </c>
      <c r="AW143" s="83" t="b">
        <v>0</v>
      </c>
      <c r="AX143" s="83" t="s">
        <v>2296</v>
      </c>
      <c r="AY143" s="88" t="str">
        <f>HYPERLINK("https://twitter.com/sheilagivens4")</f>
        <v>https://twitter.com/sheilagivens4</v>
      </c>
      <c r="AZ143" s="83" t="s">
        <v>66</v>
      </c>
      <c r="BA143" s="83" t="str">
        <f>REPLACE(INDEX(GroupVertices[Group],MATCH(Vertices[[#This Row],[Vertex]],GroupVertices[Vertex],0)),1,1,"")</f>
        <v>1</v>
      </c>
      <c r="BB143" s="49">
        <v>0</v>
      </c>
      <c r="BC143" s="50">
        <v>0</v>
      </c>
      <c r="BD143" s="49">
        <v>0</v>
      </c>
      <c r="BE143" s="50">
        <v>0</v>
      </c>
      <c r="BF143" s="49">
        <v>0</v>
      </c>
      <c r="BG143" s="50">
        <v>0</v>
      </c>
      <c r="BH143" s="49">
        <v>31</v>
      </c>
      <c r="BI143" s="50">
        <v>100</v>
      </c>
      <c r="BJ143" s="49">
        <v>31</v>
      </c>
      <c r="BK143" s="49" t="s">
        <v>4459</v>
      </c>
      <c r="BL143" s="49" t="s">
        <v>4459</v>
      </c>
      <c r="BM143" s="49" t="s">
        <v>549</v>
      </c>
      <c r="BN143" s="49" t="s">
        <v>549</v>
      </c>
      <c r="BO143" s="49" t="s">
        <v>600</v>
      </c>
      <c r="BP143" s="49" t="s">
        <v>600</v>
      </c>
      <c r="BQ143" s="119" t="s">
        <v>5023</v>
      </c>
      <c r="BR143" s="119" t="s">
        <v>5023</v>
      </c>
      <c r="BS143" s="119" t="s">
        <v>5152</v>
      </c>
      <c r="BT143" s="119" t="s">
        <v>5152</v>
      </c>
      <c r="BU143" s="2"/>
      <c r="BV143" s="3"/>
      <c r="BW143" s="3"/>
      <c r="BX143" s="3"/>
      <c r="BY143" s="3"/>
    </row>
    <row r="144" spans="1:77" ht="15">
      <c r="A144" s="68" t="s">
        <v>338</v>
      </c>
      <c r="B144" s="69"/>
      <c r="C144" s="69" t="s">
        <v>46</v>
      </c>
      <c r="D144" s="70"/>
      <c r="E144" s="72"/>
      <c r="F144" s="107" t="str">
        <f>HYPERLINK("http://pbs.twimg.com/profile_images/717345483199356928/JwLjQsoU_normal.jpg")</f>
        <v>http://pbs.twimg.com/profile_images/717345483199356928/JwLjQsoU_normal.jpg</v>
      </c>
      <c r="G144" s="69"/>
      <c r="H144" s="73" t="s">
        <v>338</v>
      </c>
      <c r="I144" s="74" t="s">
        <v>5210</v>
      </c>
      <c r="J144" s="74" t="s">
        <v>73</v>
      </c>
      <c r="K144" s="73" t="s">
        <v>2437</v>
      </c>
      <c r="L144" s="77">
        <v>1</v>
      </c>
      <c r="M144" s="78">
        <v>678.3958740234375</v>
      </c>
      <c r="N144" s="78">
        <v>6231.232421875</v>
      </c>
      <c r="O144" s="79"/>
      <c r="P144" s="80"/>
      <c r="Q144" s="80"/>
      <c r="R144" s="93"/>
      <c r="S144" s="49">
        <v>0</v>
      </c>
      <c r="T144" s="49">
        <v>2</v>
      </c>
      <c r="U144" s="50">
        <v>0</v>
      </c>
      <c r="V144" s="50">
        <v>0.001603</v>
      </c>
      <c r="W144" s="50">
        <v>0.000109</v>
      </c>
      <c r="X144" s="50">
        <v>0.486565</v>
      </c>
      <c r="Y144" s="50">
        <v>0.5</v>
      </c>
      <c r="Z144" s="50">
        <v>0</v>
      </c>
      <c r="AA144" s="75">
        <v>144</v>
      </c>
      <c r="AB144" s="75"/>
      <c r="AC144" s="76"/>
      <c r="AD144" s="83" t="s">
        <v>1688</v>
      </c>
      <c r="AE144" s="91" t="s">
        <v>1897</v>
      </c>
      <c r="AF144" s="83">
        <v>65</v>
      </c>
      <c r="AG144" s="83">
        <v>2783</v>
      </c>
      <c r="AH144" s="83">
        <v>41398</v>
      </c>
      <c r="AI144" s="83">
        <v>7863</v>
      </c>
      <c r="AJ144" s="83"/>
      <c r="AK144" s="83" t="s">
        <v>2098</v>
      </c>
      <c r="AL144" s="83" t="s">
        <v>2253</v>
      </c>
      <c r="AM144" s="88" t="str">
        <f>HYPERLINK("https://t.co/EfpH025O95")</f>
        <v>https://t.co/EfpH025O95</v>
      </c>
      <c r="AN144" s="83"/>
      <c r="AO144" s="85">
        <v>41698.682222222225</v>
      </c>
      <c r="AP144" s="88" t="str">
        <f>HYPERLINK("https://pbs.twimg.com/profile_banners/2365838995/1459863849")</f>
        <v>https://pbs.twimg.com/profile_banners/2365838995/1459863849</v>
      </c>
      <c r="AQ144" s="83" t="b">
        <v>0</v>
      </c>
      <c r="AR144" s="83" t="b">
        <v>0</v>
      </c>
      <c r="AS144" s="83" t="b">
        <v>0</v>
      </c>
      <c r="AT144" s="83"/>
      <c r="AU144" s="83">
        <v>83</v>
      </c>
      <c r="AV144" s="88" t="str">
        <f>HYPERLINK("http://abs.twimg.com/images/themes/theme1/bg.png")</f>
        <v>http://abs.twimg.com/images/themes/theme1/bg.png</v>
      </c>
      <c r="AW144" s="83" t="b">
        <v>0</v>
      </c>
      <c r="AX144" s="83" t="s">
        <v>2296</v>
      </c>
      <c r="AY144" s="88" t="str">
        <f>HYPERLINK("https://twitter.com/meyoumusicboy")</f>
        <v>https://twitter.com/meyoumusicboy</v>
      </c>
      <c r="AZ144" s="83" t="s">
        <v>66</v>
      </c>
      <c r="BA144" s="83" t="str">
        <f>REPLACE(INDEX(GroupVertices[Group],MATCH(Vertices[[#This Row],[Vertex]],GroupVertices[Vertex],0)),1,1,"")</f>
        <v>1</v>
      </c>
      <c r="BB144" s="49">
        <v>0</v>
      </c>
      <c r="BC144" s="50">
        <v>0</v>
      </c>
      <c r="BD144" s="49">
        <v>0</v>
      </c>
      <c r="BE144" s="50">
        <v>0</v>
      </c>
      <c r="BF144" s="49">
        <v>0</v>
      </c>
      <c r="BG144" s="50">
        <v>0</v>
      </c>
      <c r="BH144" s="49">
        <v>31</v>
      </c>
      <c r="BI144" s="50">
        <v>100</v>
      </c>
      <c r="BJ144" s="49">
        <v>31</v>
      </c>
      <c r="BK144" s="49" t="s">
        <v>4459</v>
      </c>
      <c r="BL144" s="49" t="s">
        <v>4459</v>
      </c>
      <c r="BM144" s="49" t="s">
        <v>549</v>
      </c>
      <c r="BN144" s="49" t="s">
        <v>549</v>
      </c>
      <c r="BO144" s="49" t="s">
        <v>600</v>
      </c>
      <c r="BP144" s="49" t="s">
        <v>600</v>
      </c>
      <c r="BQ144" s="119" t="s">
        <v>5023</v>
      </c>
      <c r="BR144" s="119" t="s">
        <v>5023</v>
      </c>
      <c r="BS144" s="119" t="s">
        <v>5152</v>
      </c>
      <c r="BT144" s="119" t="s">
        <v>5152</v>
      </c>
      <c r="BU144" s="2"/>
      <c r="BV144" s="3"/>
      <c r="BW144" s="3"/>
      <c r="BX144" s="3"/>
      <c r="BY144" s="3"/>
    </row>
    <row r="145" spans="1:77" ht="15">
      <c r="A145" s="68" t="s">
        <v>339</v>
      </c>
      <c r="B145" s="69"/>
      <c r="C145" s="69" t="s">
        <v>46</v>
      </c>
      <c r="D145" s="70"/>
      <c r="E145" s="72"/>
      <c r="F145" s="107" t="str">
        <f>HYPERLINK("http://pbs.twimg.com/profile_images/1153139246024286213/VIdgxJuX_normal.jpg")</f>
        <v>http://pbs.twimg.com/profile_images/1153139246024286213/VIdgxJuX_normal.jpg</v>
      </c>
      <c r="G145" s="69"/>
      <c r="H145" s="73" t="s">
        <v>339</v>
      </c>
      <c r="I145" s="74" t="s">
        <v>5210</v>
      </c>
      <c r="J145" s="74" t="s">
        <v>73</v>
      </c>
      <c r="K145" s="73" t="s">
        <v>2438</v>
      </c>
      <c r="L145" s="77">
        <v>1</v>
      </c>
      <c r="M145" s="78">
        <v>1598.425537109375</v>
      </c>
      <c r="N145" s="78">
        <v>2963.416259765625</v>
      </c>
      <c r="O145" s="79"/>
      <c r="P145" s="80"/>
      <c r="Q145" s="80"/>
      <c r="R145" s="93"/>
      <c r="S145" s="49">
        <v>0</v>
      </c>
      <c r="T145" s="49">
        <v>3</v>
      </c>
      <c r="U145" s="50">
        <v>133.169942</v>
      </c>
      <c r="V145" s="50">
        <v>0.001618</v>
      </c>
      <c r="W145" s="50">
        <v>0.000114</v>
      </c>
      <c r="X145" s="50">
        <v>0.710821</v>
      </c>
      <c r="Y145" s="50">
        <v>0.16666666666666666</v>
      </c>
      <c r="Z145" s="50">
        <v>0</v>
      </c>
      <c r="AA145" s="75">
        <v>145</v>
      </c>
      <c r="AB145" s="75"/>
      <c r="AC145" s="76"/>
      <c r="AD145" s="83" t="s">
        <v>1689</v>
      </c>
      <c r="AE145" s="91" t="s">
        <v>1898</v>
      </c>
      <c r="AF145" s="83">
        <v>1</v>
      </c>
      <c r="AG145" s="83">
        <v>1969</v>
      </c>
      <c r="AH145" s="83">
        <v>172545</v>
      </c>
      <c r="AI145" s="83">
        <v>27</v>
      </c>
      <c r="AJ145" s="83"/>
      <c r="AK145" s="83" t="s">
        <v>2099</v>
      </c>
      <c r="AL145" s="83" t="s">
        <v>2254</v>
      </c>
      <c r="AM145" s="83"/>
      <c r="AN145" s="83"/>
      <c r="AO145" s="85">
        <v>43665.13171296296</v>
      </c>
      <c r="AP145" s="88" t="str">
        <f>HYPERLINK("https://pbs.twimg.com/profile_banners/1152052858721918977/1574484974")</f>
        <v>https://pbs.twimg.com/profile_banners/1152052858721918977/1574484974</v>
      </c>
      <c r="AQ145" s="83" t="b">
        <v>1</v>
      </c>
      <c r="AR145" s="83" t="b">
        <v>0</v>
      </c>
      <c r="AS145" s="83" t="b">
        <v>0</v>
      </c>
      <c r="AT145" s="83"/>
      <c r="AU145" s="83">
        <v>62</v>
      </c>
      <c r="AV145" s="83"/>
      <c r="AW145" s="83" t="b">
        <v>0</v>
      </c>
      <c r="AX145" s="83" t="s">
        <v>2296</v>
      </c>
      <c r="AY145" s="88" t="str">
        <f>HYPERLINK("https://twitter.com/linuxdreams")</f>
        <v>https://twitter.com/linuxdreams</v>
      </c>
      <c r="AZ145" s="83" t="s">
        <v>66</v>
      </c>
      <c r="BA145" s="83" t="str">
        <f>REPLACE(INDEX(GroupVertices[Group],MATCH(Vertices[[#This Row],[Vertex]],GroupVertices[Vertex],0)),1,1,"")</f>
        <v>1</v>
      </c>
      <c r="BB145" s="49">
        <v>0</v>
      </c>
      <c r="BC145" s="50">
        <v>0</v>
      </c>
      <c r="BD145" s="49">
        <v>0</v>
      </c>
      <c r="BE145" s="50">
        <v>0</v>
      </c>
      <c r="BF145" s="49">
        <v>0</v>
      </c>
      <c r="BG145" s="50">
        <v>0</v>
      </c>
      <c r="BH145" s="49">
        <v>61</v>
      </c>
      <c r="BI145" s="50">
        <v>100</v>
      </c>
      <c r="BJ145" s="49">
        <v>61</v>
      </c>
      <c r="BK145" s="49" t="s">
        <v>4820</v>
      </c>
      <c r="BL145" s="49" t="s">
        <v>4820</v>
      </c>
      <c r="BM145" s="49" t="s">
        <v>4858</v>
      </c>
      <c r="BN145" s="49" t="s">
        <v>4858</v>
      </c>
      <c r="BO145" s="49" t="s">
        <v>4907</v>
      </c>
      <c r="BP145" s="49" t="s">
        <v>4952</v>
      </c>
      <c r="BQ145" s="119" t="s">
        <v>5024</v>
      </c>
      <c r="BR145" s="119" t="s">
        <v>5084</v>
      </c>
      <c r="BS145" s="119" t="s">
        <v>5152</v>
      </c>
      <c r="BT145" s="119" t="s">
        <v>5152</v>
      </c>
      <c r="BU145" s="2"/>
      <c r="BV145" s="3"/>
      <c r="BW145" s="3"/>
      <c r="BX145" s="3"/>
      <c r="BY145" s="3"/>
    </row>
    <row r="146" spans="1:77" ht="15">
      <c r="A146" s="68" t="s">
        <v>340</v>
      </c>
      <c r="B146" s="69"/>
      <c r="C146" s="69" t="s">
        <v>46</v>
      </c>
      <c r="D146" s="70"/>
      <c r="E146" s="72"/>
      <c r="F146" s="107" t="str">
        <f>HYPERLINK("http://pbs.twimg.com/profile_images/794313582326534149/Ez9NwjWq_normal.jpg")</f>
        <v>http://pbs.twimg.com/profile_images/794313582326534149/Ez9NwjWq_normal.jpg</v>
      </c>
      <c r="G146" s="69"/>
      <c r="H146" s="73" t="s">
        <v>340</v>
      </c>
      <c r="I146" s="74" t="s">
        <v>5210</v>
      </c>
      <c r="J146" s="74" t="s">
        <v>73</v>
      </c>
      <c r="K146" s="73" t="s">
        <v>2439</v>
      </c>
      <c r="L146" s="77">
        <v>1</v>
      </c>
      <c r="M146" s="78">
        <v>775.6514282226562</v>
      </c>
      <c r="N146" s="78">
        <v>3013.88330078125</v>
      </c>
      <c r="O146" s="79"/>
      <c r="P146" s="80"/>
      <c r="Q146" s="80"/>
      <c r="R146" s="93"/>
      <c r="S146" s="49">
        <v>0</v>
      </c>
      <c r="T146" s="49">
        <v>2</v>
      </c>
      <c r="U146" s="50">
        <v>0</v>
      </c>
      <c r="V146" s="50">
        <v>0.001603</v>
      </c>
      <c r="W146" s="50">
        <v>0.000109</v>
      </c>
      <c r="X146" s="50">
        <v>0.486565</v>
      </c>
      <c r="Y146" s="50">
        <v>0.5</v>
      </c>
      <c r="Z146" s="50">
        <v>0</v>
      </c>
      <c r="AA146" s="75">
        <v>146</v>
      </c>
      <c r="AB146" s="75"/>
      <c r="AC146" s="76"/>
      <c r="AD146" s="83" t="s">
        <v>1690</v>
      </c>
      <c r="AE146" s="91" t="s">
        <v>1899</v>
      </c>
      <c r="AF146" s="83">
        <v>2348</v>
      </c>
      <c r="AG146" s="83">
        <v>511</v>
      </c>
      <c r="AH146" s="83">
        <v>31611</v>
      </c>
      <c r="AI146" s="83">
        <v>571</v>
      </c>
      <c r="AJ146" s="83"/>
      <c r="AK146" s="83" t="s">
        <v>2100</v>
      </c>
      <c r="AL146" s="83" t="s">
        <v>2255</v>
      </c>
      <c r="AM146" s="88" t="str">
        <f>HYPERLINK("https://t.co/YQKTPqlSLx")</f>
        <v>https://t.co/YQKTPqlSLx</v>
      </c>
      <c r="AN146" s="83"/>
      <c r="AO146" s="85">
        <v>42677.77615740741</v>
      </c>
      <c r="AP146" s="88" t="str">
        <f>HYPERLINK("https://pbs.twimg.com/profile_banners/794247187546963968/1478214112")</f>
        <v>https://pbs.twimg.com/profile_banners/794247187546963968/1478214112</v>
      </c>
      <c r="AQ146" s="83" t="b">
        <v>1</v>
      </c>
      <c r="AR146" s="83" t="b">
        <v>0</v>
      </c>
      <c r="AS146" s="83" t="b">
        <v>0</v>
      </c>
      <c r="AT146" s="83"/>
      <c r="AU146" s="83">
        <v>26</v>
      </c>
      <c r="AV146" s="83"/>
      <c r="AW146" s="83" t="b">
        <v>0</v>
      </c>
      <c r="AX146" s="83" t="s">
        <v>2296</v>
      </c>
      <c r="AY146" s="88" t="str">
        <f>HYPERLINK("https://twitter.com/smuvdj")</f>
        <v>https://twitter.com/smuvdj</v>
      </c>
      <c r="AZ146" s="83" t="s">
        <v>66</v>
      </c>
      <c r="BA146" s="83" t="str">
        <f>REPLACE(INDEX(GroupVertices[Group],MATCH(Vertices[[#This Row],[Vertex]],GroupVertices[Vertex],0)),1,1,"")</f>
        <v>1</v>
      </c>
      <c r="BB146" s="49">
        <v>0</v>
      </c>
      <c r="BC146" s="50">
        <v>0</v>
      </c>
      <c r="BD146" s="49">
        <v>0</v>
      </c>
      <c r="BE146" s="50">
        <v>0</v>
      </c>
      <c r="BF146" s="49">
        <v>0</v>
      </c>
      <c r="BG146" s="50">
        <v>0</v>
      </c>
      <c r="BH146" s="49">
        <v>31</v>
      </c>
      <c r="BI146" s="50">
        <v>100</v>
      </c>
      <c r="BJ146" s="49">
        <v>31</v>
      </c>
      <c r="BK146" s="49" t="s">
        <v>4459</v>
      </c>
      <c r="BL146" s="49" t="s">
        <v>4459</v>
      </c>
      <c r="BM146" s="49" t="s">
        <v>549</v>
      </c>
      <c r="BN146" s="49" t="s">
        <v>549</v>
      </c>
      <c r="BO146" s="49" t="s">
        <v>600</v>
      </c>
      <c r="BP146" s="49" t="s">
        <v>600</v>
      </c>
      <c r="BQ146" s="119" t="s">
        <v>5023</v>
      </c>
      <c r="BR146" s="119" t="s">
        <v>5023</v>
      </c>
      <c r="BS146" s="119" t="s">
        <v>5152</v>
      </c>
      <c r="BT146" s="119" t="s">
        <v>5152</v>
      </c>
      <c r="BU146" s="2"/>
      <c r="BV146" s="3"/>
      <c r="BW146" s="3"/>
      <c r="BX146" s="3"/>
      <c r="BY146" s="3"/>
    </row>
    <row r="147" spans="1:77" ht="15">
      <c r="A147" s="68" t="s">
        <v>341</v>
      </c>
      <c r="B147" s="69"/>
      <c r="C147" s="69" t="s">
        <v>46</v>
      </c>
      <c r="D147" s="70"/>
      <c r="E147" s="72"/>
      <c r="F147" s="107" t="str">
        <f>HYPERLINK("http://pbs.twimg.com/profile_images/1276760536705724417/ol2P_j0e_normal.jpg")</f>
        <v>http://pbs.twimg.com/profile_images/1276760536705724417/ol2P_j0e_normal.jpg</v>
      </c>
      <c r="G147" s="69"/>
      <c r="H147" s="73" t="s">
        <v>341</v>
      </c>
      <c r="I147" s="74" t="s">
        <v>5210</v>
      </c>
      <c r="J147" s="74" t="s">
        <v>73</v>
      </c>
      <c r="K147" s="73" t="s">
        <v>2440</v>
      </c>
      <c r="L147" s="77">
        <v>1</v>
      </c>
      <c r="M147" s="78">
        <v>793.9303588867188</v>
      </c>
      <c r="N147" s="78">
        <v>6673.87060546875</v>
      </c>
      <c r="O147" s="79"/>
      <c r="P147" s="80"/>
      <c r="Q147" s="80"/>
      <c r="R147" s="93"/>
      <c r="S147" s="49">
        <v>0</v>
      </c>
      <c r="T147" s="49">
        <v>3</v>
      </c>
      <c r="U147" s="50">
        <v>18.752115</v>
      </c>
      <c r="V147" s="50">
        <v>0.00177</v>
      </c>
      <c r="W147" s="50">
        <v>0.000312</v>
      </c>
      <c r="X147" s="50">
        <v>0.740653</v>
      </c>
      <c r="Y147" s="50">
        <v>0.3333333333333333</v>
      </c>
      <c r="Z147" s="50">
        <v>0</v>
      </c>
      <c r="AA147" s="75">
        <v>147</v>
      </c>
      <c r="AB147" s="75"/>
      <c r="AC147" s="76"/>
      <c r="AD147" s="83" t="s">
        <v>1691</v>
      </c>
      <c r="AE147" s="91" t="s">
        <v>1900</v>
      </c>
      <c r="AF147" s="83">
        <v>1</v>
      </c>
      <c r="AG147" s="83">
        <v>591</v>
      </c>
      <c r="AH147" s="83">
        <v>33867</v>
      </c>
      <c r="AI147" s="83">
        <v>25</v>
      </c>
      <c r="AJ147" s="83"/>
      <c r="AK147" s="83" t="s">
        <v>2101</v>
      </c>
      <c r="AL147" s="83" t="s">
        <v>2227</v>
      </c>
      <c r="AM147" s="88" t="str">
        <f>HYPERLINK("https://t.co/TxKmVAVep8")</f>
        <v>https://t.co/TxKmVAVep8</v>
      </c>
      <c r="AN147" s="83"/>
      <c r="AO147" s="85">
        <v>43984.56334490741</v>
      </c>
      <c r="AP147" s="88" t="str">
        <f>HYPERLINK("https://pbs.twimg.com/profile_banners/1267810977715642369/1593238412")</f>
        <v>https://pbs.twimg.com/profile_banners/1267810977715642369/1593238412</v>
      </c>
      <c r="AQ147" s="83" t="b">
        <v>1</v>
      </c>
      <c r="AR147" s="83" t="b">
        <v>0</v>
      </c>
      <c r="AS147" s="83" t="b">
        <v>0</v>
      </c>
      <c r="AT147" s="83"/>
      <c r="AU147" s="83">
        <v>12</v>
      </c>
      <c r="AV147" s="83"/>
      <c r="AW147" s="83" t="b">
        <v>0</v>
      </c>
      <c r="AX147" s="83" t="s">
        <v>2296</v>
      </c>
      <c r="AY147" s="88" t="str">
        <f>HYPERLINK("https://twitter.com/iotvishal")</f>
        <v>https://twitter.com/iotvishal</v>
      </c>
      <c r="AZ147" s="83" t="s">
        <v>66</v>
      </c>
      <c r="BA147" s="83" t="str">
        <f>REPLACE(INDEX(GroupVertices[Group],MATCH(Vertices[[#This Row],[Vertex]],GroupVertices[Vertex],0)),1,1,"")</f>
        <v>1</v>
      </c>
      <c r="BB147" s="49">
        <v>0</v>
      </c>
      <c r="BC147" s="50">
        <v>0</v>
      </c>
      <c r="BD147" s="49">
        <v>0</v>
      </c>
      <c r="BE147" s="50">
        <v>0</v>
      </c>
      <c r="BF147" s="49">
        <v>0</v>
      </c>
      <c r="BG147" s="50">
        <v>0</v>
      </c>
      <c r="BH147" s="49">
        <v>56</v>
      </c>
      <c r="BI147" s="50">
        <v>100</v>
      </c>
      <c r="BJ147" s="49">
        <v>56</v>
      </c>
      <c r="BK147" s="49" t="s">
        <v>4821</v>
      </c>
      <c r="BL147" s="49" t="s">
        <v>4821</v>
      </c>
      <c r="BM147" s="49" t="s">
        <v>4859</v>
      </c>
      <c r="BN147" s="49" t="s">
        <v>4859</v>
      </c>
      <c r="BO147" s="49" t="s">
        <v>4908</v>
      </c>
      <c r="BP147" s="49" t="s">
        <v>4908</v>
      </c>
      <c r="BQ147" s="119" t="s">
        <v>5025</v>
      </c>
      <c r="BR147" s="119" t="s">
        <v>5023</v>
      </c>
      <c r="BS147" s="119" t="s">
        <v>5152</v>
      </c>
      <c r="BT147" s="119" t="s">
        <v>5152</v>
      </c>
      <c r="BU147" s="2"/>
      <c r="BV147" s="3"/>
      <c r="BW147" s="3"/>
      <c r="BX147" s="3"/>
      <c r="BY147" s="3"/>
    </row>
    <row r="148" spans="1:77" ht="15">
      <c r="A148" s="68" t="s">
        <v>342</v>
      </c>
      <c r="B148" s="69"/>
      <c r="C148" s="69" t="s">
        <v>46</v>
      </c>
      <c r="D148" s="70"/>
      <c r="E148" s="72"/>
      <c r="F148" s="107" t="str">
        <f>HYPERLINK("http://pbs.twimg.com/profile_images/1009625260008718336/9dsSgvwL_normal.jpg")</f>
        <v>http://pbs.twimg.com/profile_images/1009625260008718336/9dsSgvwL_normal.jpg</v>
      </c>
      <c r="G148" s="69"/>
      <c r="H148" s="73" t="s">
        <v>342</v>
      </c>
      <c r="I148" s="74" t="s">
        <v>5210</v>
      </c>
      <c r="J148" s="74" t="s">
        <v>73</v>
      </c>
      <c r="K148" s="73" t="s">
        <v>2441</v>
      </c>
      <c r="L148" s="77">
        <v>1</v>
      </c>
      <c r="M148" s="78">
        <v>468.13238525390625</v>
      </c>
      <c r="N148" s="78">
        <v>4688.7734375</v>
      </c>
      <c r="O148" s="79"/>
      <c r="P148" s="80"/>
      <c r="Q148" s="80"/>
      <c r="R148" s="93"/>
      <c r="S148" s="49">
        <v>0</v>
      </c>
      <c r="T148" s="49">
        <v>2</v>
      </c>
      <c r="U148" s="50">
        <v>0</v>
      </c>
      <c r="V148" s="50">
        <v>0.001603</v>
      </c>
      <c r="W148" s="50">
        <v>0.000109</v>
      </c>
      <c r="X148" s="50">
        <v>0.486565</v>
      </c>
      <c r="Y148" s="50">
        <v>0.5</v>
      </c>
      <c r="Z148" s="50">
        <v>0</v>
      </c>
      <c r="AA148" s="75">
        <v>148</v>
      </c>
      <c r="AB148" s="75"/>
      <c r="AC148" s="76"/>
      <c r="AD148" s="83" t="s">
        <v>1692</v>
      </c>
      <c r="AE148" s="91" t="s">
        <v>1901</v>
      </c>
      <c r="AF148" s="83">
        <v>1072</v>
      </c>
      <c r="AG148" s="83">
        <v>1246</v>
      </c>
      <c r="AH148" s="83">
        <v>13708</v>
      </c>
      <c r="AI148" s="83">
        <v>2766</v>
      </c>
      <c r="AJ148" s="83"/>
      <c r="AK148" s="83" t="s">
        <v>2102</v>
      </c>
      <c r="AL148" s="83" t="s">
        <v>2256</v>
      </c>
      <c r="AM148" s="83"/>
      <c r="AN148" s="83"/>
      <c r="AO148" s="85">
        <v>43235.38810185185</v>
      </c>
      <c r="AP148" s="88" t="str">
        <f>HYPERLINK("https://pbs.twimg.com/profile_banners/996318990715838465/1531128174")</f>
        <v>https://pbs.twimg.com/profile_banners/996318990715838465/1531128174</v>
      </c>
      <c r="AQ148" s="83" t="b">
        <v>0</v>
      </c>
      <c r="AR148" s="83" t="b">
        <v>0</v>
      </c>
      <c r="AS148" s="83" t="b">
        <v>1</v>
      </c>
      <c r="AT148" s="83"/>
      <c r="AU148" s="83">
        <v>26</v>
      </c>
      <c r="AV148" s="88" t="str">
        <f>HYPERLINK("http://abs.twimg.com/images/themes/theme1/bg.png")</f>
        <v>http://abs.twimg.com/images/themes/theme1/bg.png</v>
      </c>
      <c r="AW148" s="83" t="b">
        <v>0</v>
      </c>
      <c r="AX148" s="83" t="s">
        <v>2296</v>
      </c>
      <c r="AY148" s="88" t="str">
        <f>HYPERLINK("https://twitter.com/digitogether")</f>
        <v>https://twitter.com/digitogether</v>
      </c>
      <c r="AZ148" s="83" t="s">
        <v>66</v>
      </c>
      <c r="BA148" s="83" t="str">
        <f>REPLACE(INDEX(GroupVertices[Group],MATCH(Vertices[[#This Row],[Vertex]],GroupVertices[Vertex],0)),1,1,"")</f>
        <v>1</v>
      </c>
      <c r="BB148" s="49">
        <v>0</v>
      </c>
      <c r="BC148" s="50">
        <v>0</v>
      </c>
      <c r="BD148" s="49">
        <v>0</v>
      </c>
      <c r="BE148" s="50">
        <v>0</v>
      </c>
      <c r="BF148" s="49">
        <v>0</v>
      </c>
      <c r="BG148" s="50">
        <v>0</v>
      </c>
      <c r="BH148" s="49">
        <v>31</v>
      </c>
      <c r="BI148" s="50">
        <v>100</v>
      </c>
      <c r="BJ148" s="49">
        <v>31</v>
      </c>
      <c r="BK148" s="49" t="s">
        <v>4459</v>
      </c>
      <c r="BL148" s="49" t="s">
        <v>4459</v>
      </c>
      <c r="BM148" s="49" t="s">
        <v>549</v>
      </c>
      <c r="BN148" s="49" t="s">
        <v>549</v>
      </c>
      <c r="BO148" s="49" t="s">
        <v>600</v>
      </c>
      <c r="BP148" s="49" t="s">
        <v>600</v>
      </c>
      <c r="BQ148" s="119" t="s">
        <v>5023</v>
      </c>
      <c r="BR148" s="119" t="s">
        <v>5023</v>
      </c>
      <c r="BS148" s="119" t="s">
        <v>5152</v>
      </c>
      <c r="BT148" s="119" t="s">
        <v>5152</v>
      </c>
      <c r="BU148" s="2"/>
      <c r="BV148" s="3"/>
      <c r="BW148" s="3"/>
      <c r="BX148" s="3"/>
      <c r="BY148" s="3"/>
    </row>
    <row r="149" spans="1:77" ht="15">
      <c r="A149" s="68" t="s">
        <v>343</v>
      </c>
      <c r="B149" s="69"/>
      <c r="C149" s="69" t="s">
        <v>46</v>
      </c>
      <c r="D149" s="70"/>
      <c r="E149" s="72"/>
      <c r="F149" s="107" t="str">
        <f>HYPERLINK("http://pbs.twimg.com/profile_images/1039067213267959808/57HeKZJm_normal.jpg")</f>
        <v>http://pbs.twimg.com/profile_images/1039067213267959808/57HeKZJm_normal.jpg</v>
      </c>
      <c r="G149" s="69"/>
      <c r="H149" s="73" t="s">
        <v>343</v>
      </c>
      <c r="I149" s="74" t="s">
        <v>5210</v>
      </c>
      <c r="J149" s="74" t="s">
        <v>73</v>
      </c>
      <c r="K149" s="73" t="s">
        <v>2442</v>
      </c>
      <c r="L149" s="77">
        <v>1</v>
      </c>
      <c r="M149" s="78">
        <v>589.3347778320312</v>
      </c>
      <c r="N149" s="78">
        <v>3725.9931640625</v>
      </c>
      <c r="O149" s="79"/>
      <c r="P149" s="80"/>
      <c r="Q149" s="80"/>
      <c r="R149" s="93"/>
      <c r="S149" s="49">
        <v>0</v>
      </c>
      <c r="T149" s="49">
        <v>2</v>
      </c>
      <c r="U149" s="50">
        <v>0</v>
      </c>
      <c r="V149" s="50">
        <v>0.001603</v>
      </c>
      <c r="W149" s="50">
        <v>0.000109</v>
      </c>
      <c r="X149" s="50">
        <v>0.486565</v>
      </c>
      <c r="Y149" s="50">
        <v>0.5</v>
      </c>
      <c r="Z149" s="50">
        <v>0</v>
      </c>
      <c r="AA149" s="75">
        <v>149</v>
      </c>
      <c r="AB149" s="75"/>
      <c r="AC149" s="76"/>
      <c r="AD149" s="83" t="s">
        <v>1693</v>
      </c>
      <c r="AE149" s="91" t="s">
        <v>1902</v>
      </c>
      <c r="AF149" s="83">
        <v>1085</v>
      </c>
      <c r="AG149" s="83">
        <v>420</v>
      </c>
      <c r="AH149" s="83">
        <v>35534</v>
      </c>
      <c r="AI149" s="83">
        <v>234</v>
      </c>
      <c r="AJ149" s="83"/>
      <c r="AK149" s="83" t="s">
        <v>2103</v>
      </c>
      <c r="AL149" s="83" t="s">
        <v>2257</v>
      </c>
      <c r="AM149" s="88" t="str">
        <f>HYPERLINK("https://t.co/ooF2qAc1MG")</f>
        <v>https://t.co/ooF2qAc1MG</v>
      </c>
      <c r="AN149" s="83"/>
      <c r="AO149" s="85">
        <v>40835.63217592592</v>
      </c>
      <c r="AP149" s="88" t="str">
        <f>HYPERLINK("https://pbs.twimg.com/profile_banners/394087277/1356992820")</f>
        <v>https://pbs.twimg.com/profile_banners/394087277/1356992820</v>
      </c>
      <c r="AQ149" s="83" t="b">
        <v>0</v>
      </c>
      <c r="AR149" s="83" t="b">
        <v>0</v>
      </c>
      <c r="AS149" s="83" t="b">
        <v>0</v>
      </c>
      <c r="AT149" s="83"/>
      <c r="AU149" s="83">
        <v>24</v>
      </c>
      <c r="AV149" s="88" t="str">
        <f>HYPERLINK("http://abs.twimg.com/images/themes/theme1/bg.png")</f>
        <v>http://abs.twimg.com/images/themes/theme1/bg.png</v>
      </c>
      <c r="AW149" s="83" t="b">
        <v>0</v>
      </c>
      <c r="AX149" s="83" t="s">
        <v>2296</v>
      </c>
      <c r="AY149" s="88" t="str">
        <f>HYPERLINK("https://twitter.com/taymobtopdog")</f>
        <v>https://twitter.com/taymobtopdog</v>
      </c>
      <c r="AZ149" s="83" t="s">
        <v>66</v>
      </c>
      <c r="BA149" s="83" t="str">
        <f>REPLACE(INDEX(GroupVertices[Group],MATCH(Vertices[[#This Row],[Vertex]],GroupVertices[Vertex],0)),1,1,"")</f>
        <v>1</v>
      </c>
      <c r="BB149" s="49">
        <v>0</v>
      </c>
      <c r="BC149" s="50">
        <v>0</v>
      </c>
      <c r="BD149" s="49">
        <v>0</v>
      </c>
      <c r="BE149" s="50">
        <v>0</v>
      </c>
      <c r="BF149" s="49">
        <v>0</v>
      </c>
      <c r="BG149" s="50">
        <v>0</v>
      </c>
      <c r="BH149" s="49">
        <v>31</v>
      </c>
      <c r="BI149" s="50">
        <v>100</v>
      </c>
      <c r="BJ149" s="49">
        <v>31</v>
      </c>
      <c r="BK149" s="49" t="s">
        <v>4459</v>
      </c>
      <c r="BL149" s="49" t="s">
        <v>4459</v>
      </c>
      <c r="BM149" s="49" t="s">
        <v>549</v>
      </c>
      <c r="BN149" s="49" t="s">
        <v>549</v>
      </c>
      <c r="BO149" s="49" t="s">
        <v>600</v>
      </c>
      <c r="BP149" s="49" t="s">
        <v>600</v>
      </c>
      <c r="BQ149" s="119" t="s">
        <v>5023</v>
      </c>
      <c r="BR149" s="119" t="s">
        <v>5023</v>
      </c>
      <c r="BS149" s="119" t="s">
        <v>5152</v>
      </c>
      <c r="BT149" s="119" t="s">
        <v>5152</v>
      </c>
      <c r="BU149" s="2"/>
      <c r="BV149" s="3"/>
      <c r="BW149" s="3"/>
      <c r="BX149" s="3"/>
      <c r="BY149" s="3"/>
    </row>
    <row r="150" spans="1:77" ht="15">
      <c r="A150" s="68" t="s">
        <v>344</v>
      </c>
      <c r="B150" s="69"/>
      <c r="C150" s="69" t="s">
        <v>64</v>
      </c>
      <c r="D150" s="70">
        <v>263.3984445617174</v>
      </c>
      <c r="E150" s="72"/>
      <c r="F150" s="107" t="str">
        <f>HYPERLINK("http://pbs.twimg.com/profile_images/652742010873319424/tcg4A-2U_normal.jpg")</f>
        <v>http://pbs.twimg.com/profile_images/652742010873319424/tcg4A-2U_normal.jpg</v>
      </c>
      <c r="G150" s="69"/>
      <c r="H150" s="73" t="s">
        <v>344</v>
      </c>
      <c r="I150" s="74" t="s">
        <v>5212</v>
      </c>
      <c r="J150" s="74" t="s">
        <v>73</v>
      </c>
      <c r="K150" s="73" t="s">
        <v>2443</v>
      </c>
      <c r="L150" s="77">
        <v>646.0322580645161</v>
      </c>
      <c r="M150" s="78">
        <v>7267.98388671875</v>
      </c>
      <c r="N150" s="78">
        <v>5977.43994140625</v>
      </c>
      <c r="O150" s="79"/>
      <c r="P150" s="80"/>
      <c r="Q150" s="80"/>
      <c r="R150" s="93"/>
      <c r="S150" s="49">
        <v>2</v>
      </c>
      <c r="T150" s="49">
        <v>1</v>
      </c>
      <c r="U150" s="50">
        <v>0</v>
      </c>
      <c r="V150" s="50">
        <v>0.00129</v>
      </c>
      <c r="W150" s="50">
        <v>2.8E-05</v>
      </c>
      <c r="X150" s="50">
        <v>0.606829</v>
      </c>
      <c r="Y150" s="50">
        <v>0</v>
      </c>
      <c r="Z150" s="50">
        <v>0</v>
      </c>
      <c r="AA150" s="75">
        <v>150</v>
      </c>
      <c r="AB150" s="75"/>
      <c r="AC150" s="76"/>
      <c r="AD150" s="83" t="s">
        <v>1694</v>
      </c>
      <c r="AE150" s="91" t="s">
        <v>1903</v>
      </c>
      <c r="AF150" s="83">
        <v>95</v>
      </c>
      <c r="AG150" s="83">
        <v>11</v>
      </c>
      <c r="AH150" s="83">
        <v>348</v>
      </c>
      <c r="AI150" s="83">
        <v>219</v>
      </c>
      <c r="AJ150" s="83"/>
      <c r="AK150" s="83" t="s">
        <v>2104</v>
      </c>
      <c r="AL150" s="83" t="s">
        <v>2216</v>
      </c>
      <c r="AM150" s="88" t="str">
        <f>HYPERLINK("https://t.co/yYc2t1r3Jy")</f>
        <v>https://t.co/yYc2t1r3Jy</v>
      </c>
      <c r="AN150" s="83"/>
      <c r="AO150" s="85">
        <v>41729.31190972222</v>
      </c>
      <c r="AP150" s="83"/>
      <c r="AQ150" s="83" t="b">
        <v>0</v>
      </c>
      <c r="AR150" s="83" t="b">
        <v>0</v>
      </c>
      <c r="AS150" s="83" t="b">
        <v>0</v>
      </c>
      <c r="AT150" s="83"/>
      <c r="AU150" s="83">
        <v>0</v>
      </c>
      <c r="AV150" s="88" t="str">
        <f>HYPERLINK("http://abs.twimg.com/images/themes/theme1/bg.png")</f>
        <v>http://abs.twimg.com/images/themes/theme1/bg.png</v>
      </c>
      <c r="AW150" s="83" t="b">
        <v>0</v>
      </c>
      <c r="AX150" s="83" t="s">
        <v>2296</v>
      </c>
      <c r="AY150" s="88" t="str">
        <f>HYPERLINK("https://twitter.com/chanduanus")</f>
        <v>https://twitter.com/chanduanus</v>
      </c>
      <c r="AZ150" s="83" t="s">
        <v>66</v>
      </c>
      <c r="BA150" s="83" t="str">
        <f>REPLACE(INDEX(GroupVertices[Group],MATCH(Vertices[[#This Row],[Vertex]],GroupVertices[Vertex],0)),1,1,"")</f>
        <v>9</v>
      </c>
      <c r="BB150" s="49">
        <v>0</v>
      </c>
      <c r="BC150" s="50">
        <v>0</v>
      </c>
      <c r="BD150" s="49">
        <v>0</v>
      </c>
      <c r="BE150" s="50">
        <v>0</v>
      </c>
      <c r="BF150" s="49">
        <v>0</v>
      </c>
      <c r="BG150" s="50">
        <v>0</v>
      </c>
      <c r="BH150" s="49">
        <v>28</v>
      </c>
      <c r="BI150" s="50">
        <v>100</v>
      </c>
      <c r="BJ150" s="49">
        <v>28</v>
      </c>
      <c r="BK150" s="49" t="s">
        <v>4460</v>
      </c>
      <c r="BL150" s="49" t="s">
        <v>4460</v>
      </c>
      <c r="BM150" s="49" t="s">
        <v>541</v>
      </c>
      <c r="BN150" s="49" t="s">
        <v>541</v>
      </c>
      <c r="BO150" s="49" t="s">
        <v>4909</v>
      </c>
      <c r="BP150" s="49" t="s">
        <v>4909</v>
      </c>
      <c r="BQ150" s="119" t="s">
        <v>5018</v>
      </c>
      <c r="BR150" s="119" t="s">
        <v>5018</v>
      </c>
      <c r="BS150" s="119" t="s">
        <v>5149</v>
      </c>
      <c r="BT150" s="119" t="s">
        <v>5149</v>
      </c>
      <c r="BU150" s="2"/>
      <c r="BV150" s="3"/>
      <c r="BW150" s="3"/>
      <c r="BX150" s="3"/>
      <c r="BY150" s="3"/>
    </row>
    <row r="151" spans="1:77" ht="15">
      <c r="A151" s="68" t="s">
        <v>345</v>
      </c>
      <c r="B151" s="69"/>
      <c r="C151" s="69" t="s">
        <v>46</v>
      </c>
      <c r="D151" s="70"/>
      <c r="E151" s="72"/>
      <c r="F151" s="107" t="str">
        <f>HYPERLINK("http://pbs.twimg.com/profile_images/973611685822058497/yRRo9D52_normal.jpg")</f>
        <v>http://pbs.twimg.com/profile_images/973611685822058497/yRRo9D52_normal.jpg</v>
      </c>
      <c r="G151" s="69"/>
      <c r="H151" s="73" t="s">
        <v>345</v>
      </c>
      <c r="I151" s="74" t="s">
        <v>5212</v>
      </c>
      <c r="J151" s="74" t="s">
        <v>73</v>
      </c>
      <c r="K151" s="73" t="s">
        <v>2444</v>
      </c>
      <c r="L151" s="77">
        <v>1</v>
      </c>
      <c r="M151" s="78">
        <v>7781.84326171875</v>
      </c>
      <c r="N151" s="78">
        <v>5953.0185546875</v>
      </c>
      <c r="O151" s="79"/>
      <c r="P151" s="80"/>
      <c r="Q151" s="80"/>
      <c r="R151" s="93"/>
      <c r="S151" s="49">
        <v>0</v>
      </c>
      <c r="T151" s="49">
        <v>6</v>
      </c>
      <c r="U151" s="50">
        <v>1274.139523</v>
      </c>
      <c r="V151" s="50">
        <v>0.001684</v>
      </c>
      <c r="W151" s="50">
        <v>0.000403</v>
      </c>
      <c r="X151" s="50">
        <v>1.404188</v>
      </c>
      <c r="Y151" s="50">
        <v>0.1</v>
      </c>
      <c r="Z151" s="50">
        <v>0</v>
      </c>
      <c r="AA151" s="75">
        <v>151</v>
      </c>
      <c r="AB151" s="75"/>
      <c r="AC151" s="76"/>
      <c r="AD151" s="83" t="s">
        <v>1695</v>
      </c>
      <c r="AE151" s="91" t="s">
        <v>1904</v>
      </c>
      <c r="AF151" s="83">
        <v>6</v>
      </c>
      <c r="AG151" s="83">
        <v>3224</v>
      </c>
      <c r="AH151" s="83">
        <v>259064</v>
      </c>
      <c r="AI151" s="83">
        <v>7</v>
      </c>
      <c r="AJ151" s="83"/>
      <c r="AK151" s="83" t="s">
        <v>2105</v>
      </c>
      <c r="AL151" s="83" t="s">
        <v>2258</v>
      </c>
      <c r="AM151" s="83"/>
      <c r="AN151" s="83"/>
      <c r="AO151" s="85">
        <v>43167.23217592593</v>
      </c>
      <c r="AP151" s="88" t="str">
        <f>HYPERLINK("https://pbs.twimg.com/profile_banners/971620109197312000/1525426121")</f>
        <v>https://pbs.twimg.com/profile_banners/971620109197312000/1525426121</v>
      </c>
      <c r="AQ151" s="83" t="b">
        <v>0</v>
      </c>
      <c r="AR151" s="83" t="b">
        <v>0</v>
      </c>
      <c r="AS151" s="83" t="b">
        <v>0</v>
      </c>
      <c r="AT151" s="83"/>
      <c r="AU151" s="83">
        <v>128</v>
      </c>
      <c r="AV151" s="88" t="str">
        <f>HYPERLINK("http://abs.twimg.com/images/themes/theme1/bg.png")</f>
        <v>http://abs.twimg.com/images/themes/theme1/bg.png</v>
      </c>
      <c r="AW151" s="83" t="b">
        <v>0</v>
      </c>
      <c r="AX151" s="83" t="s">
        <v>2296</v>
      </c>
      <c r="AY151" s="88" t="str">
        <f>HYPERLINK("https://twitter.com/serverlessfan")</f>
        <v>https://twitter.com/serverlessfan</v>
      </c>
      <c r="AZ151" s="83" t="s">
        <v>66</v>
      </c>
      <c r="BA151" s="83" t="str">
        <f>REPLACE(INDEX(GroupVertices[Group],MATCH(Vertices[[#This Row],[Vertex]],GroupVertices[Vertex],0)),1,1,"")</f>
        <v>9</v>
      </c>
      <c r="BB151" s="49">
        <v>0</v>
      </c>
      <c r="BC151" s="50">
        <v>0</v>
      </c>
      <c r="BD151" s="49">
        <v>0</v>
      </c>
      <c r="BE151" s="50">
        <v>0</v>
      </c>
      <c r="BF151" s="49">
        <v>0</v>
      </c>
      <c r="BG151" s="50">
        <v>0</v>
      </c>
      <c r="BH151" s="49">
        <v>166</v>
      </c>
      <c r="BI151" s="50">
        <v>100</v>
      </c>
      <c r="BJ151" s="49">
        <v>166</v>
      </c>
      <c r="BK151" s="49" t="s">
        <v>4822</v>
      </c>
      <c r="BL151" s="49" t="s">
        <v>4822</v>
      </c>
      <c r="BM151" s="49" t="s">
        <v>4856</v>
      </c>
      <c r="BN151" s="49" t="s">
        <v>4881</v>
      </c>
      <c r="BO151" s="49" t="s">
        <v>4910</v>
      </c>
      <c r="BP151" s="49" t="s">
        <v>4953</v>
      </c>
      <c r="BQ151" s="119" t="s">
        <v>5026</v>
      </c>
      <c r="BR151" s="119" t="s">
        <v>5085</v>
      </c>
      <c r="BS151" s="119" t="s">
        <v>5153</v>
      </c>
      <c r="BT151" s="119" t="s">
        <v>5196</v>
      </c>
      <c r="BU151" s="2"/>
      <c r="BV151" s="3"/>
      <c r="BW151" s="3"/>
      <c r="BX151" s="3"/>
      <c r="BY151" s="3"/>
    </row>
    <row r="152" spans="1:77" ht="15">
      <c r="A152" s="68" t="s">
        <v>394</v>
      </c>
      <c r="B152" s="69"/>
      <c r="C152" s="69" t="s">
        <v>64</v>
      </c>
      <c r="D152" s="70">
        <v>411.6270323713908</v>
      </c>
      <c r="E152" s="72"/>
      <c r="F152" s="107" t="str">
        <f>HYPERLINK("http://pbs.twimg.com/profile_images/1243126542730842112/vSMiS4NI_normal.jpg")</f>
        <v>http://pbs.twimg.com/profile_images/1243126542730842112/vSMiS4NI_normal.jpg</v>
      </c>
      <c r="G152" s="69"/>
      <c r="H152" s="73" t="s">
        <v>394</v>
      </c>
      <c r="I152" s="74" t="s">
        <v>5212</v>
      </c>
      <c r="J152" s="74" t="s">
        <v>73</v>
      </c>
      <c r="K152" s="73" t="s">
        <v>2445</v>
      </c>
      <c r="L152" s="77">
        <v>968.5483870967741</v>
      </c>
      <c r="M152" s="78">
        <v>8077.24267578125</v>
      </c>
      <c r="N152" s="78">
        <v>6075.6259765625</v>
      </c>
      <c r="O152" s="79"/>
      <c r="P152" s="80"/>
      <c r="Q152" s="80"/>
      <c r="R152" s="93"/>
      <c r="S152" s="49">
        <v>3</v>
      </c>
      <c r="T152" s="49">
        <v>1</v>
      </c>
      <c r="U152" s="50">
        <v>14.583437</v>
      </c>
      <c r="V152" s="50">
        <v>0.001538</v>
      </c>
      <c r="W152" s="50">
        <v>5.9E-05</v>
      </c>
      <c r="X152" s="50">
        <v>0.86531</v>
      </c>
      <c r="Y152" s="50">
        <v>0.4166666666666667</v>
      </c>
      <c r="Z152" s="50">
        <v>0</v>
      </c>
      <c r="AA152" s="75">
        <v>152</v>
      </c>
      <c r="AB152" s="75"/>
      <c r="AC152" s="76"/>
      <c r="AD152" s="83" t="s">
        <v>1696</v>
      </c>
      <c r="AE152" s="91" t="s">
        <v>1905</v>
      </c>
      <c r="AF152" s="83">
        <v>456</v>
      </c>
      <c r="AG152" s="83">
        <v>6</v>
      </c>
      <c r="AH152" s="83">
        <v>341</v>
      </c>
      <c r="AI152" s="83">
        <v>470</v>
      </c>
      <c r="AJ152" s="83"/>
      <c r="AK152" s="83" t="s">
        <v>2106</v>
      </c>
      <c r="AL152" s="83"/>
      <c r="AM152" s="83"/>
      <c r="AN152" s="83"/>
      <c r="AO152" s="85">
        <v>43916.44493055555</v>
      </c>
      <c r="AP152" s="83"/>
      <c r="AQ152" s="83" t="b">
        <v>1</v>
      </c>
      <c r="AR152" s="83" t="b">
        <v>0</v>
      </c>
      <c r="AS152" s="83" t="b">
        <v>0</v>
      </c>
      <c r="AT152" s="83"/>
      <c r="AU152" s="83">
        <v>0</v>
      </c>
      <c r="AV152" s="83"/>
      <c r="AW152" s="83" t="b">
        <v>0</v>
      </c>
      <c r="AX152" s="83" t="s">
        <v>2296</v>
      </c>
      <c r="AY152" s="88" t="str">
        <f>HYPERLINK("https://twitter.com/corona_dragon")</f>
        <v>https://twitter.com/corona_dragon</v>
      </c>
      <c r="AZ152" s="83" t="s">
        <v>66</v>
      </c>
      <c r="BA152" s="83" t="str">
        <f>REPLACE(INDEX(GroupVertices[Group],MATCH(Vertices[[#This Row],[Vertex]],GroupVertices[Vertex],0)),1,1,"")</f>
        <v>9</v>
      </c>
      <c r="BB152" s="49">
        <v>0</v>
      </c>
      <c r="BC152" s="50">
        <v>0</v>
      </c>
      <c r="BD152" s="49">
        <v>0</v>
      </c>
      <c r="BE152" s="50">
        <v>0</v>
      </c>
      <c r="BF152" s="49">
        <v>0</v>
      </c>
      <c r="BG152" s="50">
        <v>0</v>
      </c>
      <c r="BH152" s="49">
        <v>27</v>
      </c>
      <c r="BI152" s="50">
        <v>100</v>
      </c>
      <c r="BJ152" s="49">
        <v>27</v>
      </c>
      <c r="BK152" s="49" t="s">
        <v>4507</v>
      </c>
      <c r="BL152" s="49" t="s">
        <v>4507</v>
      </c>
      <c r="BM152" s="49" t="s">
        <v>559</v>
      </c>
      <c r="BN152" s="49" t="s">
        <v>559</v>
      </c>
      <c r="BO152" s="49" t="s">
        <v>4911</v>
      </c>
      <c r="BP152" s="49" t="s">
        <v>4911</v>
      </c>
      <c r="BQ152" s="119" t="s">
        <v>5027</v>
      </c>
      <c r="BR152" s="119" t="s">
        <v>5027</v>
      </c>
      <c r="BS152" s="119" t="s">
        <v>5154</v>
      </c>
      <c r="BT152" s="119" t="s">
        <v>5154</v>
      </c>
      <c r="BU152" s="2"/>
      <c r="BV152" s="3"/>
      <c r="BW152" s="3"/>
      <c r="BX152" s="3"/>
      <c r="BY152" s="3"/>
    </row>
    <row r="153" spans="1:77" ht="15">
      <c r="A153" s="68" t="s">
        <v>358</v>
      </c>
      <c r="B153" s="69"/>
      <c r="C153" s="69" t="s">
        <v>64</v>
      </c>
      <c r="D153" s="70">
        <v>263.3984445617174</v>
      </c>
      <c r="E153" s="72"/>
      <c r="F153" s="107" t="str">
        <f>HYPERLINK("http://pbs.twimg.com/profile_images/1004235176082321408/sr8WYJoB_normal.jpg")</f>
        <v>http://pbs.twimg.com/profile_images/1004235176082321408/sr8WYJoB_normal.jpg</v>
      </c>
      <c r="G153" s="69"/>
      <c r="H153" s="73" t="s">
        <v>358</v>
      </c>
      <c r="I153" s="74" t="s">
        <v>5212</v>
      </c>
      <c r="J153" s="74" t="s">
        <v>73</v>
      </c>
      <c r="K153" s="73" t="s">
        <v>2446</v>
      </c>
      <c r="L153" s="77">
        <v>646.0322580645161</v>
      </c>
      <c r="M153" s="78">
        <v>7904.3828125</v>
      </c>
      <c r="N153" s="78">
        <v>5392.05224609375</v>
      </c>
      <c r="O153" s="79"/>
      <c r="P153" s="80"/>
      <c r="Q153" s="80"/>
      <c r="R153" s="93"/>
      <c r="S153" s="49">
        <v>2</v>
      </c>
      <c r="T153" s="49">
        <v>4</v>
      </c>
      <c r="U153" s="50">
        <v>1097.936667</v>
      </c>
      <c r="V153" s="50">
        <v>0.001587</v>
      </c>
      <c r="W153" s="50">
        <v>6.3E-05</v>
      </c>
      <c r="X153" s="50">
        <v>1.325198</v>
      </c>
      <c r="Y153" s="50">
        <v>0.16666666666666666</v>
      </c>
      <c r="Z153" s="50">
        <v>0</v>
      </c>
      <c r="AA153" s="75">
        <v>153</v>
      </c>
      <c r="AB153" s="75"/>
      <c r="AC153" s="76"/>
      <c r="AD153" s="83" t="s">
        <v>1697</v>
      </c>
      <c r="AE153" s="91" t="s">
        <v>1906</v>
      </c>
      <c r="AF153" s="83">
        <v>21</v>
      </c>
      <c r="AG153" s="83">
        <v>11468</v>
      </c>
      <c r="AH153" s="83">
        <v>138082</v>
      </c>
      <c r="AI153" s="83">
        <v>438</v>
      </c>
      <c r="AJ153" s="83"/>
      <c r="AK153" s="83" t="s">
        <v>2107</v>
      </c>
      <c r="AL153" s="83"/>
      <c r="AM153" s="83"/>
      <c r="AN153" s="83"/>
      <c r="AO153" s="85">
        <v>43257.205462962964</v>
      </c>
      <c r="AP153" s="83"/>
      <c r="AQ153" s="83" t="b">
        <v>1</v>
      </c>
      <c r="AR153" s="83" t="b">
        <v>0</v>
      </c>
      <c r="AS153" s="83" t="b">
        <v>0</v>
      </c>
      <c r="AT153" s="83"/>
      <c r="AU153" s="83">
        <v>203</v>
      </c>
      <c r="AV153" s="83"/>
      <c r="AW153" s="83" t="b">
        <v>0</v>
      </c>
      <c r="AX153" s="83" t="s">
        <v>2296</v>
      </c>
      <c r="AY153" s="88" t="str">
        <f>HYPERLINK("https://twitter.com/machine_ml")</f>
        <v>https://twitter.com/machine_ml</v>
      </c>
      <c r="AZ153" s="83" t="s">
        <v>66</v>
      </c>
      <c r="BA153" s="83" t="str">
        <f>REPLACE(INDEX(GroupVertices[Group],MATCH(Vertices[[#This Row],[Vertex]],GroupVertices[Vertex],0)),1,1,"")</f>
        <v>9</v>
      </c>
      <c r="BB153" s="49">
        <v>0</v>
      </c>
      <c r="BC153" s="50">
        <v>0</v>
      </c>
      <c r="BD153" s="49">
        <v>0</v>
      </c>
      <c r="BE153" s="50">
        <v>0</v>
      </c>
      <c r="BF153" s="49">
        <v>0</v>
      </c>
      <c r="BG153" s="50">
        <v>0</v>
      </c>
      <c r="BH153" s="49">
        <v>86</v>
      </c>
      <c r="BI153" s="50">
        <v>100</v>
      </c>
      <c r="BJ153" s="49">
        <v>86</v>
      </c>
      <c r="BK153" s="49" t="s">
        <v>4493</v>
      </c>
      <c r="BL153" s="49" t="s">
        <v>4493</v>
      </c>
      <c r="BM153" s="49" t="s">
        <v>550</v>
      </c>
      <c r="BN153" s="49" t="s">
        <v>550</v>
      </c>
      <c r="BO153" s="49" t="s">
        <v>4912</v>
      </c>
      <c r="BP153" s="49" t="s">
        <v>4954</v>
      </c>
      <c r="BQ153" s="119" t="s">
        <v>5028</v>
      </c>
      <c r="BR153" s="119" t="s">
        <v>5086</v>
      </c>
      <c r="BS153" s="119" t="s">
        <v>5155</v>
      </c>
      <c r="BT153" s="119" t="s">
        <v>5155</v>
      </c>
      <c r="BU153" s="2"/>
      <c r="BV153" s="3"/>
      <c r="BW153" s="3"/>
      <c r="BX153" s="3"/>
      <c r="BY153" s="3"/>
    </row>
    <row r="154" spans="1:77" ht="15">
      <c r="A154" s="68" t="s">
        <v>346</v>
      </c>
      <c r="B154" s="69"/>
      <c r="C154" s="69" t="s">
        <v>46</v>
      </c>
      <c r="D154" s="70"/>
      <c r="E154" s="72"/>
      <c r="F154" s="107" t="str">
        <f>HYPERLINK("http://pbs.twimg.com/profile_images/989796752327954432/Le52USlW_normal.jpg")</f>
        <v>http://pbs.twimg.com/profile_images/989796752327954432/Le52USlW_normal.jpg</v>
      </c>
      <c r="G154" s="69"/>
      <c r="H154" s="73" t="s">
        <v>346</v>
      </c>
      <c r="I154" s="74" t="s">
        <v>5220</v>
      </c>
      <c r="J154" s="74" t="s">
        <v>73</v>
      </c>
      <c r="K154" s="73" t="s">
        <v>2447</v>
      </c>
      <c r="L154" s="77">
        <v>1</v>
      </c>
      <c r="M154" s="78">
        <v>4868.00244140625</v>
      </c>
      <c r="N154" s="78">
        <v>3038.583740234375</v>
      </c>
      <c r="O154" s="79"/>
      <c r="P154" s="80"/>
      <c r="Q154" s="80"/>
      <c r="R154" s="93"/>
      <c r="S154" s="49">
        <v>0</v>
      </c>
      <c r="T154" s="49">
        <v>1</v>
      </c>
      <c r="U154" s="50">
        <v>0</v>
      </c>
      <c r="V154" s="50">
        <v>0.001511</v>
      </c>
      <c r="W154" s="50">
        <v>0.000203</v>
      </c>
      <c r="X154" s="50">
        <v>0.404088</v>
      </c>
      <c r="Y154" s="50">
        <v>0</v>
      </c>
      <c r="Z154" s="50">
        <v>0</v>
      </c>
      <c r="AA154" s="75">
        <v>154</v>
      </c>
      <c r="AB154" s="75"/>
      <c r="AC154" s="76"/>
      <c r="AD154" s="83" t="s">
        <v>1698</v>
      </c>
      <c r="AE154" s="91" t="s">
        <v>1907</v>
      </c>
      <c r="AF154" s="83">
        <v>307</v>
      </c>
      <c r="AG154" s="83">
        <v>323</v>
      </c>
      <c r="AH154" s="83">
        <v>17978</v>
      </c>
      <c r="AI154" s="83">
        <v>226</v>
      </c>
      <c r="AJ154" s="83"/>
      <c r="AK154" s="88" t="str">
        <f>HYPERLINK("https://t.co/v1XJQLZOYQ
https://t.co/XC8ta107hw")</f>
        <v>https://t.co/v1XJQLZOYQ
https://t.co/XC8ta107hw</v>
      </c>
      <c r="AL154" s="83" t="s">
        <v>2259</v>
      </c>
      <c r="AM154" s="88" t="str">
        <f>HYPERLINK("https://t.co/rc92E0ypdn")</f>
        <v>https://t.co/rc92E0ypdn</v>
      </c>
      <c r="AN154" s="83"/>
      <c r="AO154" s="85">
        <v>43121.47755787037</v>
      </c>
      <c r="AP154" s="88" t="str">
        <f>HYPERLINK("https://pbs.twimg.com/profile_banners/955039188264603648/1533204535")</f>
        <v>https://pbs.twimg.com/profile_banners/955039188264603648/1533204535</v>
      </c>
      <c r="AQ154" s="83" t="b">
        <v>0</v>
      </c>
      <c r="AR154" s="83" t="b">
        <v>0</v>
      </c>
      <c r="AS154" s="83" t="b">
        <v>0</v>
      </c>
      <c r="AT154" s="83"/>
      <c r="AU154" s="83">
        <v>30</v>
      </c>
      <c r="AV154" s="88" t="str">
        <f>HYPERLINK("http://abs.twimg.com/images/themes/theme1/bg.png")</f>
        <v>http://abs.twimg.com/images/themes/theme1/bg.png</v>
      </c>
      <c r="AW154" s="83" t="b">
        <v>0</v>
      </c>
      <c r="AX154" s="83" t="s">
        <v>2296</v>
      </c>
      <c r="AY154" s="88" t="str">
        <f>HYPERLINK("https://twitter.com/cloudcoopitaly")</f>
        <v>https://twitter.com/cloudcoopitaly</v>
      </c>
      <c r="AZ154" s="83" t="s">
        <v>66</v>
      </c>
      <c r="BA154" s="83" t="str">
        <f>REPLACE(INDEX(GroupVertices[Group],MATCH(Vertices[[#This Row],[Vertex]],GroupVertices[Vertex],0)),1,1,"")</f>
        <v>3</v>
      </c>
      <c r="BB154" s="49">
        <v>0</v>
      </c>
      <c r="BC154" s="50">
        <v>0</v>
      </c>
      <c r="BD154" s="49">
        <v>0</v>
      </c>
      <c r="BE154" s="50">
        <v>0</v>
      </c>
      <c r="BF154" s="49">
        <v>0</v>
      </c>
      <c r="BG154" s="50">
        <v>0</v>
      </c>
      <c r="BH154" s="49">
        <v>29</v>
      </c>
      <c r="BI154" s="50">
        <v>100</v>
      </c>
      <c r="BJ154" s="49">
        <v>29</v>
      </c>
      <c r="BK154" s="49" t="s">
        <v>4474</v>
      </c>
      <c r="BL154" s="49" t="s">
        <v>4474</v>
      </c>
      <c r="BM154" s="49" t="s">
        <v>541</v>
      </c>
      <c r="BN154" s="49" t="s">
        <v>541</v>
      </c>
      <c r="BO154" s="49" t="s">
        <v>603</v>
      </c>
      <c r="BP154" s="49" t="s">
        <v>603</v>
      </c>
      <c r="BQ154" s="119" t="s">
        <v>5029</v>
      </c>
      <c r="BR154" s="119" t="s">
        <v>5029</v>
      </c>
      <c r="BS154" s="119" t="s">
        <v>5156</v>
      </c>
      <c r="BT154" s="119" t="s">
        <v>5156</v>
      </c>
      <c r="BU154" s="2"/>
      <c r="BV154" s="3"/>
      <c r="BW154" s="3"/>
      <c r="BX154" s="3"/>
      <c r="BY154" s="3"/>
    </row>
    <row r="155" spans="1:77" ht="15">
      <c r="A155" s="68" t="s">
        <v>347</v>
      </c>
      <c r="B155" s="69"/>
      <c r="C155" s="69" t="s">
        <v>46</v>
      </c>
      <c r="D155" s="70">
        <v>10</v>
      </c>
      <c r="E155" s="72"/>
      <c r="F155" s="107" t="str">
        <f>HYPERLINK("http://pbs.twimg.com/profile_images/982519508253294593/P9PFt4Q3_normal.jpg")</f>
        <v>http://pbs.twimg.com/profile_images/982519508253294593/P9PFt4Q3_normal.jpg</v>
      </c>
      <c r="G155" s="69"/>
      <c r="H155" s="73" t="s">
        <v>347</v>
      </c>
      <c r="I155" s="74" t="s">
        <v>5218</v>
      </c>
      <c r="J155" s="74" t="s">
        <v>73</v>
      </c>
      <c r="K155" s="73" t="s">
        <v>2448</v>
      </c>
      <c r="L155" s="77">
        <v>323.51612903225805</v>
      </c>
      <c r="M155" s="78"/>
      <c r="N155" s="78"/>
      <c r="O155" s="79"/>
      <c r="P155" s="80"/>
      <c r="Q155" s="80"/>
      <c r="R155" s="93"/>
      <c r="S155" s="49">
        <v>1</v>
      </c>
      <c r="T155" s="49">
        <v>1</v>
      </c>
      <c r="U155" s="50">
        <v>0</v>
      </c>
      <c r="V155" s="50">
        <v>0</v>
      </c>
      <c r="W155" s="50">
        <v>0</v>
      </c>
      <c r="X155" s="50">
        <v>0.999997</v>
      </c>
      <c r="Y155" s="50">
        <v>0</v>
      </c>
      <c r="Z155" s="50">
        <v>0</v>
      </c>
      <c r="AA155" s="75">
        <v>155</v>
      </c>
      <c r="AB155" s="75"/>
      <c r="AC155" s="76"/>
      <c r="AD155" s="83" t="s">
        <v>1699</v>
      </c>
      <c r="AE155" s="91" t="s">
        <v>1908</v>
      </c>
      <c r="AF155" s="83">
        <v>4714</v>
      </c>
      <c r="AG155" s="83">
        <v>1179</v>
      </c>
      <c r="AH155" s="83">
        <v>3737</v>
      </c>
      <c r="AI155" s="83">
        <v>5</v>
      </c>
      <c r="AJ155" s="83"/>
      <c r="AK155" s="83" t="s">
        <v>1699</v>
      </c>
      <c r="AL155" s="83" t="s">
        <v>2222</v>
      </c>
      <c r="AM155" s="88" t="str">
        <f>HYPERLINK("https://t.co/7VISfhmTbU")</f>
        <v>https://t.co/7VISfhmTbU</v>
      </c>
      <c r="AN155" s="83"/>
      <c r="AO155" s="85">
        <v>42352.23185185185</v>
      </c>
      <c r="AP155" s="88" t="str">
        <f>HYPERLINK("https://pbs.twimg.com/profile_banners/4553786653/1523085976")</f>
        <v>https://pbs.twimg.com/profile_banners/4553786653/1523085976</v>
      </c>
      <c r="AQ155" s="83" t="b">
        <v>1</v>
      </c>
      <c r="AR155" s="83" t="b">
        <v>0</v>
      </c>
      <c r="AS155" s="83" t="b">
        <v>0</v>
      </c>
      <c r="AT155" s="83"/>
      <c r="AU155" s="83">
        <v>85</v>
      </c>
      <c r="AV155" s="83"/>
      <c r="AW155" s="83" t="b">
        <v>0</v>
      </c>
      <c r="AX155" s="83" t="s">
        <v>2296</v>
      </c>
      <c r="AY155" s="88" t="str">
        <f>HYPERLINK("https://twitter.com/iamawebdesiger")</f>
        <v>https://twitter.com/iamawebdesiger</v>
      </c>
      <c r="AZ155" s="83" t="s">
        <v>66</v>
      </c>
      <c r="BA155" s="83" t="str">
        <f>REPLACE(INDEX(GroupVertices[Group],MATCH(Vertices[[#This Row],[Vertex]],GroupVertices[Vertex],0)),1,1,"")</f>
        <v>6</v>
      </c>
      <c r="BB155" s="49">
        <v>0</v>
      </c>
      <c r="BC155" s="50">
        <v>0</v>
      </c>
      <c r="BD155" s="49">
        <v>0</v>
      </c>
      <c r="BE155" s="50">
        <v>0</v>
      </c>
      <c r="BF155" s="49">
        <v>0</v>
      </c>
      <c r="BG155" s="50">
        <v>0</v>
      </c>
      <c r="BH155" s="49">
        <v>9</v>
      </c>
      <c r="BI155" s="50">
        <v>100</v>
      </c>
      <c r="BJ155" s="49">
        <v>9</v>
      </c>
      <c r="BK155" s="49" t="s">
        <v>4492</v>
      </c>
      <c r="BL155" s="49" t="s">
        <v>4492</v>
      </c>
      <c r="BM155" s="49" t="s">
        <v>545</v>
      </c>
      <c r="BN155" s="49" t="s">
        <v>545</v>
      </c>
      <c r="BO155" s="49" t="s">
        <v>604</v>
      </c>
      <c r="BP155" s="49" t="s">
        <v>604</v>
      </c>
      <c r="BQ155" s="119" t="s">
        <v>5030</v>
      </c>
      <c r="BR155" s="119" t="s">
        <v>5030</v>
      </c>
      <c r="BS155" s="119" t="s">
        <v>5157</v>
      </c>
      <c r="BT155" s="119" t="s">
        <v>5157</v>
      </c>
      <c r="BU155" s="2"/>
      <c r="BV155" s="3"/>
      <c r="BW155" s="3"/>
      <c r="BX155" s="3"/>
      <c r="BY155" s="3"/>
    </row>
    <row r="156" spans="1:77" ht="15">
      <c r="A156" s="68" t="s">
        <v>348</v>
      </c>
      <c r="B156" s="69"/>
      <c r="C156" s="69" t="s">
        <v>46</v>
      </c>
      <c r="D156" s="70">
        <v>10</v>
      </c>
      <c r="E156" s="72"/>
      <c r="F156" s="107" t="str">
        <f>HYPERLINK("http://pbs.twimg.com/profile_images/982830403538046976/Jk_5vRoe_normal.jpg")</f>
        <v>http://pbs.twimg.com/profile_images/982830403538046976/Jk_5vRoe_normal.jpg</v>
      </c>
      <c r="G156" s="69"/>
      <c r="H156" s="73" t="s">
        <v>348</v>
      </c>
      <c r="I156" s="74" t="s">
        <v>5218</v>
      </c>
      <c r="J156" s="74" t="s">
        <v>73</v>
      </c>
      <c r="K156" s="73" t="s">
        <v>2449</v>
      </c>
      <c r="L156" s="77">
        <v>323.51612903225805</v>
      </c>
      <c r="M156" s="78"/>
      <c r="N156" s="78"/>
      <c r="O156" s="79"/>
      <c r="P156" s="80"/>
      <c r="Q156" s="80"/>
      <c r="R156" s="93"/>
      <c r="S156" s="49">
        <v>1</v>
      </c>
      <c r="T156" s="49">
        <v>1</v>
      </c>
      <c r="U156" s="50">
        <v>0</v>
      </c>
      <c r="V156" s="50">
        <v>0</v>
      </c>
      <c r="W156" s="50">
        <v>0</v>
      </c>
      <c r="X156" s="50">
        <v>0.999997</v>
      </c>
      <c r="Y156" s="50">
        <v>0</v>
      </c>
      <c r="Z156" s="50">
        <v>0</v>
      </c>
      <c r="AA156" s="75">
        <v>156</v>
      </c>
      <c r="AB156" s="75"/>
      <c r="AC156" s="76"/>
      <c r="AD156" s="83" t="s">
        <v>1700</v>
      </c>
      <c r="AE156" s="91" t="s">
        <v>1909</v>
      </c>
      <c r="AF156" s="83">
        <v>19878</v>
      </c>
      <c r="AG156" s="83">
        <v>21645</v>
      </c>
      <c r="AH156" s="83">
        <v>114191</v>
      </c>
      <c r="AI156" s="83">
        <v>23804</v>
      </c>
      <c r="AJ156" s="83"/>
      <c r="AK156" s="83" t="s">
        <v>2108</v>
      </c>
      <c r="AL156" s="83" t="s">
        <v>2260</v>
      </c>
      <c r="AM156" s="88" t="str">
        <f>HYPERLINK("https://t.co/Fz05cosWBh")</f>
        <v>https://t.co/Fz05cosWBh</v>
      </c>
      <c r="AN156" s="83"/>
      <c r="AO156" s="85">
        <v>40464.069247685184</v>
      </c>
      <c r="AP156" s="88" t="str">
        <f>HYPERLINK("https://pbs.twimg.com/profile_banners/201980592/1435947019")</f>
        <v>https://pbs.twimg.com/profile_banners/201980592/1435947019</v>
      </c>
      <c r="AQ156" s="83" t="b">
        <v>0</v>
      </c>
      <c r="AR156" s="83" t="b">
        <v>0</v>
      </c>
      <c r="AS156" s="83" t="b">
        <v>1</v>
      </c>
      <c r="AT156" s="83"/>
      <c r="AU156" s="83">
        <v>671</v>
      </c>
      <c r="AV156" s="88" t="str">
        <f>HYPERLINK("http://abs.twimg.com/images/themes/theme1/bg.png")</f>
        <v>http://abs.twimg.com/images/themes/theme1/bg.png</v>
      </c>
      <c r="AW156" s="83" t="b">
        <v>0</v>
      </c>
      <c r="AX156" s="83" t="s">
        <v>2296</v>
      </c>
      <c r="AY156" s="88" t="str">
        <f>HYPERLINK("https://twitter.com/iamchuckrussell")</f>
        <v>https://twitter.com/iamchuckrussell</v>
      </c>
      <c r="AZ156" s="83" t="s">
        <v>66</v>
      </c>
      <c r="BA156" s="83" t="str">
        <f>REPLACE(INDEX(GroupVertices[Group],MATCH(Vertices[[#This Row],[Vertex]],GroupVertices[Vertex],0)),1,1,"")</f>
        <v>6</v>
      </c>
      <c r="BB156" s="49">
        <v>0</v>
      </c>
      <c r="BC156" s="50">
        <v>0</v>
      </c>
      <c r="BD156" s="49">
        <v>0</v>
      </c>
      <c r="BE156" s="50">
        <v>0</v>
      </c>
      <c r="BF156" s="49">
        <v>0</v>
      </c>
      <c r="BG156" s="50">
        <v>0</v>
      </c>
      <c r="BH156" s="49">
        <v>19</v>
      </c>
      <c r="BI156" s="50">
        <v>100</v>
      </c>
      <c r="BJ156" s="49">
        <v>19</v>
      </c>
      <c r="BK156" s="49" t="s">
        <v>4493</v>
      </c>
      <c r="BL156" s="49" t="s">
        <v>4493</v>
      </c>
      <c r="BM156" s="49" t="s">
        <v>550</v>
      </c>
      <c r="BN156" s="49" t="s">
        <v>550</v>
      </c>
      <c r="BO156" s="49" t="s">
        <v>605</v>
      </c>
      <c r="BP156" s="49" t="s">
        <v>605</v>
      </c>
      <c r="BQ156" s="119" t="s">
        <v>5031</v>
      </c>
      <c r="BR156" s="119" t="s">
        <v>5031</v>
      </c>
      <c r="BS156" s="119" t="s">
        <v>5158</v>
      </c>
      <c r="BT156" s="119" t="s">
        <v>5158</v>
      </c>
      <c r="BU156" s="2"/>
      <c r="BV156" s="3"/>
      <c r="BW156" s="3"/>
      <c r="BX156" s="3"/>
      <c r="BY156" s="3"/>
    </row>
    <row r="157" spans="1:77" ht="15">
      <c r="A157" s="68" t="s">
        <v>349</v>
      </c>
      <c r="B157" s="69"/>
      <c r="C157" s="69" t="s">
        <v>46</v>
      </c>
      <c r="D157" s="70"/>
      <c r="E157" s="72"/>
      <c r="F157" s="107" t="str">
        <f>HYPERLINK("http://pbs.twimg.com/profile_images/1233969392834285569/DMA5tBjz_normal.jpg")</f>
        <v>http://pbs.twimg.com/profile_images/1233969392834285569/DMA5tBjz_normal.jpg</v>
      </c>
      <c r="G157" s="69"/>
      <c r="H157" s="73" t="s">
        <v>349</v>
      </c>
      <c r="I157" s="74" t="s">
        <v>5210</v>
      </c>
      <c r="J157" s="74" t="s">
        <v>73</v>
      </c>
      <c r="K157" s="73" t="s">
        <v>2450</v>
      </c>
      <c r="L157" s="77">
        <v>1</v>
      </c>
      <c r="M157" s="78">
        <v>415.2279357910156</v>
      </c>
      <c r="N157" s="78">
        <v>6904.3603515625</v>
      </c>
      <c r="O157" s="79"/>
      <c r="P157" s="80"/>
      <c r="Q157" s="80"/>
      <c r="R157" s="93"/>
      <c r="S157" s="49">
        <v>0</v>
      </c>
      <c r="T157" s="49">
        <v>2</v>
      </c>
      <c r="U157" s="50">
        <v>0</v>
      </c>
      <c r="V157" s="50">
        <v>0.001393</v>
      </c>
      <c r="W157" s="50">
        <v>0.000418</v>
      </c>
      <c r="X157" s="50">
        <v>0.461375</v>
      </c>
      <c r="Y157" s="50">
        <v>0.5</v>
      </c>
      <c r="Z157" s="50">
        <v>0</v>
      </c>
      <c r="AA157" s="75">
        <v>157</v>
      </c>
      <c r="AB157" s="75"/>
      <c r="AC157" s="76"/>
      <c r="AD157" s="83" t="s">
        <v>1701</v>
      </c>
      <c r="AE157" s="91" t="s">
        <v>1910</v>
      </c>
      <c r="AF157" s="83">
        <v>1966</v>
      </c>
      <c r="AG157" s="83">
        <v>292</v>
      </c>
      <c r="AH157" s="83">
        <v>1493</v>
      </c>
      <c r="AI157" s="83">
        <v>851</v>
      </c>
      <c r="AJ157" s="83"/>
      <c r="AK157" s="83" t="s">
        <v>2109</v>
      </c>
      <c r="AL157" s="83" t="s">
        <v>2261</v>
      </c>
      <c r="AM157" s="83"/>
      <c r="AN157" s="83"/>
      <c r="AO157" s="85">
        <v>43728.643599537034</v>
      </c>
      <c r="AP157" s="88" t="str">
        <f>HYPERLINK("https://pbs.twimg.com/profile_banners/1175068565986299905/1597118292")</f>
        <v>https://pbs.twimg.com/profile_banners/1175068565986299905/1597118292</v>
      </c>
      <c r="AQ157" s="83" t="b">
        <v>1</v>
      </c>
      <c r="AR157" s="83" t="b">
        <v>0</v>
      </c>
      <c r="AS157" s="83" t="b">
        <v>0</v>
      </c>
      <c r="AT157" s="83"/>
      <c r="AU157" s="83">
        <v>1</v>
      </c>
      <c r="AV157" s="83"/>
      <c r="AW157" s="83" t="b">
        <v>0</v>
      </c>
      <c r="AX157" s="83" t="s">
        <v>2296</v>
      </c>
      <c r="AY157" s="88" t="str">
        <f>HYPERLINK("https://twitter.com/hchoros")</f>
        <v>https://twitter.com/hchoros</v>
      </c>
      <c r="AZ157" s="83" t="s">
        <v>66</v>
      </c>
      <c r="BA157" s="83" t="str">
        <f>REPLACE(INDEX(GroupVertices[Group],MATCH(Vertices[[#This Row],[Vertex]],GroupVertices[Vertex],0)),1,1,"")</f>
        <v>1</v>
      </c>
      <c r="BB157" s="49">
        <v>0</v>
      </c>
      <c r="BC157" s="50">
        <v>0</v>
      </c>
      <c r="BD157" s="49">
        <v>0</v>
      </c>
      <c r="BE157" s="50">
        <v>0</v>
      </c>
      <c r="BF157" s="49">
        <v>0</v>
      </c>
      <c r="BG157" s="50">
        <v>0</v>
      </c>
      <c r="BH157" s="49">
        <v>25</v>
      </c>
      <c r="BI157" s="50">
        <v>100</v>
      </c>
      <c r="BJ157" s="49">
        <v>25</v>
      </c>
      <c r="BK157" s="49" t="s">
        <v>4454</v>
      </c>
      <c r="BL157" s="49" t="s">
        <v>4454</v>
      </c>
      <c r="BM157" s="49" t="s">
        <v>551</v>
      </c>
      <c r="BN157" s="49" t="s">
        <v>551</v>
      </c>
      <c r="BO157" s="49" t="s">
        <v>606</v>
      </c>
      <c r="BP157" s="49" t="s">
        <v>606</v>
      </c>
      <c r="BQ157" s="119" t="s">
        <v>5032</v>
      </c>
      <c r="BR157" s="119" t="s">
        <v>5032</v>
      </c>
      <c r="BS157" s="119" t="s">
        <v>5159</v>
      </c>
      <c r="BT157" s="119" t="s">
        <v>5159</v>
      </c>
      <c r="BU157" s="2"/>
      <c r="BV157" s="3"/>
      <c r="BW157" s="3"/>
      <c r="BX157" s="3"/>
      <c r="BY157" s="3"/>
    </row>
    <row r="158" spans="1:77" ht="15">
      <c r="A158" s="68" t="s">
        <v>436</v>
      </c>
      <c r="B158" s="69"/>
      <c r="C158" s="69" t="s">
        <v>64</v>
      </c>
      <c r="D158" s="70">
        <v>1000</v>
      </c>
      <c r="E158" s="72"/>
      <c r="F158" s="107" t="str">
        <f>HYPERLINK("http://pbs.twimg.com/profile_images/1211253505916166147/ge8jiGt7_normal.jpg")</f>
        <v>http://pbs.twimg.com/profile_images/1211253505916166147/ge8jiGt7_normal.jpg</v>
      </c>
      <c r="G158" s="69"/>
      <c r="H158" s="73" t="s">
        <v>436</v>
      </c>
      <c r="I158" s="74" t="s">
        <v>5210</v>
      </c>
      <c r="J158" s="74" t="s">
        <v>75</v>
      </c>
      <c r="K158" s="73" t="s">
        <v>2451</v>
      </c>
      <c r="L158" s="77">
        <v>4838.741935483871</v>
      </c>
      <c r="M158" s="78">
        <v>1120.9066162109375</v>
      </c>
      <c r="N158" s="78">
        <v>5894.15283203125</v>
      </c>
      <c r="O158" s="79"/>
      <c r="P158" s="80"/>
      <c r="Q158" s="80"/>
      <c r="R158" s="93"/>
      <c r="S158" s="49">
        <v>15</v>
      </c>
      <c r="T158" s="49">
        <v>0</v>
      </c>
      <c r="U158" s="50">
        <v>1838.356739</v>
      </c>
      <c r="V158" s="50">
        <v>0.001859</v>
      </c>
      <c r="W158" s="50">
        <v>0.003078</v>
      </c>
      <c r="X158" s="50">
        <v>2.760368</v>
      </c>
      <c r="Y158" s="50">
        <v>0.06666666666666667</v>
      </c>
      <c r="Z158" s="50">
        <v>0</v>
      </c>
      <c r="AA158" s="75">
        <v>158</v>
      </c>
      <c r="AB158" s="75"/>
      <c r="AC158" s="76"/>
      <c r="AD158" s="83" t="s">
        <v>1702</v>
      </c>
      <c r="AE158" s="91" t="s">
        <v>1911</v>
      </c>
      <c r="AF158" s="83">
        <v>78</v>
      </c>
      <c r="AG158" s="83">
        <v>9333</v>
      </c>
      <c r="AH158" s="83">
        <v>1757</v>
      </c>
      <c r="AI158" s="83">
        <v>7487</v>
      </c>
      <c r="AJ158" s="83"/>
      <c r="AK158" s="83" t="s">
        <v>2110</v>
      </c>
      <c r="AL158" s="83"/>
      <c r="AM158" s="88" t="str">
        <f>HYPERLINK("https://t.co/UNantIDUyn")</f>
        <v>https://t.co/UNantIDUyn</v>
      </c>
      <c r="AN158" s="83"/>
      <c r="AO158" s="85">
        <v>43423.27525462963</v>
      </c>
      <c r="AP158" s="88" t="str">
        <f>HYPERLINK("https://pbs.twimg.com/profile_banners/1064407014472744960/1585860005")</f>
        <v>https://pbs.twimg.com/profile_banners/1064407014472744960/1585860005</v>
      </c>
      <c r="AQ158" s="83" t="b">
        <v>1</v>
      </c>
      <c r="AR158" s="83" t="b">
        <v>0</v>
      </c>
      <c r="AS158" s="83" t="b">
        <v>0</v>
      </c>
      <c r="AT158" s="83"/>
      <c r="AU158" s="83">
        <v>84</v>
      </c>
      <c r="AV158" s="83"/>
      <c r="AW158" s="83" t="b">
        <v>0</v>
      </c>
      <c r="AX158" s="83" t="s">
        <v>2296</v>
      </c>
      <c r="AY158" s="88" t="str">
        <f>HYPERLINK("https://twitter.com/theinsaneapp")</f>
        <v>https://twitter.com/theinsaneapp</v>
      </c>
      <c r="AZ158" s="83" t="s">
        <v>65</v>
      </c>
      <c r="BA158" s="83"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8" t="s">
        <v>418</v>
      </c>
      <c r="B159" s="69"/>
      <c r="C159" s="69" t="s">
        <v>64</v>
      </c>
      <c r="D159" s="70">
        <v>1000</v>
      </c>
      <c r="E159" s="72"/>
      <c r="F159" s="107" t="str">
        <f>HYPERLINK("http://pbs.twimg.com/profile_images/1293347736100708353/QsLqdzOV_normal.jpg")</f>
        <v>http://pbs.twimg.com/profile_images/1293347736100708353/QsLqdzOV_normal.jpg</v>
      </c>
      <c r="G159" s="69"/>
      <c r="H159" s="73" t="s">
        <v>418</v>
      </c>
      <c r="I159" s="74" t="s">
        <v>5210</v>
      </c>
      <c r="J159" s="74" t="s">
        <v>73</v>
      </c>
      <c r="K159" s="73" t="s">
        <v>2452</v>
      </c>
      <c r="L159" s="77">
        <v>4838.741935483871</v>
      </c>
      <c r="M159" s="78">
        <v>1133.9244384765625</v>
      </c>
      <c r="N159" s="78">
        <v>6102.31982421875</v>
      </c>
      <c r="O159" s="79"/>
      <c r="P159" s="80"/>
      <c r="Q159" s="80"/>
      <c r="R159" s="93"/>
      <c r="S159" s="49">
        <v>15</v>
      </c>
      <c r="T159" s="49">
        <v>2</v>
      </c>
      <c r="U159" s="50">
        <v>1838.356739</v>
      </c>
      <c r="V159" s="50">
        <v>0.001859</v>
      </c>
      <c r="W159" s="50">
        <v>0.00328</v>
      </c>
      <c r="X159" s="50">
        <v>2.916789</v>
      </c>
      <c r="Y159" s="50">
        <v>0.06666666666666667</v>
      </c>
      <c r="Z159" s="50">
        <v>0</v>
      </c>
      <c r="AA159" s="75">
        <v>159</v>
      </c>
      <c r="AB159" s="75"/>
      <c r="AC159" s="76"/>
      <c r="AD159" s="83" t="s">
        <v>1703</v>
      </c>
      <c r="AE159" s="91" t="s">
        <v>1912</v>
      </c>
      <c r="AF159" s="83">
        <v>2075</v>
      </c>
      <c r="AG159" s="83">
        <v>20536</v>
      </c>
      <c r="AH159" s="83">
        <v>5066</v>
      </c>
      <c r="AI159" s="83">
        <v>7055</v>
      </c>
      <c r="AJ159" s="83"/>
      <c r="AK159" s="83" t="s">
        <v>2111</v>
      </c>
      <c r="AL159" s="83" t="s">
        <v>2262</v>
      </c>
      <c r="AM159" s="83"/>
      <c r="AN159" s="83"/>
      <c r="AO159" s="85">
        <v>40496.07890046296</v>
      </c>
      <c r="AP159" s="88" t="str">
        <f>HYPERLINK("https://pbs.twimg.com/profile_banners/215478538/1597193103")</f>
        <v>https://pbs.twimg.com/profile_banners/215478538/1597193103</v>
      </c>
      <c r="AQ159" s="83" t="b">
        <v>0</v>
      </c>
      <c r="AR159" s="83" t="b">
        <v>0</v>
      </c>
      <c r="AS159" s="83" t="b">
        <v>0</v>
      </c>
      <c r="AT159" s="83"/>
      <c r="AU159" s="83">
        <v>727</v>
      </c>
      <c r="AV159" s="88" t="str">
        <f>HYPERLINK("http://abs.twimg.com/images/themes/theme1/bg.png")</f>
        <v>http://abs.twimg.com/images/themes/theme1/bg.png</v>
      </c>
      <c r="AW159" s="83" t="b">
        <v>0</v>
      </c>
      <c r="AX159" s="83" t="s">
        <v>2296</v>
      </c>
      <c r="AY159" s="88" t="str">
        <f>HYPERLINK("https://twitter.com/worldofscitech")</f>
        <v>https://twitter.com/worldofscitech</v>
      </c>
      <c r="AZ159" s="83" t="s">
        <v>66</v>
      </c>
      <c r="BA159" s="83" t="str">
        <f>REPLACE(INDEX(GroupVertices[Group],MATCH(Vertices[[#This Row],[Vertex]],GroupVertices[Vertex],0)),1,1,"")</f>
        <v>1</v>
      </c>
      <c r="BB159" s="49">
        <v>0</v>
      </c>
      <c r="BC159" s="50">
        <v>0</v>
      </c>
      <c r="BD159" s="49">
        <v>0</v>
      </c>
      <c r="BE159" s="50">
        <v>0</v>
      </c>
      <c r="BF159" s="49">
        <v>0</v>
      </c>
      <c r="BG159" s="50">
        <v>0</v>
      </c>
      <c r="BH159" s="49">
        <v>50</v>
      </c>
      <c r="BI159" s="50">
        <v>100</v>
      </c>
      <c r="BJ159" s="49">
        <v>50</v>
      </c>
      <c r="BK159" s="49" t="s">
        <v>528</v>
      </c>
      <c r="BL159" s="49" t="s">
        <v>4846</v>
      </c>
      <c r="BM159" s="49" t="s">
        <v>561</v>
      </c>
      <c r="BN159" s="49" t="s">
        <v>4882</v>
      </c>
      <c r="BO159" s="49" t="s">
        <v>4913</v>
      </c>
      <c r="BP159" s="49" t="s">
        <v>4955</v>
      </c>
      <c r="BQ159" s="119" t="s">
        <v>5032</v>
      </c>
      <c r="BR159" s="119" t="s">
        <v>5032</v>
      </c>
      <c r="BS159" s="119" t="s">
        <v>5159</v>
      </c>
      <c r="BT159" s="119" t="s">
        <v>5159</v>
      </c>
      <c r="BU159" s="2"/>
      <c r="BV159" s="3"/>
      <c r="BW159" s="3"/>
      <c r="BX159" s="3"/>
      <c r="BY159" s="3"/>
    </row>
    <row r="160" spans="1:77" ht="15">
      <c r="A160" s="68" t="s">
        <v>350</v>
      </c>
      <c r="B160" s="69"/>
      <c r="C160" s="69" t="s">
        <v>46</v>
      </c>
      <c r="D160" s="70"/>
      <c r="E160" s="72"/>
      <c r="F160" s="107" t="str">
        <f>HYPERLINK("http://pbs.twimg.com/profile_images/1164716874/favicon-triada-azul_normal.png")</f>
        <v>http://pbs.twimg.com/profile_images/1164716874/favicon-triada-azul_normal.png</v>
      </c>
      <c r="G160" s="69"/>
      <c r="H160" s="73" t="s">
        <v>350</v>
      </c>
      <c r="I160" s="74" t="s">
        <v>5210</v>
      </c>
      <c r="J160" s="74" t="s">
        <v>73</v>
      </c>
      <c r="K160" s="73" t="s">
        <v>2453</v>
      </c>
      <c r="L160" s="77">
        <v>1</v>
      </c>
      <c r="M160" s="78">
        <v>1631.013671875</v>
      </c>
      <c r="N160" s="78">
        <v>7329.4853515625</v>
      </c>
      <c r="O160" s="79"/>
      <c r="P160" s="80"/>
      <c r="Q160" s="80"/>
      <c r="R160" s="93"/>
      <c r="S160" s="49">
        <v>0</v>
      </c>
      <c r="T160" s="49">
        <v>2</v>
      </c>
      <c r="U160" s="50">
        <v>0</v>
      </c>
      <c r="V160" s="50">
        <v>0.001393</v>
      </c>
      <c r="W160" s="50">
        <v>0.000418</v>
      </c>
      <c r="X160" s="50">
        <v>0.461375</v>
      </c>
      <c r="Y160" s="50">
        <v>0.5</v>
      </c>
      <c r="Z160" s="50">
        <v>0</v>
      </c>
      <c r="AA160" s="75">
        <v>160</v>
      </c>
      <c r="AB160" s="75"/>
      <c r="AC160" s="76"/>
      <c r="AD160" s="83" t="s">
        <v>1704</v>
      </c>
      <c r="AE160" s="91" t="s">
        <v>1913</v>
      </c>
      <c r="AF160" s="83">
        <v>4729</v>
      </c>
      <c r="AG160" s="83">
        <v>16445</v>
      </c>
      <c r="AH160" s="83">
        <v>624222</v>
      </c>
      <c r="AI160" s="83">
        <v>17</v>
      </c>
      <c r="AJ160" s="83"/>
      <c r="AK160" s="83" t="s">
        <v>2112</v>
      </c>
      <c r="AL160" s="83" t="s">
        <v>2263</v>
      </c>
      <c r="AM160" s="88" t="str">
        <f>HYPERLINK("https://t.co/PAPsdvQ2hW")</f>
        <v>https://t.co/PAPsdvQ2hW</v>
      </c>
      <c r="AN160" s="83"/>
      <c r="AO160" s="85">
        <v>40490.72630787037</v>
      </c>
      <c r="AP160" s="88" t="str">
        <f>HYPERLINK("https://pbs.twimg.com/profile_banners/213339721/1406566262")</f>
        <v>https://pbs.twimg.com/profile_banners/213339721/1406566262</v>
      </c>
      <c r="AQ160" s="83" t="b">
        <v>1</v>
      </c>
      <c r="AR160" s="83" t="b">
        <v>0</v>
      </c>
      <c r="AS160" s="83" t="b">
        <v>0</v>
      </c>
      <c r="AT160" s="83"/>
      <c r="AU160" s="83">
        <v>12558</v>
      </c>
      <c r="AV160" s="88" t="str">
        <f>HYPERLINK("http://abs.twimg.com/images/themes/theme1/bg.png")</f>
        <v>http://abs.twimg.com/images/themes/theme1/bg.png</v>
      </c>
      <c r="AW160" s="83" t="b">
        <v>0</v>
      </c>
      <c r="AX160" s="83" t="s">
        <v>2296</v>
      </c>
      <c r="AY160" s="88" t="str">
        <f>HYPERLINK("https://twitter.com/itknowingness")</f>
        <v>https://twitter.com/itknowingness</v>
      </c>
      <c r="AZ160" s="83" t="s">
        <v>66</v>
      </c>
      <c r="BA160" s="83" t="str">
        <f>REPLACE(INDEX(GroupVertices[Group],MATCH(Vertices[[#This Row],[Vertex]],GroupVertices[Vertex],0)),1,1,"")</f>
        <v>1</v>
      </c>
      <c r="BB160" s="49">
        <v>0</v>
      </c>
      <c r="BC160" s="50">
        <v>0</v>
      </c>
      <c r="BD160" s="49">
        <v>0</v>
      </c>
      <c r="BE160" s="50">
        <v>0</v>
      </c>
      <c r="BF160" s="49">
        <v>0</v>
      </c>
      <c r="BG160" s="50">
        <v>0</v>
      </c>
      <c r="BH160" s="49">
        <v>25</v>
      </c>
      <c r="BI160" s="50">
        <v>100</v>
      </c>
      <c r="BJ160" s="49">
        <v>25</v>
      </c>
      <c r="BK160" s="49" t="s">
        <v>4454</v>
      </c>
      <c r="BL160" s="49" t="s">
        <v>4454</v>
      </c>
      <c r="BM160" s="49" t="s">
        <v>551</v>
      </c>
      <c r="BN160" s="49" t="s">
        <v>551</v>
      </c>
      <c r="BO160" s="49" t="s">
        <v>606</v>
      </c>
      <c r="BP160" s="49" t="s">
        <v>606</v>
      </c>
      <c r="BQ160" s="119" t="s">
        <v>5032</v>
      </c>
      <c r="BR160" s="119" t="s">
        <v>5032</v>
      </c>
      <c r="BS160" s="119" t="s">
        <v>5159</v>
      </c>
      <c r="BT160" s="119" t="s">
        <v>5159</v>
      </c>
      <c r="BU160" s="2"/>
      <c r="BV160" s="3"/>
      <c r="BW160" s="3"/>
      <c r="BX160" s="3"/>
      <c r="BY160" s="3"/>
    </row>
    <row r="161" spans="1:77" ht="15">
      <c r="A161" s="68" t="s">
        <v>351</v>
      </c>
      <c r="B161" s="69"/>
      <c r="C161" s="69" t="s">
        <v>46</v>
      </c>
      <c r="D161" s="70"/>
      <c r="E161" s="72"/>
      <c r="F161" s="107" t="str">
        <f>HYPERLINK("http://pbs.twimg.com/profile_images/1248171232488329216/3gxiyl_Z_normal.jpg")</f>
        <v>http://pbs.twimg.com/profile_images/1248171232488329216/3gxiyl_Z_normal.jpg</v>
      </c>
      <c r="G161" s="69"/>
      <c r="H161" s="73" t="s">
        <v>351</v>
      </c>
      <c r="I161" s="74" t="s">
        <v>5210</v>
      </c>
      <c r="J161" s="74" t="s">
        <v>73</v>
      </c>
      <c r="K161" s="73" t="s">
        <v>2454</v>
      </c>
      <c r="L161" s="77">
        <v>1</v>
      </c>
      <c r="M161" s="78">
        <v>592.7495727539062</v>
      </c>
      <c r="N161" s="78">
        <v>4766.0185546875</v>
      </c>
      <c r="O161" s="79"/>
      <c r="P161" s="80"/>
      <c r="Q161" s="80"/>
      <c r="R161" s="93"/>
      <c r="S161" s="49">
        <v>0</v>
      </c>
      <c r="T161" s="49">
        <v>2</v>
      </c>
      <c r="U161" s="50">
        <v>0</v>
      </c>
      <c r="V161" s="50">
        <v>0.001393</v>
      </c>
      <c r="W161" s="50">
        <v>0.000418</v>
      </c>
      <c r="X161" s="50">
        <v>0.461375</v>
      </c>
      <c r="Y161" s="50">
        <v>0.5</v>
      </c>
      <c r="Z161" s="50">
        <v>0</v>
      </c>
      <c r="AA161" s="75">
        <v>161</v>
      </c>
      <c r="AB161" s="75"/>
      <c r="AC161" s="76"/>
      <c r="AD161" s="83" t="s">
        <v>351</v>
      </c>
      <c r="AE161" s="91" t="s">
        <v>1914</v>
      </c>
      <c r="AF161" s="83">
        <v>1171</v>
      </c>
      <c r="AG161" s="83">
        <v>134</v>
      </c>
      <c r="AH161" s="83">
        <v>6168</v>
      </c>
      <c r="AI161" s="83">
        <v>751</v>
      </c>
      <c r="AJ161" s="83"/>
      <c r="AK161" s="83" t="s">
        <v>2113</v>
      </c>
      <c r="AL161" s="83" t="s">
        <v>2264</v>
      </c>
      <c r="AM161" s="83"/>
      <c r="AN161" s="83"/>
      <c r="AO161" s="85">
        <v>43929.5781712963</v>
      </c>
      <c r="AP161" s="83"/>
      <c r="AQ161" s="83" t="b">
        <v>1</v>
      </c>
      <c r="AR161" s="83" t="b">
        <v>0</v>
      </c>
      <c r="AS161" s="83" t="b">
        <v>0</v>
      </c>
      <c r="AT161" s="83"/>
      <c r="AU161" s="83">
        <v>0</v>
      </c>
      <c r="AV161" s="83"/>
      <c r="AW161" s="83" t="b">
        <v>0</v>
      </c>
      <c r="AX161" s="83" t="s">
        <v>2296</v>
      </c>
      <c r="AY161" s="88" t="str">
        <f>HYPERLINK("https://twitter.com/maviebleue2")</f>
        <v>https://twitter.com/maviebleue2</v>
      </c>
      <c r="AZ161" s="83" t="s">
        <v>66</v>
      </c>
      <c r="BA161" s="83" t="str">
        <f>REPLACE(INDEX(GroupVertices[Group],MATCH(Vertices[[#This Row],[Vertex]],GroupVertices[Vertex],0)),1,1,"")</f>
        <v>1</v>
      </c>
      <c r="BB161" s="49">
        <v>0</v>
      </c>
      <c r="BC161" s="50">
        <v>0</v>
      </c>
      <c r="BD161" s="49">
        <v>0</v>
      </c>
      <c r="BE161" s="50">
        <v>0</v>
      </c>
      <c r="BF161" s="49">
        <v>0</v>
      </c>
      <c r="BG161" s="50">
        <v>0</v>
      </c>
      <c r="BH161" s="49">
        <v>25</v>
      </c>
      <c r="BI161" s="50">
        <v>100</v>
      </c>
      <c r="BJ161" s="49">
        <v>25</v>
      </c>
      <c r="BK161" s="49" t="s">
        <v>4454</v>
      </c>
      <c r="BL161" s="49" t="s">
        <v>4454</v>
      </c>
      <c r="BM161" s="49" t="s">
        <v>551</v>
      </c>
      <c r="BN161" s="49" t="s">
        <v>551</v>
      </c>
      <c r="BO161" s="49" t="s">
        <v>606</v>
      </c>
      <c r="BP161" s="49" t="s">
        <v>606</v>
      </c>
      <c r="BQ161" s="119" t="s">
        <v>5032</v>
      </c>
      <c r="BR161" s="119" t="s">
        <v>5032</v>
      </c>
      <c r="BS161" s="119" t="s">
        <v>5159</v>
      </c>
      <c r="BT161" s="119" t="s">
        <v>5159</v>
      </c>
      <c r="BU161" s="2"/>
      <c r="BV161" s="3"/>
      <c r="BW161" s="3"/>
      <c r="BX161" s="3"/>
      <c r="BY161" s="3"/>
    </row>
    <row r="162" spans="1:77" ht="15">
      <c r="A162" s="68" t="s">
        <v>352</v>
      </c>
      <c r="B162" s="69"/>
      <c r="C162" s="69" t="s">
        <v>46</v>
      </c>
      <c r="D162" s="70"/>
      <c r="E162" s="72"/>
      <c r="F162" s="107" t="str">
        <f>HYPERLINK("http://pbs.twimg.com/profile_images/1231583573917958145/pr3PE9q__normal.jpg")</f>
        <v>http://pbs.twimg.com/profile_images/1231583573917958145/pr3PE9q__normal.jpg</v>
      </c>
      <c r="G162" s="69"/>
      <c r="H162" s="73" t="s">
        <v>352</v>
      </c>
      <c r="I162" s="74" t="s">
        <v>5217</v>
      </c>
      <c r="J162" s="74" t="s">
        <v>73</v>
      </c>
      <c r="K162" s="73" t="s">
        <v>2455</v>
      </c>
      <c r="L162" s="77">
        <v>1</v>
      </c>
      <c r="M162" s="78">
        <v>5054.44482421875</v>
      </c>
      <c r="N162" s="78">
        <v>5695.888671875</v>
      </c>
      <c r="O162" s="79"/>
      <c r="P162" s="80"/>
      <c r="Q162" s="80"/>
      <c r="R162" s="93"/>
      <c r="S162" s="49">
        <v>0</v>
      </c>
      <c r="T162" s="49">
        <v>4</v>
      </c>
      <c r="U162" s="50">
        <v>480.682355</v>
      </c>
      <c r="V162" s="50">
        <v>0.001653</v>
      </c>
      <c r="W162" s="50">
        <v>0.000625</v>
      </c>
      <c r="X162" s="50">
        <v>0.95667</v>
      </c>
      <c r="Y162" s="50">
        <v>0.08333333333333333</v>
      </c>
      <c r="Z162" s="50">
        <v>0</v>
      </c>
      <c r="AA162" s="75">
        <v>162</v>
      </c>
      <c r="AB162" s="75"/>
      <c r="AC162" s="76"/>
      <c r="AD162" s="83" t="s">
        <v>1705</v>
      </c>
      <c r="AE162" s="91" t="s">
        <v>1915</v>
      </c>
      <c r="AF162" s="83">
        <v>1178</v>
      </c>
      <c r="AG162" s="83">
        <v>1474</v>
      </c>
      <c r="AH162" s="83">
        <v>88445</v>
      </c>
      <c r="AI162" s="83">
        <v>18</v>
      </c>
      <c r="AJ162" s="83"/>
      <c r="AK162" s="83" t="s">
        <v>2114</v>
      </c>
      <c r="AL162" s="83" t="s">
        <v>2265</v>
      </c>
      <c r="AM162" s="83"/>
      <c r="AN162" s="83"/>
      <c r="AO162" s="85">
        <v>43082.27494212963</v>
      </c>
      <c r="AP162" s="88" t="str">
        <f>HYPERLINK("https://pbs.twimg.com/profile_banners/940832638490894336/1582467381")</f>
        <v>https://pbs.twimg.com/profile_banners/940832638490894336/1582467381</v>
      </c>
      <c r="AQ162" s="83" t="b">
        <v>1</v>
      </c>
      <c r="AR162" s="83" t="b">
        <v>0</v>
      </c>
      <c r="AS162" s="83" t="b">
        <v>0</v>
      </c>
      <c r="AT162" s="83"/>
      <c r="AU162" s="83">
        <v>26</v>
      </c>
      <c r="AV162" s="83"/>
      <c r="AW162" s="83" t="b">
        <v>0</v>
      </c>
      <c r="AX162" s="83" t="s">
        <v>2296</v>
      </c>
      <c r="AY162" s="88" t="str">
        <f>HYPERLINK("https://twitter.com/blkhwk0ps")</f>
        <v>https://twitter.com/blkhwk0ps</v>
      </c>
      <c r="AZ162" s="83" t="s">
        <v>66</v>
      </c>
      <c r="BA162" s="83" t="str">
        <f>REPLACE(INDEX(GroupVertices[Group],MATCH(Vertices[[#This Row],[Vertex]],GroupVertices[Vertex],0)),1,1,"")</f>
        <v>2</v>
      </c>
      <c r="BB162" s="49">
        <v>0</v>
      </c>
      <c r="BC162" s="50">
        <v>0</v>
      </c>
      <c r="BD162" s="49">
        <v>0</v>
      </c>
      <c r="BE162" s="50">
        <v>0</v>
      </c>
      <c r="BF162" s="49">
        <v>0</v>
      </c>
      <c r="BG162" s="50">
        <v>0</v>
      </c>
      <c r="BH162" s="49">
        <v>80</v>
      </c>
      <c r="BI162" s="50">
        <v>100</v>
      </c>
      <c r="BJ162" s="49">
        <v>80</v>
      </c>
      <c r="BK162" s="49" t="s">
        <v>4823</v>
      </c>
      <c r="BL162" s="49" t="s">
        <v>4823</v>
      </c>
      <c r="BM162" s="49" t="s">
        <v>4860</v>
      </c>
      <c r="BN162" s="49" t="s">
        <v>4860</v>
      </c>
      <c r="BO162" s="49" t="s">
        <v>4914</v>
      </c>
      <c r="BP162" s="49" t="s">
        <v>4956</v>
      </c>
      <c r="BQ162" s="119" t="s">
        <v>5033</v>
      </c>
      <c r="BR162" s="119" t="s">
        <v>5087</v>
      </c>
      <c r="BS162" s="119" t="s">
        <v>5159</v>
      </c>
      <c r="BT162" s="119" t="s">
        <v>5159</v>
      </c>
      <c r="BU162" s="2"/>
      <c r="BV162" s="3"/>
      <c r="BW162" s="3"/>
      <c r="BX162" s="3"/>
      <c r="BY162" s="3"/>
    </row>
    <row r="163" spans="1:77" ht="15">
      <c r="A163" s="68" t="s">
        <v>353</v>
      </c>
      <c r="B163" s="69"/>
      <c r="C163" s="69" t="s">
        <v>46</v>
      </c>
      <c r="D163" s="70"/>
      <c r="E163" s="72"/>
      <c r="F163" s="107" t="str">
        <f>HYPERLINK("http://pbs.twimg.com/profile_images/812556678344351744/SiRnLTqx_normal.jpg")</f>
        <v>http://pbs.twimg.com/profile_images/812556678344351744/SiRnLTqx_normal.jpg</v>
      </c>
      <c r="G163" s="69"/>
      <c r="H163" s="73" t="s">
        <v>353</v>
      </c>
      <c r="I163" s="74" t="s">
        <v>5210</v>
      </c>
      <c r="J163" s="74" t="s">
        <v>73</v>
      </c>
      <c r="K163" s="73" t="s">
        <v>2456</v>
      </c>
      <c r="L163" s="77">
        <v>1</v>
      </c>
      <c r="M163" s="78">
        <v>1115.7169189453125</v>
      </c>
      <c r="N163" s="78">
        <v>3449.858642578125</v>
      </c>
      <c r="O163" s="79"/>
      <c r="P163" s="80"/>
      <c r="Q163" s="80"/>
      <c r="R163" s="93"/>
      <c r="S163" s="49">
        <v>0</v>
      </c>
      <c r="T163" s="49">
        <v>2</v>
      </c>
      <c r="U163" s="50">
        <v>0</v>
      </c>
      <c r="V163" s="50">
        <v>0.001393</v>
      </c>
      <c r="W163" s="50">
        <v>0.000418</v>
      </c>
      <c r="X163" s="50">
        <v>0.461375</v>
      </c>
      <c r="Y163" s="50">
        <v>0.5</v>
      </c>
      <c r="Z163" s="50">
        <v>0</v>
      </c>
      <c r="AA163" s="75">
        <v>163</v>
      </c>
      <c r="AB163" s="75"/>
      <c r="AC163" s="76"/>
      <c r="AD163" s="83" t="s">
        <v>1706</v>
      </c>
      <c r="AE163" s="91" t="s">
        <v>1916</v>
      </c>
      <c r="AF163" s="83">
        <v>90</v>
      </c>
      <c r="AG163" s="83">
        <v>6300</v>
      </c>
      <c r="AH163" s="83">
        <v>207499</v>
      </c>
      <c r="AI163" s="83">
        <v>138</v>
      </c>
      <c r="AJ163" s="83"/>
      <c r="AK163" s="83" t="s">
        <v>2115</v>
      </c>
      <c r="AL163" s="83" t="s">
        <v>2266</v>
      </c>
      <c r="AM163" s="83"/>
      <c r="AN163" s="83"/>
      <c r="AO163" s="85">
        <v>42728.296689814815</v>
      </c>
      <c r="AP163" s="83"/>
      <c r="AQ163" s="83" t="b">
        <v>1</v>
      </c>
      <c r="AR163" s="83" t="b">
        <v>0</v>
      </c>
      <c r="AS163" s="83" t="b">
        <v>0</v>
      </c>
      <c r="AT163" s="83"/>
      <c r="AU163" s="83">
        <v>135</v>
      </c>
      <c r="AV163" s="83"/>
      <c r="AW163" s="83" t="b">
        <v>0</v>
      </c>
      <c r="AX163" s="83" t="s">
        <v>2296</v>
      </c>
      <c r="AY163" s="88" t="str">
        <f>HYPERLINK("https://twitter.com/_reactdev")</f>
        <v>https://twitter.com/_reactdev</v>
      </c>
      <c r="AZ163" s="83" t="s">
        <v>66</v>
      </c>
      <c r="BA163" s="83" t="str">
        <f>REPLACE(INDEX(GroupVertices[Group],MATCH(Vertices[[#This Row],[Vertex]],GroupVertices[Vertex],0)),1,1,"")</f>
        <v>1</v>
      </c>
      <c r="BB163" s="49">
        <v>0</v>
      </c>
      <c r="BC163" s="50">
        <v>0</v>
      </c>
      <c r="BD163" s="49">
        <v>0</v>
      </c>
      <c r="BE163" s="50">
        <v>0</v>
      </c>
      <c r="BF163" s="49">
        <v>0</v>
      </c>
      <c r="BG163" s="50">
        <v>0</v>
      </c>
      <c r="BH163" s="49">
        <v>25</v>
      </c>
      <c r="BI163" s="50">
        <v>100</v>
      </c>
      <c r="BJ163" s="49">
        <v>25</v>
      </c>
      <c r="BK163" s="49" t="s">
        <v>4454</v>
      </c>
      <c r="BL163" s="49" t="s">
        <v>4454</v>
      </c>
      <c r="BM163" s="49" t="s">
        <v>551</v>
      </c>
      <c r="BN163" s="49" t="s">
        <v>551</v>
      </c>
      <c r="BO163" s="49" t="s">
        <v>606</v>
      </c>
      <c r="BP163" s="49" t="s">
        <v>606</v>
      </c>
      <c r="BQ163" s="119" t="s">
        <v>5032</v>
      </c>
      <c r="BR163" s="119" t="s">
        <v>5032</v>
      </c>
      <c r="BS163" s="119" t="s">
        <v>5159</v>
      </c>
      <c r="BT163" s="119" t="s">
        <v>5159</v>
      </c>
      <c r="BU163" s="2"/>
      <c r="BV163" s="3"/>
      <c r="BW163" s="3"/>
      <c r="BX163" s="3"/>
      <c r="BY163" s="3"/>
    </row>
    <row r="164" spans="1:77" ht="15">
      <c r="A164" s="68" t="s">
        <v>354</v>
      </c>
      <c r="B164" s="69"/>
      <c r="C164" s="69" t="s">
        <v>46</v>
      </c>
      <c r="D164" s="70"/>
      <c r="E164" s="72"/>
      <c r="F164" s="107" t="str">
        <f>HYPERLINK("http://pbs.twimg.com/profile_images/1181482969774657537/IfECzjxP_normal.jpg")</f>
        <v>http://pbs.twimg.com/profile_images/1181482969774657537/IfECzjxP_normal.jpg</v>
      </c>
      <c r="G164" s="69"/>
      <c r="H164" s="73" t="s">
        <v>354</v>
      </c>
      <c r="I164" s="74" t="s">
        <v>5210</v>
      </c>
      <c r="J164" s="74" t="s">
        <v>73</v>
      </c>
      <c r="K164" s="73" t="s">
        <v>2457</v>
      </c>
      <c r="L164" s="77">
        <v>1</v>
      </c>
      <c r="M164" s="78">
        <v>306.9066467285156</v>
      </c>
      <c r="N164" s="78">
        <v>6319.9150390625</v>
      </c>
      <c r="O164" s="79"/>
      <c r="P164" s="80"/>
      <c r="Q164" s="80"/>
      <c r="R164" s="93"/>
      <c r="S164" s="49">
        <v>0</v>
      </c>
      <c r="T164" s="49">
        <v>2</v>
      </c>
      <c r="U164" s="50">
        <v>0</v>
      </c>
      <c r="V164" s="50">
        <v>0.001393</v>
      </c>
      <c r="W164" s="50">
        <v>0.000418</v>
      </c>
      <c r="X164" s="50">
        <v>0.461375</v>
      </c>
      <c r="Y164" s="50">
        <v>0.5</v>
      </c>
      <c r="Z164" s="50">
        <v>0</v>
      </c>
      <c r="AA164" s="75">
        <v>164</v>
      </c>
      <c r="AB164" s="75"/>
      <c r="AC164" s="76"/>
      <c r="AD164" s="83" t="s">
        <v>1707</v>
      </c>
      <c r="AE164" s="91" t="s">
        <v>1917</v>
      </c>
      <c r="AF164" s="83">
        <v>286</v>
      </c>
      <c r="AG164" s="83">
        <v>64</v>
      </c>
      <c r="AH164" s="83">
        <v>3174</v>
      </c>
      <c r="AI164" s="83">
        <v>11095</v>
      </c>
      <c r="AJ164" s="83"/>
      <c r="AK164" s="83"/>
      <c r="AL164" s="83" t="s">
        <v>2267</v>
      </c>
      <c r="AM164" s="83"/>
      <c r="AN164" s="83"/>
      <c r="AO164" s="85">
        <v>39933.46878472222</v>
      </c>
      <c r="AP164" s="83"/>
      <c r="AQ164" s="83" t="b">
        <v>1</v>
      </c>
      <c r="AR164" s="83" t="b">
        <v>0</v>
      </c>
      <c r="AS164" s="83" t="b">
        <v>1</v>
      </c>
      <c r="AT164" s="83"/>
      <c r="AU164" s="83">
        <v>0</v>
      </c>
      <c r="AV164" s="88" t="str">
        <f>HYPERLINK("http://abs.twimg.com/images/themes/theme1/bg.png")</f>
        <v>http://abs.twimg.com/images/themes/theme1/bg.png</v>
      </c>
      <c r="AW164" s="83" t="b">
        <v>0</v>
      </c>
      <c r="AX164" s="83" t="s">
        <v>2296</v>
      </c>
      <c r="AY164" s="88" t="str">
        <f>HYPERLINK("https://twitter.com/raymondmorrow")</f>
        <v>https://twitter.com/raymondmorrow</v>
      </c>
      <c r="AZ164" s="83" t="s">
        <v>66</v>
      </c>
      <c r="BA164" s="83" t="str">
        <f>REPLACE(INDEX(GroupVertices[Group],MATCH(Vertices[[#This Row],[Vertex]],GroupVertices[Vertex],0)),1,1,"")</f>
        <v>1</v>
      </c>
      <c r="BB164" s="49">
        <v>0</v>
      </c>
      <c r="BC164" s="50">
        <v>0</v>
      </c>
      <c r="BD164" s="49">
        <v>0</v>
      </c>
      <c r="BE164" s="50">
        <v>0</v>
      </c>
      <c r="BF164" s="49">
        <v>0</v>
      </c>
      <c r="BG164" s="50">
        <v>0</v>
      </c>
      <c r="BH164" s="49">
        <v>25</v>
      </c>
      <c r="BI164" s="50">
        <v>100</v>
      </c>
      <c r="BJ164" s="49">
        <v>25</v>
      </c>
      <c r="BK164" s="49" t="s">
        <v>4454</v>
      </c>
      <c r="BL164" s="49" t="s">
        <v>4454</v>
      </c>
      <c r="BM164" s="49" t="s">
        <v>551</v>
      </c>
      <c r="BN164" s="49" t="s">
        <v>551</v>
      </c>
      <c r="BO164" s="49" t="s">
        <v>606</v>
      </c>
      <c r="BP164" s="49" t="s">
        <v>606</v>
      </c>
      <c r="BQ164" s="119" t="s">
        <v>5032</v>
      </c>
      <c r="BR164" s="119" t="s">
        <v>5032</v>
      </c>
      <c r="BS164" s="119" t="s">
        <v>5159</v>
      </c>
      <c r="BT164" s="119" t="s">
        <v>5159</v>
      </c>
      <c r="BU164" s="2"/>
      <c r="BV164" s="3"/>
      <c r="BW164" s="3"/>
      <c r="BX164" s="3"/>
      <c r="BY164" s="3"/>
    </row>
    <row r="165" spans="1:77" ht="15">
      <c r="A165" s="68" t="s">
        <v>355</v>
      </c>
      <c r="B165" s="69"/>
      <c r="C165" s="69" t="s">
        <v>46</v>
      </c>
      <c r="D165" s="70"/>
      <c r="E165" s="72"/>
      <c r="F165" s="107" t="str">
        <f>HYPERLINK("http://pbs.twimg.com/profile_images/1094952297484947456/BkUDc3d9_normal.jpg")</f>
        <v>http://pbs.twimg.com/profile_images/1094952297484947456/BkUDc3d9_normal.jpg</v>
      </c>
      <c r="G165" s="69"/>
      <c r="H165" s="73" t="s">
        <v>355</v>
      </c>
      <c r="I165" s="74" t="s">
        <v>5210</v>
      </c>
      <c r="J165" s="74" t="s">
        <v>73</v>
      </c>
      <c r="K165" s="73" t="s">
        <v>2458</v>
      </c>
      <c r="L165" s="77">
        <v>1</v>
      </c>
      <c r="M165" s="78">
        <v>2985.4736328125</v>
      </c>
      <c r="N165" s="78">
        <v>7526.14404296875</v>
      </c>
      <c r="O165" s="79"/>
      <c r="P165" s="80"/>
      <c r="Q165" s="80"/>
      <c r="R165" s="93"/>
      <c r="S165" s="49">
        <v>0</v>
      </c>
      <c r="T165" s="49">
        <v>1</v>
      </c>
      <c r="U165" s="50">
        <v>0</v>
      </c>
      <c r="V165" s="50">
        <v>0.001321</v>
      </c>
      <c r="W165" s="50">
        <v>1.6E-05</v>
      </c>
      <c r="X165" s="50">
        <v>0.339481</v>
      </c>
      <c r="Y165" s="50">
        <v>0</v>
      </c>
      <c r="Z165" s="50">
        <v>0</v>
      </c>
      <c r="AA165" s="75">
        <v>165</v>
      </c>
      <c r="AB165" s="75"/>
      <c r="AC165" s="76"/>
      <c r="AD165" s="83" t="s">
        <v>1708</v>
      </c>
      <c r="AE165" s="91" t="s">
        <v>1918</v>
      </c>
      <c r="AF165" s="83">
        <v>4719</v>
      </c>
      <c r="AG165" s="83">
        <v>1499</v>
      </c>
      <c r="AH165" s="83">
        <v>116149</v>
      </c>
      <c r="AI165" s="83">
        <v>0</v>
      </c>
      <c r="AJ165" s="83"/>
      <c r="AK165" s="83" t="s">
        <v>2116</v>
      </c>
      <c r="AL165" s="83" t="s">
        <v>2268</v>
      </c>
      <c r="AM165" s="88" t="str">
        <f>HYPERLINK("https://t.co/eh2TlG16dG")</f>
        <v>https://t.co/eh2TlG16dG</v>
      </c>
      <c r="AN165" s="83"/>
      <c r="AO165" s="85">
        <v>43501.49799768518</v>
      </c>
      <c r="AP165" s="88" t="str">
        <f>HYPERLINK("https://pbs.twimg.com/profile_banners/1092753985679835136/1549443209")</f>
        <v>https://pbs.twimg.com/profile_banners/1092753985679835136/1549443209</v>
      </c>
      <c r="AQ165" s="83" t="b">
        <v>0</v>
      </c>
      <c r="AR165" s="83" t="b">
        <v>0</v>
      </c>
      <c r="AS165" s="83" t="b">
        <v>0</v>
      </c>
      <c r="AT165" s="83"/>
      <c r="AU165" s="83">
        <v>36</v>
      </c>
      <c r="AV165" s="88" t="str">
        <f>HYPERLINK("http://abs.twimg.com/images/themes/theme1/bg.png")</f>
        <v>http://abs.twimg.com/images/themes/theme1/bg.png</v>
      </c>
      <c r="AW165" s="83" t="b">
        <v>0</v>
      </c>
      <c r="AX165" s="83" t="s">
        <v>2296</v>
      </c>
      <c r="AY165" s="88" t="str">
        <f>HYPERLINK("https://twitter.com/2bftawfik")</f>
        <v>https://twitter.com/2bftawfik</v>
      </c>
      <c r="AZ165" s="83" t="s">
        <v>66</v>
      </c>
      <c r="BA165" s="83" t="str">
        <f>REPLACE(INDEX(GroupVertices[Group],MATCH(Vertices[[#This Row],[Vertex]],GroupVertices[Vertex],0)),1,1,"")</f>
        <v>1</v>
      </c>
      <c r="BB165" s="49">
        <v>0</v>
      </c>
      <c r="BC165" s="50">
        <v>0</v>
      </c>
      <c r="BD165" s="49">
        <v>0</v>
      </c>
      <c r="BE165" s="50">
        <v>0</v>
      </c>
      <c r="BF165" s="49">
        <v>0</v>
      </c>
      <c r="BG165" s="50">
        <v>0</v>
      </c>
      <c r="BH165" s="49">
        <v>40</v>
      </c>
      <c r="BI165" s="50">
        <v>100</v>
      </c>
      <c r="BJ165" s="49">
        <v>40</v>
      </c>
      <c r="BK165" s="49" t="s">
        <v>527</v>
      </c>
      <c r="BL165" s="49" t="s">
        <v>527</v>
      </c>
      <c r="BM165" s="49" t="s">
        <v>4528</v>
      </c>
      <c r="BN165" s="49" t="s">
        <v>4528</v>
      </c>
      <c r="BO165" s="49" t="s">
        <v>607</v>
      </c>
      <c r="BP165" s="49" t="s">
        <v>607</v>
      </c>
      <c r="BQ165" s="119" t="s">
        <v>5034</v>
      </c>
      <c r="BR165" s="119" t="s">
        <v>5034</v>
      </c>
      <c r="BS165" s="119" t="s">
        <v>5160</v>
      </c>
      <c r="BT165" s="119" t="s">
        <v>5160</v>
      </c>
      <c r="BU165" s="2"/>
      <c r="BV165" s="3"/>
      <c r="BW165" s="3"/>
      <c r="BX165" s="3"/>
      <c r="BY165" s="3"/>
    </row>
    <row r="166" spans="1:77" ht="15">
      <c r="A166" s="68" t="s">
        <v>414</v>
      </c>
      <c r="B166" s="69"/>
      <c r="C166" s="69" t="s">
        <v>64</v>
      </c>
      <c r="D166" s="70">
        <v>813.2540647427816</v>
      </c>
      <c r="E166" s="72"/>
      <c r="F166" s="107" t="str">
        <f>HYPERLINK("http://pbs.twimg.com/profile_images/1247581611006119941/UCY9zDD7_normal.jpg")</f>
        <v>http://pbs.twimg.com/profile_images/1247581611006119941/UCY9zDD7_normal.jpg</v>
      </c>
      <c r="G166" s="69"/>
      <c r="H166" s="73" t="s">
        <v>414</v>
      </c>
      <c r="I166" s="74" t="s">
        <v>5210</v>
      </c>
      <c r="J166" s="74" t="s">
        <v>73</v>
      </c>
      <c r="K166" s="73" t="s">
        <v>2459</v>
      </c>
      <c r="L166" s="77">
        <v>2903.6451612903224</v>
      </c>
      <c r="M166" s="78">
        <v>2236.86181640625</v>
      </c>
      <c r="N166" s="78">
        <v>5552.154296875</v>
      </c>
      <c r="O166" s="79"/>
      <c r="P166" s="80"/>
      <c r="Q166" s="80"/>
      <c r="R166" s="93"/>
      <c r="S166" s="49">
        <v>9</v>
      </c>
      <c r="T166" s="49">
        <v>1</v>
      </c>
      <c r="U166" s="50">
        <v>1156.191085</v>
      </c>
      <c r="V166" s="50">
        <v>0.001736</v>
      </c>
      <c r="W166" s="50">
        <v>0.000245</v>
      </c>
      <c r="X166" s="50">
        <v>2.006275</v>
      </c>
      <c r="Y166" s="50">
        <v>0.05357142857142857</v>
      </c>
      <c r="Z166" s="50">
        <v>0</v>
      </c>
      <c r="AA166" s="75">
        <v>166</v>
      </c>
      <c r="AB166" s="75"/>
      <c r="AC166" s="76"/>
      <c r="AD166" s="83" t="s">
        <v>1709</v>
      </c>
      <c r="AE166" s="91" t="s">
        <v>1919</v>
      </c>
      <c r="AF166" s="83">
        <v>697</v>
      </c>
      <c r="AG166" s="83">
        <v>249</v>
      </c>
      <c r="AH166" s="83">
        <v>2631</v>
      </c>
      <c r="AI166" s="83">
        <v>2579</v>
      </c>
      <c r="AJ166" s="83"/>
      <c r="AK166" s="83" t="s">
        <v>2117</v>
      </c>
      <c r="AL166" s="83" t="s">
        <v>2269</v>
      </c>
      <c r="AM166" s="88" t="str">
        <f>HYPERLINK("https://t.co/E5aDFO72kd")</f>
        <v>https://t.co/E5aDFO72kd</v>
      </c>
      <c r="AN166" s="83"/>
      <c r="AO166" s="85">
        <v>40377.518530092595</v>
      </c>
      <c r="AP166" s="88" t="str">
        <f>HYPERLINK("https://pbs.twimg.com/profile_banners/168113422/1592129508")</f>
        <v>https://pbs.twimg.com/profile_banners/168113422/1592129508</v>
      </c>
      <c r="AQ166" s="83" t="b">
        <v>1</v>
      </c>
      <c r="AR166" s="83" t="b">
        <v>0</v>
      </c>
      <c r="AS166" s="83" t="b">
        <v>0</v>
      </c>
      <c r="AT166" s="83"/>
      <c r="AU166" s="83">
        <v>1</v>
      </c>
      <c r="AV166" s="88" t="str">
        <f>HYPERLINK("http://abs.twimg.com/images/themes/theme1/bg.png")</f>
        <v>http://abs.twimg.com/images/themes/theme1/bg.png</v>
      </c>
      <c r="AW166" s="83" t="b">
        <v>0</v>
      </c>
      <c r="AX166" s="83" t="s">
        <v>2296</v>
      </c>
      <c r="AY166" s="88" t="str">
        <f>HYPERLINK("https://twitter.com/sanjo_jose")</f>
        <v>https://twitter.com/sanjo_jose</v>
      </c>
      <c r="AZ166" s="83" t="s">
        <v>66</v>
      </c>
      <c r="BA166" s="83" t="str">
        <f>REPLACE(INDEX(GroupVertices[Group],MATCH(Vertices[[#This Row],[Vertex]],GroupVertices[Vertex],0)),1,1,"")</f>
        <v>1</v>
      </c>
      <c r="BB166" s="49">
        <v>0</v>
      </c>
      <c r="BC166" s="50">
        <v>0</v>
      </c>
      <c r="BD166" s="49">
        <v>0</v>
      </c>
      <c r="BE166" s="50">
        <v>0</v>
      </c>
      <c r="BF166" s="49">
        <v>0</v>
      </c>
      <c r="BG166" s="50">
        <v>0</v>
      </c>
      <c r="BH166" s="49">
        <v>40</v>
      </c>
      <c r="BI166" s="50">
        <v>100</v>
      </c>
      <c r="BJ166" s="49">
        <v>40</v>
      </c>
      <c r="BK166" s="49" t="s">
        <v>527</v>
      </c>
      <c r="BL166" s="49" t="s">
        <v>527</v>
      </c>
      <c r="BM166" s="49" t="s">
        <v>4528</v>
      </c>
      <c r="BN166" s="49" t="s">
        <v>4528</v>
      </c>
      <c r="BO166" s="49" t="s">
        <v>607</v>
      </c>
      <c r="BP166" s="49" t="s">
        <v>607</v>
      </c>
      <c r="BQ166" s="119" t="s">
        <v>5034</v>
      </c>
      <c r="BR166" s="119" t="s">
        <v>5034</v>
      </c>
      <c r="BS166" s="119" t="s">
        <v>5160</v>
      </c>
      <c r="BT166" s="119" t="s">
        <v>5160</v>
      </c>
      <c r="BU166" s="2"/>
      <c r="BV166" s="3"/>
      <c r="BW166" s="3"/>
      <c r="BX166" s="3"/>
      <c r="BY166" s="3"/>
    </row>
    <row r="167" spans="1:77" ht="15">
      <c r="A167" s="68" t="s">
        <v>356</v>
      </c>
      <c r="B167" s="69"/>
      <c r="C167" s="69" t="s">
        <v>46</v>
      </c>
      <c r="D167" s="70"/>
      <c r="E167" s="72"/>
      <c r="F167" s="107" t="str">
        <f>HYPERLINK("http://pbs.twimg.com/profile_images/987786740911038464/TFBbbcMV_normal.jpg")</f>
        <v>http://pbs.twimg.com/profile_images/987786740911038464/TFBbbcMV_normal.jpg</v>
      </c>
      <c r="G167" s="69"/>
      <c r="H167" s="73" t="s">
        <v>356</v>
      </c>
      <c r="I167" s="74" t="s">
        <v>5212</v>
      </c>
      <c r="J167" s="74" t="s">
        <v>73</v>
      </c>
      <c r="K167" s="73" t="s">
        <v>2460</v>
      </c>
      <c r="L167" s="77">
        <v>1</v>
      </c>
      <c r="M167" s="78">
        <v>7020.5712890625</v>
      </c>
      <c r="N167" s="78">
        <v>4371.76123046875</v>
      </c>
      <c r="O167" s="79"/>
      <c r="P167" s="80"/>
      <c r="Q167" s="80"/>
      <c r="R167" s="93"/>
      <c r="S167" s="49">
        <v>0</v>
      </c>
      <c r="T167" s="49">
        <v>1</v>
      </c>
      <c r="U167" s="50">
        <v>0</v>
      </c>
      <c r="V167" s="50">
        <v>0.00101</v>
      </c>
      <c r="W167" s="50">
        <v>0</v>
      </c>
      <c r="X167" s="50">
        <v>0.427023</v>
      </c>
      <c r="Y167" s="50">
        <v>0</v>
      </c>
      <c r="Z167" s="50">
        <v>0</v>
      </c>
      <c r="AA167" s="75">
        <v>167</v>
      </c>
      <c r="AB167" s="75"/>
      <c r="AC167" s="76"/>
      <c r="AD167" s="83" t="s">
        <v>1710</v>
      </c>
      <c r="AE167" s="91" t="s">
        <v>1920</v>
      </c>
      <c r="AF167" s="83">
        <v>1</v>
      </c>
      <c r="AG167" s="83">
        <v>1577</v>
      </c>
      <c r="AH167" s="83">
        <v>93014</v>
      </c>
      <c r="AI167" s="83">
        <v>0</v>
      </c>
      <c r="AJ167" s="83"/>
      <c r="AK167" s="83" t="s">
        <v>2118</v>
      </c>
      <c r="AL167" s="83"/>
      <c r="AM167" s="88" t="str">
        <f>HYPERLINK("https://t.co/uCnH2625Kg")</f>
        <v>https://t.co/uCnH2625Kg</v>
      </c>
      <c r="AN167" s="83"/>
      <c r="AO167" s="85">
        <v>43211.82541666667</v>
      </c>
      <c r="AP167" s="88" t="str">
        <f>HYPERLINK("https://pbs.twimg.com/profile_banners/987780156843585536/1524342460")</f>
        <v>https://pbs.twimg.com/profile_banners/987780156843585536/1524342460</v>
      </c>
      <c r="AQ167" s="83" t="b">
        <v>1</v>
      </c>
      <c r="AR167" s="83" t="b">
        <v>0</v>
      </c>
      <c r="AS167" s="83" t="b">
        <v>0</v>
      </c>
      <c r="AT167" s="83"/>
      <c r="AU167" s="83">
        <v>70</v>
      </c>
      <c r="AV167" s="83"/>
      <c r="AW167" s="83" t="b">
        <v>0</v>
      </c>
      <c r="AX167" s="83" t="s">
        <v>2296</v>
      </c>
      <c r="AY167" s="88" t="str">
        <f>HYPERLINK("https://twitter.com/brainroaring")</f>
        <v>https://twitter.com/brainroaring</v>
      </c>
      <c r="AZ167" s="83" t="s">
        <v>66</v>
      </c>
      <c r="BA167" s="83" t="str">
        <f>REPLACE(INDEX(GroupVertices[Group],MATCH(Vertices[[#This Row],[Vertex]],GroupVertices[Vertex],0)),1,1,"")</f>
        <v>9</v>
      </c>
      <c r="BB167" s="49">
        <v>0</v>
      </c>
      <c r="BC167" s="50">
        <v>0</v>
      </c>
      <c r="BD167" s="49">
        <v>0</v>
      </c>
      <c r="BE167" s="50">
        <v>0</v>
      </c>
      <c r="BF167" s="49">
        <v>0</v>
      </c>
      <c r="BG167" s="50">
        <v>0</v>
      </c>
      <c r="BH167" s="49">
        <v>19</v>
      </c>
      <c r="BI167" s="50">
        <v>100</v>
      </c>
      <c r="BJ167" s="49">
        <v>19</v>
      </c>
      <c r="BK167" s="49" t="s">
        <v>4493</v>
      </c>
      <c r="BL167" s="49" t="s">
        <v>4493</v>
      </c>
      <c r="BM167" s="49" t="s">
        <v>550</v>
      </c>
      <c r="BN167" s="49" t="s">
        <v>550</v>
      </c>
      <c r="BO167" s="49" t="s">
        <v>608</v>
      </c>
      <c r="BP167" s="49" t="s">
        <v>608</v>
      </c>
      <c r="BQ167" s="119" t="s">
        <v>5035</v>
      </c>
      <c r="BR167" s="119" t="s">
        <v>5035</v>
      </c>
      <c r="BS167" s="119" t="s">
        <v>5155</v>
      </c>
      <c r="BT167" s="119" t="s">
        <v>5155</v>
      </c>
      <c r="BU167" s="2"/>
      <c r="BV167" s="3"/>
      <c r="BW167" s="3"/>
      <c r="BX167" s="3"/>
      <c r="BY167" s="3"/>
    </row>
    <row r="168" spans="1:77" ht="15">
      <c r="A168" s="68" t="s">
        <v>357</v>
      </c>
      <c r="B168" s="69"/>
      <c r="C168" s="69" t="s">
        <v>64</v>
      </c>
      <c r="D168" s="70">
        <v>411.6270323713908</v>
      </c>
      <c r="E168" s="72"/>
      <c r="F168" s="107" t="str">
        <f>HYPERLINK("http://pbs.twimg.com/profile_images/1071464844547760128/xMYEz39W_normal.jpg")</f>
        <v>http://pbs.twimg.com/profile_images/1071464844547760128/xMYEz39W_normal.jpg</v>
      </c>
      <c r="G168" s="69"/>
      <c r="H168" s="73" t="s">
        <v>357</v>
      </c>
      <c r="I168" s="74" t="s">
        <v>5212</v>
      </c>
      <c r="J168" s="74" t="s">
        <v>73</v>
      </c>
      <c r="K168" s="73" t="s">
        <v>2461</v>
      </c>
      <c r="L168" s="77">
        <v>968.5483870967741</v>
      </c>
      <c r="M168" s="78">
        <v>7469.75341796875</v>
      </c>
      <c r="N168" s="78">
        <v>4698.6884765625</v>
      </c>
      <c r="O168" s="79"/>
      <c r="P168" s="80"/>
      <c r="Q168" s="80"/>
      <c r="R168" s="93"/>
      <c r="S168" s="49">
        <v>3</v>
      </c>
      <c r="T168" s="49">
        <v>1</v>
      </c>
      <c r="U168" s="50">
        <v>362</v>
      </c>
      <c r="V168" s="50">
        <v>0.001236</v>
      </c>
      <c r="W168" s="50">
        <v>4E-06</v>
      </c>
      <c r="X168" s="50">
        <v>0.977729</v>
      </c>
      <c r="Y168" s="50">
        <v>0</v>
      </c>
      <c r="Z168" s="50">
        <v>0</v>
      </c>
      <c r="AA168" s="75">
        <v>168</v>
      </c>
      <c r="AB168" s="75"/>
      <c r="AC168" s="76"/>
      <c r="AD168" s="83" t="s">
        <v>1700</v>
      </c>
      <c r="AE168" s="91" t="s">
        <v>1921</v>
      </c>
      <c r="AF168" s="83">
        <v>7678</v>
      </c>
      <c r="AG168" s="83">
        <v>9361</v>
      </c>
      <c r="AH168" s="83">
        <v>64356</v>
      </c>
      <c r="AI168" s="83">
        <v>4518</v>
      </c>
      <c r="AJ168" s="83"/>
      <c r="AK168" s="83" t="s">
        <v>2119</v>
      </c>
      <c r="AL168" s="83" t="s">
        <v>2270</v>
      </c>
      <c r="AM168" s="88" t="str">
        <f>HYPERLINK("https://t.co/Fz05cosWBh")</f>
        <v>https://t.co/Fz05cosWBh</v>
      </c>
      <c r="AN168" s="83"/>
      <c r="AO168" s="85">
        <v>39875.628842592596</v>
      </c>
      <c r="AP168" s="88" t="str">
        <f>HYPERLINK("https://pbs.twimg.com/profile_banners/22631958/1355679181")</f>
        <v>https://pbs.twimg.com/profile_banners/22631958/1355679181</v>
      </c>
      <c r="AQ168" s="83" t="b">
        <v>0</v>
      </c>
      <c r="AR168" s="83" t="b">
        <v>0</v>
      </c>
      <c r="AS168" s="83" t="b">
        <v>1</v>
      </c>
      <c r="AT168" s="83"/>
      <c r="AU168" s="83">
        <v>602</v>
      </c>
      <c r="AV168" s="88" t="str">
        <f>HYPERLINK("http://abs.twimg.com/images/themes/theme6/bg.gif")</f>
        <v>http://abs.twimg.com/images/themes/theme6/bg.gif</v>
      </c>
      <c r="AW168" s="83" t="b">
        <v>0</v>
      </c>
      <c r="AX168" s="83" t="s">
        <v>2296</v>
      </c>
      <c r="AY168" s="88" t="str">
        <f>HYPERLINK("https://twitter.com/cichuck")</f>
        <v>https://twitter.com/cichuck</v>
      </c>
      <c r="AZ168" s="83" t="s">
        <v>66</v>
      </c>
      <c r="BA168" s="83" t="str">
        <f>REPLACE(INDEX(GroupVertices[Group],MATCH(Vertices[[#This Row],[Vertex]],GroupVertices[Vertex],0)),1,1,"")</f>
        <v>9</v>
      </c>
      <c r="BB168" s="49">
        <v>0</v>
      </c>
      <c r="BC168" s="50">
        <v>0</v>
      </c>
      <c r="BD168" s="49">
        <v>0</v>
      </c>
      <c r="BE168" s="50">
        <v>0</v>
      </c>
      <c r="BF168" s="49">
        <v>0</v>
      </c>
      <c r="BG168" s="50">
        <v>0</v>
      </c>
      <c r="BH168" s="49">
        <v>19</v>
      </c>
      <c r="BI168" s="50">
        <v>100</v>
      </c>
      <c r="BJ168" s="49">
        <v>19</v>
      </c>
      <c r="BK168" s="49" t="s">
        <v>4493</v>
      </c>
      <c r="BL168" s="49" t="s">
        <v>4493</v>
      </c>
      <c r="BM168" s="49" t="s">
        <v>550</v>
      </c>
      <c r="BN168" s="49" t="s">
        <v>550</v>
      </c>
      <c r="BO168" s="49" t="s">
        <v>608</v>
      </c>
      <c r="BP168" s="49" t="s">
        <v>608</v>
      </c>
      <c r="BQ168" s="119" t="s">
        <v>5035</v>
      </c>
      <c r="BR168" s="119" t="s">
        <v>5035</v>
      </c>
      <c r="BS168" s="119" t="s">
        <v>5155</v>
      </c>
      <c r="BT168" s="119" t="s">
        <v>5155</v>
      </c>
      <c r="BU168" s="2"/>
      <c r="BV168" s="3"/>
      <c r="BW168" s="3"/>
      <c r="BX168" s="3"/>
      <c r="BY168" s="3"/>
    </row>
    <row r="169" spans="1:77" ht="15">
      <c r="A169" s="68" t="s">
        <v>359</v>
      </c>
      <c r="B169" s="69"/>
      <c r="C169" s="69" t="s">
        <v>46</v>
      </c>
      <c r="D169" s="70"/>
      <c r="E169" s="72"/>
      <c r="F169" s="107" t="str">
        <f>HYPERLINK("http://pbs.twimg.com/profile_images/1269203214211129350/E9Bu6gq-_normal.jpg")</f>
        <v>http://pbs.twimg.com/profile_images/1269203214211129350/E9Bu6gq-_normal.jpg</v>
      </c>
      <c r="G169" s="69"/>
      <c r="H169" s="73" t="s">
        <v>359</v>
      </c>
      <c r="I169" s="74" t="s">
        <v>5210</v>
      </c>
      <c r="J169" s="74" t="s">
        <v>73</v>
      </c>
      <c r="K169" s="73" t="s">
        <v>2462</v>
      </c>
      <c r="L169" s="77">
        <v>1</v>
      </c>
      <c r="M169" s="78">
        <v>3058.204345703125</v>
      </c>
      <c r="N169" s="78">
        <v>3599.648193359375</v>
      </c>
      <c r="O169" s="79"/>
      <c r="P169" s="80"/>
      <c r="Q169" s="80"/>
      <c r="R169" s="93"/>
      <c r="S169" s="49">
        <v>0</v>
      </c>
      <c r="T169" s="49">
        <v>1</v>
      </c>
      <c r="U169" s="50">
        <v>0</v>
      </c>
      <c r="V169" s="50">
        <v>0.001321</v>
      </c>
      <c r="W169" s="50">
        <v>1.6E-05</v>
      </c>
      <c r="X169" s="50">
        <v>0.339481</v>
      </c>
      <c r="Y169" s="50">
        <v>0</v>
      </c>
      <c r="Z169" s="50">
        <v>0</v>
      </c>
      <c r="AA169" s="75">
        <v>169</v>
      </c>
      <c r="AB169" s="75"/>
      <c r="AC169" s="76"/>
      <c r="AD169" s="83" t="s">
        <v>1711</v>
      </c>
      <c r="AE169" s="91" t="s">
        <v>1922</v>
      </c>
      <c r="AF169" s="83">
        <v>328</v>
      </c>
      <c r="AG169" s="83">
        <v>2282</v>
      </c>
      <c r="AH169" s="83">
        <v>942</v>
      </c>
      <c r="AI169" s="83">
        <v>1107</v>
      </c>
      <c r="AJ169" s="83"/>
      <c r="AK169" s="83" t="s">
        <v>2120</v>
      </c>
      <c r="AL169" s="83" t="s">
        <v>2183</v>
      </c>
      <c r="AM169" s="83"/>
      <c r="AN169" s="83"/>
      <c r="AO169" s="85">
        <v>43844.28481481481</v>
      </c>
      <c r="AP169" s="83"/>
      <c r="AQ169" s="83" t="b">
        <v>1</v>
      </c>
      <c r="AR169" s="83" t="b">
        <v>0</v>
      </c>
      <c r="AS169" s="83" t="b">
        <v>0</v>
      </c>
      <c r="AT169" s="83"/>
      <c r="AU169" s="83">
        <v>0</v>
      </c>
      <c r="AV169" s="83"/>
      <c r="AW169" s="83" t="b">
        <v>0</v>
      </c>
      <c r="AX169" s="83" t="s">
        <v>2296</v>
      </c>
      <c r="AY169" s="88" t="str">
        <f>HYPERLINK("https://twitter.com/sriniwolfie")</f>
        <v>https://twitter.com/sriniwolfie</v>
      </c>
      <c r="AZ169" s="83" t="s">
        <v>66</v>
      </c>
      <c r="BA169" s="83" t="str">
        <f>REPLACE(INDEX(GroupVertices[Group],MATCH(Vertices[[#This Row],[Vertex]],GroupVertices[Vertex],0)),1,1,"")</f>
        <v>1</v>
      </c>
      <c r="BB169" s="49">
        <v>0</v>
      </c>
      <c r="BC169" s="50">
        <v>0</v>
      </c>
      <c r="BD169" s="49">
        <v>0</v>
      </c>
      <c r="BE169" s="50">
        <v>0</v>
      </c>
      <c r="BF169" s="49">
        <v>0</v>
      </c>
      <c r="BG169" s="50">
        <v>0</v>
      </c>
      <c r="BH169" s="49">
        <v>40</v>
      </c>
      <c r="BI169" s="50">
        <v>100</v>
      </c>
      <c r="BJ169" s="49">
        <v>40</v>
      </c>
      <c r="BK169" s="49" t="s">
        <v>527</v>
      </c>
      <c r="BL169" s="49" t="s">
        <v>527</v>
      </c>
      <c r="BM169" s="49" t="s">
        <v>4528</v>
      </c>
      <c r="BN169" s="49" t="s">
        <v>4528</v>
      </c>
      <c r="BO169" s="49" t="s">
        <v>607</v>
      </c>
      <c r="BP169" s="49" t="s">
        <v>607</v>
      </c>
      <c r="BQ169" s="119" t="s">
        <v>5034</v>
      </c>
      <c r="BR169" s="119" t="s">
        <v>5034</v>
      </c>
      <c r="BS169" s="119" t="s">
        <v>5160</v>
      </c>
      <c r="BT169" s="119" t="s">
        <v>5160</v>
      </c>
      <c r="BU169" s="2"/>
      <c r="BV169" s="3"/>
      <c r="BW169" s="3"/>
      <c r="BX169" s="3"/>
      <c r="BY169" s="3"/>
    </row>
    <row r="170" spans="1:77" ht="15">
      <c r="A170" s="68" t="s">
        <v>360</v>
      </c>
      <c r="B170" s="69"/>
      <c r="C170" s="69" t="s">
        <v>46</v>
      </c>
      <c r="D170" s="70"/>
      <c r="E170" s="72"/>
      <c r="F170" s="107" t="str">
        <f>HYPERLINK("http://pbs.twimg.com/profile_images/1287310931106521088/1ygJdSq2_normal.jpg")</f>
        <v>http://pbs.twimg.com/profile_images/1287310931106521088/1ygJdSq2_normal.jpg</v>
      </c>
      <c r="G170" s="69"/>
      <c r="H170" s="73" t="s">
        <v>360</v>
      </c>
      <c r="I170" s="74" t="s">
        <v>5210</v>
      </c>
      <c r="J170" s="74" t="s">
        <v>73</v>
      </c>
      <c r="K170" s="73" t="s">
        <v>2463</v>
      </c>
      <c r="L170" s="77">
        <v>1</v>
      </c>
      <c r="M170" s="78">
        <v>1551.22509765625</v>
      </c>
      <c r="N170" s="78">
        <v>5555.1982421875</v>
      </c>
      <c r="O170" s="79"/>
      <c r="P170" s="80"/>
      <c r="Q170" s="80"/>
      <c r="R170" s="93"/>
      <c r="S170" s="49">
        <v>0</v>
      </c>
      <c r="T170" s="49">
        <v>8</v>
      </c>
      <c r="U170" s="50">
        <v>816.492232</v>
      </c>
      <c r="V170" s="50">
        <v>0.001887</v>
      </c>
      <c r="W170" s="50">
        <v>0.000793</v>
      </c>
      <c r="X170" s="50">
        <v>1.554769</v>
      </c>
      <c r="Y170" s="50">
        <v>0.07142857142857142</v>
      </c>
      <c r="Z170" s="50">
        <v>0</v>
      </c>
      <c r="AA170" s="75">
        <v>170</v>
      </c>
      <c r="AB170" s="75"/>
      <c r="AC170" s="76"/>
      <c r="AD170" s="83" t="s">
        <v>1712</v>
      </c>
      <c r="AE170" s="91" t="s">
        <v>1923</v>
      </c>
      <c r="AF170" s="83">
        <v>5</v>
      </c>
      <c r="AG170" s="83">
        <v>328</v>
      </c>
      <c r="AH170" s="83">
        <v>108728</v>
      </c>
      <c r="AI170" s="83">
        <v>17336</v>
      </c>
      <c r="AJ170" s="83"/>
      <c r="AK170" s="83" t="s">
        <v>2121</v>
      </c>
      <c r="AL170" s="83" t="s">
        <v>2271</v>
      </c>
      <c r="AM170" s="83"/>
      <c r="AN170" s="83"/>
      <c r="AO170" s="85">
        <v>44038.36115740741</v>
      </c>
      <c r="AP170" s="88" t="str">
        <f>HYPERLINK("https://pbs.twimg.com/profile_banners/1287306574998904832/1595768084")</f>
        <v>https://pbs.twimg.com/profile_banners/1287306574998904832/1595768084</v>
      </c>
      <c r="AQ170" s="83" t="b">
        <v>1</v>
      </c>
      <c r="AR170" s="83" t="b">
        <v>0</v>
      </c>
      <c r="AS170" s="83" t="b">
        <v>0</v>
      </c>
      <c r="AT170" s="83"/>
      <c r="AU170" s="83">
        <v>12</v>
      </c>
      <c r="AV170" s="83"/>
      <c r="AW170" s="83" t="b">
        <v>0</v>
      </c>
      <c r="AX170" s="83" t="s">
        <v>2296</v>
      </c>
      <c r="AY170" s="88" t="str">
        <f>HYPERLINK("https://twitter.com/codebloodedbot")</f>
        <v>https://twitter.com/codebloodedbot</v>
      </c>
      <c r="AZ170" s="83" t="s">
        <v>66</v>
      </c>
      <c r="BA170" s="83" t="str">
        <f>REPLACE(INDEX(GroupVertices[Group],MATCH(Vertices[[#This Row],[Vertex]],GroupVertices[Vertex],0)),1,1,"")</f>
        <v>1</v>
      </c>
      <c r="BB170" s="49">
        <v>0</v>
      </c>
      <c r="BC170" s="50">
        <v>0</v>
      </c>
      <c r="BD170" s="49">
        <v>0</v>
      </c>
      <c r="BE170" s="50">
        <v>0</v>
      </c>
      <c r="BF170" s="49">
        <v>0</v>
      </c>
      <c r="BG170" s="50">
        <v>0</v>
      </c>
      <c r="BH170" s="49">
        <v>346</v>
      </c>
      <c r="BI170" s="50">
        <v>100</v>
      </c>
      <c r="BJ170" s="49">
        <v>346</v>
      </c>
      <c r="BK170" s="49" t="s">
        <v>4824</v>
      </c>
      <c r="BL170" s="49" t="s">
        <v>4824</v>
      </c>
      <c r="BM170" s="49" t="s">
        <v>4861</v>
      </c>
      <c r="BN170" s="49" t="s">
        <v>4861</v>
      </c>
      <c r="BO170" s="49" t="s">
        <v>4915</v>
      </c>
      <c r="BP170" s="49" t="s">
        <v>4957</v>
      </c>
      <c r="BQ170" s="119" t="s">
        <v>5036</v>
      </c>
      <c r="BR170" s="119" t="s">
        <v>5088</v>
      </c>
      <c r="BS170" s="119" t="s">
        <v>5161</v>
      </c>
      <c r="BT170" s="119" t="s">
        <v>5197</v>
      </c>
      <c r="BU170" s="2"/>
      <c r="BV170" s="3"/>
      <c r="BW170" s="3"/>
      <c r="BX170" s="3"/>
      <c r="BY170" s="3"/>
    </row>
    <row r="171" spans="1:77" ht="15">
      <c r="A171" s="68" t="s">
        <v>406</v>
      </c>
      <c r="B171" s="69"/>
      <c r="C171" s="69" t="s">
        <v>64</v>
      </c>
      <c r="D171" s="70">
        <v>665.025476933108</v>
      </c>
      <c r="E171" s="72"/>
      <c r="F171" s="107" t="str">
        <f>HYPERLINK("http://pbs.twimg.com/profile_images/1269635608412073985/ItHkayWB_normal.jpg")</f>
        <v>http://pbs.twimg.com/profile_images/1269635608412073985/ItHkayWB_normal.jpg</v>
      </c>
      <c r="G171" s="69"/>
      <c r="H171" s="73" t="s">
        <v>406</v>
      </c>
      <c r="I171" s="74" t="s">
        <v>5210</v>
      </c>
      <c r="J171" s="74" t="s">
        <v>73</v>
      </c>
      <c r="K171" s="73" t="s">
        <v>2464</v>
      </c>
      <c r="L171" s="77">
        <v>1936.0967741935483</v>
      </c>
      <c r="M171" s="78">
        <v>1898.2735595703125</v>
      </c>
      <c r="N171" s="78">
        <v>3687.35205078125</v>
      </c>
      <c r="O171" s="79"/>
      <c r="P171" s="80"/>
      <c r="Q171" s="80"/>
      <c r="R171" s="93"/>
      <c r="S171" s="49">
        <v>6</v>
      </c>
      <c r="T171" s="49">
        <v>1</v>
      </c>
      <c r="U171" s="50">
        <v>78.823777</v>
      </c>
      <c r="V171" s="50">
        <v>0.001567</v>
      </c>
      <c r="W171" s="50">
        <v>0.000168</v>
      </c>
      <c r="X171" s="50">
        <v>1.091318</v>
      </c>
      <c r="Y171" s="50">
        <v>0</v>
      </c>
      <c r="Z171" s="50">
        <v>0</v>
      </c>
      <c r="AA171" s="75">
        <v>171</v>
      </c>
      <c r="AB171" s="75"/>
      <c r="AC171" s="76"/>
      <c r="AD171" s="83" t="s">
        <v>1713</v>
      </c>
      <c r="AE171" s="91" t="s">
        <v>1924</v>
      </c>
      <c r="AF171" s="83">
        <v>205</v>
      </c>
      <c r="AG171" s="83">
        <v>25</v>
      </c>
      <c r="AH171" s="83">
        <v>222</v>
      </c>
      <c r="AI171" s="83">
        <v>5144</v>
      </c>
      <c r="AJ171" s="83"/>
      <c r="AK171" s="83" t="s">
        <v>2122</v>
      </c>
      <c r="AL171" s="83" t="s">
        <v>2183</v>
      </c>
      <c r="AM171" s="83"/>
      <c r="AN171" s="83"/>
      <c r="AO171" s="85">
        <v>43309.37359953704</v>
      </c>
      <c r="AP171" s="88" t="str">
        <f>HYPERLINK("https://pbs.twimg.com/profile_banners/1023130434593546240/1590863244")</f>
        <v>https://pbs.twimg.com/profile_banners/1023130434593546240/1590863244</v>
      </c>
      <c r="AQ171" s="83" t="b">
        <v>1</v>
      </c>
      <c r="AR171" s="83" t="b">
        <v>0</v>
      </c>
      <c r="AS171" s="83" t="b">
        <v>0</v>
      </c>
      <c r="AT171" s="83"/>
      <c r="AU171" s="83">
        <v>0</v>
      </c>
      <c r="AV171" s="83"/>
      <c r="AW171" s="83" t="b">
        <v>0</v>
      </c>
      <c r="AX171" s="83" t="s">
        <v>2296</v>
      </c>
      <c r="AY171" s="88" t="str">
        <f>HYPERLINK("https://twitter.com/classicnoir93")</f>
        <v>https://twitter.com/classicnoir93</v>
      </c>
      <c r="AZ171" s="83" t="s">
        <v>66</v>
      </c>
      <c r="BA171" s="83" t="str">
        <f>REPLACE(INDEX(GroupVertices[Group],MATCH(Vertices[[#This Row],[Vertex]],GroupVertices[Vertex],0)),1,1,"")</f>
        <v>1</v>
      </c>
      <c r="BB171" s="49">
        <v>0</v>
      </c>
      <c r="BC171" s="50">
        <v>0</v>
      </c>
      <c r="BD171" s="49">
        <v>0</v>
      </c>
      <c r="BE171" s="50">
        <v>0</v>
      </c>
      <c r="BF171" s="49">
        <v>0</v>
      </c>
      <c r="BG171" s="50">
        <v>0</v>
      </c>
      <c r="BH171" s="49">
        <v>22</v>
      </c>
      <c r="BI171" s="50">
        <v>100</v>
      </c>
      <c r="BJ171" s="49">
        <v>22</v>
      </c>
      <c r="BK171" s="49"/>
      <c r="BL171" s="49"/>
      <c r="BM171" s="49"/>
      <c r="BN171" s="49"/>
      <c r="BO171" s="49" t="s">
        <v>4916</v>
      </c>
      <c r="BP171" s="49" t="s">
        <v>4916</v>
      </c>
      <c r="BQ171" s="119" t="s">
        <v>5037</v>
      </c>
      <c r="BR171" s="119" t="s">
        <v>5037</v>
      </c>
      <c r="BS171" s="119" t="s">
        <v>5162</v>
      </c>
      <c r="BT171" s="119" t="s">
        <v>5162</v>
      </c>
      <c r="BU171" s="2"/>
      <c r="BV171" s="3"/>
      <c r="BW171" s="3"/>
      <c r="BX171" s="3"/>
      <c r="BY171" s="3"/>
    </row>
    <row r="172" spans="1:77" ht="15">
      <c r="A172" s="68" t="s">
        <v>361</v>
      </c>
      <c r="B172" s="69"/>
      <c r="C172" s="69" t="s">
        <v>46</v>
      </c>
      <c r="D172" s="70"/>
      <c r="E172" s="72"/>
      <c r="F172" s="107" t="str">
        <f>HYPERLINK("http://pbs.twimg.com/profile_images/1228401351278964736/CurD3OjX_normal.jpg")</f>
        <v>http://pbs.twimg.com/profile_images/1228401351278964736/CurD3OjX_normal.jpg</v>
      </c>
      <c r="G172" s="69"/>
      <c r="H172" s="73" t="s">
        <v>361</v>
      </c>
      <c r="I172" s="74" t="s">
        <v>5220</v>
      </c>
      <c r="J172" s="74" t="s">
        <v>73</v>
      </c>
      <c r="K172" s="73" t="s">
        <v>2465</v>
      </c>
      <c r="L172" s="77">
        <v>1</v>
      </c>
      <c r="M172" s="78">
        <v>3395.2216796875</v>
      </c>
      <c r="N172" s="78">
        <v>1755.4459228515625</v>
      </c>
      <c r="O172" s="79"/>
      <c r="P172" s="80"/>
      <c r="Q172" s="80"/>
      <c r="R172" s="93"/>
      <c r="S172" s="49">
        <v>0</v>
      </c>
      <c r="T172" s="49">
        <v>2</v>
      </c>
      <c r="U172" s="50">
        <v>139.339792</v>
      </c>
      <c r="V172" s="50">
        <v>0.001613</v>
      </c>
      <c r="W172" s="50">
        <v>0.00022</v>
      </c>
      <c r="X172" s="50">
        <v>0.59357</v>
      </c>
      <c r="Y172" s="50">
        <v>0</v>
      </c>
      <c r="Z172" s="50">
        <v>0</v>
      </c>
      <c r="AA172" s="75">
        <v>172</v>
      </c>
      <c r="AB172" s="75"/>
      <c r="AC172" s="76"/>
      <c r="AD172" s="83" t="s">
        <v>1714</v>
      </c>
      <c r="AE172" s="91" t="s">
        <v>1925</v>
      </c>
      <c r="AF172" s="83">
        <v>160</v>
      </c>
      <c r="AG172" s="83">
        <v>189</v>
      </c>
      <c r="AH172" s="83">
        <v>8202</v>
      </c>
      <c r="AI172" s="83">
        <v>50</v>
      </c>
      <c r="AJ172" s="83"/>
      <c r="AK172" s="83"/>
      <c r="AL172" s="83"/>
      <c r="AM172" s="83"/>
      <c r="AN172" s="83"/>
      <c r="AO172" s="85">
        <v>43871.75115740741</v>
      </c>
      <c r="AP172" s="88" t="str">
        <f>HYPERLINK("https://pbs.twimg.com/profile_banners/1226929198931025921/1581708680")</f>
        <v>https://pbs.twimg.com/profile_banners/1226929198931025921/1581708680</v>
      </c>
      <c r="AQ172" s="83" t="b">
        <v>1</v>
      </c>
      <c r="AR172" s="83" t="b">
        <v>0</v>
      </c>
      <c r="AS172" s="83" t="b">
        <v>0</v>
      </c>
      <c r="AT172" s="83"/>
      <c r="AU172" s="83">
        <v>2</v>
      </c>
      <c r="AV172" s="83"/>
      <c r="AW172" s="83" t="b">
        <v>0</v>
      </c>
      <c r="AX172" s="83" t="s">
        <v>2296</v>
      </c>
      <c r="AY172" s="88" t="str">
        <f>HYPERLINK("https://twitter.com/powerbi_pros")</f>
        <v>https://twitter.com/powerbi_pros</v>
      </c>
      <c r="AZ172" s="83" t="s">
        <v>66</v>
      </c>
      <c r="BA172" s="83" t="str">
        <f>REPLACE(INDEX(GroupVertices[Group],MATCH(Vertices[[#This Row],[Vertex]],GroupVertices[Vertex],0)),1,1,"")</f>
        <v>3</v>
      </c>
      <c r="BB172" s="49">
        <v>0</v>
      </c>
      <c r="BC172" s="50">
        <v>0</v>
      </c>
      <c r="BD172" s="49">
        <v>0</v>
      </c>
      <c r="BE172" s="50">
        <v>0</v>
      </c>
      <c r="BF172" s="49">
        <v>0</v>
      </c>
      <c r="BG172" s="50">
        <v>0</v>
      </c>
      <c r="BH172" s="49">
        <v>68</v>
      </c>
      <c r="BI172" s="50">
        <v>100</v>
      </c>
      <c r="BJ172" s="49">
        <v>68</v>
      </c>
      <c r="BK172" s="49" t="s">
        <v>4825</v>
      </c>
      <c r="BL172" s="49" t="s">
        <v>4825</v>
      </c>
      <c r="BM172" s="49" t="s">
        <v>4862</v>
      </c>
      <c r="BN172" s="49" t="s">
        <v>4862</v>
      </c>
      <c r="BO172" s="49" t="s">
        <v>4917</v>
      </c>
      <c r="BP172" s="49" t="s">
        <v>4917</v>
      </c>
      <c r="BQ172" s="119" t="s">
        <v>5038</v>
      </c>
      <c r="BR172" s="119" t="s">
        <v>5089</v>
      </c>
      <c r="BS172" s="119" t="s">
        <v>5163</v>
      </c>
      <c r="BT172" s="119" t="s">
        <v>5160</v>
      </c>
      <c r="BU172" s="2"/>
      <c r="BV172" s="3"/>
      <c r="BW172" s="3"/>
      <c r="BX172" s="3"/>
      <c r="BY172" s="3"/>
    </row>
    <row r="173" spans="1:77" ht="15">
      <c r="A173" s="68" t="s">
        <v>362</v>
      </c>
      <c r="B173" s="69"/>
      <c r="C173" s="69" t="s">
        <v>46</v>
      </c>
      <c r="D173" s="70"/>
      <c r="E173" s="72"/>
      <c r="F173" s="107" t="str">
        <f>HYPERLINK("http://pbs.twimg.com/profile_images/1199974955326140416/il8vYv72_normal.jpg")</f>
        <v>http://pbs.twimg.com/profile_images/1199974955326140416/il8vYv72_normal.jpg</v>
      </c>
      <c r="G173" s="69"/>
      <c r="H173" s="73" t="s">
        <v>362</v>
      </c>
      <c r="I173" s="74" t="s">
        <v>5213</v>
      </c>
      <c r="J173" s="74" t="s">
        <v>73</v>
      </c>
      <c r="K173" s="73" t="s">
        <v>2466</v>
      </c>
      <c r="L173" s="77">
        <v>1</v>
      </c>
      <c r="M173" s="78">
        <v>5843.45458984375</v>
      </c>
      <c r="N173" s="78">
        <v>2892.08935546875</v>
      </c>
      <c r="O173" s="79"/>
      <c r="P173" s="80"/>
      <c r="Q173" s="80"/>
      <c r="R173" s="93"/>
      <c r="S173" s="49">
        <v>0</v>
      </c>
      <c r="T173" s="49">
        <v>1</v>
      </c>
      <c r="U173" s="50">
        <v>0</v>
      </c>
      <c r="V173" s="50">
        <v>0.001235</v>
      </c>
      <c r="W173" s="50">
        <v>2E-05</v>
      </c>
      <c r="X173" s="50">
        <v>0.359433</v>
      </c>
      <c r="Y173" s="50">
        <v>0</v>
      </c>
      <c r="Z173" s="50">
        <v>0</v>
      </c>
      <c r="AA173" s="75">
        <v>173</v>
      </c>
      <c r="AB173" s="75"/>
      <c r="AC173" s="76"/>
      <c r="AD173" s="83" t="s">
        <v>1715</v>
      </c>
      <c r="AE173" s="91" t="s">
        <v>1926</v>
      </c>
      <c r="AF173" s="83">
        <v>942</v>
      </c>
      <c r="AG173" s="83">
        <v>594</v>
      </c>
      <c r="AH173" s="83">
        <v>737</v>
      </c>
      <c r="AI173" s="83">
        <v>1441</v>
      </c>
      <c r="AJ173" s="83"/>
      <c r="AK173" s="83" t="s">
        <v>2123</v>
      </c>
      <c r="AL173" s="83" t="s">
        <v>2272</v>
      </c>
      <c r="AM173" s="88" t="str">
        <f>HYPERLINK("https://t.co/FSNfG5PRRF")</f>
        <v>https://t.co/FSNfG5PRRF</v>
      </c>
      <c r="AN173" s="83"/>
      <c r="AO173" s="85">
        <v>43482.277974537035</v>
      </c>
      <c r="AP173" s="83"/>
      <c r="AQ173" s="83" t="b">
        <v>1</v>
      </c>
      <c r="AR173" s="83" t="b">
        <v>0</v>
      </c>
      <c r="AS173" s="83" t="b">
        <v>0</v>
      </c>
      <c r="AT173" s="83"/>
      <c r="AU173" s="83">
        <v>3</v>
      </c>
      <c r="AV173" s="83"/>
      <c r="AW173" s="83" t="b">
        <v>0</v>
      </c>
      <c r="AX173" s="83" t="s">
        <v>2296</v>
      </c>
      <c r="AY173" s="88" t="str">
        <f>HYPERLINK("https://twitter.com/techbiesblog")</f>
        <v>https://twitter.com/techbiesblog</v>
      </c>
      <c r="AZ173" s="83" t="s">
        <v>66</v>
      </c>
      <c r="BA173" s="83" t="str">
        <f>REPLACE(INDEX(GroupVertices[Group],MATCH(Vertices[[#This Row],[Vertex]],GroupVertices[Vertex],0)),1,1,"")</f>
        <v>8</v>
      </c>
      <c r="BB173" s="49">
        <v>0</v>
      </c>
      <c r="BC173" s="50">
        <v>0</v>
      </c>
      <c r="BD173" s="49">
        <v>0</v>
      </c>
      <c r="BE173" s="50">
        <v>0</v>
      </c>
      <c r="BF173" s="49">
        <v>0</v>
      </c>
      <c r="BG173" s="50">
        <v>0</v>
      </c>
      <c r="BH173" s="49">
        <v>42</v>
      </c>
      <c r="BI173" s="50">
        <v>100</v>
      </c>
      <c r="BJ173" s="49">
        <v>42</v>
      </c>
      <c r="BK173" s="49" t="s">
        <v>4458</v>
      </c>
      <c r="BL173" s="49" t="s">
        <v>4458</v>
      </c>
      <c r="BM173" s="49" t="s">
        <v>547</v>
      </c>
      <c r="BN173" s="49" t="s">
        <v>547</v>
      </c>
      <c r="BO173" s="49" t="s">
        <v>595</v>
      </c>
      <c r="BP173" s="49" t="s">
        <v>595</v>
      </c>
      <c r="BQ173" s="119" t="s">
        <v>5012</v>
      </c>
      <c r="BR173" s="119" t="s">
        <v>5012</v>
      </c>
      <c r="BS173" s="119" t="s">
        <v>5144</v>
      </c>
      <c r="BT173" s="119" t="s">
        <v>5144</v>
      </c>
      <c r="BU173" s="2"/>
      <c r="BV173" s="3"/>
      <c r="BW173" s="3"/>
      <c r="BX173" s="3"/>
      <c r="BY173" s="3"/>
    </row>
    <row r="174" spans="1:77" ht="15">
      <c r="A174" s="68" t="s">
        <v>363</v>
      </c>
      <c r="B174" s="69"/>
      <c r="C174" s="69" t="s">
        <v>46</v>
      </c>
      <c r="D174" s="70"/>
      <c r="E174" s="72"/>
      <c r="F174" s="107" t="str">
        <f>HYPERLINK("http://pbs.twimg.com/profile_images/1297528603614130176/ZWua3xyx_normal.jpg")</f>
        <v>http://pbs.twimg.com/profile_images/1297528603614130176/ZWua3xyx_normal.jpg</v>
      </c>
      <c r="G174" s="69"/>
      <c r="H174" s="73" t="s">
        <v>363</v>
      </c>
      <c r="I174" s="74" t="s">
        <v>5213</v>
      </c>
      <c r="J174" s="74" t="s">
        <v>73</v>
      </c>
      <c r="K174" s="73" t="s">
        <v>2467</v>
      </c>
      <c r="L174" s="77">
        <v>1</v>
      </c>
      <c r="M174" s="78">
        <v>5385.09814453125</v>
      </c>
      <c r="N174" s="78">
        <v>1451.137451171875</v>
      </c>
      <c r="O174" s="79"/>
      <c r="P174" s="80"/>
      <c r="Q174" s="80"/>
      <c r="R174" s="93"/>
      <c r="S174" s="49">
        <v>0</v>
      </c>
      <c r="T174" s="49">
        <v>1</v>
      </c>
      <c r="U174" s="50">
        <v>0</v>
      </c>
      <c r="V174" s="50">
        <v>0.001235</v>
      </c>
      <c r="W174" s="50">
        <v>2E-05</v>
      </c>
      <c r="X174" s="50">
        <v>0.359433</v>
      </c>
      <c r="Y174" s="50">
        <v>0</v>
      </c>
      <c r="Z174" s="50">
        <v>0</v>
      </c>
      <c r="AA174" s="75">
        <v>174</v>
      </c>
      <c r="AB174" s="75"/>
      <c r="AC174" s="76"/>
      <c r="AD174" s="83" t="s">
        <v>1716</v>
      </c>
      <c r="AE174" s="91" t="s">
        <v>1927</v>
      </c>
      <c r="AF174" s="83">
        <v>287</v>
      </c>
      <c r="AG174" s="83">
        <v>4734</v>
      </c>
      <c r="AH174" s="83">
        <v>75653</v>
      </c>
      <c r="AI174" s="83">
        <v>12476</v>
      </c>
      <c r="AJ174" s="83"/>
      <c r="AK174" s="83" t="s">
        <v>2124</v>
      </c>
      <c r="AL174" s="83" t="s">
        <v>2273</v>
      </c>
      <c r="AM174" s="83"/>
      <c r="AN174" s="83"/>
      <c r="AO174" s="85">
        <v>41063.05486111111</v>
      </c>
      <c r="AP174" s="88" t="str">
        <f>HYPERLINK("https://pbs.twimg.com/profile_banners/597895013/1586043007")</f>
        <v>https://pbs.twimg.com/profile_banners/597895013/1586043007</v>
      </c>
      <c r="AQ174" s="83" t="b">
        <v>0</v>
      </c>
      <c r="AR174" s="83" t="b">
        <v>0</v>
      </c>
      <c r="AS174" s="83" t="b">
        <v>0</v>
      </c>
      <c r="AT174" s="83"/>
      <c r="AU174" s="83">
        <v>20</v>
      </c>
      <c r="AV174" s="88" t="str">
        <f>HYPERLINK("http://abs.twimg.com/images/themes/theme5/bg.gif")</f>
        <v>http://abs.twimg.com/images/themes/theme5/bg.gif</v>
      </c>
      <c r="AW174" s="83" t="b">
        <v>0</v>
      </c>
      <c r="AX174" s="83" t="s">
        <v>2296</v>
      </c>
      <c r="AY174" s="88" t="str">
        <f>HYPERLINK("https://twitter.com/freakinroll")</f>
        <v>https://twitter.com/freakinroll</v>
      </c>
      <c r="AZ174" s="83" t="s">
        <v>66</v>
      </c>
      <c r="BA174" s="83" t="str">
        <f>REPLACE(INDEX(GroupVertices[Group],MATCH(Vertices[[#This Row],[Vertex]],GroupVertices[Vertex],0)),1,1,"")</f>
        <v>8</v>
      </c>
      <c r="BB174" s="49">
        <v>0</v>
      </c>
      <c r="BC174" s="50">
        <v>0</v>
      </c>
      <c r="BD174" s="49">
        <v>0</v>
      </c>
      <c r="BE174" s="50">
        <v>0</v>
      </c>
      <c r="BF174" s="49">
        <v>0</v>
      </c>
      <c r="BG174" s="50">
        <v>0</v>
      </c>
      <c r="BH174" s="49">
        <v>42</v>
      </c>
      <c r="BI174" s="50">
        <v>100</v>
      </c>
      <c r="BJ174" s="49">
        <v>42</v>
      </c>
      <c r="BK174" s="49" t="s">
        <v>4458</v>
      </c>
      <c r="BL174" s="49" t="s">
        <v>4458</v>
      </c>
      <c r="BM174" s="49" t="s">
        <v>547</v>
      </c>
      <c r="BN174" s="49" t="s">
        <v>547</v>
      </c>
      <c r="BO174" s="49" t="s">
        <v>595</v>
      </c>
      <c r="BP174" s="49" t="s">
        <v>595</v>
      </c>
      <c r="BQ174" s="119" t="s">
        <v>5012</v>
      </c>
      <c r="BR174" s="119" t="s">
        <v>5012</v>
      </c>
      <c r="BS174" s="119" t="s">
        <v>5144</v>
      </c>
      <c r="BT174" s="119" t="s">
        <v>5144</v>
      </c>
      <c r="BU174" s="2"/>
      <c r="BV174" s="3"/>
      <c r="BW174" s="3"/>
      <c r="BX174" s="3"/>
      <c r="BY174" s="3"/>
    </row>
    <row r="175" spans="1:77" ht="15">
      <c r="A175" s="68" t="s">
        <v>364</v>
      </c>
      <c r="B175" s="69"/>
      <c r="C175" s="69" t="s">
        <v>46</v>
      </c>
      <c r="D175" s="70"/>
      <c r="E175" s="72"/>
      <c r="F175" s="107" t="str">
        <f>HYPERLINK("http://pbs.twimg.com/profile_images/1305131977453035522/STuFGZRA_normal.jpg")</f>
        <v>http://pbs.twimg.com/profile_images/1305131977453035522/STuFGZRA_normal.jpg</v>
      </c>
      <c r="G175" s="69"/>
      <c r="H175" s="73" t="s">
        <v>364</v>
      </c>
      <c r="I175" s="74" t="s">
        <v>5210</v>
      </c>
      <c r="J175" s="74" t="s">
        <v>73</v>
      </c>
      <c r="K175" s="73" t="s">
        <v>2468</v>
      </c>
      <c r="L175" s="77">
        <v>1</v>
      </c>
      <c r="M175" s="78">
        <v>702.2965698242188</v>
      </c>
      <c r="N175" s="78">
        <v>8875.064453125</v>
      </c>
      <c r="O175" s="79"/>
      <c r="P175" s="80"/>
      <c r="Q175" s="80"/>
      <c r="R175" s="93"/>
      <c r="S175" s="49">
        <v>0</v>
      </c>
      <c r="T175" s="49">
        <v>1</v>
      </c>
      <c r="U175" s="50">
        <v>0</v>
      </c>
      <c r="V175" s="50">
        <v>0.001555</v>
      </c>
      <c r="W175" s="50">
        <v>0.00022</v>
      </c>
      <c r="X175" s="50">
        <v>0.353312</v>
      </c>
      <c r="Y175" s="50">
        <v>0</v>
      </c>
      <c r="Z175" s="50">
        <v>0</v>
      </c>
      <c r="AA175" s="75">
        <v>175</v>
      </c>
      <c r="AB175" s="75"/>
      <c r="AC175" s="76"/>
      <c r="AD175" s="83" t="s">
        <v>1717</v>
      </c>
      <c r="AE175" s="91" t="s">
        <v>1928</v>
      </c>
      <c r="AF175" s="83">
        <v>110</v>
      </c>
      <c r="AG175" s="83">
        <v>3</v>
      </c>
      <c r="AH175" s="83">
        <v>215</v>
      </c>
      <c r="AI175" s="83">
        <v>0</v>
      </c>
      <c r="AJ175" s="83"/>
      <c r="AK175" s="83" t="s">
        <v>2125</v>
      </c>
      <c r="AL175" s="83" t="s">
        <v>2222</v>
      </c>
      <c r="AM175" s="88" t="str">
        <f>HYPERLINK("https://t.co/SSDzdlceVB")</f>
        <v>https://t.co/SSDzdlceVB</v>
      </c>
      <c r="AN175" s="83"/>
      <c r="AO175" s="85">
        <v>44087.54467592593</v>
      </c>
      <c r="AP175" s="88" t="str">
        <f>HYPERLINK("https://pbs.twimg.com/profile_banners/1305130086186782721/1600002694")</f>
        <v>https://pbs.twimg.com/profile_banners/1305130086186782721/1600002694</v>
      </c>
      <c r="AQ175" s="83" t="b">
        <v>1</v>
      </c>
      <c r="AR175" s="83" t="b">
        <v>0</v>
      </c>
      <c r="AS175" s="83" t="b">
        <v>0</v>
      </c>
      <c r="AT175" s="83"/>
      <c r="AU175" s="83">
        <v>0</v>
      </c>
      <c r="AV175" s="83"/>
      <c r="AW175" s="83" t="b">
        <v>0</v>
      </c>
      <c r="AX175" s="83" t="s">
        <v>2296</v>
      </c>
      <c r="AY175" s="88" t="str">
        <f>HYPERLINK("https://twitter.com/angelstrad95")</f>
        <v>https://twitter.com/angelstrad95</v>
      </c>
      <c r="AZ175" s="83" t="s">
        <v>66</v>
      </c>
      <c r="BA175" s="83" t="str">
        <f>REPLACE(INDEX(GroupVertices[Group],MATCH(Vertices[[#This Row],[Vertex]],GroupVertices[Vertex],0)),1,1,"")</f>
        <v>1</v>
      </c>
      <c r="BB175" s="49">
        <v>0</v>
      </c>
      <c r="BC175" s="50">
        <v>0</v>
      </c>
      <c r="BD175" s="49">
        <v>0</v>
      </c>
      <c r="BE175" s="50">
        <v>0</v>
      </c>
      <c r="BF175" s="49">
        <v>0</v>
      </c>
      <c r="BG175" s="50">
        <v>0</v>
      </c>
      <c r="BH175" s="49">
        <v>34</v>
      </c>
      <c r="BI175" s="50">
        <v>100</v>
      </c>
      <c r="BJ175" s="49">
        <v>34</v>
      </c>
      <c r="BK175" s="49" t="s">
        <v>4468</v>
      </c>
      <c r="BL175" s="49" t="s">
        <v>4468</v>
      </c>
      <c r="BM175" s="49" t="s">
        <v>553</v>
      </c>
      <c r="BN175" s="49" t="s">
        <v>553</v>
      </c>
      <c r="BO175" s="49" t="s">
        <v>4894</v>
      </c>
      <c r="BP175" s="49" t="s">
        <v>4894</v>
      </c>
      <c r="BQ175" s="119" t="s">
        <v>4990</v>
      </c>
      <c r="BR175" s="119" t="s">
        <v>4990</v>
      </c>
      <c r="BS175" s="119" t="s">
        <v>5125</v>
      </c>
      <c r="BT175" s="119" t="s">
        <v>5125</v>
      </c>
      <c r="BU175" s="2"/>
      <c r="BV175" s="3"/>
      <c r="BW175" s="3"/>
      <c r="BX175" s="3"/>
      <c r="BY175" s="3"/>
    </row>
    <row r="176" spans="1:77" ht="15">
      <c r="A176" s="68" t="s">
        <v>365</v>
      </c>
      <c r="B176" s="69"/>
      <c r="C176" s="69" t="s">
        <v>64</v>
      </c>
      <c r="D176" s="70">
        <v>263.3984445617174</v>
      </c>
      <c r="E176" s="72"/>
      <c r="F176" s="107" t="str">
        <f>HYPERLINK("http://pbs.twimg.com/profile_images/1285730533083881472/g4ZSarXz_normal.jpg")</f>
        <v>http://pbs.twimg.com/profile_images/1285730533083881472/g4ZSarXz_normal.jpg</v>
      </c>
      <c r="G176" s="69"/>
      <c r="H176" s="73" t="s">
        <v>365</v>
      </c>
      <c r="I176" s="74" t="s">
        <v>5227</v>
      </c>
      <c r="J176" s="74" t="s">
        <v>73</v>
      </c>
      <c r="K176" s="73" t="s">
        <v>2469</v>
      </c>
      <c r="L176" s="77">
        <v>646.0322580645161</v>
      </c>
      <c r="M176" s="78">
        <v>8629.4150390625</v>
      </c>
      <c r="N176" s="78">
        <v>277.4612121582031</v>
      </c>
      <c r="O176" s="79"/>
      <c r="P176" s="80"/>
      <c r="Q176" s="80"/>
      <c r="R176" s="93"/>
      <c r="S176" s="49">
        <v>2</v>
      </c>
      <c r="T176" s="49">
        <v>1</v>
      </c>
      <c r="U176" s="50">
        <v>0</v>
      </c>
      <c r="V176" s="50">
        <v>1</v>
      </c>
      <c r="W176" s="50">
        <v>0</v>
      </c>
      <c r="X176" s="50">
        <v>1.298242</v>
      </c>
      <c r="Y176" s="50">
        <v>0</v>
      </c>
      <c r="Z176" s="50">
        <v>0</v>
      </c>
      <c r="AA176" s="75">
        <v>176</v>
      </c>
      <c r="AB176" s="75"/>
      <c r="AC176" s="76"/>
      <c r="AD176" s="83" t="s">
        <v>1718</v>
      </c>
      <c r="AE176" s="91" t="s">
        <v>1929</v>
      </c>
      <c r="AF176" s="83">
        <v>318</v>
      </c>
      <c r="AG176" s="83">
        <v>518</v>
      </c>
      <c r="AH176" s="83">
        <v>1028</v>
      </c>
      <c r="AI176" s="83">
        <v>1877</v>
      </c>
      <c r="AJ176" s="83"/>
      <c r="AK176" s="83" t="s">
        <v>2126</v>
      </c>
      <c r="AL176" s="83"/>
      <c r="AM176" s="88" t="str">
        <f>HYPERLINK("https://t.co/Y7HZtaJlRW")</f>
        <v>https://t.co/Y7HZtaJlRW</v>
      </c>
      <c r="AN176" s="83"/>
      <c r="AO176" s="85">
        <v>41534.775868055556</v>
      </c>
      <c r="AP176" s="88" t="str">
        <f>HYPERLINK("https://pbs.twimg.com/profile_banners/1876450758/1459285473")</f>
        <v>https://pbs.twimg.com/profile_banners/1876450758/1459285473</v>
      </c>
      <c r="AQ176" s="83" t="b">
        <v>0</v>
      </c>
      <c r="AR176" s="83" t="b">
        <v>0</v>
      </c>
      <c r="AS176" s="83" t="b">
        <v>0</v>
      </c>
      <c r="AT176" s="83"/>
      <c r="AU176" s="83">
        <v>0</v>
      </c>
      <c r="AV176" s="88" t="str">
        <f>HYPERLINK("http://abs.twimg.com/images/themes/theme1/bg.png")</f>
        <v>http://abs.twimg.com/images/themes/theme1/bg.png</v>
      </c>
      <c r="AW176" s="83" t="b">
        <v>0</v>
      </c>
      <c r="AX176" s="83" t="s">
        <v>2296</v>
      </c>
      <c r="AY176" s="88" t="str">
        <f>HYPERLINK("https://twitter.com/gryhkn")</f>
        <v>https://twitter.com/gryhkn</v>
      </c>
      <c r="AZ176" s="83" t="s">
        <v>66</v>
      </c>
      <c r="BA176" s="83" t="str">
        <f>REPLACE(INDEX(GroupVertices[Group],MATCH(Vertices[[#This Row],[Vertex]],GroupVertices[Vertex],0)),1,1,"")</f>
        <v>15</v>
      </c>
      <c r="BB176" s="49">
        <v>0</v>
      </c>
      <c r="BC176" s="50">
        <v>0</v>
      </c>
      <c r="BD176" s="49">
        <v>0</v>
      </c>
      <c r="BE176" s="50">
        <v>0</v>
      </c>
      <c r="BF176" s="49">
        <v>0</v>
      </c>
      <c r="BG176" s="50">
        <v>0</v>
      </c>
      <c r="BH176" s="49">
        <v>19</v>
      </c>
      <c r="BI176" s="50">
        <v>100</v>
      </c>
      <c r="BJ176" s="49">
        <v>19</v>
      </c>
      <c r="BK176" s="49" t="s">
        <v>4525</v>
      </c>
      <c r="BL176" s="49" t="s">
        <v>4525</v>
      </c>
      <c r="BM176" s="49" t="s">
        <v>554</v>
      </c>
      <c r="BN176" s="49" t="s">
        <v>554</v>
      </c>
      <c r="BO176" s="49" t="s">
        <v>610</v>
      </c>
      <c r="BP176" s="49" t="s">
        <v>610</v>
      </c>
      <c r="BQ176" s="119" t="s">
        <v>4621</v>
      </c>
      <c r="BR176" s="119" t="s">
        <v>4621</v>
      </c>
      <c r="BS176" s="119" t="s">
        <v>4740</v>
      </c>
      <c r="BT176" s="119" t="s">
        <v>4740</v>
      </c>
      <c r="BU176" s="2"/>
      <c r="BV176" s="3"/>
      <c r="BW176" s="3"/>
      <c r="BX176" s="3"/>
      <c r="BY176" s="3"/>
    </row>
    <row r="177" spans="1:77" ht="15">
      <c r="A177" s="68" t="s">
        <v>366</v>
      </c>
      <c r="B177" s="69"/>
      <c r="C177" s="69" t="s">
        <v>46</v>
      </c>
      <c r="D177" s="70"/>
      <c r="E177" s="72"/>
      <c r="F177" s="107" t="str">
        <f>HYPERLINK("http://pbs.twimg.com/profile_images/1150733454121848832/S9o2FLu0_normal.png")</f>
        <v>http://pbs.twimg.com/profile_images/1150733454121848832/S9o2FLu0_normal.png</v>
      </c>
      <c r="G177" s="69"/>
      <c r="H177" s="73" t="s">
        <v>366</v>
      </c>
      <c r="I177" s="74" t="s">
        <v>5227</v>
      </c>
      <c r="J177" s="74" t="s">
        <v>73</v>
      </c>
      <c r="K177" s="73" t="s">
        <v>2470</v>
      </c>
      <c r="L177" s="77">
        <v>1</v>
      </c>
      <c r="M177" s="78">
        <v>8057.6640625</v>
      </c>
      <c r="N177" s="78">
        <v>1345.1856689453125</v>
      </c>
      <c r="O177" s="79"/>
      <c r="P177" s="80"/>
      <c r="Q177" s="80"/>
      <c r="R177" s="93"/>
      <c r="S177" s="49">
        <v>0</v>
      </c>
      <c r="T177" s="49">
        <v>1</v>
      </c>
      <c r="U177" s="50">
        <v>0</v>
      </c>
      <c r="V177" s="50">
        <v>1</v>
      </c>
      <c r="W177" s="50">
        <v>0</v>
      </c>
      <c r="X177" s="50">
        <v>0.701753</v>
      </c>
      <c r="Y177" s="50">
        <v>0</v>
      </c>
      <c r="Z177" s="50">
        <v>0</v>
      </c>
      <c r="AA177" s="75">
        <v>177</v>
      </c>
      <c r="AB177" s="75"/>
      <c r="AC177" s="76"/>
      <c r="AD177" s="83" t="s">
        <v>1719</v>
      </c>
      <c r="AE177" s="91" t="s">
        <v>1930</v>
      </c>
      <c r="AF177" s="83">
        <v>1</v>
      </c>
      <c r="AG177" s="83">
        <v>2714</v>
      </c>
      <c r="AH177" s="83">
        <v>118054</v>
      </c>
      <c r="AI177" s="83">
        <v>12248</v>
      </c>
      <c r="AJ177" s="83"/>
      <c r="AK177" s="83" t="s">
        <v>2127</v>
      </c>
      <c r="AL177" s="83" t="s">
        <v>2171</v>
      </c>
      <c r="AM177" s="88" t="str">
        <f>HYPERLINK("https://t.co/XilrmgGTGK")</f>
        <v>https://t.co/XilrmgGTGK</v>
      </c>
      <c r="AN177" s="83"/>
      <c r="AO177" s="85">
        <v>43661.38826388889</v>
      </c>
      <c r="AP177" s="88" t="str">
        <f>HYPERLINK("https://pbs.twimg.com/profile_banners/1150696280110313472/1563191760")</f>
        <v>https://pbs.twimg.com/profile_banners/1150696280110313472/1563191760</v>
      </c>
      <c r="AQ177" s="83" t="b">
        <v>0</v>
      </c>
      <c r="AR177" s="83" t="b">
        <v>0</v>
      </c>
      <c r="AS177" s="83" t="b">
        <v>0</v>
      </c>
      <c r="AT177" s="83"/>
      <c r="AU177" s="83">
        <v>65</v>
      </c>
      <c r="AV177" s="88" t="str">
        <f>HYPERLINK("http://abs.twimg.com/images/themes/theme1/bg.png")</f>
        <v>http://abs.twimg.com/images/themes/theme1/bg.png</v>
      </c>
      <c r="AW177" s="83" t="b">
        <v>0</v>
      </c>
      <c r="AX177" s="83" t="s">
        <v>2296</v>
      </c>
      <c r="AY177" s="88" t="str">
        <f>HYPERLINK("https://twitter.com/gdprai")</f>
        <v>https://twitter.com/gdprai</v>
      </c>
      <c r="AZ177" s="83" t="s">
        <v>66</v>
      </c>
      <c r="BA177" s="83" t="str">
        <f>REPLACE(INDEX(GroupVertices[Group],MATCH(Vertices[[#This Row],[Vertex]],GroupVertices[Vertex],0)),1,1,"")</f>
        <v>15</v>
      </c>
      <c r="BB177" s="49">
        <v>0</v>
      </c>
      <c r="BC177" s="50">
        <v>0</v>
      </c>
      <c r="BD177" s="49">
        <v>0</v>
      </c>
      <c r="BE177" s="50">
        <v>0</v>
      </c>
      <c r="BF177" s="49">
        <v>0</v>
      </c>
      <c r="BG177" s="50">
        <v>0</v>
      </c>
      <c r="BH177" s="49">
        <v>19</v>
      </c>
      <c r="BI177" s="50">
        <v>100</v>
      </c>
      <c r="BJ177" s="49">
        <v>19</v>
      </c>
      <c r="BK177" s="49" t="s">
        <v>4525</v>
      </c>
      <c r="BL177" s="49" t="s">
        <v>4525</v>
      </c>
      <c r="BM177" s="49" t="s">
        <v>554</v>
      </c>
      <c r="BN177" s="49" t="s">
        <v>554</v>
      </c>
      <c r="BO177" s="49" t="s">
        <v>611</v>
      </c>
      <c r="BP177" s="49" t="s">
        <v>611</v>
      </c>
      <c r="BQ177" s="119" t="s">
        <v>4621</v>
      </c>
      <c r="BR177" s="119" t="s">
        <v>4621</v>
      </c>
      <c r="BS177" s="119" t="s">
        <v>4740</v>
      </c>
      <c r="BT177" s="119" t="s">
        <v>4740</v>
      </c>
      <c r="BU177" s="2"/>
      <c r="BV177" s="3"/>
      <c r="BW177" s="3"/>
      <c r="BX177" s="3"/>
      <c r="BY177" s="3"/>
    </row>
    <row r="178" spans="1:77" ht="15">
      <c r="A178" s="68" t="s">
        <v>367</v>
      </c>
      <c r="B178" s="69"/>
      <c r="C178" s="69" t="s">
        <v>46</v>
      </c>
      <c r="D178" s="70"/>
      <c r="E178" s="72"/>
      <c r="F178" s="107" t="str">
        <f>HYPERLINK("http://pbs.twimg.com/profile_images/1251909382570418183/3k_ZJMYF_normal.jpg")</f>
        <v>http://pbs.twimg.com/profile_images/1251909382570418183/3k_ZJMYF_normal.jpg</v>
      </c>
      <c r="G178" s="69"/>
      <c r="H178" s="73" t="s">
        <v>367</v>
      </c>
      <c r="I178" s="74" t="s">
        <v>5210</v>
      </c>
      <c r="J178" s="74" t="s">
        <v>73</v>
      </c>
      <c r="K178" s="73" t="s">
        <v>2471</v>
      </c>
      <c r="L178" s="77">
        <v>1</v>
      </c>
      <c r="M178" s="78">
        <v>1471.552001953125</v>
      </c>
      <c r="N178" s="78">
        <v>9507.4482421875</v>
      </c>
      <c r="O178" s="79"/>
      <c r="P178" s="80"/>
      <c r="Q178" s="80"/>
      <c r="R178" s="93"/>
      <c r="S178" s="49">
        <v>0</v>
      </c>
      <c r="T178" s="49">
        <v>2</v>
      </c>
      <c r="U178" s="50">
        <v>0</v>
      </c>
      <c r="V178" s="50">
        <v>0.00119</v>
      </c>
      <c r="W178" s="50">
        <v>1.7E-05</v>
      </c>
      <c r="X178" s="50">
        <v>0.492546</v>
      </c>
      <c r="Y178" s="50">
        <v>1</v>
      </c>
      <c r="Z178" s="50">
        <v>0</v>
      </c>
      <c r="AA178" s="75">
        <v>178</v>
      </c>
      <c r="AB178" s="75"/>
      <c r="AC178" s="76"/>
      <c r="AD178" s="83" t="s">
        <v>1720</v>
      </c>
      <c r="AE178" s="91" t="s">
        <v>1931</v>
      </c>
      <c r="AF178" s="83">
        <v>1</v>
      </c>
      <c r="AG178" s="83">
        <v>634</v>
      </c>
      <c r="AH178" s="83">
        <v>130779</v>
      </c>
      <c r="AI178" s="83">
        <v>817</v>
      </c>
      <c r="AJ178" s="83"/>
      <c r="AK178" s="83" t="s">
        <v>2128</v>
      </c>
      <c r="AL178" s="83"/>
      <c r="AM178" s="83"/>
      <c r="AN178" s="83"/>
      <c r="AO178" s="85">
        <v>43940.68246527778</v>
      </c>
      <c r="AP178" s="88" t="str">
        <f>HYPERLINK("https://pbs.twimg.com/profile_banners/1251909062222020609/1587502035")</f>
        <v>https://pbs.twimg.com/profile_banners/1251909062222020609/1587502035</v>
      </c>
      <c r="AQ178" s="83" t="b">
        <v>1</v>
      </c>
      <c r="AR178" s="83" t="b">
        <v>0</v>
      </c>
      <c r="AS178" s="83" t="b">
        <v>0</v>
      </c>
      <c r="AT178" s="83"/>
      <c r="AU178" s="83">
        <v>20</v>
      </c>
      <c r="AV178" s="83"/>
      <c r="AW178" s="83" t="b">
        <v>0</v>
      </c>
      <c r="AX178" s="83" t="s">
        <v>2296</v>
      </c>
      <c r="AY178" s="88" t="str">
        <f>HYPERLINK("https://twitter.com/robotproud")</f>
        <v>https://twitter.com/robotproud</v>
      </c>
      <c r="AZ178" s="83" t="s">
        <v>66</v>
      </c>
      <c r="BA178" s="83" t="str">
        <f>REPLACE(INDEX(GroupVertices[Group],MATCH(Vertices[[#This Row],[Vertex]],GroupVertices[Vertex],0)),1,1,"")</f>
        <v>1</v>
      </c>
      <c r="BB178" s="49">
        <v>0</v>
      </c>
      <c r="BC178" s="50">
        <v>0</v>
      </c>
      <c r="BD178" s="49">
        <v>0</v>
      </c>
      <c r="BE178" s="50">
        <v>0</v>
      </c>
      <c r="BF178" s="49">
        <v>0</v>
      </c>
      <c r="BG178" s="50">
        <v>0</v>
      </c>
      <c r="BH178" s="49">
        <v>32</v>
      </c>
      <c r="BI178" s="50">
        <v>100</v>
      </c>
      <c r="BJ178" s="49">
        <v>32</v>
      </c>
      <c r="BK178" s="49"/>
      <c r="BL178" s="49"/>
      <c r="BM178" s="49"/>
      <c r="BN178" s="49"/>
      <c r="BO178" s="49" t="s">
        <v>612</v>
      </c>
      <c r="BP178" s="49" t="s">
        <v>612</v>
      </c>
      <c r="BQ178" s="119" t="s">
        <v>5039</v>
      </c>
      <c r="BR178" s="119" t="s">
        <v>5039</v>
      </c>
      <c r="BS178" s="119" t="s">
        <v>5164</v>
      </c>
      <c r="BT178" s="119" t="s">
        <v>5164</v>
      </c>
      <c r="BU178" s="2"/>
      <c r="BV178" s="3"/>
      <c r="BW178" s="3"/>
      <c r="BX178" s="3"/>
      <c r="BY178" s="3"/>
    </row>
    <row r="179" spans="1:77" ht="15">
      <c r="A179" s="68" t="s">
        <v>409</v>
      </c>
      <c r="B179" s="69"/>
      <c r="C179" s="69" t="s">
        <v>64</v>
      </c>
      <c r="D179" s="70">
        <v>665.025476933108</v>
      </c>
      <c r="E179" s="72"/>
      <c r="F179" s="107" t="str">
        <f>HYPERLINK("http://pbs.twimg.com/profile_images/1253497649547878402/dU-qri-1_normal.jpg")</f>
        <v>http://pbs.twimg.com/profile_images/1253497649547878402/dU-qri-1_normal.jpg</v>
      </c>
      <c r="G179" s="69"/>
      <c r="H179" s="73" t="s">
        <v>409</v>
      </c>
      <c r="I179" s="74" t="s">
        <v>5210</v>
      </c>
      <c r="J179" s="74" t="s">
        <v>73</v>
      </c>
      <c r="K179" s="73" t="s">
        <v>2472</v>
      </c>
      <c r="L179" s="77">
        <v>1936.0967741935483</v>
      </c>
      <c r="M179" s="78">
        <v>1843.548583984375</v>
      </c>
      <c r="N179" s="78">
        <v>7727.78125</v>
      </c>
      <c r="O179" s="79"/>
      <c r="P179" s="80"/>
      <c r="Q179" s="80"/>
      <c r="R179" s="93"/>
      <c r="S179" s="49">
        <v>6</v>
      </c>
      <c r="T179" s="49">
        <v>1</v>
      </c>
      <c r="U179" s="50">
        <v>392.493731</v>
      </c>
      <c r="V179" s="50">
        <v>0.001515</v>
      </c>
      <c r="W179" s="50">
        <v>0.000128</v>
      </c>
      <c r="X179" s="50">
        <v>1.208987</v>
      </c>
      <c r="Y179" s="50">
        <v>0.16666666666666666</v>
      </c>
      <c r="Z179" s="50">
        <v>0.16666666666666666</v>
      </c>
      <c r="AA179" s="75">
        <v>179</v>
      </c>
      <c r="AB179" s="75"/>
      <c r="AC179" s="76"/>
      <c r="AD179" s="83" t="s">
        <v>1721</v>
      </c>
      <c r="AE179" s="91" t="s">
        <v>1932</v>
      </c>
      <c r="AF179" s="83">
        <v>343</v>
      </c>
      <c r="AG179" s="83">
        <v>36</v>
      </c>
      <c r="AH179" s="83">
        <v>123</v>
      </c>
      <c r="AI179" s="83">
        <v>297</v>
      </c>
      <c r="AJ179" s="83"/>
      <c r="AK179" s="83" t="s">
        <v>2129</v>
      </c>
      <c r="AL179" s="83"/>
      <c r="AM179" s="83"/>
      <c r="AN179" s="83"/>
      <c r="AO179" s="85">
        <v>43945.063726851855</v>
      </c>
      <c r="AP179" s="83"/>
      <c r="AQ179" s="83" t="b">
        <v>1</v>
      </c>
      <c r="AR179" s="83" t="b">
        <v>0</v>
      </c>
      <c r="AS179" s="83" t="b">
        <v>0</v>
      </c>
      <c r="AT179" s="83"/>
      <c r="AU179" s="83">
        <v>1</v>
      </c>
      <c r="AV179" s="83"/>
      <c r="AW179" s="83" t="b">
        <v>0</v>
      </c>
      <c r="AX179" s="83" t="s">
        <v>2296</v>
      </c>
      <c r="AY179" s="88" t="str">
        <f>HYPERLINK("https://twitter.com/ivanvaz32762138")</f>
        <v>https://twitter.com/ivanvaz32762138</v>
      </c>
      <c r="AZ179" s="83" t="s">
        <v>66</v>
      </c>
      <c r="BA179" s="83" t="str">
        <f>REPLACE(INDEX(GroupVertices[Group],MATCH(Vertices[[#This Row],[Vertex]],GroupVertices[Vertex],0)),1,1,"")</f>
        <v>1</v>
      </c>
      <c r="BB179" s="49">
        <v>0</v>
      </c>
      <c r="BC179" s="50">
        <v>0</v>
      </c>
      <c r="BD179" s="49">
        <v>0</v>
      </c>
      <c r="BE179" s="50">
        <v>0</v>
      </c>
      <c r="BF179" s="49">
        <v>0</v>
      </c>
      <c r="BG179" s="50">
        <v>0</v>
      </c>
      <c r="BH179" s="49">
        <v>32</v>
      </c>
      <c r="BI179" s="50">
        <v>100</v>
      </c>
      <c r="BJ179" s="49">
        <v>32</v>
      </c>
      <c r="BK179" s="49"/>
      <c r="BL179" s="49"/>
      <c r="BM179" s="49"/>
      <c r="BN179" s="49"/>
      <c r="BO179" s="49" t="s">
        <v>612</v>
      </c>
      <c r="BP179" s="49" t="s">
        <v>612</v>
      </c>
      <c r="BQ179" s="119" t="s">
        <v>5039</v>
      </c>
      <c r="BR179" s="119" t="s">
        <v>5039</v>
      </c>
      <c r="BS179" s="119" t="s">
        <v>5164</v>
      </c>
      <c r="BT179" s="119" t="s">
        <v>5164</v>
      </c>
      <c r="BU179" s="2"/>
      <c r="BV179" s="3"/>
      <c r="BW179" s="3"/>
      <c r="BX179" s="3"/>
      <c r="BY179" s="3"/>
    </row>
    <row r="180" spans="1:77" ht="15">
      <c r="A180" s="68" t="s">
        <v>408</v>
      </c>
      <c r="B180" s="69"/>
      <c r="C180" s="69" t="s">
        <v>64</v>
      </c>
      <c r="D180" s="70">
        <v>665.025476933108</v>
      </c>
      <c r="E180" s="72"/>
      <c r="F180" s="107" t="str">
        <f>HYPERLINK("http://pbs.twimg.com/profile_images/1300113063933337601/F1rOTJMa_normal.jpg")</f>
        <v>http://pbs.twimg.com/profile_images/1300113063933337601/F1rOTJMa_normal.jpg</v>
      </c>
      <c r="G180" s="69"/>
      <c r="H180" s="73" t="s">
        <v>408</v>
      </c>
      <c r="I180" s="74" t="s">
        <v>5210</v>
      </c>
      <c r="J180" s="74" t="s">
        <v>73</v>
      </c>
      <c r="K180" s="73" t="s">
        <v>2473</v>
      </c>
      <c r="L180" s="77">
        <v>1936.0967741935483</v>
      </c>
      <c r="M180" s="78">
        <v>1948.909912109375</v>
      </c>
      <c r="N180" s="78">
        <v>7567.763671875</v>
      </c>
      <c r="O180" s="79"/>
      <c r="P180" s="80"/>
      <c r="Q180" s="80"/>
      <c r="R180" s="93"/>
      <c r="S180" s="49">
        <v>6</v>
      </c>
      <c r="T180" s="49">
        <v>1</v>
      </c>
      <c r="U180" s="50">
        <v>392.493731</v>
      </c>
      <c r="V180" s="50">
        <v>0.001515</v>
      </c>
      <c r="W180" s="50">
        <v>0.000128</v>
      </c>
      <c r="X180" s="50">
        <v>1.208987</v>
      </c>
      <c r="Y180" s="50">
        <v>0.16666666666666666</v>
      </c>
      <c r="Z180" s="50">
        <v>0.16666666666666666</v>
      </c>
      <c r="AA180" s="75">
        <v>180</v>
      </c>
      <c r="AB180" s="75"/>
      <c r="AC180" s="76"/>
      <c r="AD180" s="83" t="s">
        <v>1722</v>
      </c>
      <c r="AE180" s="91" t="s">
        <v>1933</v>
      </c>
      <c r="AF180" s="83">
        <v>268</v>
      </c>
      <c r="AG180" s="83">
        <v>87</v>
      </c>
      <c r="AH180" s="83">
        <v>46</v>
      </c>
      <c r="AI180" s="83">
        <v>35</v>
      </c>
      <c r="AJ180" s="83"/>
      <c r="AK180" s="83" t="s">
        <v>2130</v>
      </c>
      <c r="AL180" s="83"/>
      <c r="AM180" s="88" t="str">
        <f>HYPERLINK("https://t.co/pCLeDWqgrL")</f>
        <v>https://t.co/pCLeDWqgrL</v>
      </c>
      <c r="AN180" s="83"/>
      <c r="AO180" s="85">
        <v>44072.782800925925</v>
      </c>
      <c r="AP180" s="88" t="str">
        <f>HYPERLINK("https://pbs.twimg.com/profile_banners/1299780634928386048/1598909902")</f>
        <v>https://pbs.twimg.com/profile_banners/1299780634928386048/1598909902</v>
      </c>
      <c r="AQ180" s="83" t="b">
        <v>1</v>
      </c>
      <c r="AR180" s="83" t="b">
        <v>0</v>
      </c>
      <c r="AS180" s="83" t="b">
        <v>0</v>
      </c>
      <c r="AT180" s="83"/>
      <c r="AU180" s="83">
        <v>0</v>
      </c>
      <c r="AV180" s="83"/>
      <c r="AW180" s="83" t="b">
        <v>0</v>
      </c>
      <c r="AX180" s="83" t="s">
        <v>2296</v>
      </c>
      <c r="AY180" s="88" t="str">
        <f>HYPERLINK("https://twitter.com/davidtorresc8")</f>
        <v>https://twitter.com/davidtorresc8</v>
      </c>
      <c r="AZ180" s="83" t="s">
        <v>66</v>
      </c>
      <c r="BA180" s="83" t="str">
        <f>REPLACE(INDEX(GroupVertices[Group],MATCH(Vertices[[#This Row],[Vertex]],GroupVertices[Vertex],0)),1,1,"")</f>
        <v>1</v>
      </c>
      <c r="BB180" s="49">
        <v>0</v>
      </c>
      <c r="BC180" s="50">
        <v>0</v>
      </c>
      <c r="BD180" s="49">
        <v>0</v>
      </c>
      <c r="BE180" s="50">
        <v>0</v>
      </c>
      <c r="BF180" s="49">
        <v>0</v>
      </c>
      <c r="BG180" s="50">
        <v>0</v>
      </c>
      <c r="BH180" s="49">
        <v>32</v>
      </c>
      <c r="BI180" s="50">
        <v>100</v>
      </c>
      <c r="BJ180" s="49">
        <v>32</v>
      </c>
      <c r="BK180" s="49"/>
      <c r="BL180" s="49"/>
      <c r="BM180" s="49"/>
      <c r="BN180" s="49"/>
      <c r="BO180" s="49" t="s">
        <v>612</v>
      </c>
      <c r="BP180" s="49" t="s">
        <v>612</v>
      </c>
      <c r="BQ180" s="119" t="s">
        <v>5039</v>
      </c>
      <c r="BR180" s="119" t="s">
        <v>5039</v>
      </c>
      <c r="BS180" s="119" t="s">
        <v>5164</v>
      </c>
      <c r="BT180" s="119" t="s">
        <v>5164</v>
      </c>
      <c r="BU180" s="2"/>
      <c r="BV180" s="3"/>
      <c r="BW180" s="3"/>
      <c r="BX180" s="3"/>
      <c r="BY180" s="3"/>
    </row>
    <row r="181" spans="1:77" ht="15">
      <c r="A181" s="68" t="s">
        <v>368</v>
      </c>
      <c r="B181" s="69"/>
      <c r="C181" s="69" t="s">
        <v>46</v>
      </c>
      <c r="D181" s="70"/>
      <c r="E181" s="72"/>
      <c r="F181" s="107" t="str">
        <f>HYPERLINK("http://pbs.twimg.com/profile_images/1243649090048663552/HVlhkgCM_normal.jpg")</f>
        <v>http://pbs.twimg.com/profile_images/1243649090048663552/HVlhkgCM_normal.jpg</v>
      </c>
      <c r="G181" s="69"/>
      <c r="H181" s="73" t="s">
        <v>368</v>
      </c>
      <c r="I181" s="74" t="s">
        <v>5210</v>
      </c>
      <c r="J181" s="74" t="s">
        <v>73</v>
      </c>
      <c r="K181" s="73" t="s">
        <v>2474</v>
      </c>
      <c r="L181" s="77">
        <v>1</v>
      </c>
      <c r="M181" s="78">
        <v>2262.09619140625</v>
      </c>
      <c r="N181" s="78">
        <v>9774.8076171875</v>
      </c>
      <c r="O181" s="79"/>
      <c r="P181" s="80"/>
      <c r="Q181" s="80"/>
      <c r="R181" s="93"/>
      <c r="S181" s="49">
        <v>0</v>
      </c>
      <c r="T181" s="49">
        <v>2</v>
      </c>
      <c r="U181" s="50">
        <v>0</v>
      </c>
      <c r="V181" s="50">
        <v>0.00119</v>
      </c>
      <c r="W181" s="50">
        <v>1.7E-05</v>
      </c>
      <c r="X181" s="50">
        <v>0.492546</v>
      </c>
      <c r="Y181" s="50">
        <v>1</v>
      </c>
      <c r="Z181" s="50">
        <v>0</v>
      </c>
      <c r="AA181" s="75">
        <v>181</v>
      </c>
      <c r="AB181" s="75"/>
      <c r="AC181" s="76"/>
      <c r="AD181" s="83" t="s">
        <v>1723</v>
      </c>
      <c r="AE181" s="91" t="s">
        <v>1934</v>
      </c>
      <c r="AF181" s="83">
        <v>10586</v>
      </c>
      <c r="AG181" s="83">
        <v>17120</v>
      </c>
      <c r="AH181" s="83">
        <v>464360</v>
      </c>
      <c r="AI181" s="83">
        <v>238639</v>
      </c>
      <c r="AJ181" s="83"/>
      <c r="AK181" s="83" t="s">
        <v>2131</v>
      </c>
      <c r="AL181" s="83" t="s">
        <v>2274</v>
      </c>
      <c r="AM181" s="88" t="str">
        <f>HYPERLINK("https://t.co/A3UWr3I0w9")</f>
        <v>https://t.co/A3UWr3I0w9</v>
      </c>
      <c r="AN181" s="83"/>
      <c r="AO181" s="85">
        <v>43247.79405092593</v>
      </c>
      <c r="AP181" s="88" t="str">
        <f>HYPERLINK("https://pbs.twimg.com/profile_banners/1000814755664150528/1585158484")</f>
        <v>https://pbs.twimg.com/profile_banners/1000814755664150528/1585158484</v>
      </c>
      <c r="AQ181" s="83" t="b">
        <v>0</v>
      </c>
      <c r="AR181" s="83" t="b">
        <v>0</v>
      </c>
      <c r="AS181" s="83" t="b">
        <v>0</v>
      </c>
      <c r="AT181" s="83"/>
      <c r="AU181" s="83">
        <v>116</v>
      </c>
      <c r="AV181" s="88" t="str">
        <f>HYPERLINK("http://abs.twimg.com/images/themes/theme1/bg.png")</f>
        <v>http://abs.twimg.com/images/themes/theme1/bg.png</v>
      </c>
      <c r="AW181" s="83" t="b">
        <v>0</v>
      </c>
      <c r="AX181" s="83" t="s">
        <v>2296</v>
      </c>
      <c r="AY181" s="88" t="str">
        <f>HYPERLINK("https://twitter.com/100xcode")</f>
        <v>https://twitter.com/100xcode</v>
      </c>
      <c r="AZ181" s="83" t="s">
        <v>66</v>
      </c>
      <c r="BA181" s="83" t="str">
        <f>REPLACE(INDEX(GroupVertices[Group],MATCH(Vertices[[#This Row],[Vertex]],GroupVertices[Vertex],0)),1,1,"")</f>
        <v>1</v>
      </c>
      <c r="BB181" s="49">
        <v>0</v>
      </c>
      <c r="BC181" s="50">
        <v>0</v>
      </c>
      <c r="BD181" s="49">
        <v>0</v>
      </c>
      <c r="BE181" s="50">
        <v>0</v>
      </c>
      <c r="BF181" s="49">
        <v>0</v>
      </c>
      <c r="BG181" s="50">
        <v>0</v>
      </c>
      <c r="BH181" s="49">
        <v>32</v>
      </c>
      <c r="BI181" s="50">
        <v>100</v>
      </c>
      <c r="BJ181" s="49">
        <v>32</v>
      </c>
      <c r="BK181" s="49"/>
      <c r="BL181" s="49"/>
      <c r="BM181" s="49"/>
      <c r="BN181" s="49"/>
      <c r="BO181" s="49" t="s">
        <v>612</v>
      </c>
      <c r="BP181" s="49" t="s">
        <v>612</v>
      </c>
      <c r="BQ181" s="119" t="s">
        <v>5039</v>
      </c>
      <c r="BR181" s="119" t="s">
        <v>5039</v>
      </c>
      <c r="BS181" s="119" t="s">
        <v>5164</v>
      </c>
      <c r="BT181" s="119" t="s">
        <v>5164</v>
      </c>
      <c r="BU181" s="2"/>
      <c r="BV181" s="3"/>
      <c r="BW181" s="3"/>
      <c r="BX181" s="3"/>
      <c r="BY181" s="3"/>
    </row>
    <row r="182" spans="1:77" ht="15">
      <c r="A182" s="68" t="s">
        <v>369</v>
      </c>
      <c r="B182" s="69"/>
      <c r="C182" s="69" t="s">
        <v>64</v>
      </c>
      <c r="D182" s="70">
        <v>263.3984445617174</v>
      </c>
      <c r="E182" s="72"/>
      <c r="F182" s="107" t="str">
        <f>HYPERLINK("http://pbs.twimg.com/profile_images/1282626018541555713/uG5dBKdn_normal.jpg")</f>
        <v>http://pbs.twimg.com/profile_images/1282626018541555713/uG5dBKdn_normal.jpg</v>
      </c>
      <c r="G182" s="69"/>
      <c r="H182" s="73" t="s">
        <v>369</v>
      </c>
      <c r="I182" s="74" t="s">
        <v>5228</v>
      </c>
      <c r="J182" s="74" t="s">
        <v>73</v>
      </c>
      <c r="K182" s="73" t="s">
        <v>2475</v>
      </c>
      <c r="L182" s="77">
        <v>646.0322580645161</v>
      </c>
      <c r="M182" s="78">
        <v>9241.009765625</v>
      </c>
      <c r="N182" s="78">
        <v>1367.6376953125</v>
      </c>
      <c r="O182" s="79"/>
      <c r="P182" s="80"/>
      <c r="Q182" s="80"/>
      <c r="R182" s="93"/>
      <c r="S182" s="49">
        <v>2</v>
      </c>
      <c r="T182" s="49">
        <v>1</v>
      </c>
      <c r="U182" s="50">
        <v>0</v>
      </c>
      <c r="V182" s="50">
        <v>1</v>
      </c>
      <c r="W182" s="50">
        <v>0</v>
      </c>
      <c r="X182" s="50">
        <v>1.298242</v>
      </c>
      <c r="Y182" s="50">
        <v>0</v>
      </c>
      <c r="Z182" s="50">
        <v>0</v>
      </c>
      <c r="AA182" s="75">
        <v>182</v>
      </c>
      <c r="AB182" s="75"/>
      <c r="AC182" s="76"/>
      <c r="AD182" s="83" t="s">
        <v>1724</v>
      </c>
      <c r="AE182" s="91" t="s">
        <v>1935</v>
      </c>
      <c r="AF182" s="83">
        <v>58</v>
      </c>
      <c r="AG182" s="83">
        <v>31</v>
      </c>
      <c r="AH182" s="83">
        <v>87</v>
      </c>
      <c r="AI182" s="83">
        <v>15</v>
      </c>
      <c r="AJ182" s="83"/>
      <c r="AK182" s="83" t="s">
        <v>2132</v>
      </c>
      <c r="AL182" s="83" t="s">
        <v>2275</v>
      </c>
      <c r="AM182" s="88" t="str">
        <f>HYPERLINK("https://t.co/WfzMXjCv0t")</f>
        <v>https://t.co/WfzMXjCv0t</v>
      </c>
      <c r="AN182" s="83"/>
      <c r="AO182" s="85">
        <v>43152.76091435185</v>
      </c>
      <c r="AP182" s="88" t="str">
        <f>HYPERLINK("https://pbs.twimg.com/profile_banners/966375899439431680/1594221747")</f>
        <v>https://pbs.twimg.com/profile_banners/966375899439431680/1594221747</v>
      </c>
      <c r="AQ182" s="83" t="b">
        <v>0</v>
      </c>
      <c r="AR182" s="83" t="b">
        <v>0</v>
      </c>
      <c r="AS182" s="83" t="b">
        <v>0</v>
      </c>
      <c r="AT182" s="83"/>
      <c r="AU182" s="83">
        <v>0</v>
      </c>
      <c r="AV182" s="88" t="str">
        <f>HYPERLINK("http://abs.twimg.com/images/themes/theme1/bg.png")</f>
        <v>http://abs.twimg.com/images/themes/theme1/bg.png</v>
      </c>
      <c r="AW182" s="83" t="b">
        <v>0</v>
      </c>
      <c r="AX182" s="83" t="s">
        <v>2296</v>
      </c>
      <c r="AY182" s="88" t="str">
        <f>HYPERLINK("https://twitter.com/sufleio")</f>
        <v>https://twitter.com/sufleio</v>
      </c>
      <c r="AZ182" s="83" t="s">
        <v>66</v>
      </c>
      <c r="BA182" s="83" t="str">
        <f>REPLACE(INDEX(GroupVertices[Group],MATCH(Vertices[[#This Row],[Vertex]],GroupVertices[Vertex],0)),1,1,"")</f>
        <v>14</v>
      </c>
      <c r="BB182" s="49">
        <v>0</v>
      </c>
      <c r="BC182" s="50">
        <v>0</v>
      </c>
      <c r="BD182" s="49">
        <v>0</v>
      </c>
      <c r="BE182" s="50">
        <v>0</v>
      </c>
      <c r="BF182" s="49">
        <v>0</v>
      </c>
      <c r="BG182" s="50">
        <v>0</v>
      </c>
      <c r="BH182" s="49">
        <v>43</v>
      </c>
      <c r="BI182" s="50">
        <v>100</v>
      </c>
      <c r="BJ182" s="49">
        <v>43</v>
      </c>
      <c r="BK182" s="49" t="s">
        <v>4524</v>
      </c>
      <c r="BL182" s="49" t="s">
        <v>4524</v>
      </c>
      <c r="BM182" s="49" t="s">
        <v>555</v>
      </c>
      <c r="BN182" s="49" t="s">
        <v>555</v>
      </c>
      <c r="BO182" s="49" t="s">
        <v>613</v>
      </c>
      <c r="BP182" s="49" t="s">
        <v>613</v>
      </c>
      <c r="BQ182" s="119" t="s">
        <v>5040</v>
      </c>
      <c r="BR182" s="119" t="s">
        <v>5040</v>
      </c>
      <c r="BS182" s="119" t="s">
        <v>5165</v>
      </c>
      <c r="BT182" s="119" t="s">
        <v>5165</v>
      </c>
      <c r="BU182" s="2"/>
      <c r="BV182" s="3"/>
      <c r="BW182" s="3"/>
      <c r="BX182" s="3"/>
      <c r="BY182" s="3"/>
    </row>
    <row r="183" spans="1:77" ht="15">
      <c r="A183" s="68" t="s">
        <v>370</v>
      </c>
      <c r="B183" s="69"/>
      <c r="C183" s="69" t="s">
        <v>46</v>
      </c>
      <c r="D183" s="70"/>
      <c r="E183" s="72"/>
      <c r="F183" s="107" t="str">
        <f>HYPERLINK("http://pbs.twimg.com/profile_images/998576678304600066/5TkTMMmp_normal.jpg")</f>
        <v>http://pbs.twimg.com/profile_images/998576678304600066/5TkTMMmp_normal.jpg</v>
      </c>
      <c r="G183" s="69"/>
      <c r="H183" s="73" t="s">
        <v>370</v>
      </c>
      <c r="I183" s="74" t="s">
        <v>5228</v>
      </c>
      <c r="J183" s="74" t="s">
        <v>73</v>
      </c>
      <c r="K183" s="73" t="s">
        <v>2476</v>
      </c>
      <c r="L183" s="77">
        <v>1</v>
      </c>
      <c r="M183" s="78">
        <v>8762.337890625</v>
      </c>
      <c r="N183" s="78">
        <v>2690.3671875</v>
      </c>
      <c r="O183" s="79"/>
      <c r="P183" s="80"/>
      <c r="Q183" s="80"/>
      <c r="R183" s="93"/>
      <c r="S183" s="49">
        <v>0</v>
      </c>
      <c r="T183" s="49">
        <v>1</v>
      </c>
      <c r="U183" s="50">
        <v>0</v>
      </c>
      <c r="V183" s="50">
        <v>1</v>
      </c>
      <c r="W183" s="50">
        <v>0</v>
      </c>
      <c r="X183" s="50">
        <v>0.701753</v>
      </c>
      <c r="Y183" s="50">
        <v>0</v>
      </c>
      <c r="Z183" s="50">
        <v>0</v>
      </c>
      <c r="AA183" s="75">
        <v>183</v>
      </c>
      <c r="AB183" s="75"/>
      <c r="AC183" s="76"/>
      <c r="AD183" s="83" t="s">
        <v>1725</v>
      </c>
      <c r="AE183" s="91" t="s">
        <v>1936</v>
      </c>
      <c r="AF183" s="83">
        <v>743</v>
      </c>
      <c r="AG183" s="83">
        <v>362</v>
      </c>
      <c r="AH183" s="83">
        <v>2265</v>
      </c>
      <c r="AI183" s="83">
        <v>2628</v>
      </c>
      <c r="AJ183" s="83"/>
      <c r="AK183" s="83" t="s">
        <v>2133</v>
      </c>
      <c r="AL183" s="83" t="s">
        <v>2275</v>
      </c>
      <c r="AM183" s="88" t="str">
        <f>HYPERLINK("https://t.co/dcylf0Omkx")</f>
        <v>https://t.co/dcylf0Omkx</v>
      </c>
      <c r="AN183" s="83"/>
      <c r="AO183" s="85">
        <v>40257.65765046296</v>
      </c>
      <c r="AP183" s="88" t="str">
        <f>HYPERLINK("https://pbs.twimg.com/profile_banners/124793917/1582823439")</f>
        <v>https://pbs.twimg.com/profile_banners/124793917/1582823439</v>
      </c>
      <c r="AQ183" s="83" t="b">
        <v>1</v>
      </c>
      <c r="AR183" s="83" t="b">
        <v>0</v>
      </c>
      <c r="AS183" s="83" t="b">
        <v>1</v>
      </c>
      <c r="AT183" s="83"/>
      <c r="AU183" s="83">
        <v>9</v>
      </c>
      <c r="AV183" s="88" t="str">
        <f>HYPERLINK("http://abs.twimg.com/images/themes/theme1/bg.png")</f>
        <v>http://abs.twimg.com/images/themes/theme1/bg.png</v>
      </c>
      <c r="AW183" s="83" t="b">
        <v>0</v>
      </c>
      <c r="AX183" s="83" t="s">
        <v>2296</v>
      </c>
      <c r="AY183" s="88" t="str">
        <f>HYPERLINK("https://twitter.com/duruldoktoroglu")</f>
        <v>https://twitter.com/duruldoktoroglu</v>
      </c>
      <c r="AZ183" s="83" t="s">
        <v>66</v>
      </c>
      <c r="BA183" s="83" t="str">
        <f>REPLACE(INDEX(GroupVertices[Group],MATCH(Vertices[[#This Row],[Vertex]],GroupVertices[Vertex],0)),1,1,"")</f>
        <v>14</v>
      </c>
      <c r="BB183" s="49">
        <v>0</v>
      </c>
      <c r="BC183" s="50">
        <v>0</v>
      </c>
      <c r="BD183" s="49">
        <v>0</v>
      </c>
      <c r="BE183" s="50">
        <v>0</v>
      </c>
      <c r="BF183" s="49">
        <v>0</v>
      </c>
      <c r="BG183" s="50">
        <v>0</v>
      </c>
      <c r="BH183" s="49">
        <v>43</v>
      </c>
      <c r="BI183" s="50">
        <v>100</v>
      </c>
      <c r="BJ183" s="49">
        <v>43</v>
      </c>
      <c r="BK183" s="49" t="s">
        <v>4524</v>
      </c>
      <c r="BL183" s="49" t="s">
        <v>4524</v>
      </c>
      <c r="BM183" s="49" t="s">
        <v>555</v>
      </c>
      <c r="BN183" s="49" t="s">
        <v>555</v>
      </c>
      <c r="BO183" s="49" t="s">
        <v>613</v>
      </c>
      <c r="BP183" s="49" t="s">
        <v>613</v>
      </c>
      <c r="BQ183" s="119" t="s">
        <v>5040</v>
      </c>
      <c r="BR183" s="119" t="s">
        <v>5040</v>
      </c>
      <c r="BS183" s="119" t="s">
        <v>5165</v>
      </c>
      <c r="BT183" s="119" t="s">
        <v>5165</v>
      </c>
      <c r="BU183" s="2"/>
      <c r="BV183" s="3"/>
      <c r="BW183" s="3"/>
      <c r="BX183" s="3"/>
      <c r="BY183" s="3"/>
    </row>
    <row r="184" spans="1:77" ht="15">
      <c r="A184" s="68" t="s">
        <v>371</v>
      </c>
      <c r="B184" s="69"/>
      <c r="C184" s="69" t="s">
        <v>46</v>
      </c>
      <c r="D184" s="70"/>
      <c r="E184" s="72"/>
      <c r="F184" s="107" t="str">
        <f>HYPERLINK("http://pbs.twimg.com/profile_images/1174224891240951810/m3vm6Ih0_normal.jpg")</f>
        <v>http://pbs.twimg.com/profile_images/1174224891240951810/m3vm6Ih0_normal.jpg</v>
      </c>
      <c r="G184" s="69"/>
      <c r="H184" s="73" t="s">
        <v>371</v>
      </c>
      <c r="I184" s="74" t="s">
        <v>5217</v>
      </c>
      <c r="J184" s="74" t="s">
        <v>73</v>
      </c>
      <c r="K184" s="73" t="s">
        <v>2477</v>
      </c>
      <c r="L184" s="77">
        <v>1</v>
      </c>
      <c r="M184" s="78">
        <v>3666.275634765625</v>
      </c>
      <c r="N184" s="78">
        <v>8005.28857421875</v>
      </c>
      <c r="O184" s="79"/>
      <c r="P184" s="80"/>
      <c r="Q184" s="80"/>
      <c r="R184" s="93"/>
      <c r="S184" s="49">
        <v>0</v>
      </c>
      <c r="T184" s="49">
        <v>2</v>
      </c>
      <c r="U184" s="50">
        <v>120.324438</v>
      </c>
      <c r="V184" s="50">
        <v>0.001381</v>
      </c>
      <c r="W184" s="50">
        <v>2.1E-05</v>
      </c>
      <c r="X184" s="50">
        <v>0.666667</v>
      </c>
      <c r="Y184" s="50">
        <v>0</v>
      </c>
      <c r="Z184" s="50">
        <v>0</v>
      </c>
      <c r="AA184" s="75">
        <v>184</v>
      </c>
      <c r="AB184" s="75"/>
      <c r="AC184" s="76"/>
      <c r="AD184" s="83" t="s">
        <v>1726</v>
      </c>
      <c r="AE184" s="91" t="s">
        <v>1937</v>
      </c>
      <c r="AF184" s="83">
        <v>4</v>
      </c>
      <c r="AG184" s="83">
        <v>3616</v>
      </c>
      <c r="AH184" s="83">
        <v>104931</v>
      </c>
      <c r="AI184" s="83">
        <v>64372</v>
      </c>
      <c r="AJ184" s="83"/>
      <c r="AK184" s="83" t="s">
        <v>2134</v>
      </c>
      <c r="AL184" s="83"/>
      <c r="AM184" s="83"/>
      <c r="AN184" s="83"/>
      <c r="AO184" s="85">
        <v>43726.3130787037</v>
      </c>
      <c r="AP184" s="88" t="str">
        <f>HYPERLINK("https://pbs.twimg.com/profile_banners/1174224194785202176/1568799540")</f>
        <v>https://pbs.twimg.com/profile_banners/1174224194785202176/1568799540</v>
      </c>
      <c r="AQ184" s="83" t="b">
        <v>1</v>
      </c>
      <c r="AR184" s="83" t="b">
        <v>0</v>
      </c>
      <c r="AS184" s="83" t="b">
        <v>0</v>
      </c>
      <c r="AT184" s="83"/>
      <c r="AU184" s="83">
        <v>40</v>
      </c>
      <c r="AV184" s="83"/>
      <c r="AW184" s="83" t="b">
        <v>0</v>
      </c>
      <c r="AX184" s="83" t="s">
        <v>2296</v>
      </c>
      <c r="AY184" s="88" t="str">
        <f>HYPERLINK("https://twitter.com/networkindie")</f>
        <v>https://twitter.com/networkindie</v>
      </c>
      <c r="AZ184" s="83" t="s">
        <v>66</v>
      </c>
      <c r="BA184" s="83" t="str">
        <f>REPLACE(INDEX(GroupVertices[Group],MATCH(Vertices[[#This Row],[Vertex]],GroupVertices[Vertex],0)),1,1,"")</f>
        <v>2</v>
      </c>
      <c r="BB184" s="49">
        <v>0</v>
      </c>
      <c r="BC184" s="50">
        <v>0</v>
      </c>
      <c r="BD184" s="49">
        <v>0</v>
      </c>
      <c r="BE184" s="50">
        <v>0</v>
      </c>
      <c r="BF184" s="49">
        <v>0</v>
      </c>
      <c r="BG184" s="50">
        <v>0</v>
      </c>
      <c r="BH184" s="49">
        <v>75</v>
      </c>
      <c r="BI184" s="50">
        <v>100</v>
      </c>
      <c r="BJ184" s="49">
        <v>75</v>
      </c>
      <c r="BK184" s="49" t="s">
        <v>4455</v>
      </c>
      <c r="BL184" s="49" t="s">
        <v>4455</v>
      </c>
      <c r="BM184" s="49" t="s">
        <v>533</v>
      </c>
      <c r="BN184" s="49" t="s">
        <v>533</v>
      </c>
      <c r="BO184" s="49" t="s">
        <v>614</v>
      </c>
      <c r="BP184" s="49" t="s">
        <v>614</v>
      </c>
      <c r="BQ184" s="119" t="s">
        <v>5041</v>
      </c>
      <c r="BR184" s="119" t="s">
        <v>5090</v>
      </c>
      <c r="BS184" s="119" t="s">
        <v>5166</v>
      </c>
      <c r="BT184" s="119" t="s">
        <v>5166</v>
      </c>
      <c r="BU184" s="2"/>
      <c r="BV184" s="3"/>
      <c r="BW184" s="3"/>
      <c r="BX184" s="3"/>
      <c r="BY184" s="3"/>
    </row>
    <row r="185" spans="1:77" ht="15">
      <c r="A185" s="68" t="s">
        <v>378</v>
      </c>
      <c r="B185" s="69"/>
      <c r="C185" s="69" t="s">
        <v>64</v>
      </c>
      <c r="D185" s="70">
        <v>665.025476933108</v>
      </c>
      <c r="E185" s="72"/>
      <c r="F185" s="107" t="str">
        <f>HYPERLINK("http://pbs.twimg.com/profile_images/1283815999968620544/_PWQrfKs_normal.jpg")</f>
        <v>http://pbs.twimg.com/profile_images/1283815999968620544/_PWQrfKs_normal.jpg</v>
      </c>
      <c r="G185" s="69"/>
      <c r="H185" s="73" t="s">
        <v>378</v>
      </c>
      <c r="I185" s="74" t="s">
        <v>5217</v>
      </c>
      <c r="J185" s="74" t="s">
        <v>73</v>
      </c>
      <c r="K185" s="73" t="s">
        <v>2478</v>
      </c>
      <c r="L185" s="77">
        <v>1936.0967741935483</v>
      </c>
      <c r="M185" s="78">
        <v>3654.193115234375</v>
      </c>
      <c r="N185" s="78">
        <v>6887.26806640625</v>
      </c>
      <c r="O185" s="79"/>
      <c r="P185" s="80"/>
      <c r="Q185" s="80"/>
      <c r="R185" s="93"/>
      <c r="S185" s="49">
        <v>6</v>
      </c>
      <c r="T185" s="49">
        <v>1</v>
      </c>
      <c r="U185" s="50">
        <v>1086.685714</v>
      </c>
      <c r="V185" s="50">
        <v>0.001307</v>
      </c>
      <c r="W185" s="50">
        <v>1.1E-05</v>
      </c>
      <c r="X185" s="50">
        <v>2.059811</v>
      </c>
      <c r="Y185" s="50">
        <v>0</v>
      </c>
      <c r="Z185" s="50">
        <v>0</v>
      </c>
      <c r="AA185" s="75">
        <v>185</v>
      </c>
      <c r="AB185" s="75"/>
      <c r="AC185" s="76"/>
      <c r="AD185" s="83" t="s">
        <v>1727</v>
      </c>
      <c r="AE185" s="91" t="s">
        <v>1938</v>
      </c>
      <c r="AF185" s="83">
        <v>251</v>
      </c>
      <c r="AG185" s="83">
        <v>253</v>
      </c>
      <c r="AH185" s="83">
        <v>145</v>
      </c>
      <c r="AI185" s="83">
        <v>133</v>
      </c>
      <c r="AJ185" s="83"/>
      <c r="AK185" s="83" t="s">
        <v>2135</v>
      </c>
      <c r="AL185" s="83" t="s">
        <v>2276</v>
      </c>
      <c r="AM185" s="83"/>
      <c r="AN185" s="83"/>
      <c r="AO185" s="85">
        <v>42154.19888888889</v>
      </c>
      <c r="AP185" s="88" t="str">
        <f>HYPERLINK("https://pbs.twimg.com/profile_banners/3230304612/1598116759")</f>
        <v>https://pbs.twimg.com/profile_banners/3230304612/1598116759</v>
      </c>
      <c r="AQ185" s="83" t="b">
        <v>1</v>
      </c>
      <c r="AR185" s="83" t="b">
        <v>0</v>
      </c>
      <c r="AS185" s="83" t="b">
        <v>0</v>
      </c>
      <c r="AT185" s="83"/>
      <c r="AU185" s="83">
        <v>0</v>
      </c>
      <c r="AV185" s="88" t="str">
        <f>HYPERLINK("http://abs.twimg.com/images/themes/theme1/bg.png")</f>
        <v>http://abs.twimg.com/images/themes/theme1/bg.png</v>
      </c>
      <c r="AW185" s="83" t="b">
        <v>0</v>
      </c>
      <c r="AX185" s="83" t="s">
        <v>2296</v>
      </c>
      <c r="AY185" s="88" t="str">
        <f>HYPERLINK("https://twitter.com/amayo_ii")</f>
        <v>https://twitter.com/amayo_ii</v>
      </c>
      <c r="AZ185" s="83" t="s">
        <v>66</v>
      </c>
      <c r="BA185" s="83" t="str">
        <f>REPLACE(INDEX(GroupVertices[Group],MATCH(Vertices[[#This Row],[Vertex]],GroupVertices[Vertex],0)),1,1,"")</f>
        <v>2</v>
      </c>
      <c r="BB185" s="49">
        <v>0</v>
      </c>
      <c r="BC185" s="50">
        <v>0</v>
      </c>
      <c r="BD185" s="49">
        <v>0</v>
      </c>
      <c r="BE185" s="50">
        <v>0</v>
      </c>
      <c r="BF185" s="49">
        <v>0</v>
      </c>
      <c r="BG185" s="50">
        <v>0</v>
      </c>
      <c r="BH185" s="49">
        <v>49</v>
      </c>
      <c r="BI185" s="50">
        <v>100</v>
      </c>
      <c r="BJ185" s="49">
        <v>49</v>
      </c>
      <c r="BK185" s="49"/>
      <c r="BL185" s="49"/>
      <c r="BM185" s="49"/>
      <c r="BN185" s="49"/>
      <c r="BO185" s="49" t="s">
        <v>614</v>
      </c>
      <c r="BP185" s="49" t="s">
        <v>614</v>
      </c>
      <c r="BQ185" s="119" t="s">
        <v>5042</v>
      </c>
      <c r="BR185" s="119" t="s">
        <v>5042</v>
      </c>
      <c r="BS185" s="119" t="s">
        <v>5166</v>
      </c>
      <c r="BT185" s="119" t="s">
        <v>5166</v>
      </c>
      <c r="BU185" s="2"/>
      <c r="BV185" s="3"/>
      <c r="BW185" s="3"/>
      <c r="BX185" s="3"/>
      <c r="BY185" s="3"/>
    </row>
    <row r="186" spans="1:77" ht="15">
      <c r="A186" s="68" t="s">
        <v>373</v>
      </c>
      <c r="B186" s="69"/>
      <c r="C186" s="69" t="s">
        <v>46</v>
      </c>
      <c r="D186" s="70"/>
      <c r="E186" s="72"/>
      <c r="F186" s="107" t="str">
        <f>HYPERLINK("http://pbs.twimg.com/profile_images/1296150707821637639/CaDtXQlj_normal.jpg")</f>
        <v>http://pbs.twimg.com/profile_images/1296150707821637639/CaDtXQlj_normal.jpg</v>
      </c>
      <c r="G186" s="69"/>
      <c r="H186" s="73" t="s">
        <v>373</v>
      </c>
      <c r="I186" s="74" t="s">
        <v>5217</v>
      </c>
      <c r="J186" s="74" t="s">
        <v>73</v>
      </c>
      <c r="K186" s="73" t="s">
        <v>2479</v>
      </c>
      <c r="L186" s="77">
        <v>1</v>
      </c>
      <c r="M186" s="78">
        <v>4356.37158203125</v>
      </c>
      <c r="N186" s="78">
        <v>6844.5986328125</v>
      </c>
      <c r="O186" s="79"/>
      <c r="P186" s="80"/>
      <c r="Q186" s="80"/>
      <c r="R186" s="93"/>
      <c r="S186" s="49">
        <v>0</v>
      </c>
      <c r="T186" s="49">
        <v>6</v>
      </c>
      <c r="U186" s="50">
        <v>1878.578944</v>
      </c>
      <c r="V186" s="50">
        <v>0.001689</v>
      </c>
      <c r="W186" s="50">
        <v>0.000139</v>
      </c>
      <c r="X186" s="50">
        <v>1.468694</v>
      </c>
      <c r="Y186" s="50">
        <v>0.06666666666666667</v>
      </c>
      <c r="Z186" s="50">
        <v>0</v>
      </c>
      <c r="AA186" s="75">
        <v>186</v>
      </c>
      <c r="AB186" s="75"/>
      <c r="AC186" s="76"/>
      <c r="AD186" s="83" t="s">
        <v>1728</v>
      </c>
      <c r="AE186" s="91" t="s">
        <v>1939</v>
      </c>
      <c r="AF186" s="83">
        <v>126</v>
      </c>
      <c r="AG186" s="83">
        <v>14532</v>
      </c>
      <c r="AH186" s="83">
        <v>957055</v>
      </c>
      <c r="AI186" s="83">
        <v>36059</v>
      </c>
      <c r="AJ186" s="83"/>
      <c r="AK186" s="83" t="s">
        <v>2136</v>
      </c>
      <c r="AL186" s="83" t="s">
        <v>2277</v>
      </c>
      <c r="AM186" s="88" t="str">
        <f>HYPERLINK("https://t.co/oLCJZbKKZ3")</f>
        <v>https://t.co/oLCJZbKKZ3</v>
      </c>
      <c r="AN186" s="83"/>
      <c r="AO186" s="85">
        <v>40698.62355324074</v>
      </c>
      <c r="AP186" s="88" t="str">
        <f>HYPERLINK("https://pbs.twimg.com/profile_banners/310897418/1572929508")</f>
        <v>https://pbs.twimg.com/profile_banners/310897418/1572929508</v>
      </c>
      <c r="AQ186" s="83" t="b">
        <v>0</v>
      </c>
      <c r="AR186" s="83" t="b">
        <v>0</v>
      </c>
      <c r="AS186" s="83" t="b">
        <v>0</v>
      </c>
      <c r="AT186" s="83"/>
      <c r="AU186" s="83">
        <v>275</v>
      </c>
      <c r="AV186" s="88" t="str">
        <f>HYPERLINK("http://abs.twimg.com/images/themes/theme1/bg.png")</f>
        <v>http://abs.twimg.com/images/themes/theme1/bg.png</v>
      </c>
      <c r="AW186" s="83" t="b">
        <v>0</v>
      </c>
      <c r="AX186" s="83" t="s">
        <v>2296</v>
      </c>
      <c r="AY186" s="88" t="str">
        <f>HYPERLINK("https://twitter.com/aaroncuddeback")</f>
        <v>https://twitter.com/aaroncuddeback</v>
      </c>
      <c r="AZ186" s="83" t="s">
        <v>66</v>
      </c>
      <c r="BA186" s="83" t="str">
        <f>REPLACE(INDEX(GroupVertices[Group],MATCH(Vertices[[#This Row],[Vertex]],GroupVertices[Vertex],0)),1,1,"")</f>
        <v>2</v>
      </c>
      <c r="BB186" s="49">
        <v>0</v>
      </c>
      <c r="BC186" s="50">
        <v>0</v>
      </c>
      <c r="BD186" s="49">
        <v>0</v>
      </c>
      <c r="BE186" s="50">
        <v>0</v>
      </c>
      <c r="BF186" s="49">
        <v>0</v>
      </c>
      <c r="BG186" s="50">
        <v>0</v>
      </c>
      <c r="BH186" s="49">
        <v>194</v>
      </c>
      <c r="BI186" s="50">
        <v>100</v>
      </c>
      <c r="BJ186" s="49">
        <v>194</v>
      </c>
      <c r="BK186" s="49" t="s">
        <v>4826</v>
      </c>
      <c r="BL186" s="49" t="s">
        <v>4826</v>
      </c>
      <c r="BM186" s="49" t="s">
        <v>4863</v>
      </c>
      <c r="BN186" s="49" t="s">
        <v>4863</v>
      </c>
      <c r="BO186" s="49" t="s">
        <v>4918</v>
      </c>
      <c r="BP186" s="49" t="s">
        <v>4918</v>
      </c>
      <c r="BQ186" s="119" t="s">
        <v>5043</v>
      </c>
      <c r="BR186" s="119" t="s">
        <v>5091</v>
      </c>
      <c r="BS186" s="119" t="s">
        <v>5167</v>
      </c>
      <c r="BT186" s="119" t="s">
        <v>5167</v>
      </c>
      <c r="BU186" s="2"/>
      <c r="BV186" s="3"/>
      <c r="BW186" s="3"/>
      <c r="BX186" s="3"/>
      <c r="BY186" s="3"/>
    </row>
    <row r="187" spans="1:77" ht="15">
      <c r="A187" s="68" t="s">
        <v>374</v>
      </c>
      <c r="B187" s="69"/>
      <c r="C187" s="69" t="s">
        <v>46</v>
      </c>
      <c r="D187" s="70"/>
      <c r="E187" s="72"/>
      <c r="F187" s="107" t="str">
        <f>HYPERLINK("http://pbs.twimg.com/profile_images/1297603095514484736/6GlDDQrV_normal.jpg")</f>
        <v>http://pbs.twimg.com/profile_images/1297603095514484736/6GlDDQrV_normal.jpg</v>
      </c>
      <c r="G187" s="69"/>
      <c r="H187" s="73" t="s">
        <v>374</v>
      </c>
      <c r="I187" s="74" t="s">
        <v>5217</v>
      </c>
      <c r="J187" s="74" t="s">
        <v>73</v>
      </c>
      <c r="K187" s="73" t="s">
        <v>2480</v>
      </c>
      <c r="L187" s="77">
        <v>1</v>
      </c>
      <c r="M187" s="78">
        <v>3191.169921875</v>
      </c>
      <c r="N187" s="78">
        <v>7327.84130859375</v>
      </c>
      <c r="O187" s="79"/>
      <c r="P187" s="80"/>
      <c r="Q187" s="80"/>
      <c r="R187" s="93"/>
      <c r="S187" s="49">
        <v>0</v>
      </c>
      <c r="T187" s="49">
        <v>1</v>
      </c>
      <c r="U187" s="50">
        <v>0</v>
      </c>
      <c r="V187" s="50">
        <v>0.001057</v>
      </c>
      <c r="W187" s="50">
        <v>1E-06</v>
      </c>
      <c r="X187" s="50">
        <v>0.441806</v>
      </c>
      <c r="Y187" s="50">
        <v>0</v>
      </c>
      <c r="Z187" s="50">
        <v>0</v>
      </c>
      <c r="AA187" s="75">
        <v>187</v>
      </c>
      <c r="AB187" s="75"/>
      <c r="AC187" s="76"/>
      <c r="AD187" s="83" t="s">
        <v>1729</v>
      </c>
      <c r="AE187" s="91" t="s">
        <v>1940</v>
      </c>
      <c r="AF187" s="83">
        <v>1670</v>
      </c>
      <c r="AG187" s="83">
        <v>1362</v>
      </c>
      <c r="AH187" s="83">
        <v>10090</v>
      </c>
      <c r="AI187" s="83">
        <v>17614</v>
      </c>
      <c r="AJ187" s="83"/>
      <c r="AK187" s="83" t="s">
        <v>2137</v>
      </c>
      <c r="AL187" s="83"/>
      <c r="AM187" s="88" t="str">
        <f>HYPERLINK("https://t.co/yMUu4mSL9d")</f>
        <v>https://t.co/yMUu4mSL9d</v>
      </c>
      <c r="AN187" s="83"/>
      <c r="AO187" s="85">
        <v>40586.37229166667</v>
      </c>
      <c r="AP187" s="88" t="str">
        <f>HYPERLINK("https://pbs.twimg.com/profile_banners/251030517/1598207736")</f>
        <v>https://pbs.twimg.com/profile_banners/251030517/1598207736</v>
      </c>
      <c r="AQ187" s="83" t="b">
        <v>0</v>
      </c>
      <c r="AR187" s="83" t="b">
        <v>0</v>
      </c>
      <c r="AS187" s="83" t="b">
        <v>0</v>
      </c>
      <c r="AT187" s="83"/>
      <c r="AU187" s="83">
        <v>3</v>
      </c>
      <c r="AV187" s="88" t="str">
        <f>HYPERLINK("http://abs.twimg.com/images/themes/theme8/bg.gif")</f>
        <v>http://abs.twimg.com/images/themes/theme8/bg.gif</v>
      </c>
      <c r="AW187" s="83" t="b">
        <v>0</v>
      </c>
      <c r="AX187" s="83" t="s">
        <v>2296</v>
      </c>
      <c r="AY187" s="88" t="str">
        <f>HYPERLINK("https://twitter.com/yahaya_hk")</f>
        <v>https://twitter.com/yahaya_hk</v>
      </c>
      <c r="AZ187" s="83" t="s">
        <v>66</v>
      </c>
      <c r="BA187" s="83" t="str">
        <f>REPLACE(INDEX(GroupVertices[Group],MATCH(Vertices[[#This Row],[Vertex]],GroupVertices[Vertex],0)),1,1,"")</f>
        <v>2</v>
      </c>
      <c r="BB187" s="49">
        <v>0</v>
      </c>
      <c r="BC187" s="50">
        <v>0</v>
      </c>
      <c r="BD187" s="49">
        <v>0</v>
      </c>
      <c r="BE187" s="50">
        <v>0</v>
      </c>
      <c r="BF187" s="49">
        <v>0</v>
      </c>
      <c r="BG187" s="50">
        <v>0</v>
      </c>
      <c r="BH187" s="49">
        <v>49</v>
      </c>
      <c r="BI187" s="50">
        <v>100</v>
      </c>
      <c r="BJ187" s="49">
        <v>49</v>
      </c>
      <c r="BK187" s="49"/>
      <c r="BL187" s="49"/>
      <c r="BM187" s="49"/>
      <c r="BN187" s="49"/>
      <c r="BO187" s="49" t="s">
        <v>614</v>
      </c>
      <c r="BP187" s="49" t="s">
        <v>614</v>
      </c>
      <c r="BQ187" s="119" t="s">
        <v>5042</v>
      </c>
      <c r="BR187" s="119" t="s">
        <v>5042</v>
      </c>
      <c r="BS187" s="119" t="s">
        <v>5166</v>
      </c>
      <c r="BT187" s="119" t="s">
        <v>5166</v>
      </c>
      <c r="BU187" s="2"/>
      <c r="BV187" s="3"/>
      <c r="BW187" s="3"/>
      <c r="BX187" s="3"/>
      <c r="BY187" s="3"/>
    </row>
    <row r="188" spans="1:77" ht="15">
      <c r="A188" s="68" t="s">
        <v>375</v>
      </c>
      <c r="B188" s="69"/>
      <c r="C188" s="69" t="s">
        <v>46</v>
      </c>
      <c r="D188" s="70"/>
      <c r="E188" s="72"/>
      <c r="F188" s="107" t="str">
        <f>HYPERLINK("http://pbs.twimg.com/profile_images/1197879431773249536/9OU9f-ru_normal.jpg")</f>
        <v>http://pbs.twimg.com/profile_images/1197879431773249536/9OU9f-ru_normal.jpg</v>
      </c>
      <c r="G188" s="69"/>
      <c r="H188" s="73" t="s">
        <v>375</v>
      </c>
      <c r="I188" s="74" t="s">
        <v>5217</v>
      </c>
      <c r="J188" s="74" t="s">
        <v>73</v>
      </c>
      <c r="K188" s="73" t="s">
        <v>2481</v>
      </c>
      <c r="L188" s="77">
        <v>1</v>
      </c>
      <c r="M188" s="78">
        <v>3243.291259765625</v>
      </c>
      <c r="N188" s="78">
        <v>6175.70166015625</v>
      </c>
      <c r="O188" s="79"/>
      <c r="P188" s="80"/>
      <c r="Q188" s="80"/>
      <c r="R188" s="93"/>
      <c r="S188" s="49">
        <v>0</v>
      </c>
      <c r="T188" s="49">
        <v>1</v>
      </c>
      <c r="U188" s="50">
        <v>0</v>
      </c>
      <c r="V188" s="50">
        <v>0.001057</v>
      </c>
      <c r="W188" s="50">
        <v>1E-06</v>
      </c>
      <c r="X188" s="50">
        <v>0.441806</v>
      </c>
      <c r="Y188" s="50">
        <v>0</v>
      </c>
      <c r="Z188" s="50">
        <v>0</v>
      </c>
      <c r="AA188" s="75">
        <v>188</v>
      </c>
      <c r="AB188" s="75"/>
      <c r="AC188" s="76"/>
      <c r="AD188" s="83" t="s">
        <v>1730</v>
      </c>
      <c r="AE188" s="91" t="s">
        <v>1941</v>
      </c>
      <c r="AF188" s="83">
        <v>173</v>
      </c>
      <c r="AG188" s="83">
        <v>117</v>
      </c>
      <c r="AH188" s="83">
        <v>581</v>
      </c>
      <c r="AI188" s="83">
        <v>662</v>
      </c>
      <c r="AJ188" s="83"/>
      <c r="AK188" s="83" t="s">
        <v>2138</v>
      </c>
      <c r="AL188" s="83"/>
      <c r="AM188" s="83"/>
      <c r="AN188" s="83"/>
      <c r="AO188" s="85">
        <v>43783.85969907408</v>
      </c>
      <c r="AP188" s="83"/>
      <c r="AQ188" s="83" t="b">
        <v>1</v>
      </c>
      <c r="AR188" s="83" t="b">
        <v>0</v>
      </c>
      <c r="AS188" s="83" t="b">
        <v>0</v>
      </c>
      <c r="AT188" s="83"/>
      <c r="AU188" s="83">
        <v>0</v>
      </c>
      <c r="AV188" s="83"/>
      <c r="AW188" s="83" t="b">
        <v>0</v>
      </c>
      <c r="AX188" s="83" t="s">
        <v>2296</v>
      </c>
      <c r="AY188" s="88" t="str">
        <f>HYPERLINK("https://twitter.com/singa_gerry")</f>
        <v>https://twitter.com/singa_gerry</v>
      </c>
      <c r="AZ188" s="83" t="s">
        <v>66</v>
      </c>
      <c r="BA188" s="83" t="str">
        <f>REPLACE(INDEX(GroupVertices[Group],MATCH(Vertices[[#This Row],[Vertex]],GroupVertices[Vertex],0)),1,1,"")</f>
        <v>2</v>
      </c>
      <c r="BB188" s="49">
        <v>0</v>
      </c>
      <c r="BC188" s="50">
        <v>0</v>
      </c>
      <c r="BD188" s="49">
        <v>0</v>
      </c>
      <c r="BE188" s="50">
        <v>0</v>
      </c>
      <c r="BF188" s="49">
        <v>0</v>
      </c>
      <c r="BG188" s="50">
        <v>0</v>
      </c>
      <c r="BH188" s="49">
        <v>49</v>
      </c>
      <c r="BI188" s="50">
        <v>100</v>
      </c>
      <c r="BJ188" s="49">
        <v>49</v>
      </c>
      <c r="BK188" s="49"/>
      <c r="BL188" s="49"/>
      <c r="BM188" s="49"/>
      <c r="BN188" s="49"/>
      <c r="BO188" s="49" t="s">
        <v>614</v>
      </c>
      <c r="BP188" s="49" t="s">
        <v>614</v>
      </c>
      <c r="BQ188" s="119" t="s">
        <v>5042</v>
      </c>
      <c r="BR188" s="119" t="s">
        <v>5042</v>
      </c>
      <c r="BS188" s="119" t="s">
        <v>5166</v>
      </c>
      <c r="BT188" s="119" t="s">
        <v>5166</v>
      </c>
      <c r="BU188" s="2"/>
      <c r="BV188" s="3"/>
      <c r="BW188" s="3"/>
      <c r="BX188" s="3"/>
      <c r="BY188" s="3"/>
    </row>
    <row r="189" spans="1:77" ht="15">
      <c r="A189" s="68" t="s">
        <v>376</v>
      </c>
      <c r="B189" s="69"/>
      <c r="C189" s="69" t="s">
        <v>46</v>
      </c>
      <c r="D189" s="70">
        <v>10</v>
      </c>
      <c r="E189" s="72"/>
      <c r="F189" s="107" t="str">
        <f>HYPERLINK("http://pbs.twimg.com/profile_images/378800000041230810/1c0d05461abdaf1ccbcca3ef97ae9e20_normal.jpeg")</f>
        <v>http://pbs.twimg.com/profile_images/378800000041230810/1c0d05461abdaf1ccbcca3ef97ae9e20_normal.jpeg</v>
      </c>
      <c r="G189" s="69"/>
      <c r="H189" s="73" t="s">
        <v>376</v>
      </c>
      <c r="I189" s="74" t="s">
        <v>5218</v>
      </c>
      <c r="J189" s="74" t="s">
        <v>73</v>
      </c>
      <c r="K189" s="73" t="s">
        <v>2482</v>
      </c>
      <c r="L189" s="77">
        <v>323.51612903225805</v>
      </c>
      <c r="M189" s="78"/>
      <c r="N189" s="78"/>
      <c r="O189" s="79"/>
      <c r="P189" s="80"/>
      <c r="Q189" s="80"/>
      <c r="R189" s="93"/>
      <c r="S189" s="49">
        <v>1</v>
      </c>
      <c r="T189" s="49">
        <v>1</v>
      </c>
      <c r="U189" s="50">
        <v>0</v>
      </c>
      <c r="V189" s="50">
        <v>0</v>
      </c>
      <c r="W189" s="50">
        <v>0</v>
      </c>
      <c r="X189" s="50">
        <v>0.999997</v>
      </c>
      <c r="Y189" s="50">
        <v>0</v>
      </c>
      <c r="Z189" s="50">
        <v>0</v>
      </c>
      <c r="AA189" s="75">
        <v>189</v>
      </c>
      <c r="AB189" s="75"/>
      <c r="AC189" s="76"/>
      <c r="AD189" s="83" t="s">
        <v>1731</v>
      </c>
      <c r="AE189" s="91" t="s">
        <v>1942</v>
      </c>
      <c r="AF189" s="83">
        <v>361</v>
      </c>
      <c r="AG189" s="83">
        <v>77</v>
      </c>
      <c r="AH189" s="83">
        <v>737</v>
      </c>
      <c r="AI189" s="83">
        <v>2507</v>
      </c>
      <c r="AJ189" s="83"/>
      <c r="AK189" s="83" t="s">
        <v>2139</v>
      </c>
      <c r="AL189" s="83"/>
      <c r="AM189" s="83"/>
      <c r="AN189" s="83"/>
      <c r="AO189" s="85">
        <v>40535.210625</v>
      </c>
      <c r="AP189" s="83"/>
      <c r="AQ189" s="83" t="b">
        <v>0</v>
      </c>
      <c r="AR189" s="83" t="b">
        <v>0</v>
      </c>
      <c r="AS189" s="83" t="b">
        <v>0</v>
      </c>
      <c r="AT189" s="83"/>
      <c r="AU189" s="83">
        <v>0</v>
      </c>
      <c r="AV189" s="88" t="str">
        <f>HYPERLINK("http://abs.twimg.com/images/themes/theme1/bg.png")</f>
        <v>http://abs.twimg.com/images/themes/theme1/bg.png</v>
      </c>
      <c r="AW189" s="83" t="b">
        <v>0</v>
      </c>
      <c r="AX189" s="83" t="s">
        <v>2296</v>
      </c>
      <c r="AY189" s="88" t="str">
        <f>HYPERLINK("https://twitter.com/nish_mikan")</f>
        <v>https://twitter.com/nish_mikan</v>
      </c>
      <c r="AZ189" s="83" t="s">
        <v>66</v>
      </c>
      <c r="BA189" s="83" t="str">
        <f>REPLACE(INDEX(GroupVertices[Group],MATCH(Vertices[[#This Row],[Vertex]],GroupVertices[Vertex],0)),1,1,"")</f>
        <v>6</v>
      </c>
      <c r="BB189" s="49">
        <v>0</v>
      </c>
      <c r="BC189" s="50">
        <v>0</v>
      </c>
      <c r="BD189" s="49">
        <v>0</v>
      </c>
      <c r="BE189" s="50">
        <v>0</v>
      </c>
      <c r="BF189" s="49">
        <v>0</v>
      </c>
      <c r="BG189" s="50">
        <v>0</v>
      </c>
      <c r="BH189" s="49">
        <v>126</v>
      </c>
      <c r="BI189" s="50">
        <v>100</v>
      </c>
      <c r="BJ189" s="49">
        <v>126</v>
      </c>
      <c r="BK189" s="49"/>
      <c r="BL189" s="49"/>
      <c r="BM189" s="49"/>
      <c r="BN189" s="49"/>
      <c r="BO189" s="49" t="s">
        <v>615</v>
      </c>
      <c r="BP189" s="49" t="s">
        <v>615</v>
      </c>
      <c r="BQ189" s="119" t="s">
        <v>5044</v>
      </c>
      <c r="BR189" s="119" t="s">
        <v>5092</v>
      </c>
      <c r="BS189" s="119" t="s">
        <v>4731</v>
      </c>
      <c r="BT189" s="119" t="s">
        <v>5198</v>
      </c>
      <c r="BU189" s="2"/>
      <c r="BV189" s="3"/>
      <c r="BW189" s="3"/>
      <c r="BX189" s="3"/>
      <c r="BY189" s="3"/>
    </row>
    <row r="190" spans="1:77" ht="15">
      <c r="A190" s="68" t="s">
        <v>377</v>
      </c>
      <c r="B190" s="69"/>
      <c r="C190" s="69" t="s">
        <v>46</v>
      </c>
      <c r="D190" s="70">
        <v>10</v>
      </c>
      <c r="E190" s="72"/>
      <c r="F190" s="107" t="str">
        <f>HYPERLINK("http://pbs.twimg.com/profile_images/1256202672933203968/UHHuQUBe_normal.jpg")</f>
        <v>http://pbs.twimg.com/profile_images/1256202672933203968/UHHuQUBe_normal.jpg</v>
      </c>
      <c r="G190" s="69"/>
      <c r="H190" s="73" t="s">
        <v>377</v>
      </c>
      <c r="I190" s="74" t="s">
        <v>5218</v>
      </c>
      <c r="J190" s="74" t="s">
        <v>73</v>
      </c>
      <c r="K190" s="73" t="s">
        <v>2483</v>
      </c>
      <c r="L190" s="77">
        <v>323.51612903225805</v>
      </c>
      <c r="M190" s="78"/>
      <c r="N190" s="78"/>
      <c r="O190" s="79"/>
      <c r="P190" s="80"/>
      <c r="Q190" s="80"/>
      <c r="R190" s="93"/>
      <c r="S190" s="49">
        <v>1</v>
      </c>
      <c r="T190" s="49">
        <v>1</v>
      </c>
      <c r="U190" s="50">
        <v>0</v>
      </c>
      <c r="V190" s="50">
        <v>0</v>
      </c>
      <c r="W190" s="50">
        <v>0</v>
      </c>
      <c r="X190" s="50">
        <v>0.999997</v>
      </c>
      <c r="Y190" s="50">
        <v>0</v>
      </c>
      <c r="Z190" s="50">
        <v>0</v>
      </c>
      <c r="AA190" s="75">
        <v>190</v>
      </c>
      <c r="AB190" s="75"/>
      <c r="AC190" s="76"/>
      <c r="AD190" s="83" t="s">
        <v>1732</v>
      </c>
      <c r="AE190" s="91" t="s">
        <v>1455</v>
      </c>
      <c r="AF190" s="83">
        <v>49</v>
      </c>
      <c r="AG190" s="83">
        <v>34</v>
      </c>
      <c r="AH190" s="83">
        <v>166</v>
      </c>
      <c r="AI190" s="83">
        <v>135</v>
      </c>
      <c r="AJ190" s="83"/>
      <c r="AK190" s="83" t="s">
        <v>2140</v>
      </c>
      <c r="AL190" s="83"/>
      <c r="AM190" s="88" t="str">
        <f>HYPERLINK("https://t.co/C3ndQERxOG")</f>
        <v>https://t.co/C3ndQERxOG</v>
      </c>
      <c r="AN190" s="83"/>
      <c r="AO190" s="85">
        <v>41353.58146990741</v>
      </c>
      <c r="AP190" s="88" t="str">
        <f>HYPERLINK("https://pbs.twimg.com/profile_banners/1283339258/1367748400")</f>
        <v>https://pbs.twimg.com/profile_banners/1283339258/1367748400</v>
      </c>
      <c r="AQ190" s="83" t="b">
        <v>1</v>
      </c>
      <c r="AR190" s="83" t="b">
        <v>0</v>
      </c>
      <c r="AS190" s="83" t="b">
        <v>0</v>
      </c>
      <c r="AT190" s="83"/>
      <c r="AU190" s="83">
        <v>0</v>
      </c>
      <c r="AV190" s="88" t="str">
        <f>HYPERLINK("http://abs.twimg.com/images/themes/theme1/bg.png")</f>
        <v>http://abs.twimg.com/images/themes/theme1/bg.png</v>
      </c>
      <c r="AW190" s="83" t="b">
        <v>0</v>
      </c>
      <c r="AX190" s="83" t="s">
        <v>2296</v>
      </c>
      <c r="AY190" s="88" t="str">
        <f>HYPERLINK("https://twitter.com/lisphilar")</f>
        <v>https://twitter.com/lisphilar</v>
      </c>
      <c r="AZ190" s="83" t="s">
        <v>66</v>
      </c>
      <c r="BA190" s="83" t="str">
        <f>REPLACE(INDEX(GroupVertices[Group],MATCH(Vertices[[#This Row],[Vertex]],GroupVertices[Vertex],0)),1,1,"")</f>
        <v>6</v>
      </c>
      <c r="BB190" s="49">
        <v>0</v>
      </c>
      <c r="BC190" s="50">
        <v>0</v>
      </c>
      <c r="BD190" s="49">
        <v>0</v>
      </c>
      <c r="BE190" s="50">
        <v>0</v>
      </c>
      <c r="BF190" s="49">
        <v>0</v>
      </c>
      <c r="BG190" s="50">
        <v>0</v>
      </c>
      <c r="BH190" s="49">
        <v>81</v>
      </c>
      <c r="BI190" s="50">
        <v>100</v>
      </c>
      <c r="BJ190" s="49">
        <v>81</v>
      </c>
      <c r="BK190" s="49" t="s">
        <v>4827</v>
      </c>
      <c r="BL190" s="49" t="s">
        <v>4827</v>
      </c>
      <c r="BM190" s="49" t="s">
        <v>4864</v>
      </c>
      <c r="BN190" s="49" t="s">
        <v>4864</v>
      </c>
      <c r="BO190" s="49" t="s">
        <v>4919</v>
      </c>
      <c r="BP190" s="49" t="s">
        <v>4958</v>
      </c>
      <c r="BQ190" s="119" t="s">
        <v>5045</v>
      </c>
      <c r="BR190" s="119" t="s">
        <v>5093</v>
      </c>
      <c r="BS190" s="119" t="s">
        <v>5168</v>
      </c>
      <c r="BT190" s="119" t="s">
        <v>5199</v>
      </c>
      <c r="BU190" s="2"/>
      <c r="BV190" s="3"/>
      <c r="BW190" s="3"/>
      <c r="BX190" s="3"/>
      <c r="BY190" s="3"/>
    </row>
    <row r="191" spans="1:77" ht="15">
      <c r="A191" s="68" t="s">
        <v>379</v>
      </c>
      <c r="B191" s="69"/>
      <c r="C191" s="69" t="s">
        <v>46</v>
      </c>
      <c r="D191" s="70"/>
      <c r="E191" s="72"/>
      <c r="F191" s="107" t="str">
        <f>HYPERLINK("http://pbs.twimg.com/profile_images/846434608312930304/v4PpQlkq_normal.jpg")</f>
        <v>http://pbs.twimg.com/profile_images/846434608312930304/v4PpQlkq_normal.jpg</v>
      </c>
      <c r="G191" s="69"/>
      <c r="H191" s="73" t="s">
        <v>379</v>
      </c>
      <c r="I191" s="74" t="s">
        <v>5217</v>
      </c>
      <c r="J191" s="74" t="s">
        <v>73</v>
      </c>
      <c r="K191" s="73" t="s">
        <v>2484</v>
      </c>
      <c r="L191" s="77">
        <v>1</v>
      </c>
      <c r="M191" s="78">
        <v>4087.05126953125</v>
      </c>
      <c r="N191" s="78">
        <v>6932.09521484375</v>
      </c>
      <c r="O191" s="79"/>
      <c r="P191" s="80"/>
      <c r="Q191" s="80"/>
      <c r="R191" s="93"/>
      <c r="S191" s="49">
        <v>0</v>
      </c>
      <c r="T191" s="49">
        <v>1</v>
      </c>
      <c r="U191" s="50">
        <v>0</v>
      </c>
      <c r="V191" s="50">
        <v>0.001057</v>
      </c>
      <c r="W191" s="50">
        <v>1E-06</v>
      </c>
      <c r="X191" s="50">
        <v>0.441806</v>
      </c>
      <c r="Y191" s="50">
        <v>0</v>
      </c>
      <c r="Z191" s="50">
        <v>0</v>
      </c>
      <c r="AA191" s="75">
        <v>191</v>
      </c>
      <c r="AB191" s="75"/>
      <c r="AC191" s="76"/>
      <c r="AD191" s="83" t="s">
        <v>1733</v>
      </c>
      <c r="AE191" s="91" t="s">
        <v>1943</v>
      </c>
      <c r="AF191" s="83">
        <v>391</v>
      </c>
      <c r="AG191" s="83">
        <v>219</v>
      </c>
      <c r="AH191" s="83">
        <v>566</v>
      </c>
      <c r="AI191" s="83">
        <v>547</v>
      </c>
      <c r="AJ191" s="83"/>
      <c r="AK191" s="83" t="s">
        <v>2141</v>
      </c>
      <c r="AL191" s="83" t="s">
        <v>2278</v>
      </c>
      <c r="AM191" s="83"/>
      <c r="AN191" s="83"/>
      <c r="AO191" s="85">
        <v>40764.707453703704</v>
      </c>
      <c r="AP191" s="83"/>
      <c r="AQ191" s="83" t="b">
        <v>1</v>
      </c>
      <c r="AR191" s="83" t="b">
        <v>0</v>
      </c>
      <c r="AS191" s="83" t="b">
        <v>1</v>
      </c>
      <c r="AT191" s="83"/>
      <c r="AU191" s="83">
        <v>0</v>
      </c>
      <c r="AV191" s="88" t="str">
        <f>HYPERLINK("http://abs.twimg.com/images/themes/theme1/bg.png")</f>
        <v>http://abs.twimg.com/images/themes/theme1/bg.png</v>
      </c>
      <c r="AW191" s="83" t="b">
        <v>0</v>
      </c>
      <c r="AX191" s="83" t="s">
        <v>2296</v>
      </c>
      <c r="AY191" s="88" t="str">
        <f>HYPERLINK("https://twitter.com/yonilimo")</f>
        <v>https://twitter.com/yonilimo</v>
      </c>
      <c r="AZ191" s="83" t="s">
        <v>66</v>
      </c>
      <c r="BA191" s="83" t="str">
        <f>REPLACE(INDEX(GroupVertices[Group],MATCH(Vertices[[#This Row],[Vertex]],GroupVertices[Vertex],0)),1,1,"")</f>
        <v>2</v>
      </c>
      <c r="BB191" s="49">
        <v>0</v>
      </c>
      <c r="BC191" s="50">
        <v>0</v>
      </c>
      <c r="BD191" s="49">
        <v>0</v>
      </c>
      <c r="BE191" s="50">
        <v>0</v>
      </c>
      <c r="BF191" s="49">
        <v>0</v>
      </c>
      <c r="BG191" s="50">
        <v>0</v>
      </c>
      <c r="BH191" s="49">
        <v>49</v>
      </c>
      <c r="BI191" s="50">
        <v>100</v>
      </c>
      <c r="BJ191" s="49">
        <v>49</v>
      </c>
      <c r="BK191" s="49"/>
      <c r="BL191" s="49"/>
      <c r="BM191" s="49"/>
      <c r="BN191" s="49"/>
      <c r="BO191" s="49" t="s">
        <v>614</v>
      </c>
      <c r="BP191" s="49" t="s">
        <v>614</v>
      </c>
      <c r="BQ191" s="119" t="s">
        <v>5042</v>
      </c>
      <c r="BR191" s="119" t="s">
        <v>5042</v>
      </c>
      <c r="BS191" s="119" t="s">
        <v>5166</v>
      </c>
      <c r="BT191" s="119" t="s">
        <v>5166</v>
      </c>
      <c r="BU191" s="2"/>
      <c r="BV191" s="3"/>
      <c r="BW191" s="3"/>
      <c r="BX191" s="3"/>
      <c r="BY191" s="3"/>
    </row>
    <row r="192" spans="1:77" ht="15">
      <c r="A192" s="68" t="s">
        <v>386</v>
      </c>
      <c r="B192" s="69"/>
      <c r="C192" s="69" t="s">
        <v>46</v>
      </c>
      <c r="D192" s="70"/>
      <c r="E192" s="72"/>
      <c r="F192" s="107" t="str">
        <f>HYPERLINK("http://pbs.twimg.com/profile_images/1254334743333818373/F3xeh1db_normal.jpg")</f>
        <v>http://pbs.twimg.com/profile_images/1254334743333818373/F3xeh1db_normal.jpg</v>
      </c>
      <c r="G192" s="69"/>
      <c r="H192" s="73" t="s">
        <v>386</v>
      </c>
      <c r="I192" s="74" t="s">
        <v>5215</v>
      </c>
      <c r="J192" s="74" t="s">
        <v>73</v>
      </c>
      <c r="K192" s="73" t="s">
        <v>2485</v>
      </c>
      <c r="L192" s="77">
        <v>1</v>
      </c>
      <c r="M192" s="78">
        <v>9125.6591796875</v>
      </c>
      <c r="N192" s="78">
        <v>8234.453125</v>
      </c>
      <c r="O192" s="79"/>
      <c r="P192" s="80"/>
      <c r="Q192" s="80"/>
      <c r="R192" s="93"/>
      <c r="S192" s="49">
        <v>0</v>
      </c>
      <c r="T192" s="49">
        <v>16</v>
      </c>
      <c r="U192" s="50">
        <v>8320.757172</v>
      </c>
      <c r="V192" s="50">
        <v>0.00198</v>
      </c>
      <c r="W192" s="50">
        <v>0.034982</v>
      </c>
      <c r="X192" s="50">
        <v>2.166671</v>
      </c>
      <c r="Y192" s="50">
        <v>0.20416666666666666</v>
      </c>
      <c r="Z192" s="50">
        <v>0</v>
      </c>
      <c r="AA192" s="75">
        <v>192</v>
      </c>
      <c r="AB192" s="75"/>
      <c r="AC192" s="76"/>
      <c r="AD192" s="83" t="s">
        <v>1734</v>
      </c>
      <c r="AE192" s="91" t="s">
        <v>1944</v>
      </c>
      <c r="AF192" s="83">
        <v>12</v>
      </c>
      <c r="AG192" s="83">
        <v>5655</v>
      </c>
      <c r="AH192" s="83">
        <v>237272</v>
      </c>
      <c r="AI192" s="83">
        <v>31983</v>
      </c>
      <c r="AJ192" s="83"/>
      <c r="AK192" s="83" t="s">
        <v>2142</v>
      </c>
      <c r="AL192" s="83" t="s">
        <v>2279</v>
      </c>
      <c r="AM192" s="88" t="str">
        <f>HYPERLINK("https://t.co/VRnN9grEfw")</f>
        <v>https://t.co/VRnN9grEfw</v>
      </c>
      <c r="AN192" s="83"/>
      <c r="AO192" s="85">
        <v>42051.64855324074</v>
      </c>
      <c r="AP192" s="88" t="str">
        <f>HYPERLINK("https://pbs.twimg.com/profile_banners/3040871649/1587892795")</f>
        <v>https://pbs.twimg.com/profile_banners/3040871649/1587892795</v>
      </c>
      <c r="AQ192" s="83" t="b">
        <v>0</v>
      </c>
      <c r="AR192" s="83" t="b">
        <v>0</v>
      </c>
      <c r="AS192" s="83" t="b">
        <v>0</v>
      </c>
      <c r="AT192" s="83"/>
      <c r="AU192" s="83">
        <v>122</v>
      </c>
      <c r="AV192" s="88" t="str">
        <f>HYPERLINK("http://abs.twimg.com/images/themes/theme1/bg.png")</f>
        <v>http://abs.twimg.com/images/themes/theme1/bg.png</v>
      </c>
      <c r="AW192" s="83" t="b">
        <v>0</v>
      </c>
      <c r="AX192" s="83" t="s">
        <v>2296</v>
      </c>
      <c r="AY192" s="88" t="str">
        <f>HYPERLINK("https://twitter.com/hubofml")</f>
        <v>https://twitter.com/hubofml</v>
      </c>
      <c r="AZ192" s="83" t="s">
        <v>66</v>
      </c>
      <c r="BA192" s="83" t="str">
        <f>REPLACE(INDEX(GroupVertices[Group],MATCH(Vertices[[#This Row],[Vertex]],GroupVertices[Vertex],0)),1,1,"")</f>
        <v>5</v>
      </c>
      <c r="BB192" s="49">
        <v>0</v>
      </c>
      <c r="BC192" s="50">
        <v>0</v>
      </c>
      <c r="BD192" s="49">
        <v>0</v>
      </c>
      <c r="BE192" s="50">
        <v>0</v>
      </c>
      <c r="BF192" s="49">
        <v>0</v>
      </c>
      <c r="BG192" s="50">
        <v>0</v>
      </c>
      <c r="BH192" s="49">
        <v>590</v>
      </c>
      <c r="BI192" s="50">
        <v>100</v>
      </c>
      <c r="BJ192" s="49">
        <v>590</v>
      </c>
      <c r="BK192" s="49" t="s">
        <v>4828</v>
      </c>
      <c r="BL192" s="49" t="s">
        <v>4828</v>
      </c>
      <c r="BM192" s="49" t="s">
        <v>4865</v>
      </c>
      <c r="BN192" s="49" t="s">
        <v>4865</v>
      </c>
      <c r="BO192" s="49" t="s">
        <v>4920</v>
      </c>
      <c r="BP192" s="49" t="s">
        <v>4959</v>
      </c>
      <c r="BQ192" s="119" t="s">
        <v>5046</v>
      </c>
      <c r="BR192" s="119" t="s">
        <v>5094</v>
      </c>
      <c r="BS192" s="119" t="s">
        <v>5169</v>
      </c>
      <c r="BT192" s="119" t="s">
        <v>5126</v>
      </c>
      <c r="BU192" s="2"/>
      <c r="BV192" s="3"/>
      <c r="BW192" s="3"/>
      <c r="BX192" s="3"/>
      <c r="BY192" s="3"/>
    </row>
    <row r="193" spans="1:77" ht="15">
      <c r="A193" s="68" t="s">
        <v>388</v>
      </c>
      <c r="B193" s="69"/>
      <c r="C193" s="69" t="s">
        <v>46</v>
      </c>
      <c r="D193" s="70"/>
      <c r="E193" s="72"/>
      <c r="F193" s="107" t="str">
        <f>HYPERLINK("http://pbs.twimg.com/profile_images/1296364137849602048/f9gCNIbT_normal.jpg")</f>
        <v>http://pbs.twimg.com/profile_images/1296364137849602048/f9gCNIbT_normal.jpg</v>
      </c>
      <c r="G193" s="69"/>
      <c r="H193" s="73" t="s">
        <v>388</v>
      </c>
      <c r="I193" s="74" t="s">
        <v>5210</v>
      </c>
      <c r="J193" s="74" t="s">
        <v>73</v>
      </c>
      <c r="K193" s="73" t="s">
        <v>2486</v>
      </c>
      <c r="L193" s="77">
        <v>1</v>
      </c>
      <c r="M193" s="78">
        <v>1478.105224609375</v>
      </c>
      <c r="N193" s="78">
        <v>6139.583984375</v>
      </c>
      <c r="O193" s="79"/>
      <c r="P193" s="80"/>
      <c r="Q193" s="80"/>
      <c r="R193" s="93"/>
      <c r="S193" s="49">
        <v>0</v>
      </c>
      <c r="T193" s="49">
        <v>9</v>
      </c>
      <c r="U193" s="50">
        <v>867.745117</v>
      </c>
      <c r="V193" s="50">
        <v>0.001848</v>
      </c>
      <c r="W193" s="50">
        <v>0.000803</v>
      </c>
      <c r="X193" s="50">
        <v>1.686317</v>
      </c>
      <c r="Y193" s="50">
        <v>0.09722222222222222</v>
      </c>
      <c r="Z193" s="50">
        <v>0</v>
      </c>
      <c r="AA193" s="75">
        <v>193</v>
      </c>
      <c r="AB193" s="75"/>
      <c r="AC193" s="76"/>
      <c r="AD193" s="83" t="s">
        <v>1735</v>
      </c>
      <c r="AE193" s="91" t="s">
        <v>1945</v>
      </c>
      <c r="AF193" s="83">
        <v>3</v>
      </c>
      <c r="AG193" s="83">
        <v>3255</v>
      </c>
      <c r="AH193" s="83">
        <v>276737</v>
      </c>
      <c r="AI193" s="83">
        <v>434</v>
      </c>
      <c r="AJ193" s="83"/>
      <c r="AK193" s="83" t="s">
        <v>2143</v>
      </c>
      <c r="AL193" s="83"/>
      <c r="AM193" s="88" t="str">
        <f>HYPERLINK("https://t.co/PujHDQomPA")</f>
        <v>https://t.co/PujHDQomPA</v>
      </c>
      <c r="AN193" s="83"/>
      <c r="AO193" s="85">
        <v>43963.18255787037</v>
      </c>
      <c r="AP193" s="88" t="str">
        <f>HYPERLINK("https://pbs.twimg.com/profile_banners/1260062769543434240/1593858684")</f>
        <v>https://pbs.twimg.com/profile_banners/1260062769543434240/1593858684</v>
      </c>
      <c r="AQ193" s="83" t="b">
        <v>1</v>
      </c>
      <c r="AR193" s="83" t="b">
        <v>0</v>
      </c>
      <c r="AS193" s="83" t="b">
        <v>0</v>
      </c>
      <c r="AT193" s="83"/>
      <c r="AU193" s="83">
        <v>44</v>
      </c>
      <c r="AV193" s="83"/>
      <c r="AW193" s="83" t="b">
        <v>0</v>
      </c>
      <c r="AX193" s="83" t="s">
        <v>2296</v>
      </c>
      <c r="AY193" s="88" t="str">
        <f>HYPERLINK("https://twitter.com/nlognbot")</f>
        <v>https://twitter.com/nlognbot</v>
      </c>
      <c r="AZ193" s="83" t="s">
        <v>66</v>
      </c>
      <c r="BA193" s="83" t="str">
        <f>REPLACE(INDEX(GroupVertices[Group],MATCH(Vertices[[#This Row],[Vertex]],GroupVertices[Vertex],0)),1,1,"")</f>
        <v>1</v>
      </c>
      <c r="BB193" s="49">
        <v>0</v>
      </c>
      <c r="BC193" s="50">
        <v>0</v>
      </c>
      <c r="BD193" s="49">
        <v>0</v>
      </c>
      <c r="BE193" s="50">
        <v>0</v>
      </c>
      <c r="BF193" s="49">
        <v>0</v>
      </c>
      <c r="BG193" s="50">
        <v>0</v>
      </c>
      <c r="BH193" s="49">
        <v>370</v>
      </c>
      <c r="BI193" s="50">
        <v>100</v>
      </c>
      <c r="BJ193" s="49">
        <v>370</v>
      </c>
      <c r="BK193" s="49" t="s">
        <v>4829</v>
      </c>
      <c r="BL193" s="49" t="s">
        <v>4829</v>
      </c>
      <c r="BM193" s="49" t="s">
        <v>4866</v>
      </c>
      <c r="BN193" s="49" t="s">
        <v>4883</v>
      </c>
      <c r="BO193" s="49" t="s">
        <v>4921</v>
      </c>
      <c r="BP193" s="49" t="s">
        <v>4960</v>
      </c>
      <c r="BQ193" s="119" t="s">
        <v>5047</v>
      </c>
      <c r="BR193" s="119" t="s">
        <v>5095</v>
      </c>
      <c r="BS193" s="119" t="s">
        <v>5170</v>
      </c>
      <c r="BT193" s="119" t="s">
        <v>5200</v>
      </c>
      <c r="BU193" s="2"/>
      <c r="BV193" s="3"/>
      <c r="BW193" s="3"/>
      <c r="BX193" s="3"/>
      <c r="BY193" s="3"/>
    </row>
    <row r="194" spans="1:77" ht="15">
      <c r="A194" s="68" t="s">
        <v>437</v>
      </c>
      <c r="B194" s="69"/>
      <c r="C194" s="69" t="s">
        <v>64</v>
      </c>
      <c r="D194" s="70">
        <v>721.3793705820781</v>
      </c>
      <c r="E194" s="72"/>
      <c r="F194" s="107" t="str">
        <f>HYPERLINK("http://pbs.twimg.com/profile_images/1194268540058193927/ca-uOgq6_normal.png")</f>
        <v>http://pbs.twimg.com/profile_images/1194268540058193927/ca-uOgq6_normal.png</v>
      </c>
      <c r="G194" s="69"/>
      <c r="H194" s="73" t="s">
        <v>437</v>
      </c>
      <c r="I194" s="74" t="s">
        <v>5210</v>
      </c>
      <c r="J194" s="74" t="s">
        <v>75</v>
      </c>
      <c r="K194" s="73" t="s">
        <v>2487</v>
      </c>
      <c r="L194" s="77">
        <v>2258.6129032258063</v>
      </c>
      <c r="M194" s="78">
        <v>1545.2069091796875</v>
      </c>
      <c r="N194" s="78">
        <v>4796.77734375</v>
      </c>
      <c r="O194" s="79"/>
      <c r="P194" s="80"/>
      <c r="Q194" s="80"/>
      <c r="R194" s="93"/>
      <c r="S194" s="49">
        <v>7</v>
      </c>
      <c r="T194" s="49">
        <v>0</v>
      </c>
      <c r="U194" s="50">
        <v>60.950248</v>
      </c>
      <c r="V194" s="50">
        <v>0.001733</v>
      </c>
      <c r="W194" s="50">
        <v>0.000358</v>
      </c>
      <c r="X194" s="50">
        <v>1.260316</v>
      </c>
      <c r="Y194" s="50">
        <v>0.14285714285714285</v>
      </c>
      <c r="Z194" s="50">
        <v>0</v>
      </c>
      <c r="AA194" s="75">
        <v>194</v>
      </c>
      <c r="AB194" s="75"/>
      <c r="AC194" s="76"/>
      <c r="AD194" s="83" t="s">
        <v>1736</v>
      </c>
      <c r="AE194" s="91" t="s">
        <v>1946</v>
      </c>
      <c r="AF194" s="83">
        <v>2282</v>
      </c>
      <c r="AG194" s="83">
        <v>2576162</v>
      </c>
      <c r="AH194" s="83">
        <v>337377</v>
      </c>
      <c r="AI194" s="83">
        <v>655</v>
      </c>
      <c r="AJ194" s="83"/>
      <c r="AK194" s="83" t="s">
        <v>2144</v>
      </c>
      <c r="AL194" s="83"/>
      <c r="AM194" s="88" t="str">
        <f>HYPERLINK("https://t.co/fT7KB2eXic")</f>
        <v>https://t.co/fT7KB2eXic</v>
      </c>
      <c r="AN194" s="83"/>
      <c r="AO194" s="85">
        <v>39644.42900462963</v>
      </c>
      <c r="AP194" s="88" t="str">
        <f>HYPERLINK("https://pbs.twimg.com/profile_banners/15438913/1488911261")</f>
        <v>https://pbs.twimg.com/profile_banners/15438913/1488911261</v>
      </c>
      <c r="AQ194" s="83" t="b">
        <v>0</v>
      </c>
      <c r="AR194" s="83" t="b">
        <v>0</v>
      </c>
      <c r="AS194" s="83" t="b">
        <v>0</v>
      </c>
      <c r="AT194" s="83"/>
      <c r="AU194" s="83">
        <v>12741</v>
      </c>
      <c r="AV194" s="88" t="str">
        <f>HYPERLINK("http://abs.twimg.com/images/themes/theme1/bg.png")</f>
        <v>http://abs.twimg.com/images/themes/theme1/bg.png</v>
      </c>
      <c r="AW194" s="83" t="b">
        <v>1</v>
      </c>
      <c r="AX194" s="83" t="s">
        <v>2296</v>
      </c>
      <c r="AY194" s="88" t="str">
        <f>HYPERLINK("https://twitter.com/mailonline")</f>
        <v>https://twitter.com/mailonline</v>
      </c>
      <c r="AZ194" s="83" t="s">
        <v>65</v>
      </c>
      <c r="BA194" s="83" t="str">
        <f>REPLACE(INDEX(GroupVertices[Group],MATCH(Vertices[[#This Row],[Vertex]],GroupVertices[Vertex],0)),1,1,"")</f>
        <v>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8" t="s">
        <v>391</v>
      </c>
      <c r="B195" s="69"/>
      <c r="C195" s="69" t="s">
        <v>46</v>
      </c>
      <c r="D195" s="70"/>
      <c r="E195" s="72"/>
      <c r="F195" s="107" t="str">
        <f>HYPERLINK("http://pbs.twimg.com/profile_images/1138114915619749888/1e0u-1mE_normal.png")</f>
        <v>http://pbs.twimg.com/profile_images/1138114915619749888/1e0u-1mE_normal.png</v>
      </c>
      <c r="G195" s="69"/>
      <c r="H195" s="73" t="s">
        <v>391</v>
      </c>
      <c r="I195" s="74" t="s">
        <v>5210</v>
      </c>
      <c r="J195" s="74" t="s">
        <v>73</v>
      </c>
      <c r="K195" s="73" t="s">
        <v>2488</v>
      </c>
      <c r="L195" s="77">
        <v>1</v>
      </c>
      <c r="M195" s="78">
        <v>1105.270751953125</v>
      </c>
      <c r="N195" s="78">
        <v>7914.98779296875</v>
      </c>
      <c r="O195" s="79"/>
      <c r="P195" s="80"/>
      <c r="Q195" s="80"/>
      <c r="R195" s="93"/>
      <c r="S195" s="49">
        <v>0</v>
      </c>
      <c r="T195" s="49">
        <v>3</v>
      </c>
      <c r="U195" s="50">
        <v>126.290922</v>
      </c>
      <c r="V195" s="50">
        <v>0.001629</v>
      </c>
      <c r="W195" s="50">
        <v>0.000621</v>
      </c>
      <c r="X195" s="50">
        <v>0.715464</v>
      </c>
      <c r="Y195" s="50">
        <v>0.16666666666666666</v>
      </c>
      <c r="Z195" s="50">
        <v>0</v>
      </c>
      <c r="AA195" s="75">
        <v>195</v>
      </c>
      <c r="AB195" s="75"/>
      <c r="AC195" s="76"/>
      <c r="AD195" s="83" t="s">
        <v>1737</v>
      </c>
      <c r="AE195" s="91" t="s">
        <v>1947</v>
      </c>
      <c r="AF195" s="83">
        <v>929</v>
      </c>
      <c r="AG195" s="83">
        <v>11692</v>
      </c>
      <c r="AH195" s="83">
        <v>439347</v>
      </c>
      <c r="AI195" s="83">
        <v>3161</v>
      </c>
      <c r="AJ195" s="83"/>
      <c r="AK195" s="83" t="s">
        <v>2145</v>
      </c>
      <c r="AL195" s="83" t="s">
        <v>2280</v>
      </c>
      <c r="AM195" s="83"/>
      <c r="AN195" s="83"/>
      <c r="AO195" s="85">
        <v>41693.91546296296</v>
      </c>
      <c r="AP195" s="83"/>
      <c r="AQ195" s="83" t="b">
        <v>1</v>
      </c>
      <c r="AR195" s="83" t="b">
        <v>0</v>
      </c>
      <c r="AS195" s="83" t="b">
        <v>1</v>
      </c>
      <c r="AT195" s="83"/>
      <c r="AU195" s="83">
        <v>316</v>
      </c>
      <c r="AV195" s="88" t="str">
        <f>HYPERLINK("http://abs.twimg.com/images/themes/theme1/bg.png")</f>
        <v>http://abs.twimg.com/images/themes/theme1/bg.png</v>
      </c>
      <c r="AW195" s="83" t="b">
        <v>0</v>
      </c>
      <c r="AX195" s="83" t="s">
        <v>2296</v>
      </c>
      <c r="AY195" s="88" t="str">
        <f>HYPERLINK("https://twitter.com/andrewmorrisuk")</f>
        <v>https://twitter.com/andrewmorrisuk</v>
      </c>
      <c r="AZ195" s="83" t="s">
        <v>66</v>
      </c>
      <c r="BA195" s="83" t="str">
        <f>REPLACE(INDEX(GroupVertices[Group],MATCH(Vertices[[#This Row],[Vertex]],GroupVertices[Vertex],0)),1,1,"")</f>
        <v>1</v>
      </c>
      <c r="BB195" s="49">
        <v>0</v>
      </c>
      <c r="BC195" s="50">
        <v>0</v>
      </c>
      <c r="BD195" s="49">
        <v>0</v>
      </c>
      <c r="BE195" s="50">
        <v>0</v>
      </c>
      <c r="BF195" s="49">
        <v>0</v>
      </c>
      <c r="BG195" s="50">
        <v>0</v>
      </c>
      <c r="BH195" s="49">
        <v>53</v>
      </c>
      <c r="BI195" s="50">
        <v>100</v>
      </c>
      <c r="BJ195" s="49">
        <v>53</v>
      </c>
      <c r="BK195" s="49" t="s">
        <v>4830</v>
      </c>
      <c r="BL195" s="49" t="s">
        <v>4830</v>
      </c>
      <c r="BM195" s="49" t="s">
        <v>4860</v>
      </c>
      <c r="BN195" s="49" t="s">
        <v>4860</v>
      </c>
      <c r="BO195" s="49" t="s">
        <v>4922</v>
      </c>
      <c r="BP195" s="49" t="s">
        <v>4961</v>
      </c>
      <c r="BQ195" s="119" t="s">
        <v>5048</v>
      </c>
      <c r="BR195" s="119" t="s">
        <v>5087</v>
      </c>
      <c r="BS195" s="119" t="s">
        <v>5159</v>
      </c>
      <c r="BT195" s="119" t="s">
        <v>5159</v>
      </c>
      <c r="BU195" s="2"/>
      <c r="BV195" s="3"/>
      <c r="BW195" s="3"/>
      <c r="BX195" s="3"/>
      <c r="BY195" s="3"/>
    </row>
    <row r="196" spans="1:77" ht="15">
      <c r="A196" s="68" t="s">
        <v>393</v>
      </c>
      <c r="B196" s="69"/>
      <c r="C196" s="69" t="s">
        <v>46</v>
      </c>
      <c r="D196" s="70"/>
      <c r="E196" s="72"/>
      <c r="F196" s="107" t="str">
        <f>HYPERLINK("http://pbs.twimg.com/profile_images/1190727216885358597/OoGENW9l_normal.jpg")</f>
        <v>http://pbs.twimg.com/profile_images/1190727216885358597/OoGENW9l_normal.jpg</v>
      </c>
      <c r="G196" s="69"/>
      <c r="H196" s="73" t="s">
        <v>393</v>
      </c>
      <c r="I196" s="74" t="s">
        <v>5210</v>
      </c>
      <c r="J196" s="74" t="s">
        <v>73</v>
      </c>
      <c r="K196" s="73" t="s">
        <v>2489</v>
      </c>
      <c r="L196" s="77">
        <v>1</v>
      </c>
      <c r="M196" s="78">
        <v>1365.8067626953125</v>
      </c>
      <c r="N196" s="78">
        <v>6245.115234375</v>
      </c>
      <c r="O196" s="79"/>
      <c r="P196" s="80"/>
      <c r="Q196" s="80"/>
      <c r="R196" s="93"/>
      <c r="S196" s="49">
        <v>0</v>
      </c>
      <c r="T196" s="49">
        <v>9</v>
      </c>
      <c r="U196" s="50">
        <v>1188.683453</v>
      </c>
      <c r="V196" s="50">
        <v>0.001869</v>
      </c>
      <c r="W196" s="50">
        <v>0.000963</v>
      </c>
      <c r="X196" s="50">
        <v>1.726209</v>
      </c>
      <c r="Y196" s="50">
        <v>0.05555555555555555</v>
      </c>
      <c r="Z196" s="50">
        <v>0</v>
      </c>
      <c r="AA196" s="75">
        <v>196</v>
      </c>
      <c r="AB196" s="75"/>
      <c r="AC196" s="76"/>
      <c r="AD196" s="83" t="s">
        <v>1738</v>
      </c>
      <c r="AE196" s="91" t="s">
        <v>1948</v>
      </c>
      <c r="AF196" s="83">
        <v>0</v>
      </c>
      <c r="AG196" s="83">
        <v>2814</v>
      </c>
      <c r="AH196" s="83">
        <v>365330</v>
      </c>
      <c r="AI196" s="83">
        <v>0</v>
      </c>
      <c r="AJ196" s="83"/>
      <c r="AK196" s="83" t="s">
        <v>2146</v>
      </c>
      <c r="AL196" s="83" t="s">
        <v>2281</v>
      </c>
      <c r="AM196" s="88" t="str">
        <f>HYPERLINK("https://t.co/QySTldc3HS")</f>
        <v>https://t.co/QySTldc3HS</v>
      </c>
      <c r="AN196" s="83"/>
      <c r="AO196" s="85">
        <v>43771.85099537037</v>
      </c>
      <c r="AP196" s="88" t="str">
        <f>HYPERLINK("https://pbs.twimg.com/profile_banners/1190726565073522694/1586607550")</f>
        <v>https://pbs.twimg.com/profile_banners/1190726565073522694/1586607550</v>
      </c>
      <c r="AQ196" s="83" t="b">
        <v>1</v>
      </c>
      <c r="AR196" s="83" t="b">
        <v>0</v>
      </c>
      <c r="AS196" s="83" t="b">
        <v>0</v>
      </c>
      <c r="AT196" s="83"/>
      <c r="AU196" s="83">
        <v>67</v>
      </c>
      <c r="AV196" s="83"/>
      <c r="AW196" s="83" t="b">
        <v>0</v>
      </c>
      <c r="AX196" s="83" t="s">
        <v>2296</v>
      </c>
      <c r="AY196" s="88" t="str">
        <f>HYPERLINK("https://twitter.com/llnuxbot")</f>
        <v>https://twitter.com/llnuxbot</v>
      </c>
      <c r="AZ196" s="83" t="s">
        <v>66</v>
      </c>
      <c r="BA196" s="83" t="str">
        <f>REPLACE(INDEX(GroupVertices[Group],MATCH(Vertices[[#This Row],[Vertex]],GroupVertices[Vertex],0)),1,1,"")</f>
        <v>1</v>
      </c>
      <c r="BB196" s="49">
        <v>0</v>
      </c>
      <c r="BC196" s="50">
        <v>0</v>
      </c>
      <c r="BD196" s="49">
        <v>0</v>
      </c>
      <c r="BE196" s="50">
        <v>0</v>
      </c>
      <c r="BF196" s="49">
        <v>0</v>
      </c>
      <c r="BG196" s="50">
        <v>0</v>
      </c>
      <c r="BH196" s="49">
        <v>487</v>
      </c>
      <c r="BI196" s="50">
        <v>100</v>
      </c>
      <c r="BJ196" s="49">
        <v>487</v>
      </c>
      <c r="BK196" s="49" t="s">
        <v>4831</v>
      </c>
      <c r="BL196" s="49" t="s">
        <v>4831</v>
      </c>
      <c r="BM196" s="49" t="s">
        <v>4867</v>
      </c>
      <c r="BN196" s="49" t="s">
        <v>4867</v>
      </c>
      <c r="BO196" s="49" t="s">
        <v>4923</v>
      </c>
      <c r="BP196" s="49" t="s">
        <v>4962</v>
      </c>
      <c r="BQ196" s="119" t="s">
        <v>5049</v>
      </c>
      <c r="BR196" s="119" t="s">
        <v>5096</v>
      </c>
      <c r="BS196" s="119" t="s">
        <v>5171</v>
      </c>
      <c r="BT196" s="119" t="s">
        <v>5201</v>
      </c>
      <c r="BU196" s="2"/>
      <c r="BV196" s="3"/>
      <c r="BW196" s="3"/>
      <c r="BX196" s="3"/>
      <c r="BY196" s="3"/>
    </row>
    <row r="197" spans="1:77" ht="15">
      <c r="A197" s="68" t="s">
        <v>395</v>
      </c>
      <c r="B197" s="69"/>
      <c r="C197" s="69" t="s">
        <v>46</v>
      </c>
      <c r="D197" s="70"/>
      <c r="E197" s="72"/>
      <c r="F197" s="107" t="str">
        <f>HYPERLINK("http://pbs.twimg.com/profile_images/1250454907871580162/Al-vkUN1_normal.jpg")</f>
        <v>http://pbs.twimg.com/profile_images/1250454907871580162/Al-vkUN1_normal.jpg</v>
      </c>
      <c r="G197" s="69"/>
      <c r="H197" s="73" t="s">
        <v>395</v>
      </c>
      <c r="I197" s="74" t="s">
        <v>5210</v>
      </c>
      <c r="J197" s="74" t="s">
        <v>73</v>
      </c>
      <c r="K197" s="73" t="s">
        <v>2490</v>
      </c>
      <c r="L197" s="77">
        <v>1</v>
      </c>
      <c r="M197" s="78">
        <v>1659.166259765625</v>
      </c>
      <c r="N197" s="78">
        <v>2555.390380859375</v>
      </c>
      <c r="O197" s="79"/>
      <c r="P197" s="80"/>
      <c r="Q197" s="80"/>
      <c r="R197" s="93"/>
      <c r="S197" s="49">
        <v>0</v>
      </c>
      <c r="T197" s="49">
        <v>9</v>
      </c>
      <c r="U197" s="50">
        <v>845.825245</v>
      </c>
      <c r="V197" s="50">
        <v>0.001751</v>
      </c>
      <c r="W197" s="50">
        <v>0.000188</v>
      </c>
      <c r="X197" s="50">
        <v>1.679399</v>
      </c>
      <c r="Y197" s="50">
        <v>0.1111111111111111</v>
      </c>
      <c r="Z197" s="50">
        <v>0</v>
      </c>
      <c r="AA197" s="75">
        <v>197</v>
      </c>
      <c r="AB197" s="75"/>
      <c r="AC197" s="76"/>
      <c r="AD197" s="83" t="s">
        <v>1739</v>
      </c>
      <c r="AE197" s="91" t="s">
        <v>1949</v>
      </c>
      <c r="AF197" s="83">
        <v>1</v>
      </c>
      <c r="AG197" s="83">
        <v>1520</v>
      </c>
      <c r="AH197" s="83">
        <v>269300</v>
      </c>
      <c r="AI197" s="83">
        <v>104015</v>
      </c>
      <c r="AJ197" s="83"/>
      <c r="AK197" s="83" t="s">
        <v>2147</v>
      </c>
      <c r="AL197" s="83"/>
      <c r="AM197" s="83"/>
      <c r="AN197" s="83"/>
      <c r="AO197" s="85">
        <v>43935.868784722225</v>
      </c>
      <c r="AP197" s="88" t="str">
        <f>HYPERLINK("https://pbs.twimg.com/profile_banners/1250164632968298497/1586966908")</f>
        <v>https://pbs.twimg.com/profile_banners/1250164632968298497/1586966908</v>
      </c>
      <c r="AQ197" s="83" t="b">
        <v>1</v>
      </c>
      <c r="AR197" s="83" t="b">
        <v>0</v>
      </c>
      <c r="AS197" s="83" t="b">
        <v>0</v>
      </c>
      <c r="AT197" s="83"/>
      <c r="AU197" s="83">
        <v>44</v>
      </c>
      <c r="AV197" s="83"/>
      <c r="AW197" s="83" t="b">
        <v>0</v>
      </c>
      <c r="AX197" s="83" t="s">
        <v>2296</v>
      </c>
      <c r="AY197" s="88" t="str">
        <f>HYPERLINK("https://twitter.com/thedeveloperbot")</f>
        <v>https://twitter.com/thedeveloperbot</v>
      </c>
      <c r="AZ197" s="83" t="s">
        <v>66</v>
      </c>
      <c r="BA197" s="83" t="str">
        <f>REPLACE(INDEX(GroupVertices[Group],MATCH(Vertices[[#This Row],[Vertex]],GroupVertices[Vertex],0)),1,1,"")</f>
        <v>1</v>
      </c>
      <c r="BB197" s="49">
        <v>0</v>
      </c>
      <c r="BC197" s="50">
        <v>0</v>
      </c>
      <c r="BD197" s="49">
        <v>0</v>
      </c>
      <c r="BE197" s="50">
        <v>0</v>
      </c>
      <c r="BF197" s="49">
        <v>0</v>
      </c>
      <c r="BG197" s="50">
        <v>0</v>
      </c>
      <c r="BH197" s="49">
        <v>126</v>
      </c>
      <c r="BI197" s="50">
        <v>100</v>
      </c>
      <c r="BJ197" s="49">
        <v>126</v>
      </c>
      <c r="BK197" s="49" t="s">
        <v>4832</v>
      </c>
      <c r="BL197" s="49" t="s">
        <v>4832</v>
      </c>
      <c r="BM197" s="49" t="s">
        <v>4868</v>
      </c>
      <c r="BN197" s="49" t="s">
        <v>4868</v>
      </c>
      <c r="BO197" s="49" t="s">
        <v>4924</v>
      </c>
      <c r="BP197" s="49" t="s">
        <v>4963</v>
      </c>
      <c r="BQ197" s="119" t="s">
        <v>5050</v>
      </c>
      <c r="BR197" s="119" t="s">
        <v>5097</v>
      </c>
      <c r="BS197" s="119" t="s">
        <v>5172</v>
      </c>
      <c r="BT197" s="119" t="s">
        <v>5172</v>
      </c>
      <c r="BU197" s="2"/>
      <c r="BV197" s="3"/>
      <c r="BW197" s="3"/>
      <c r="BX197" s="3"/>
      <c r="BY197" s="3"/>
    </row>
    <row r="198" spans="1:77" ht="15">
      <c r="A198" s="68" t="s">
        <v>420</v>
      </c>
      <c r="B198" s="69"/>
      <c r="C198" s="69" t="s">
        <v>64</v>
      </c>
      <c r="D198" s="70">
        <v>851.7714121903267</v>
      </c>
      <c r="E198" s="72"/>
      <c r="F198" s="107" t="str">
        <f>HYPERLINK("http://pbs.twimg.com/profile_images/1290605387096322048/aQ9YTffK_normal.jpg")</f>
        <v>http://pbs.twimg.com/profile_images/1290605387096322048/aQ9YTffK_normal.jpg</v>
      </c>
      <c r="G198" s="69"/>
      <c r="H198" s="73" t="s">
        <v>420</v>
      </c>
      <c r="I198" s="74" t="s">
        <v>5210</v>
      </c>
      <c r="J198" s="74" t="s">
        <v>73</v>
      </c>
      <c r="K198" s="73" t="s">
        <v>2491</v>
      </c>
      <c r="L198" s="77">
        <v>3226.1612903225805</v>
      </c>
      <c r="M198" s="78">
        <v>1395.44384765625</v>
      </c>
      <c r="N198" s="78">
        <v>3503.00244140625</v>
      </c>
      <c r="O198" s="79"/>
      <c r="P198" s="80"/>
      <c r="Q198" s="80"/>
      <c r="R198" s="93"/>
      <c r="S198" s="49">
        <v>10</v>
      </c>
      <c r="T198" s="49">
        <v>2</v>
      </c>
      <c r="U198" s="50">
        <v>769.437328</v>
      </c>
      <c r="V198" s="50">
        <v>0.001629</v>
      </c>
      <c r="W198" s="50">
        <v>0.000296</v>
      </c>
      <c r="X198" s="50">
        <v>1.885403</v>
      </c>
      <c r="Y198" s="50">
        <v>0.17272727272727273</v>
      </c>
      <c r="Z198" s="50">
        <v>0.09090909090909091</v>
      </c>
      <c r="AA198" s="75">
        <v>198</v>
      </c>
      <c r="AB198" s="75"/>
      <c r="AC198" s="76"/>
      <c r="AD198" s="83" t="s">
        <v>1740</v>
      </c>
      <c r="AE198" s="91" t="s">
        <v>1950</v>
      </c>
      <c r="AF198" s="83">
        <v>56</v>
      </c>
      <c r="AG198" s="83">
        <v>37</v>
      </c>
      <c r="AH198" s="83">
        <v>239</v>
      </c>
      <c r="AI198" s="83">
        <v>179</v>
      </c>
      <c r="AJ198" s="83"/>
      <c r="AK198" s="83" t="s">
        <v>2148</v>
      </c>
      <c r="AL198" s="83" t="s">
        <v>2282</v>
      </c>
      <c r="AM198" s="88" t="str">
        <f>HYPERLINK("https://t.co/jOKoIxKmxy")</f>
        <v>https://t.co/jOKoIxKmxy</v>
      </c>
      <c r="AN198" s="83"/>
      <c r="AO198" s="85">
        <v>43883.55200231481</v>
      </c>
      <c r="AP198" s="88" t="str">
        <f>HYPERLINK("https://pbs.twimg.com/profile_banners/1231205656927096837/1597909600")</f>
        <v>https://pbs.twimg.com/profile_banners/1231205656927096837/1597909600</v>
      </c>
      <c r="AQ198" s="83" t="b">
        <v>1</v>
      </c>
      <c r="AR198" s="83" t="b">
        <v>0</v>
      </c>
      <c r="AS198" s="83" t="b">
        <v>0</v>
      </c>
      <c r="AT198" s="83"/>
      <c r="AU198" s="83">
        <v>0</v>
      </c>
      <c r="AV198" s="83"/>
      <c r="AW198" s="83" t="b">
        <v>0</v>
      </c>
      <c r="AX198" s="83" t="s">
        <v>2296</v>
      </c>
      <c r="AY198" s="88" t="str">
        <f>HYPERLINK("https://twitter.com/blackhackcode")</f>
        <v>https://twitter.com/blackhackcode</v>
      </c>
      <c r="AZ198" s="83" t="s">
        <v>66</v>
      </c>
      <c r="BA198" s="83" t="str">
        <f>REPLACE(INDEX(GroupVertices[Group],MATCH(Vertices[[#This Row],[Vertex]],GroupVertices[Vertex],0)),1,1,"")</f>
        <v>1</v>
      </c>
      <c r="BB198" s="49">
        <v>0</v>
      </c>
      <c r="BC198" s="50">
        <v>0</v>
      </c>
      <c r="BD198" s="49">
        <v>0</v>
      </c>
      <c r="BE198" s="50">
        <v>0</v>
      </c>
      <c r="BF198" s="49">
        <v>0</v>
      </c>
      <c r="BG198" s="50">
        <v>0</v>
      </c>
      <c r="BH198" s="49">
        <v>20</v>
      </c>
      <c r="BI198" s="50">
        <v>100</v>
      </c>
      <c r="BJ198" s="49">
        <v>20</v>
      </c>
      <c r="BK198" s="49" t="s">
        <v>4461</v>
      </c>
      <c r="BL198" s="49" t="s">
        <v>4461</v>
      </c>
      <c r="BM198" s="49" t="s">
        <v>560</v>
      </c>
      <c r="BN198" s="49" t="s">
        <v>560</v>
      </c>
      <c r="BO198" s="49" t="s">
        <v>626</v>
      </c>
      <c r="BP198" s="49" t="s">
        <v>626</v>
      </c>
      <c r="BQ198" s="119" t="s">
        <v>5051</v>
      </c>
      <c r="BR198" s="119" t="s">
        <v>5051</v>
      </c>
      <c r="BS198" s="119" t="s">
        <v>5173</v>
      </c>
      <c r="BT198" s="119" t="s">
        <v>5173</v>
      </c>
      <c r="BU198" s="2"/>
      <c r="BV198" s="3"/>
      <c r="BW198" s="3"/>
      <c r="BX198" s="3"/>
      <c r="BY198" s="3"/>
    </row>
    <row r="199" spans="1:77" ht="15">
      <c r="A199" s="68" t="s">
        <v>438</v>
      </c>
      <c r="B199" s="69"/>
      <c r="C199" s="69" t="s">
        <v>64</v>
      </c>
      <c r="D199" s="70">
        <v>886.6145912303152</v>
      </c>
      <c r="E199" s="72"/>
      <c r="F199" s="107" t="str">
        <f>HYPERLINK("http://pbs.twimg.com/profile_images/1296321090428366848/SSqBglL4_normal.jpg")</f>
        <v>http://pbs.twimg.com/profile_images/1296321090428366848/SSqBglL4_normal.jpg</v>
      </c>
      <c r="G199" s="69"/>
      <c r="H199" s="73" t="s">
        <v>438</v>
      </c>
      <c r="I199" s="74" t="s">
        <v>5210</v>
      </c>
      <c r="J199" s="74" t="s">
        <v>75</v>
      </c>
      <c r="K199" s="73" t="s">
        <v>2492</v>
      </c>
      <c r="L199" s="77">
        <v>3548.6774193548385</v>
      </c>
      <c r="M199" s="78">
        <v>1579.393798828125</v>
      </c>
      <c r="N199" s="78">
        <v>3636.39013671875</v>
      </c>
      <c r="O199" s="79"/>
      <c r="P199" s="80"/>
      <c r="Q199" s="80"/>
      <c r="R199" s="93"/>
      <c r="S199" s="49">
        <v>11</v>
      </c>
      <c r="T199" s="49">
        <v>0</v>
      </c>
      <c r="U199" s="50">
        <v>769.437328</v>
      </c>
      <c r="V199" s="50">
        <v>0.001629</v>
      </c>
      <c r="W199" s="50">
        <v>0.000296</v>
      </c>
      <c r="X199" s="50">
        <v>1.885403</v>
      </c>
      <c r="Y199" s="50">
        <v>0.18181818181818182</v>
      </c>
      <c r="Z199" s="50">
        <v>0</v>
      </c>
      <c r="AA199" s="75">
        <v>199</v>
      </c>
      <c r="AB199" s="75"/>
      <c r="AC199" s="76"/>
      <c r="AD199" s="83" t="s">
        <v>1741</v>
      </c>
      <c r="AE199" s="91" t="s">
        <v>1951</v>
      </c>
      <c r="AF199" s="83">
        <v>2702</v>
      </c>
      <c r="AG199" s="83">
        <v>925</v>
      </c>
      <c r="AH199" s="83">
        <v>1447</v>
      </c>
      <c r="AI199" s="83">
        <v>311</v>
      </c>
      <c r="AJ199" s="83"/>
      <c r="AK199" s="83" t="s">
        <v>2149</v>
      </c>
      <c r="AL199" s="83" t="s">
        <v>2283</v>
      </c>
      <c r="AM199" s="88" t="str">
        <f>HYPERLINK("https://t.co/SbPpWSkq6K")</f>
        <v>https://t.co/SbPpWSkq6K</v>
      </c>
      <c r="AN199" s="83"/>
      <c r="AO199" s="85">
        <v>43842.41201388889</v>
      </c>
      <c r="AP199" s="88" t="str">
        <f>HYPERLINK("https://pbs.twimg.com/profile_banners/1216297035453714432/1597144702")</f>
        <v>https://pbs.twimg.com/profile_banners/1216297035453714432/1597144702</v>
      </c>
      <c r="AQ199" s="83" t="b">
        <v>1</v>
      </c>
      <c r="AR199" s="83" t="b">
        <v>0</v>
      </c>
      <c r="AS199" s="83" t="b">
        <v>1</v>
      </c>
      <c r="AT199" s="83"/>
      <c r="AU199" s="83">
        <v>7</v>
      </c>
      <c r="AV199" s="83"/>
      <c r="AW199" s="83" t="b">
        <v>0</v>
      </c>
      <c r="AX199" s="83" t="s">
        <v>2296</v>
      </c>
      <c r="AY199" s="88" t="str">
        <f>HYPERLINK("https://twitter.com/coodignd")</f>
        <v>https://twitter.com/coodignd</v>
      </c>
      <c r="AZ199" s="83" t="s">
        <v>65</v>
      </c>
      <c r="BA199" s="83" t="str">
        <f>REPLACE(INDEX(GroupVertices[Group],MATCH(Vertices[[#This Row],[Vertex]],GroupVertices[Vertex],0)),1,1,"")</f>
        <v>1</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8" t="s">
        <v>419</v>
      </c>
      <c r="B200" s="69"/>
      <c r="C200" s="69" t="s">
        <v>64</v>
      </c>
      <c r="D200" s="70">
        <v>851.7714121903267</v>
      </c>
      <c r="E200" s="72"/>
      <c r="F200" s="107" t="str">
        <f>HYPERLINK("http://pbs.twimg.com/profile_images/1304090167951720449/93gtFQD-_normal.jpg")</f>
        <v>http://pbs.twimg.com/profile_images/1304090167951720449/93gtFQD-_normal.jpg</v>
      </c>
      <c r="G200" s="69"/>
      <c r="H200" s="73" t="s">
        <v>419</v>
      </c>
      <c r="I200" s="74" t="s">
        <v>5210</v>
      </c>
      <c r="J200" s="74" t="s">
        <v>73</v>
      </c>
      <c r="K200" s="73" t="s">
        <v>2493</v>
      </c>
      <c r="L200" s="77">
        <v>3226.1612903225805</v>
      </c>
      <c r="M200" s="78">
        <v>1480.6424560546875</v>
      </c>
      <c r="N200" s="78">
        <v>3655.3583984375</v>
      </c>
      <c r="O200" s="79"/>
      <c r="P200" s="80"/>
      <c r="Q200" s="80"/>
      <c r="R200" s="93"/>
      <c r="S200" s="49">
        <v>10</v>
      </c>
      <c r="T200" s="49">
        <v>2</v>
      </c>
      <c r="U200" s="50">
        <v>769.437328</v>
      </c>
      <c r="V200" s="50">
        <v>0.001629</v>
      </c>
      <c r="W200" s="50">
        <v>0.000296</v>
      </c>
      <c r="X200" s="50">
        <v>1.885403</v>
      </c>
      <c r="Y200" s="50">
        <v>0.17272727272727273</v>
      </c>
      <c r="Z200" s="50">
        <v>0.09090909090909091</v>
      </c>
      <c r="AA200" s="75">
        <v>200</v>
      </c>
      <c r="AB200" s="75"/>
      <c r="AC200" s="76"/>
      <c r="AD200" s="83" t="s">
        <v>1742</v>
      </c>
      <c r="AE200" s="91" t="s">
        <v>1952</v>
      </c>
      <c r="AF200" s="83">
        <v>703</v>
      </c>
      <c r="AG200" s="83">
        <v>455</v>
      </c>
      <c r="AH200" s="83">
        <v>1368</v>
      </c>
      <c r="AI200" s="83">
        <v>611</v>
      </c>
      <c r="AJ200" s="83"/>
      <c r="AK200" s="83" t="s">
        <v>2150</v>
      </c>
      <c r="AL200" s="83"/>
      <c r="AM200" s="88" t="str">
        <f>HYPERLINK("https://t.co/z9KcLbCDxh")</f>
        <v>https://t.co/z9KcLbCDxh</v>
      </c>
      <c r="AN200" s="83"/>
      <c r="AO200" s="85">
        <v>43883.54251157407</v>
      </c>
      <c r="AP200" s="88" t="str">
        <f>HYPERLINK("https://pbs.twimg.com/profile_banners/1231202225806028800/1599629757")</f>
        <v>https://pbs.twimg.com/profile_banners/1231202225806028800/1599629757</v>
      </c>
      <c r="AQ200" s="83" t="b">
        <v>1</v>
      </c>
      <c r="AR200" s="83" t="b">
        <v>0</v>
      </c>
      <c r="AS200" s="83" t="b">
        <v>0</v>
      </c>
      <c r="AT200" s="83"/>
      <c r="AU200" s="83">
        <v>4</v>
      </c>
      <c r="AV200" s="83"/>
      <c r="AW200" s="83" t="b">
        <v>0</v>
      </c>
      <c r="AX200" s="83" t="s">
        <v>2296</v>
      </c>
      <c r="AY200" s="88" t="str">
        <f>HYPERLINK("https://twitter.com/parmarshantun")</f>
        <v>https://twitter.com/parmarshantun</v>
      </c>
      <c r="AZ200" s="83" t="s">
        <v>66</v>
      </c>
      <c r="BA200" s="83" t="str">
        <f>REPLACE(INDEX(GroupVertices[Group],MATCH(Vertices[[#This Row],[Vertex]],GroupVertices[Vertex],0)),1,1,"")</f>
        <v>1</v>
      </c>
      <c r="BB200" s="49">
        <v>0</v>
      </c>
      <c r="BC200" s="50">
        <v>0</v>
      </c>
      <c r="BD200" s="49">
        <v>0</v>
      </c>
      <c r="BE200" s="50">
        <v>0</v>
      </c>
      <c r="BF200" s="49">
        <v>0</v>
      </c>
      <c r="BG200" s="50">
        <v>0</v>
      </c>
      <c r="BH200" s="49">
        <v>20</v>
      </c>
      <c r="BI200" s="50">
        <v>100</v>
      </c>
      <c r="BJ200" s="49">
        <v>20</v>
      </c>
      <c r="BK200" s="49" t="s">
        <v>4461</v>
      </c>
      <c r="BL200" s="49" t="s">
        <v>4461</v>
      </c>
      <c r="BM200" s="49" t="s">
        <v>560</v>
      </c>
      <c r="BN200" s="49" t="s">
        <v>560</v>
      </c>
      <c r="BO200" s="49" t="s">
        <v>626</v>
      </c>
      <c r="BP200" s="49" t="s">
        <v>626</v>
      </c>
      <c r="BQ200" s="119" t="s">
        <v>5051</v>
      </c>
      <c r="BR200" s="119" t="s">
        <v>5051</v>
      </c>
      <c r="BS200" s="119" t="s">
        <v>5173</v>
      </c>
      <c r="BT200" s="119" t="s">
        <v>5173</v>
      </c>
      <c r="BU200" s="2"/>
      <c r="BV200" s="3"/>
      <c r="BW200" s="3"/>
      <c r="BX200" s="3"/>
      <c r="BY200" s="3"/>
    </row>
    <row r="201" spans="1:77" ht="15">
      <c r="A201" s="68" t="s">
        <v>396</v>
      </c>
      <c r="B201" s="69"/>
      <c r="C201" s="69" t="s">
        <v>46</v>
      </c>
      <c r="D201" s="70"/>
      <c r="E201" s="72"/>
      <c r="F201" s="107" t="str">
        <f>HYPERLINK("http://pbs.twimg.com/profile_images/1143536112088035331/XDEmFAaj_normal.png")</f>
        <v>http://pbs.twimg.com/profile_images/1143536112088035331/XDEmFAaj_normal.png</v>
      </c>
      <c r="G201" s="69"/>
      <c r="H201" s="73" t="s">
        <v>396</v>
      </c>
      <c r="I201" s="74" t="s">
        <v>5210</v>
      </c>
      <c r="J201" s="74" t="s">
        <v>73</v>
      </c>
      <c r="K201" s="73" t="s">
        <v>2494</v>
      </c>
      <c r="L201" s="77">
        <v>1</v>
      </c>
      <c r="M201" s="78">
        <v>939.5084228515625</v>
      </c>
      <c r="N201" s="78">
        <v>3067.40771484375</v>
      </c>
      <c r="O201" s="79"/>
      <c r="P201" s="80"/>
      <c r="Q201" s="80"/>
      <c r="R201" s="93"/>
      <c r="S201" s="49">
        <v>0</v>
      </c>
      <c r="T201" s="49">
        <v>5</v>
      </c>
      <c r="U201" s="50">
        <v>749.431373</v>
      </c>
      <c r="V201" s="50">
        <v>0.001302</v>
      </c>
      <c r="W201" s="50">
        <v>6.2E-05</v>
      </c>
      <c r="X201" s="50">
        <v>1.024861</v>
      </c>
      <c r="Y201" s="50">
        <v>0.2</v>
      </c>
      <c r="Z201" s="50">
        <v>0</v>
      </c>
      <c r="AA201" s="75">
        <v>201</v>
      </c>
      <c r="AB201" s="75"/>
      <c r="AC201" s="76"/>
      <c r="AD201" s="83" t="s">
        <v>1743</v>
      </c>
      <c r="AE201" s="91" t="s">
        <v>1953</v>
      </c>
      <c r="AF201" s="83">
        <v>1</v>
      </c>
      <c r="AG201" s="83">
        <v>15231</v>
      </c>
      <c r="AH201" s="83">
        <v>779571</v>
      </c>
      <c r="AI201" s="83">
        <v>72</v>
      </c>
      <c r="AJ201" s="83"/>
      <c r="AK201" s="83" t="s">
        <v>2151</v>
      </c>
      <c r="AL201" s="83" t="s">
        <v>2284</v>
      </c>
      <c r="AM201" s="83"/>
      <c r="AN201" s="83"/>
      <c r="AO201" s="85">
        <v>43641.60900462963</v>
      </c>
      <c r="AP201" s="88" t="str">
        <f>HYPERLINK("https://pbs.twimg.com/profile_banners/1143528514550927361/1561475338")</f>
        <v>https://pbs.twimg.com/profile_banners/1143528514550927361/1561475338</v>
      </c>
      <c r="AQ201" s="83" t="b">
        <v>0</v>
      </c>
      <c r="AR201" s="83" t="b">
        <v>0</v>
      </c>
      <c r="AS201" s="83" t="b">
        <v>0</v>
      </c>
      <c r="AT201" s="83"/>
      <c r="AU201" s="83">
        <v>175</v>
      </c>
      <c r="AV201" s="88" t="str">
        <f>HYPERLINK("http://abs.twimg.com/images/themes/theme1/bg.png")</f>
        <v>http://abs.twimg.com/images/themes/theme1/bg.png</v>
      </c>
      <c r="AW201" s="83" t="b">
        <v>0</v>
      </c>
      <c r="AX201" s="83" t="s">
        <v>2296</v>
      </c>
      <c r="AY201" s="88" t="str">
        <f>HYPERLINK("https://twitter.com/femtech_")</f>
        <v>https://twitter.com/femtech_</v>
      </c>
      <c r="AZ201" s="83" t="s">
        <v>66</v>
      </c>
      <c r="BA201" s="83" t="str">
        <f>REPLACE(INDEX(GroupVertices[Group],MATCH(Vertices[[#This Row],[Vertex]],GroupVertices[Vertex],0)),1,1,"")</f>
        <v>1</v>
      </c>
      <c r="BB201" s="49">
        <v>0</v>
      </c>
      <c r="BC201" s="50">
        <v>0</v>
      </c>
      <c r="BD201" s="49">
        <v>0</v>
      </c>
      <c r="BE201" s="50">
        <v>0</v>
      </c>
      <c r="BF201" s="49">
        <v>0</v>
      </c>
      <c r="BG201" s="50">
        <v>0</v>
      </c>
      <c r="BH201" s="49">
        <v>125</v>
      </c>
      <c r="BI201" s="50">
        <v>100</v>
      </c>
      <c r="BJ201" s="49">
        <v>125</v>
      </c>
      <c r="BK201" s="49" t="s">
        <v>4833</v>
      </c>
      <c r="BL201" s="49" t="s">
        <v>4835</v>
      </c>
      <c r="BM201" s="49" t="s">
        <v>4869</v>
      </c>
      <c r="BN201" s="49" t="s">
        <v>4871</v>
      </c>
      <c r="BO201" s="49" t="s">
        <v>4925</v>
      </c>
      <c r="BP201" s="49" t="s">
        <v>4964</v>
      </c>
      <c r="BQ201" s="119" t="s">
        <v>5052</v>
      </c>
      <c r="BR201" s="119" t="s">
        <v>5098</v>
      </c>
      <c r="BS201" s="119" t="s">
        <v>4735</v>
      </c>
      <c r="BT201" s="119" t="s">
        <v>4735</v>
      </c>
      <c r="BU201" s="2"/>
      <c r="BV201" s="3"/>
      <c r="BW201" s="3"/>
      <c r="BX201" s="3"/>
      <c r="BY201" s="3"/>
    </row>
    <row r="202" spans="1:77" ht="15">
      <c r="A202" s="68" t="s">
        <v>397</v>
      </c>
      <c r="B202" s="69"/>
      <c r="C202" s="69" t="s">
        <v>46</v>
      </c>
      <c r="D202" s="70"/>
      <c r="E202" s="72"/>
      <c r="F202" s="107" t="str">
        <f>HYPERLINK("http://pbs.twimg.com/profile_images/1018460720659292160/g0fqpRth_normal.jpg")</f>
        <v>http://pbs.twimg.com/profile_images/1018460720659292160/g0fqpRth_normal.jpg</v>
      </c>
      <c r="G202" s="69"/>
      <c r="H202" s="73" t="s">
        <v>397</v>
      </c>
      <c r="I202" s="74" t="s">
        <v>5210</v>
      </c>
      <c r="J202" s="74" t="s">
        <v>73</v>
      </c>
      <c r="K202" s="73" t="s">
        <v>2495</v>
      </c>
      <c r="L202" s="77">
        <v>1</v>
      </c>
      <c r="M202" s="78">
        <v>1223.2181396484375</v>
      </c>
      <c r="N202" s="78">
        <v>4145.0078125</v>
      </c>
      <c r="O202" s="79"/>
      <c r="P202" s="80"/>
      <c r="Q202" s="80"/>
      <c r="R202" s="93"/>
      <c r="S202" s="49">
        <v>0</v>
      </c>
      <c r="T202" s="49">
        <v>6</v>
      </c>
      <c r="U202" s="50">
        <v>306.343619</v>
      </c>
      <c r="V202" s="50">
        <v>0.001812</v>
      </c>
      <c r="W202" s="50">
        <v>0.000376</v>
      </c>
      <c r="X202" s="50">
        <v>1.114634</v>
      </c>
      <c r="Y202" s="50">
        <v>0.2</v>
      </c>
      <c r="Z202" s="50">
        <v>0</v>
      </c>
      <c r="AA202" s="75">
        <v>202</v>
      </c>
      <c r="AB202" s="75"/>
      <c r="AC202" s="76"/>
      <c r="AD202" s="83" t="s">
        <v>1744</v>
      </c>
      <c r="AE202" s="91" t="s">
        <v>1954</v>
      </c>
      <c r="AF202" s="83">
        <v>1</v>
      </c>
      <c r="AG202" s="83">
        <v>3347</v>
      </c>
      <c r="AH202" s="83">
        <v>250938</v>
      </c>
      <c r="AI202" s="83">
        <v>8943</v>
      </c>
      <c r="AJ202" s="83"/>
      <c r="AK202" s="83" t="s">
        <v>2152</v>
      </c>
      <c r="AL202" s="83" t="s">
        <v>2258</v>
      </c>
      <c r="AM202" s="88" t="str">
        <f>HYPERLINK("https://t.co/dsl9azArpL")</f>
        <v>https://t.co/dsl9azArpL</v>
      </c>
      <c r="AN202" s="83"/>
      <c r="AO202" s="85">
        <v>43296.48559027778</v>
      </c>
      <c r="AP202" s="88" t="str">
        <f>HYPERLINK("https://pbs.twimg.com/profile_banners/1018459979047624710/1531655060")</f>
        <v>https://pbs.twimg.com/profile_banners/1018459979047624710/1531655060</v>
      </c>
      <c r="AQ202" s="83" t="b">
        <v>0</v>
      </c>
      <c r="AR202" s="83" t="b">
        <v>0</v>
      </c>
      <c r="AS202" s="83" t="b">
        <v>0</v>
      </c>
      <c r="AT202" s="83"/>
      <c r="AU202" s="83">
        <v>53</v>
      </c>
      <c r="AV202" s="88" t="str">
        <f>HYPERLINK("http://abs.twimg.com/images/themes/theme1/bg.png")</f>
        <v>http://abs.twimg.com/images/themes/theme1/bg.png</v>
      </c>
      <c r="AW202" s="83" t="b">
        <v>0</v>
      </c>
      <c r="AX202" s="83" t="s">
        <v>2296</v>
      </c>
      <c r="AY202" s="88" t="str">
        <f>HYPERLINK("https://twitter.com/jsnewsbot")</f>
        <v>https://twitter.com/jsnewsbot</v>
      </c>
      <c r="AZ202" s="83" t="s">
        <v>66</v>
      </c>
      <c r="BA202" s="83" t="str">
        <f>REPLACE(INDEX(GroupVertices[Group],MATCH(Vertices[[#This Row],[Vertex]],GroupVertices[Vertex],0)),1,1,"")</f>
        <v>1</v>
      </c>
      <c r="BB202" s="49">
        <v>0</v>
      </c>
      <c r="BC202" s="50">
        <v>0</v>
      </c>
      <c r="BD202" s="49">
        <v>0</v>
      </c>
      <c r="BE202" s="50">
        <v>0</v>
      </c>
      <c r="BF202" s="49">
        <v>0</v>
      </c>
      <c r="BG202" s="50">
        <v>0</v>
      </c>
      <c r="BH202" s="49">
        <v>83</v>
      </c>
      <c r="BI202" s="50">
        <v>100</v>
      </c>
      <c r="BJ202" s="49">
        <v>83</v>
      </c>
      <c r="BK202" s="49" t="s">
        <v>4834</v>
      </c>
      <c r="BL202" s="49" t="s">
        <v>4834</v>
      </c>
      <c r="BM202" s="49" t="s">
        <v>4870</v>
      </c>
      <c r="BN202" s="49" t="s">
        <v>4870</v>
      </c>
      <c r="BO202" s="49" t="s">
        <v>4926</v>
      </c>
      <c r="BP202" s="49" t="s">
        <v>4965</v>
      </c>
      <c r="BQ202" s="119" t="s">
        <v>5053</v>
      </c>
      <c r="BR202" s="119" t="s">
        <v>5099</v>
      </c>
      <c r="BS202" s="119" t="s">
        <v>5173</v>
      </c>
      <c r="BT202" s="119" t="s">
        <v>5173</v>
      </c>
      <c r="BU202" s="2"/>
      <c r="BV202" s="3"/>
      <c r="BW202" s="3"/>
      <c r="BX202" s="3"/>
      <c r="BY202" s="3"/>
    </row>
    <row r="203" spans="1:77" ht="15">
      <c r="A203" s="68" t="s">
        <v>399</v>
      </c>
      <c r="B203" s="69"/>
      <c r="C203" s="69" t="s">
        <v>46</v>
      </c>
      <c r="D203" s="70"/>
      <c r="E203" s="72"/>
      <c r="F203" s="107" t="str">
        <f>HYPERLINK("http://pbs.twimg.com/profile_images/1084190946802073600/UxSjwmm4_normal.jpg")</f>
        <v>http://pbs.twimg.com/profile_images/1084190946802073600/UxSjwmm4_normal.jpg</v>
      </c>
      <c r="G203" s="69"/>
      <c r="H203" s="73" t="s">
        <v>399</v>
      </c>
      <c r="I203" s="74" t="s">
        <v>5210</v>
      </c>
      <c r="J203" s="74" t="s">
        <v>73</v>
      </c>
      <c r="K203" s="73" t="s">
        <v>2496</v>
      </c>
      <c r="L203" s="77">
        <v>1</v>
      </c>
      <c r="M203" s="78">
        <v>1526.1318359375</v>
      </c>
      <c r="N203" s="78">
        <v>1592.1173095703125</v>
      </c>
      <c r="O203" s="79"/>
      <c r="P203" s="80"/>
      <c r="Q203" s="80"/>
      <c r="R203" s="93"/>
      <c r="S203" s="49">
        <v>0</v>
      </c>
      <c r="T203" s="49">
        <v>5</v>
      </c>
      <c r="U203" s="50">
        <v>749.431373</v>
      </c>
      <c r="V203" s="50">
        <v>0.001302</v>
      </c>
      <c r="W203" s="50">
        <v>6.2E-05</v>
      </c>
      <c r="X203" s="50">
        <v>1.024861</v>
      </c>
      <c r="Y203" s="50">
        <v>0.2</v>
      </c>
      <c r="Z203" s="50">
        <v>0</v>
      </c>
      <c r="AA203" s="75">
        <v>203</v>
      </c>
      <c r="AB203" s="75"/>
      <c r="AC203" s="76"/>
      <c r="AD203" s="83" t="s">
        <v>1523</v>
      </c>
      <c r="AE203" s="91" t="s">
        <v>1955</v>
      </c>
      <c r="AF203" s="83">
        <v>11</v>
      </c>
      <c r="AG203" s="83">
        <v>4932</v>
      </c>
      <c r="AH203" s="83">
        <v>257001</v>
      </c>
      <c r="AI203" s="83">
        <v>148</v>
      </c>
      <c r="AJ203" s="83"/>
      <c r="AK203" s="83" t="s">
        <v>2153</v>
      </c>
      <c r="AL203" s="83" t="s">
        <v>2285</v>
      </c>
      <c r="AM203" s="83"/>
      <c r="AN203" s="83"/>
      <c r="AO203" s="85">
        <v>43477.824594907404</v>
      </c>
      <c r="AP203" s="88" t="str">
        <f>HYPERLINK("https://pbs.twimg.com/profile_banners/1084175030953611264/1547326268")</f>
        <v>https://pbs.twimg.com/profile_banners/1084175030953611264/1547326268</v>
      </c>
      <c r="AQ203" s="83" t="b">
        <v>0</v>
      </c>
      <c r="AR203" s="83" t="b">
        <v>0</v>
      </c>
      <c r="AS203" s="83" t="b">
        <v>0</v>
      </c>
      <c r="AT203" s="83"/>
      <c r="AU203" s="83">
        <v>84</v>
      </c>
      <c r="AV203" s="88" t="str">
        <f>HYPERLINK("http://abs.twimg.com/images/themes/theme1/bg.png")</f>
        <v>http://abs.twimg.com/images/themes/theme1/bg.png</v>
      </c>
      <c r="AW203" s="83" t="b">
        <v>0</v>
      </c>
      <c r="AX203" s="83" t="s">
        <v>2296</v>
      </c>
      <c r="AY203" s="88" t="str">
        <f>HYPERLINK("https://twitter.com/womencodersbot")</f>
        <v>https://twitter.com/womencodersbot</v>
      </c>
      <c r="AZ203" s="83" t="s">
        <v>66</v>
      </c>
      <c r="BA203" s="83" t="str">
        <f>REPLACE(INDEX(GroupVertices[Group],MATCH(Vertices[[#This Row],[Vertex]],GroupVertices[Vertex],0)),1,1,"")</f>
        <v>1</v>
      </c>
      <c r="BB203" s="49">
        <v>0</v>
      </c>
      <c r="BC203" s="50">
        <v>0</v>
      </c>
      <c r="BD203" s="49">
        <v>0</v>
      </c>
      <c r="BE203" s="50">
        <v>0</v>
      </c>
      <c r="BF203" s="49">
        <v>0</v>
      </c>
      <c r="BG203" s="50">
        <v>0</v>
      </c>
      <c r="BH203" s="49">
        <v>91</v>
      </c>
      <c r="BI203" s="50">
        <v>100</v>
      </c>
      <c r="BJ203" s="49">
        <v>91</v>
      </c>
      <c r="BK203" s="49" t="s">
        <v>4835</v>
      </c>
      <c r="BL203" s="49" t="s">
        <v>4835</v>
      </c>
      <c r="BM203" s="49" t="s">
        <v>4871</v>
      </c>
      <c r="BN203" s="49" t="s">
        <v>4871</v>
      </c>
      <c r="BO203" s="49" t="s">
        <v>4927</v>
      </c>
      <c r="BP203" s="49" t="s">
        <v>4966</v>
      </c>
      <c r="BQ203" s="119" t="s">
        <v>5054</v>
      </c>
      <c r="BR203" s="119" t="s">
        <v>5100</v>
      </c>
      <c r="BS203" s="119" t="s">
        <v>5173</v>
      </c>
      <c r="BT203" s="119" t="s">
        <v>5173</v>
      </c>
      <c r="BU203" s="2"/>
      <c r="BV203" s="3"/>
      <c r="BW203" s="3"/>
      <c r="BX203" s="3"/>
      <c r="BY203" s="3"/>
    </row>
    <row r="204" spans="1:77" ht="15">
      <c r="A204" s="68" t="s">
        <v>400</v>
      </c>
      <c r="B204" s="69"/>
      <c r="C204" s="69" t="s">
        <v>46</v>
      </c>
      <c r="D204" s="70"/>
      <c r="E204" s="72"/>
      <c r="F204" s="107" t="str">
        <f>HYPERLINK("http://pbs.twimg.com/profile_images/1253528940590686209/pUHCp4SS_normal.jpg")</f>
        <v>http://pbs.twimg.com/profile_images/1253528940590686209/pUHCp4SS_normal.jpg</v>
      </c>
      <c r="G204" s="69"/>
      <c r="H204" s="73" t="s">
        <v>400</v>
      </c>
      <c r="I204" s="74" t="s">
        <v>5210</v>
      </c>
      <c r="J204" s="74" t="s">
        <v>73</v>
      </c>
      <c r="K204" s="73" t="s">
        <v>2497</v>
      </c>
      <c r="L204" s="77">
        <v>1</v>
      </c>
      <c r="M204" s="78">
        <v>1408.46875</v>
      </c>
      <c r="N204" s="78">
        <v>4159.99609375</v>
      </c>
      <c r="O204" s="79"/>
      <c r="P204" s="80"/>
      <c r="Q204" s="80"/>
      <c r="R204" s="93"/>
      <c r="S204" s="49">
        <v>0</v>
      </c>
      <c r="T204" s="49">
        <v>9</v>
      </c>
      <c r="U204" s="50">
        <v>1674.961518</v>
      </c>
      <c r="V204" s="50">
        <v>0.001866</v>
      </c>
      <c r="W204" s="50">
        <v>0.000425</v>
      </c>
      <c r="X204" s="50">
        <v>1.621312</v>
      </c>
      <c r="Y204" s="50">
        <v>0.09722222222222222</v>
      </c>
      <c r="Z204" s="50">
        <v>0</v>
      </c>
      <c r="AA204" s="75">
        <v>204</v>
      </c>
      <c r="AB204" s="75"/>
      <c r="AC204" s="76"/>
      <c r="AD204" s="83" t="s">
        <v>1745</v>
      </c>
      <c r="AE204" s="91" t="s">
        <v>1956</v>
      </c>
      <c r="AF204" s="83">
        <v>0</v>
      </c>
      <c r="AG204" s="83">
        <v>2338</v>
      </c>
      <c r="AH204" s="83">
        <v>389741</v>
      </c>
      <c r="AI204" s="83">
        <v>605</v>
      </c>
      <c r="AJ204" s="83"/>
      <c r="AK204" s="83" t="s">
        <v>2154</v>
      </c>
      <c r="AL204" s="83" t="s">
        <v>2286</v>
      </c>
      <c r="AM204" s="88" t="str">
        <f>HYPERLINK("https://t.co/MAZAlHIWJn")</f>
        <v>https://t.co/MAZAlHIWJn</v>
      </c>
      <c r="AN204" s="83"/>
      <c r="AO204" s="85">
        <v>43864.12210648148</v>
      </c>
      <c r="AP204" s="83"/>
      <c r="AQ204" s="83" t="b">
        <v>1</v>
      </c>
      <c r="AR204" s="83" t="b">
        <v>0</v>
      </c>
      <c r="AS204" s="83" t="b">
        <v>0</v>
      </c>
      <c r="AT204" s="83"/>
      <c r="AU204" s="83">
        <v>38</v>
      </c>
      <c r="AV204" s="83"/>
      <c r="AW204" s="83" t="b">
        <v>0</v>
      </c>
      <c r="AX204" s="83" t="s">
        <v>2296</v>
      </c>
      <c r="AY204" s="88" t="str">
        <f>HYPERLINK("https://twitter.com/learn__together")</f>
        <v>https://twitter.com/learn__together</v>
      </c>
      <c r="AZ204" s="83" t="s">
        <v>66</v>
      </c>
      <c r="BA204" s="83" t="str">
        <f>REPLACE(INDEX(GroupVertices[Group],MATCH(Vertices[[#This Row],[Vertex]],GroupVertices[Vertex],0)),1,1,"")</f>
        <v>1</v>
      </c>
      <c r="BB204" s="49">
        <v>0</v>
      </c>
      <c r="BC204" s="50">
        <v>0</v>
      </c>
      <c r="BD204" s="49">
        <v>0</v>
      </c>
      <c r="BE204" s="50">
        <v>0</v>
      </c>
      <c r="BF204" s="49">
        <v>0</v>
      </c>
      <c r="BG204" s="50">
        <v>0</v>
      </c>
      <c r="BH204" s="49">
        <v>173</v>
      </c>
      <c r="BI204" s="50">
        <v>100</v>
      </c>
      <c r="BJ204" s="49">
        <v>173</v>
      </c>
      <c r="BK204" s="49" t="s">
        <v>4836</v>
      </c>
      <c r="BL204" s="49" t="s">
        <v>4836</v>
      </c>
      <c r="BM204" s="49" t="s">
        <v>4872</v>
      </c>
      <c r="BN204" s="49" t="s">
        <v>4872</v>
      </c>
      <c r="BO204" s="49" t="s">
        <v>4928</v>
      </c>
      <c r="BP204" s="49" t="s">
        <v>4967</v>
      </c>
      <c r="BQ204" s="119" t="s">
        <v>5055</v>
      </c>
      <c r="BR204" s="119" t="s">
        <v>5101</v>
      </c>
      <c r="BS204" s="119" t="s">
        <v>5174</v>
      </c>
      <c r="BT204" s="119" t="s">
        <v>5174</v>
      </c>
      <c r="BU204" s="2"/>
      <c r="BV204" s="3"/>
      <c r="BW204" s="3"/>
      <c r="BX204" s="3"/>
      <c r="BY204" s="3"/>
    </row>
    <row r="205" spans="1:77" ht="15">
      <c r="A205" s="68" t="s">
        <v>401</v>
      </c>
      <c r="B205" s="69"/>
      <c r="C205" s="69" t="s">
        <v>64</v>
      </c>
      <c r="D205" s="70">
        <v>263.3984445617174</v>
      </c>
      <c r="E205" s="72"/>
      <c r="F205" s="107" t="str">
        <f>HYPERLINK("http://pbs.twimg.com/profile_images/1261303531178352640/tX8YTJcP_normal.jpg")</f>
        <v>http://pbs.twimg.com/profile_images/1261303531178352640/tX8YTJcP_normal.jpg</v>
      </c>
      <c r="G205" s="69"/>
      <c r="H205" s="73" t="s">
        <v>401</v>
      </c>
      <c r="I205" s="74" t="s">
        <v>5210</v>
      </c>
      <c r="J205" s="74" t="s">
        <v>73</v>
      </c>
      <c r="K205" s="73" t="s">
        <v>2498</v>
      </c>
      <c r="L205" s="77">
        <v>646.0322580645161</v>
      </c>
      <c r="M205" s="78">
        <v>2893.033935546875</v>
      </c>
      <c r="N205" s="78">
        <v>4087.173828125</v>
      </c>
      <c r="O205" s="79"/>
      <c r="P205" s="80"/>
      <c r="Q205" s="80"/>
      <c r="R205" s="93"/>
      <c r="S205" s="49">
        <v>2</v>
      </c>
      <c r="T205" s="49">
        <v>1</v>
      </c>
      <c r="U205" s="50">
        <v>0</v>
      </c>
      <c r="V205" s="50">
        <v>0.001139</v>
      </c>
      <c r="W205" s="50">
        <v>7E-06</v>
      </c>
      <c r="X205" s="50">
        <v>0.538324</v>
      </c>
      <c r="Y205" s="50">
        <v>0</v>
      </c>
      <c r="Z205" s="50">
        <v>0</v>
      </c>
      <c r="AA205" s="75">
        <v>205</v>
      </c>
      <c r="AB205" s="75"/>
      <c r="AC205" s="76"/>
      <c r="AD205" s="83" t="s">
        <v>1746</v>
      </c>
      <c r="AE205" s="91" t="s">
        <v>1957</v>
      </c>
      <c r="AF205" s="83">
        <v>20</v>
      </c>
      <c r="AG205" s="83">
        <v>10</v>
      </c>
      <c r="AH205" s="83">
        <v>63</v>
      </c>
      <c r="AI205" s="83">
        <v>25</v>
      </c>
      <c r="AJ205" s="83"/>
      <c r="AK205" s="83" t="s">
        <v>2155</v>
      </c>
      <c r="AL205" s="83" t="s">
        <v>2287</v>
      </c>
      <c r="AM205" s="83"/>
      <c r="AN205" s="83"/>
      <c r="AO205" s="85">
        <v>43454.62185185185</v>
      </c>
      <c r="AP205" s="88" t="str">
        <f>HYPERLINK("https://pbs.twimg.com/profile_banners/1075766639247966209/1545318110")</f>
        <v>https://pbs.twimg.com/profile_banners/1075766639247966209/1545318110</v>
      </c>
      <c r="AQ205" s="83" t="b">
        <v>1</v>
      </c>
      <c r="AR205" s="83" t="b">
        <v>0</v>
      </c>
      <c r="AS205" s="83" t="b">
        <v>0</v>
      </c>
      <c r="AT205" s="83"/>
      <c r="AU205" s="83">
        <v>0</v>
      </c>
      <c r="AV205" s="83"/>
      <c r="AW205" s="83" t="b">
        <v>0</v>
      </c>
      <c r="AX205" s="83" t="s">
        <v>2296</v>
      </c>
      <c r="AY205" s="88" t="str">
        <f>HYPERLINK("https://twitter.com/amitkrout1")</f>
        <v>https://twitter.com/amitkrout1</v>
      </c>
      <c r="AZ205" s="83" t="s">
        <v>66</v>
      </c>
      <c r="BA205" s="83" t="str">
        <f>REPLACE(INDEX(GroupVertices[Group],MATCH(Vertices[[#This Row],[Vertex]],GroupVertices[Vertex],0)),1,1,"")</f>
        <v>1</v>
      </c>
      <c r="BB205" s="49">
        <v>0</v>
      </c>
      <c r="BC205" s="50">
        <v>0</v>
      </c>
      <c r="BD205" s="49">
        <v>0</v>
      </c>
      <c r="BE205" s="50">
        <v>0</v>
      </c>
      <c r="BF205" s="49">
        <v>0</v>
      </c>
      <c r="BG205" s="50">
        <v>0</v>
      </c>
      <c r="BH205" s="49">
        <v>11</v>
      </c>
      <c r="BI205" s="50">
        <v>100</v>
      </c>
      <c r="BJ205" s="49">
        <v>11</v>
      </c>
      <c r="BK205" s="49" t="s">
        <v>4837</v>
      </c>
      <c r="BL205" s="49" t="s">
        <v>4837</v>
      </c>
      <c r="BM205" s="49" t="s">
        <v>547</v>
      </c>
      <c r="BN205" s="49" t="s">
        <v>547</v>
      </c>
      <c r="BO205" s="49" t="s">
        <v>627</v>
      </c>
      <c r="BP205" s="49" t="s">
        <v>627</v>
      </c>
      <c r="BQ205" s="119" t="s">
        <v>5056</v>
      </c>
      <c r="BR205" s="119" t="s">
        <v>5056</v>
      </c>
      <c r="BS205" s="119" t="s">
        <v>5175</v>
      </c>
      <c r="BT205" s="119" t="s">
        <v>5175</v>
      </c>
      <c r="BU205" s="2"/>
      <c r="BV205" s="3"/>
      <c r="BW205" s="3"/>
      <c r="BX205" s="3"/>
      <c r="BY205" s="3"/>
    </row>
    <row r="206" spans="1:77" ht="15">
      <c r="A206" s="68" t="s">
        <v>402</v>
      </c>
      <c r="B206" s="69"/>
      <c r="C206" s="69" t="s">
        <v>46</v>
      </c>
      <c r="D206" s="70"/>
      <c r="E206" s="72"/>
      <c r="F206" s="107" t="str">
        <f>HYPERLINK("http://pbs.twimg.com/profile_images/849166849950568448/Zb0nWTNN_normal.jpg")</f>
        <v>http://pbs.twimg.com/profile_images/849166849950568448/Zb0nWTNN_normal.jpg</v>
      </c>
      <c r="G206" s="69"/>
      <c r="H206" s="73" t="s">
        <v>402</v>
      </c>
      <c r="I206" s="74" t="s">
        <v>5210</v>
      </c>
      <c r="J206" s="74" t="s">
        <v>73</v>
      </c>
      <c r="K206" s="73" t="s">
        <v>2499</v>
      </c>
      <c r="L206" s="77">
        <v>1</v>
      </c>
      <c r="M206" s="78">
        <v>1927.869873046875</v>
      </c>
      <c r="N206" s="78">
        <v>4564.3037109375</v>
      </c>
      <c r="O206" s="79"/>
      <c r="P206" s="80"/>
      <c r="Q206" s="80"/>
      <c r="R206" s="93"/>
      <c r="S206" s="49">
        <v>0</v>
      </c>
      <c r="T206" s="49">
        <v>9</v>
      </c>
      <c r="U206" s="50">
        <v>726.038171</v>
      </c>
      <c r="V206" s="50">
        <v>0.001435</v>
      </c>
      <c r="W206" s="50">
        <v>0.000106</v>
      </c>
      <c r="X206" s="50">
        <v>1.689213</v>
      </c>
      <c r="Y206" s="50">
        <v>0.08333333333333333</v>
      </c>
      <c r="Z206" s="50">
        <v>0</v>
      </c>
      <c r="AA206" s="75">
        <v>206</v>
      </c>
      <c r="AB206" s="75"/>
      <c r="AC206" s="76"/>
      <c r="AD206" s="83" t="s">
        <v>1747</v>
      </c>
      <c r="AE206" s="91" t="s">
        <v>1958</v>
      </c>
      <c r="AF206" s="83">
        <v>63</v>
      </c>
      <c r="AG206" s="83">
        <v>7269</v>
      </c>
      <c r="AH206" s="83">
        <v>658557</v>
      </c>
      <c r="AI206" s="83">
        <v>4195</v>
      </c>
      <c r="AJ206" s="83"/>
      <c r="AK206" s="83" t="s">
        <v>2156</v>
      </c>
      <c r="AL206" s="83" t="s">
        <v>2288</v>
      </c>
      <c r="AM206" s="88" t="str">
        <f>HYPERLINK("https://t.co/JlQd4zAILB")</f>
        <v>https://t.co/JlQd4zAILB</v>
      </c>
      <c r="AN206" s="83"/>
      <c r="AO206" s="85">
        <v>42812.18736111111</v>
      </c>
      <c r="AP206" s="83"/>
      <c r="AQ206" s="83" t="b">
        <v>1</v>
      </c>
      <c r="AR206" s="83" t="b">
        <v>0</v>
      </c>
      <c r="AS206" s="83" t="b">
        <v>0</v>
      </c>
      <c r="AT206" s="83"/>
      <c r="AU206" s="83">
        <v>107</v>
      </c>
      <c r="AV206" s="83"/>
      <c r="AW206" s="83" t="b">
        <v>0</v>
      </c>
      <c r="AX206" s="83" t="s">
        <v>2296</v>
      </c>
      <c r="AY206" s="88" t="str">
        <f>HYPERLINK("https://twitter.com/codernotesbot")</f>
        <v>https://twitter.com/codernotesbot</v>
      </c>
      <c r="AZ206" s="83" t="s">
        <v>66</v>
      </c>
      <c r="BA206" s="83" t="str">
        <f>REPLACE(INDEX(GroupVertices[Group],MATCH(Vertices[[#This Row],[Vertex]],GroupVertices[Vertex],0)),1,1,"")</f>
        <v>1</v>
      </c>
      <c r="BB206" s="49">
        <v>0</v>
      </c>
      <c r="BC206" s="50">
        <v>0</v>
      </c>
      <c r="BD206" s="49">
        <v>0</v>
      </c>
      <c r="BE206" s="50">
        <v>0</v>
      </c>
      <c r="BF206" s="49">
        <v>0</v>
      </c>
      <c r="BG206" s="50">
        <v>0</v>
      </c>
      <c r="BH206" s="49">
        <v>162</v>
      </c>
      <c r="BI206" s="50">
        <v>100</v>
      </c>
      <c r="BJ206" s="49">
        <v>162</v>
      </c>
      <c r="BK206" s="49" t="s">
        <v>4838</v>
      </c>
      <c r="BL206" s="49" t="s">
        <v>4838</v>
      </c>
      <c r="BM206" s="49" t="s">
        <v>4873</v>
      </c>
      <c r="BN206" s="49" t="s">
        <v>4873</v>
      </c>
      <c r="BO206" s="49" t="s">
        <v>4929</v>
      </c>
      <c r="BP206" s="49" t="s">
        <v>4968</v>
      </c>
      <c r="BQ206" s="119" t="s">
        <v>5057</v>
      </c>
      <c r="BR206" s="119" t="s">
        <v>5102</v>
      </c>
      <c r="BS206" s="119" t="s">
        <v>5176</v>
      </c>
      <c r="BT206" s="119" t="s">
        <v>5202</v>
      </c>
      <c r="BU206" s="2"/>
      <c r="BV206" s="3"/>
      <c r="BW206" s="3"/>
      <c r="BX206" s="3"/>
      <c r="BY206" s="3"/>
    </row>
    <row r="207" spans="1:77" ht="15">
      <c r="A207" s="68" t="s">
        <v>405</v>
      </c>
      <c r="B207" s="69"/>
      <c r="C207" s="69" t="s">
        <v>46</v>
      </c>
      <c r="D207" s="70"/>
      <c r="E207" s="72"/>
      <c r="F207" s="107" t="str">
        <f>HYPERLINK("http://pbs.twimg.com/profile_images/1272605555497078785/WLzdWQ-o_normal.jpg")</f>
        <v>http://pbs.twimg.com/profile_images/1272605555497078785/WLzdWQ-o_normal.jpg</v>
      </c>
      <c r="G207" s="69"/>
      <c r="H207" s="73" t="s">
        <v>405</v>
      </c>
      <c r="I207" s="74" t="s">
        <v>5210</v>
      </c>
      <c r="J207" s="74" t="s">
        <v>73</v>
      </c>
      <c r="K207" s="73" t="s">
        <v>2500</v>
      </c>
      <c r="L207" s="77">
        <v>1</v>
      </c>
      <c r="M207" s="78">
        <v>1426.1383056640625</v>
      </c>
      <c r="N207" s="78">
        <v>5777.93017578125</v>
      </c>
      <c r="O207" s="79"/>
      <c r="P207" s="80"/>
      <c r="Q207" s="80"/>
      <c r="R207" s="93"/>
      <c r="S207" s="49">
        <v>0</v>
      </c>
      <c r="T207" s="49">
        <v>11</v>
      </c>
      <c r="U207" s="50">
        <v>2109.010233</v>
      </c>
      <c r="V207" s="50">
        <v>0.001887</v>
      </c>
      <c r="W207" s="50">
        <v>0.000929</v>
      </c>
      <c r="X207" s="50">
        <v>2.078547</v>
      </c>
      <c r="Y207" s="50">
        <v>0.045454545454545456</v>
      </c>
      <c r="Z207" s="50">
        <v>0</v>
      </c>
      <c r="AA207" s="75">
        <v>207</v>
      </c>
      <c r="AB207" s="75"/>
      <c r="AC207" s="76"/>
      <c r="AD207" s="83" t="s">
        <v>1748</v>
      </c>
      <c r="AE207" s="91" t="s">
        <v>1959</v>
      </c>
      <c r="AF207" s="83">
        <v>1</v>
      </c>
      <c r="AG207" s="83">
        <v>1409</v>
      </c>
      <c r="AH207" s="83">
        <v>247059</v>
      </c>
      <c r="AI207" s="83">
        <v>0</v>
      </c>
      <c r="AJ207" s="83"/>
      <c r="AK207" s="83" t="s">
        <v>2157</v>
      </c>
      <c r="AL207" s="83"/>
      <c r="AM207" s="83"/>
      <c r="AN207" s="83"/>
      <c r="AO207" s="85">
        <v>43788.81476851852</v>
      </c>
      <c r="AP207" s="88" t="str">
        <f>HYPERLINK("https://pbs.twimg.com/profile_banners/1196874000837816320/1577825239")</f>
        <v>https://pbs.twimg.com/profile_banners/1196874000837816320/1577825239</v>
      </c>
      <c r="AQ207" s="83" t="b">
        <v>1</v>
      </c>
      <c r="AR207" s="83" t="b">
        <v>0</v>
      </c>
      <c r="AS207" s="83" t="b">
        <v>0</v>
      </c>
      <c r="AT207" s="83"/>
      <c r="AU207" s="83">
        <v>38</v>
      </c>
      <c r="AV207" s="83"/>
      <c r="AW207" s="83" t="b">
        <v>0</v>
      </c>
      <c r="AX207" s="83" t="s">
        <v>2296</v>
      </c>
      <c r="AY207" s="88" t="str">
        <f>HYPERLINK("https://twitter.com/nodequotesbot")</f>
        <v>https://twitter.com/nodequotesbot</v>
      </c>
      <c r="AZ207" s="83" t="s">
        <v>66</v>
      </c>
      <c r="BA207" s="83" t="str">
        <f>REPLACE(INDEX(GroupVertices[Group],MATCH(Vertices[[#This Row],[Vertex]],GroupVertices[Vertex],0)),1,1,"")</f>
        <v>1</v>
      </c>
      <c r="BB207" s="49">
        <v>0</v>
      </c>
      <c r="BC207" s="50">
        <v>0</v>
      </c>
      <c r="BD207" s="49">
        <v>0</v>
      </c>
      <c r="BE207" s="50">
        <v>0</v>
      </c>
      <c r="BF207" s="49">
        <v>0</v>
      </c>
      <c r="BG207" s="50">
        <v>0</v>
      </c>
      <c r="BH207" s="49">
        <v>403</v>
      </c>
      <c r="BI207" s="50">
        <v>100</v>
      </c>
      <c r="BJ207" s="49">
        <v>403</v>
      </c>
      <c r="BK207" s="49" t="s">
        <v>4839</v>
      </c>
      <c r="BL207" s="49" t="s">
        <v>4839</v>
      </c>
      <c r="BM207" s="49" t="s">
        <v>4874</v>
      </c>
      <c r="BN207" s="49" t="s">
        <v>4874</v>
      </c>
      <c r="BO207" s="49" t="s">
        <v>4930</v>
      </c>
      <c r="BP207" s="49" t="s">
        <v>4969</v>
      </c>
      <c r="BQ207" s="119" t="s">
        <v>5058</v>
      </c>
      <c r="BR207" s="119" t="s">
        <v>5103</v>
      </c>
      <c r="BS207" s="119" t="s">
        <v>5177</v>
      </c>
      <c r="BT207" s="119" t="s">
        <v>5203</v>
      </c>
      <c r="BU207" s="2"/>
      <c r="BV207" s="3"/>
      <c r="BW207" s="3"/>
      <c r="BX207" s="3"/>
      <c r="BY207" s="3"/>
    </row>
    <row r="208" spans="1:77" ht="15">
      <c r="A208" s="68" t="s">
        <v>411</v>
      </c>
      <c r="B208" s="69"/>
      <c r="C208" s="69" t="s">
        <v>64</v>
      </c>
      <c r="D208" s="70">
        <v>411.6270323713908</v>
      </c>
      <c r="E208" s="72"/>
      <c r="F208" s="107" t="str">
        <f>HYPERLINK("http://pbs.twimg.com/profile_images/1281588212448866306/PI1VPfwq_normal.jpg")</f>
        <v>http://pbs.twimg.com/profile_images/1281588212448866306/PI1VPfwq_normal.jpg</v>
      </c>
      <c r="G208" s="69"/>
      <c r="H208" s="73" t="s">
        <v>411</v>
      </c>
      <c r="I208" s="74" t="s">
        <v>5210</v>
      </c>
      <c r="J208" s="74" t="s">
        <v>73</v>
      </c>
      <c r="K208" s="73" t="s">
        <v>2501</v>
      </c>
      <c r="L208" s="77">
        <v>968.5483870967741</v>
      </c>
      <c r="M208" s="78">
        <v>2161.65966796875</v>
      </c>
      <c r="N208" s="78">
        <v>7138.9443359375</v>
      </c>
      <c r="O208" s="79"/>
      <c r="P208" s="80"/>
      <c r="Q208" s="80"/>
      <c r="R208" s="93"/>
      <c r="S208" s="49">
        <v>3</v>
      </c>
      <c r="T208" s="49">
        <v>1</v>
      </c>
      <c r="U208" s="50">
        <v>3.142451</v>
      </c>
      <c r="V208" s="50">
        <v>0.001506</v>
      </c>
      <c r="W208" s="50">
        <v>9.3E-05</v>
      </c>
      <c r="X208" s="50">
        <v>0.687649</v>
      </c>
      <c r="Y208" s="50">
        <v>0</v>
      </c>
      <c r="Z208" s="50">
        <v>0</v>
      </c>
      <c r="AA208" s="75">
        <v>208</v>
      </c>
      <c r="AB208" s="75"/>
      <c r="AC208" s="76"/>
      <c r="AD208" s="83" t="s">
        <v>1749</v>
      </c>
      <c r="AE208" s="91" t="s">
        <v>1960</v>
      </c>
      <c r="AF208" s="83">
        <v>1409</v>
      </c>
      <c r="AG208" s="83">
        <v>208</v>
      </c>
      <c r="AH208" s="83">
        <v>995</v>
      </c>
      <c r="AI208" s="83">
        <v>110</v>
      </c>
      <c r="AJ208" s="83"/>
      <c r="AK208" s="83" t="s">
        <v>2158</v>
      </c>
      <c r="AL208" s="83" t="s">
        <v>2289</v>
      </c>
      <c r="AM208" s="88" t="str">
        <f>HYPERLINK("https://t.co/Kz1Sxsd6D5")</f>
        <v>https://t.co/Kz1Sxsd6D5</v>
      </c>
      <c r="AN208" s="83"/>
      <c r="AO208" s="85">
        <v>40399.69327546296</v>
      </c>
      <c r="AP208" s="88" t="str">
        <f>HYPERLINK("https://pbs.twimg.com/profile_banners/176470004/1577147377")</f>
        <v>https://pbs.twimg.com/profile_banners/176470004/1577147377</v>
      </c>
      <c r="AQ208" s="83" t="b">
        <v>0</v>
      </c>
      <c r="AR208" s="83" t="b">
        <v>0</v>
      </c>
      <c r="AS208" s="83" t="b">
        <v>0</v>
      </c>
      <c r="AT208" s="83"/>
      <c r="AU208" s="83">
        <v>0</v>
      </c>
      <c r="AV208" s="88" t="str">
        <f>HYPERLINK("http://abs.twimg.com/images/themes/theme14/bg.gif")</f>
        <v>http://abs.twimg.com/images/themes/theme14/bg.gif</v>
      </c>
      <c r="AW208" s="83" t="b">
        <v>0</v>
      </c>
      <c r="AX208" s="83" t="s">
        <v>2296</v>
      </c>
      <c r="AY208" s="88" t="str">
        <f>HYPERLINK("https://twitter.com/akson_ai")</f>
        <v>https://twitter.com/akson_ai</v>
      </c>
      <c r="AZ208" s="83" t="s">
        <v>66</v>
      </c>
      <c r="BA208" s="83" t="str">
        <f>REPLACE(INDEX(GroupVertices[Group],MATCH(Vertices[[#This Row],[Vertex]],GroupVertices[Vertex],0)),1,1,"")</f>
        <v>1</v>
      </c>
      <c r="BB208" s="49">
        <v>0</v>
      </c>
      <c r="BC208" s="50">
        <v>0</v>
      </c>
      <c r="BD208" s="49">
        <v>0</v>
      </c>
      <c r="BE208" s="50">
        <v>0</v>
      </c>
      <c r="BF208" s="49">
        <v>0</v>
      </c>
      <c r="BG208" s="50">
        <v>0</v>
      </c>
      <c r="BH208" s="49">
        <v>11</v>
      </c>
      <c r="BI208" s="50">
        <v>100</v>
      </c>
      <c r="BJ208" s="49">
        <v>11</v>
      </c>
      <c r="BK208" s="49"/>
      <c r="BL208" s="49"/>
      <c r="BM208" s="49"/>
      <c r="BN208" s="49"/>
      <c r="BO208" s="49" t="s">
        <v>629</v>
      </c>
      <c r="BP208" s="49" t="s">
        <v>629</v>
      </c>
      <c r="BQ208" s="119" t="s">
        <v>5059</v>
      </c>
      <c r="BR208" s="119" t="s">
        <v>5059</v>
      </c>
      <c r="BS208" s="119" t="s">
        <v>5178</v>
      </c>
      <c r="BT208" s="119" t="s">
        <v>5178</v>
      </c>
      <c r="BU208" s="2"/>
      <c r="BV208" s="3"/>
      <c r="BW208" s="3"/>
      <c r="BX208" s="3"/>
      <c r="BY208" s="3"/>
    </row>
    <row r="209" spans="1:77" ht="15">
      <c r="A209" s="68" t="s">
        <v>407</v>
      </c>
      <c r="B209" s="69"/>
      <c r="C209" s="69" t="s">
        <v>46</v>
      </c>
      <c r="D209" s="70"/>
      <c r="E209" s="72"/>
      <c r="F209" s="107" t="str">
        <f>HYPERLINK("http://pbs.twimg.com/profile_images/1127896024737935360/J0nVyVyF_normal.png")</f>
        <v>http://pbs.twimg.com/profile_images/1127896024737935360/J0nVyVyF_normal.png</v>
      </c>
      <c r="G209" s="69"/>
      <c r="H209" s="73" t="s">
        <v>407</v>
      </c>
      <c r="I209" s="74" t="s">
        <v>5210</v>
      </c>
      <c r="J209" s="74" t="s">
        <v>73</v>
      </c>
      <c r="K209" s="73" t="s">
        <v>2502</v>
      </c>
      <c r="L209" s="77">
        <v>1</v>
      </c>
      <c r="M209" s="78">
        <v>1498.0321044921875</v>
      </c>
      <c r="N209" s="78">
        <v>5742.9921875</v>
      </c>
      <c r="O209" s="79"/>
      <c r="P209" s="80"/>
      <c r="Q209" s="80"/>
      <c r="R209" s="93"/>
      <c r="S209" s="49">
        <v>0</v>
      </c>
      <c r="T209" s="49">
        <v>13</v>
      </c>
      <c r="U209" s="50">
        <v>2004.09633</v>
      </c>
      <c r="V209" s="50">
        <v>0.001972</v>
      </c>
      <c r="W209" s="50">
        <v>0.000876</v>
      </c>
      <c r="X209" s="50">
        <v>2.297942</v>
      </c>
      <c r="Y209" s="50">
        <v>0.0641025641025641</v>
      </c>
      <c r="Z209" s="50">
        <v>0</v>
      </c>
      <c r="AA209" s="75">
        <v>209</v>
      </c>
      <c r="AB209" s="75"/>
      <c r="AC209" s="76"/>
      <c r="AD209" s="83" t="s">
        <v>1526</v>
      </c>
      <c r="AE209" s="91" t="s">
        <v>1961</v>
      </c>
      <c r="AF209" s="83">
        <v>1</v>
      </c>
      <c r="AG209" s="83">
        <v>2928</v>
      </c>
      <c r="AH209" s="83">
        <v>606663</v>
      </c>
      <c r="AI209" s="83">
        <v>141201</v>
      </c>
      <c r="AJ209" s="83"/>
      <c r="AK209" s="83" t="s">
        <v>2159</v>
      </c>
      <c r="AL209" s="83" t="s">
        <v>2290</v>
      </c>
      <c r="AM209" s="88" t="str">
        <f>HYPERLINK("https://t.co/qOOcBWWxGu")</f>
        <v>https://t.co/qOOcBWWxGu</v>
      </c>
      <c r="AN209" s="83"/>
      <c r="AO209" s="85">
        <v>43598.28902777778</v>
      </c>
      <c r="AP209" s="83"/>
      <c r="AQ209" s="83" t="b">
        <v>1</v>
      </c>
      <c r="AR209" s="83" t="b">
        <v>0</v>
      </c>
      <c r="AS209" s="83" t="b">
        <v>0</v>
      </c>
      <c r="AT209" s="83"/>
      <c r="AU209" s="83">
        <v>69</v>
      </c>
      <c r="AV209" s="83"/>
      <c r="AW209" s="83" t="b">
        <v>0</v>
      </c>
      <c r="AX209" s="83" t="s">
        <v>2296</v>
      </c>
      <c r="AY209" s="88" t="str">
        <f>HYPERLINK("https://twitter.com/xaelbot")</f>
        <v>https://twitter.com/xaelbot</v>
      </c>
      <c r="AZ209" s="83" t="s">
        <v>66</v>
      </c>
      <c r="BA209" s="83" t="str">
        <f>REPLACE(INDEX(GroupVertices[Group],MATCH(Vertices[[#This Row],[Vertex]],GroupVertices[Vertex],0)),1,1,"")</f>
        <v>1</v>
      </c>
      <c r="BB209" s="49">
        <v>0</v>
      </c>
      <c r="BC209" s="50">
        <v>0</v>
      </c>
      <c r="BD209" s="49">
        <v>0</v>
      </c>
      <c r="BE209" s="50">
        <v>0</v>
      </c>
      <c r="BF209" s="49">
        <v>0</v>
      </c>
      <c r="BG209" s="50">
        <v>0</v>
      </c>
      <c r="BH209" s="49">
        <v>413</v>
      </c>
      <c r="BI209" s="50">
        <v>100</v>
      </c>
      <c r="BJ209" s="49">
        <v>413</v>
      </c>
      <c r="BK209" s="49" t="s">
        <v>4840</v>
      </c>
      <c r="BL209" s="49" t="s">
        <v>4840</v>
      </c>
      <c r="BM209" s="49" t="s">
        <v>4875</v>
      </c>
      <c r="BN209" s="49" t="s">
        <v>4875</v>
      </c>
      <c r="BO209" s="49" t="s">
        <v>4931</v>
      </c>
      <c r="BP209" s="49" t="s">
        <v>4970</v>
      </c>
      <c r="BQ209" s="119" t="s">
        <v>5060</v>
      </c>
      <c r="BR209" s="119" t="s">
        <v>5104</v>
      </c>
      <c r="BS209" s="119" t="s">
        <v>5179</v>
      </c>
      <c r="BT209" s="119" t="s">
        <v>5204</v>
      </c>
      <c r="BU209" s="2"/>
      <c r="BV209" s="3"/>
      <c r="BW209" s="3"/>
      <c r="BX209" s="3"/>
      <c r="BY209" s="3"/>
    </row>
    <row r="210" spans="1:77" ht="15">
      <c r="A210" s="68" t="s">
        <v>410</v>
      </c>
      <c r="B210" s="69"/>
      <c r="C210" s="69" t="s">
        <v>46</v>
      </c>
      <c r="D210" s="70"/>
      <c r="E210" s="72"/>
      <c r="F210" s="107" t="str">
        <f>HYPERLINK("http://pbs.twimg.com/profile_images/1264128044249288709/RX8i5cgz_normal.jpg")</f>
        <v>http://pbs.twimg.com/profile_images/1264128044249288709/RX8i5cgz_normal.jpg</v>
      </c>
      <c r="G210" s="69"/>
      <c r="H210" s="73" t="s">
        <v>410</v>
      </c>
      <c r="I210" s="74" t="s">
        <v>5213</v>
      </c>
      <c r="J210" s="74" t="s">
        <v>73</v>
      </c>
      <c r="K210" s="73" t="s">
        <v>2503</v>
      </c>
      <c r="L210" s="77">
        <v>1</v>
      </c>
      <c r="M210" s="78">
        <v>5927.25537109375</v>
      </c>
      <c r="N210" s="78">
        <v>224.1948699951172</v>
      </c>
      <c r="O210" s="79"/>
      <c r="P210" s="80"/>
      <c r="Q210" s="80"/>
      <c r="R210" s="93"/>
      <c r="S210" s="49">
        <v>0</v>
      </c>
      <c r="T210" s="49">
        <v>1</v>
      </c>
      <c r="U210" s="50">
        <v>0</v>
      </c>
      <c r="V210" s="50">
        <v>0.001235</v>
      </c>
      <c r="W210" s="50">
        <v>2E-05</v>
      </c>
      <c r="X210" s="50">
        <v>0.359433</v>
      </c>
      <c r="Y210" s="50">
        <v>0</v>
      </c>
      <c r="Z210" s="50">
        <v>0</v>
      </c>
      <c r="AA210" s="75">
        <v>210</v>
      </c>
      <c r="AB210" s="75"/>
      <c r="AC210" s="76"/>
      <c r="AD210" s="83" t="s">
        <v>1750</v>
      </c>
      <c r="AE210" s="91" t="s">
        <v>1962</v>
      </c>
      <c r="AF210" s="83">
        <v>21</v>
      </c>
      <c r="AG210" s="83">
        <v>6</v>
      </c>
      <c r="AH210" s="83">
        <v>1101</v>
      </c>
      <c r="AI210" s="83">
        <v>1628</v>
      </c>
      <c r="AJ210" s="83"/>
      <c r="AK210" s="83" t="s">
        <v>2160</v>
      </c>
      <c r="AL210" s="83" t="s">
        <v>2174</v>
      </c>
      <c r="AM210" s="83"/>
      <c r="AN210" s="83"/>
      <c r="AO210" s="85">
        <v>43492.78013888889</v>
      </c>
      <c r="AP210" s="83"/>
      <c r="AQ210" s="83" t="b">
        <v>1</v>
      </c>
      <c r="AR210" s="83" t="b">
        <v>0</v>
      </c>
      <c r="AS210" s="83" t="b">
        <v>0</v>
      </c>
      <c r="AT210" s="83"/>
      <c r="AU210" s="83">
        <v>0</v>
      </c>
      <c r="AV210" s="83"/>
      <c r="AW210" s="83" t="b">
        <v>0</v>
      </c>
      <c r="AX210" s="83" t="s">
        <v>2296</v>
      </c>
      <c r="AY210" s="88" t="str">
        <f>HYPERLINK("https://twitter.com/kohli10_56")</f>
        <v>https://twitter.com/kohli10_56</v>
      </c>
      <c r="AZ210" s="83" t="s">
        <v>66</v>
      </c>
      <c r="BA210" s="83" t="str">
        <f>REPLACE(INDEX(GroupVertices[Group],MATCH(Vertices[[#This Row],[Vertex]],GroupVertices[Vertex],0)),1,1,"")</f>
        <v>8</v>
      </c>
      <c r="BB210" s="49">
        <v>0</v>
      </c>
      <c r="BC210" s="50">
        <v>0</v>
      </c>
      <c r="BD210" s="49">
        <v>0</v>
      </c>
      <c r="BE210" s="50">
        <v>0</v>
      </c>
      <c r="BF210" s="49">
        <v>0</v>
      </c>
      <c r="BG210" s="50">
        <v>0</v>
      </c>
      <c r="BH210" s="49">
        <v>42</v>
      </c>
      <c r="BI210" s="50">
        <v>100</v>
      </c>
      <c r="BJ210" s="49">
        <v>42</v>
      </c>
      <c r="BK210" s="49" t="s">
        <v>4458</v>
      </c>
      <c r="BL210" s="49" t="s">
        <v>4458</v>
      </c>
      <c r="BM210" s="49" t="s">
        <v>547</v>
      </c>
      <c r="BN210" s="49" t="s">
        <v>547</v>
      </c>
      <c r="BO210" s="49" t="s">
        <v>595</v>
      </c>
      <c r="BP210" s="49" t="s">
        <v>595</v>
      </c>
      <c r="BQ210" s="119" t="s">
        <v>5012</v>
      </c>
      <c r="BR210" s="119" t="s">
        <v>5012</v>
      </c>
      <c r="BS210" s="119" t="s">
        <v>5144</v>
      </c>
      <c r="BT210" s="119" t="s">
        <v>5144</v>
      </c>
      <c r="BU210" s="2"/>
      <c r="BV210" s="3"/>
      <c r="BW210" s="3"/>
      <c r="BX210" s="3"/>
      <c r="BY210" s="3"/>
    </row>
    <row r="211" spans="1:77" ht="15">
      <c r="A211" s="68" t="s">
        <v>412</v>
      </c>
      <c r="B211" s="69"/>
      <c r="C211" s="69" t="s">
        <v>46</v>
      </c>
      <c r="D211" s="70"/>
      <c r="E211" s="72"/>
      <c r="F211" s="107" t="str">
        <f>HYPERLINK("http://pbs.twimg.com/profile_images/1266134298429517824/Gxv_xYd7_normal.jpg")</f>
        <v>http://pbs.twimg.com/profile_images/1266134298429517824/Gxv_xYd7_normal.jpg</v>
      </c>
      <c r="G211" s="69"/>
      <c r="H211" s="73" t="s">
        <v>412</v>
      </c>
      <c r="I211" s="74" t="s">
        <v>5210</v>
      </c>
      <c r="J211" s="74" t="s">
        <v>73</v>
      </c>
      <c r="K211" s="73" t="s">
        <v>2504</v>
      </c>
      <c r="L211" s="77">
        <v>1</v>
      </c>
      <c r="M211" s="78">
        <v>1621.7625732421875</v>
      </c>
      <c r="N211" s="78">
        <v>6642.9619140625</v>
      </c>
      <c r="O211" s="79"/>
      <c r="P211" s="80"/>
      <c r="Q211" s="80"/>
      <c r="R211" s="93"/>
      <c r="S211" s="49">
        <v>0</v>
      </c>
      <c r="T211" s="49">
        <v>8</v>
      </c>
      <c r="U211" s="50">
        <v>949.593978</v>
      </c>
      <c r="V211" s="50">
        <v>0.001876</v>
      </c>
      <c r="W211" s="50">
        <v>0.000399</v>
      </c>
      <c r="X211" s="50">
        <v>1.714829</v>
      </c>
      <c r="Y211" s="50">
        <v>0.10714285714285714</v>
      </c>
      <c r="Z211" s="50">
        <v>0</v>
      </c>
      <c r="AA211" s="75">
        <v>211</v>
      </c>
      <c r="AB211" s="75"/>
      <c r="AC211" s="76"/>
      <c r="AD211" s="83" t="s">
        <v>1751</v>
      </c>
      <c r="AE211" s="91" t="s">
        <v>1963</v>
      </c>
      <c r="AF211" s="83">
        <v>0</v>
      </c>
      <c r="AG211" s="83">
        <v>2274</v>
      </c>
      <c r="AH211" s="83">
        <v>311594</v>
      </c>
      <c r="AI211" s="83">
        <v>53188</v>
      </c>
      <c r="AJ211" s="83"/>
      <c r="AK211" s="83" t="s">
        <v>2161</v>
      </c>
      <c r="AL211" s="83"/>
      <c r="AM211" s="83"/>
      <c r="AN211" s="83"/>
      <c r="AO211" s="85">
        <v>43979.93480324074</v>
      </c>
      <c r="AP211" s="88" t="str">
        <f>HYPERLINK("https://pbs.twimg.com/profile_banners/1266133633389060097/1590708060")</f>
        <v>https://pbs.twimg.com/profile_banners/1266133633389060097/1590708060</v>
      </c>
      <c r="AQ211" s="83" t="b">
        <v>1</v>
      </c>
      <c r="AR211" s="83" t="b">
        <v>0</v>
      </c>
      <c r="AS211" s="83" t="b">
        <v>0</v>
      </c>
      <c r="AT211" s="83"/>
      <c r="AU211" s="83">
        <v>49</v>
      </c>
      <c r="AV211" s="83"/>
      <c r="AW211" s="83" t="b">
        <v>0</v>
      </c>
      <c r="AX211" s="83" t="s">
        <v>2296</v>
      </c>
      <c r="AY211" s="88" t="str">
        <f>HYPERLINK("https://twitter.com/codegnuts")</f>
        <v>https://twitter.com/codegnuts</v>
      </c>
      <c r="AZ211" s="83" t="s">
        <v>66</v>
      </c>
      <c r="BA211" s="83" t="str">
        <f>REPLACE(INDEX(GroupVertices[Group],MATCH(Vertices[[#This Row],[Vertex]],GroupVertices[Vertex],0)),1,1,"")</f>
        <v>1</v>
      </c>
      <c r="BB211" s="49">
        <v>0</v>
      </c>
      <c r="BC211" s="50">
        <v>0</v>
      </c>
      <c r="BD211" s="49">
        <v>0</v>
      </c>
      <c r="BE211" s="50">
        <v>0</v>
      </c>
      <c r="BF211" s="49">
        <v>0</v>
      </c>
      <c r="BG211" s="50">
        <v>0</v>
      </c>
      <c r="BH211" s="49">
        <v>384</v>
      </c>
      <c r="BI211" s="50">
        <v>100</v>
      </c>
      <c r="BJ211" s="49">
        <v>384</v>
      </c>
      <c r="BK211" s="49" t="s">
        <v>4841</v>
      </c>
      <c r="BL211" s="49" t="s">
        <v>4841</v>
      </c>
      <c r="BM211" s="49" t="s">
        <v>4876</v>
      </c>
      <c r="BN211" s="49" t="s">
        <v>4884</v>
      </c>
      <c r="BO211" s="49" t="s">
        <v>4932</v>
      </c>
      <c r="BP211" s="49" t="s">
        <v>4971</v>
      </c>
      <c r="BQ211" s="119" t="s">
        <v>5061</v>
      </c>
      <c r="BR211" s="119" t="s">
        <v>5105</v>
      </c>
      <c r="BS211" s="119" t="s">
        <v>5180</v>
      </c>
      <c r="BT211" s="119" t="s">
        <v>5205</v>
      </c>
      <c r="BU211" s="2"/>
      <c r="BV211" s="3"/>
      <c r="BW211" s="3"/>
      <c r="BX211" s="3"/>
      <c r="BY211" s="3"/>
    </row>
    <row r="212" spans="1:77" ht="15">
      <c r="A212" s="68" t="s">
        <v>413</v>
      </c>
      <c r="B212" s="69"/>
      <c r="C212" s="69" t="s">
        <v>64</v>
      </c>
      <c r="D212" s="70">
        <v>263.3984445617174</v>
      </c>
      <c r="E212" s="72"/>
      <c r="F212" s="107" t="str">
        <f>HYPERLINK("http://pbs.twimg.com/profile_images/1235536843208343553/M-uPddln_normal.jpg")</f>
        <v>http://pbs.twimg.com/profile_images/1235536843208343553/M-uPddln_normal.jpg</v>
      </c>
      <c r="G212" s="69"/>
      <c r="H212" s="73" t="s">
        <v>413</v>
      </c>
      <c r="I212" s="74" t="s">
        <v>5210</v>
      </c>
      <c r="J212" s="74" t="s">
        <v>73</v>
      </c>
      <c r="K212" s="73" t="s">
        <v>2505</v>
      </c>
      <c r="L212" s="77">
        <v>646.0322580645161</v>
      </c>
      <c r="M212" s="78">
        <v>950.9956665039062</v>
      </c>
      <c r="N212" s="78">
        <v>7511.7978515625</v>
      </c>
      <c r="O212" s="79"/>
      <c r="P212" s="80"/>
      <c r="Q212" s="80"/>
      <c r="R212" s="93"/>
      <c r="S212" s="49">
        <v>2</v>
      </c>
      <c r="T212" s="49">
        <v>1</v>
      </c>
      <c r="U212" s="50">
        <v>0</v>
      </c>
      <c r="V212" s="50">
        <v>0.001664</v>
      </c>
      <c r="W212" s="50">
        <v>0.00012</v>
      </c>
      <c r="X212" s="50">
        <v>0.728275</v>
      </c>
      <c r="Y212" s="50">
        <v>0.5</v>
      </c>
      <c r="Z212" s="50">
        <v>0</v>
      </c>
      <c r="AA212" s="75">
        <v>212</v>
      </c>
      <c r="AB212" s="75"/>
      <c r="AC212" s="76"/>
      <c r="AD212" s="83" t="s">
        <v>1752</v>
      </c>
      <c r="AE212" s="91" t="s">
        <v>1964</v>
      </c>
      <c r="AF212" s="83">
        <v>1127</v>
      </c>
      <c r="AG212" s="83">
        <v>600</v>
      </c>
      <c r="AH212" s="83">
        <v>23187</v>
      </c>
      <c r="AI212" s="83">
        <v>36</v>
      </c>
      <c r="AJ212" s="83"/>
      <c r="AK212" s="83" t="s">
        <v>2162</v>
      </c>
      <c r="AL212" s="83" t="s">
        <v>2291</v>
      </c>
      <c r="AM212" s="88" t="str">
        <f>HYPERLINK("https://t.co/hrDvgFjdWO")</f>
        <v>https://t.co/hrDvgFjdWO</v>
      </c>
      <c r="AN212" s="83"/>
      <c r="AO212" s="85">
        <v>41941.86871527778</v>
      </c>
      <c r="AP212" s="88" t="str">
        <f>HYPERLINK("https://pbs.twimg.com/profile_banners/2850385271/1583409914")</f>
        <v>https://pbs.twimg.com/profile_banners/2850385271/1583409914</v>
      </c>
      <c r="AQ212" s="83" t="b">
        <v>0</v>
      </c>
      <c r="AR212" s="83" t="b">
        <v>0</v>
      </c>
      <c r="AS212" s="83" t="b">
        <v>1</v>
      </c>
      <c r="AT212" s="83"/>
      <c r="AU212" s="83">
        <v>675</v>
      </c>
      <c r="AV212" s="88" t="str">
        <f>HYPERLINK("http://abs.twimg.com/images/themes/theme1/bg.png")</f>
        <v>http://abs.twimg.com/images/themes/theme1/bg.png</v>
      </c>
      <c r="AW212" s="83" t="b">
        <v>0</v>
      </c>
      <c r="AX212" s="83" t="s">
        <v>2296</v>
      </c>
      <c r="AY212" s="88" t="str">
        <f>HYPERLINK("https://twitter.com/lofwyrm")</f>
        <v>https://twitter.com/lofwyrm</v>
      </c>
      <c r="AZ212" s="83" t="s">
        <v>66</v>
      </c>
      <c r="BA212" s="83" t="str">
        <f>REPLACE(INDEX(GroupVertices[Group],MATCH(Vertices[[#This Row],[Vertex]],GroupVertices[Vertex],0)),1,1,"")</f>
        <v>1</v>
      </c>
      <c r="BB212" s="49">
        <v>0</v>
      </c>
      <c r="BC212" s="50">
        <v>0</v>
      </c>
      <c r="BD212" s="49">
        <v>0</v>
      </c>
      <c r="BE212" s="50">
        <v>0</v>
      </c>
      <c r="BF212" s="49">
        <v>0</v>
      </c>
      <c r="BG212" s="50">
        <v>0</v>
      </c>
      <c r="BH212" s="49">
        <v>29</v>
      </c>
      <c r="BI212" s="50">
        <v>100</v>
      </c>
      <c r="BJ212" s="49">
        <v>29</v>
      </c>
      <c r="BK212" s="49" t="s">
        <v>4455</v>
      </c>
      <c r="BL212" s="49" t="s">
        <v>4455</v>
      </c>
      <c r="BM212" s="49" t="s">
        <v>533</v>
      </c>
      <c r="BN212" s="49" t="s">
        <v>533</v>
      </c>
      <c r="BO212" s="49" t="s">
        <v>630</v>
      </c>
      <c r="BP212" s="49" t="s">
        <v>630</v>
      </c>
      <c r="BQ212" s="119" t="s">
        <v>5062</v>
      </c>
      <c r="BR212" s="119" t="s">
        <v>5062</v>
      </c>
      <c r="BS212" s="119" t="s">
        <v>5181</v>
      </c>
      <c r="BT212" s="119" t="s">
        <v>5181</v>
      </c>
      <c r="BU212" s="2"/>
      <c r="BV212" s="3"/>
      <c r="BW212" s="3"/>
      <c r="BX212" s="3"/>
      <c r="BY212" s="3"/>
    </row>
    <row r="213" spans="1:77" ht="15">
      <c r="A213" s="68" t="s">
        <v>416</v>
      </c>
      <c r="B213" s="69"/>
      <c r="C213" s="69" t="s">
        <v>46</v>
      </c>
      <c r="D213" s="70"/>
      <c r="E213" s="72"/>
      <c r="F213" s="107" t="str">
        <f>HYPERLINK("http://pbs.twimg.com/profile_images/885513954818220033/gf3Ci4dO_normal.jpg")</f>
        <v>http://pbs.twimg.com/profile_images/885513954818220033/gf3Ci4dO_normal.jpg</v>
      </c>
      <c r="G213" s="69"/>
      <c r="H213" s="73" t="s">
        <v>416</v>
      </c>
      <c r="I213" s="74" t="s">
        <v>5210</v>
      </c>
      <c r="J213" s="74" t="s">
        <v>73</v>
      </c>
      <c r="K213" s="73" t="s">
        <v>2506</v>
      </c>
      <c r="L213" s="77">
        <v>1</v>
      </c>
      <c r="M213" s="78">
        <v>1373.931640625</v>
      </c>
      <c r="N213" s="78">
        <v>5538.1767578125</v>
      </c>
      <c r="O213" s="79"/>
      <c r="P213" s="80"/>
      <c r="Q213" s="80"/>
      <c r="R213" s="93"/>
      <c r="S213" s="49">
        <v>0</v>
      </c>
      <c r="T213" s="49">
        <v>12</v>
      </c>
      <c r="U213" s="50">
        <v>2054.370791</v>
      </c>
      <c r="V213" s="50">
        <v>0.00202</v>
      </c>
      <c r="W213" s="50">
        <v>0.000884</v>
      </c>
      <c r="X213" s="50">
        <v>2.19569</v>
      </c>
      <c r="Y213" s="50">
        <v>0.06818181818181818</v>
      </c>
      <c r="Z213" s="50">
        <v>0</v>
      </c>
      <c r="AA213" s="75">
        <v>213</v>
      </c>
      <c r="AB213" s="75"/>
      <c r="AC213" s="76"/>
      <c r="AD213" s="83" t="s">
        <v>1753</v>
      </c>
      <c r="AE213" s="91" t="s">
        <v>1965</v>
      </c>
      <c r="AF213" s="83">
        <v>1</v>
      </c>
      <c r="AG213" s="83">
        <v>3223</v>
      </c>
      <c r="AH213" s="83">
        <v>607609</v>
      </c>
      <c r="AI213" s="83">
        <v>84094</v>
      </c>
      <c r="AJ213" s="83"/>
      <c r="AK213" s="83" t="s">
        <v>2163</v>
      </c>
      <c r="AL213" s="83" t="s">
        <v>2292</v>
      </c>
      <c r="AM213" s="83"/>
      <c r="AN213" s="83"/>
      <c r="AO213" s="85">
        <v>42929.623020833336</v>
      </c>
      <c r="AP213" s="88" t="str">
        <f>HYPERLINK("https://pbs.twimg.com/profile_banners/885513434569355265/1499969529")</f>
        <v>https://pbs.twimg.com/profile_banners/885513434569355265/1499969529</v>
      </c>
      <c r="AQ213" s="83" t="b">
        <v>0</v>
      </c>
      <c r="AR213" s="83" t="b">
        <v>0</v>
      </c>
      <c r="AS213" s="83" t="b">
        <v>0</v>
      </c>
      <c r="AT213" s="83"/>
      <c r="AU213" s="83">
        <v>70</v>
      </c>
      <c r="AV213" s="88" t="str">
        <f>HYPERLINK("http://abs.twimg.com/images/themes/theme1/bg.png")</f>
        <v>http://abs.twimg.com/images/themes/theme1/bg.png</v>
      </c>
      <c r="AW213" s="83" t="b">
        <v>0</v>
      </c>
      <c r="AX213" s="83" t="s">
        <v>2296</v>
      </c>
      <c r="AY213" s="88" t="str">
        <f>HYPERLINK("https://twitter.com/taieb_bot")</f>
        <v>https://twitter.com/taieb_bot</v>
      </c>
      <c r="AZ213" s="83" t="s">
        <v>66</v>
      </c>
      <c r="BA213" s="83" t="str">
        <f>REPLACE(INDEX(GroupVertices[Group],MATCH(Vertices[[#This Row],[Vertex]],GroupVertices[Vertex],0)),1,1,"")</f>
        <v>1</v>
      </c>
      <c r="BB213" s="49">
        <v>0</v>
      </c>
      <c r="BC213" s="50">
        <v>0</v>
      </c>
      <c r="BD213" s="49">
        <v>0</v>
      </c>
      <c r="BE213" s="50">
        <v>0</v>
      </c>
      <c r="BF213" s="49">
        <v>0</v>
      </c>
      <c r="BG213" s="50">
        <v>0</v>
      </c>
      <c r="BH213" s="49">
        <v>354</v>
      </c>
      <c r="BI213" s="50">
        <v>100</v>
      </c>
      <c r="BJ213" s="49">
        <v>354</v>
      </c>
      <c r="BK213" s="49" t="s">
        <v>4842</v>
      </c>
      <c r="BL213" s="49" t="s">
        <v>4842</v>
      </c>
      <c r="BM213" s="49" t="s">
        <v>4877</v>
      </c>
      <c r="BN213" s="49" t="s">
        <v>4877</v>
      </c>
      <c r="BO213" s="49" t="s">
        <v>4933</v>
      </c>
      <c r="BP213" s="49" t="s">
        <v>4969</v>
      </c>
      <c r="BQ213" s="119" t="s">
        <v>5063</v>
      </c>
      <c r="BR213" s="119" t="s">
        <v>5106</v>
      </c>
      <c r="BS213" s="119" t="s">
        <v>5182</v>
      </c>
      <c r="BT213" s="119" t="s">
        <v>5206</v>
      </c>
      <c r="BU213" s="2"/>
      <c r="BV213" s="3"/>
      <c r="BW213" s="3"/>
      <c r="BX213" s="3"/>
      <c r="BY213" s="3"/>
    </row>
    <row r="214" spans="1:77" ht="15">
      <c r="A214" s="68" t="s">
        <v>422</v>
      </c>
      <c r="B214" s="69"/>
      <c r="C214" s="69" t="s">
        <v>46</v>
      </c>
      <c r="D214" s="70"/>
      <c r="E214" s="72"/>
      <c r="F214" s="107" t="str">
        <f>HYPERLINK("http://pbs.twimg.com/profile_images/1204131757534171136/Hdf5uixg_normal.png")</f>
        <v>http://pbs.twimg.com/profile_images/1204131757534171136/Hdf5uixg_normal.png</v>
      </c>
      <c r="G214" s="69"/>
      <c r="H214" s="73" t="s">
        <v>422</v>
      </c>
      <c r="I214" s="74" t="s">
        <v>5213</v>
      </c>
      <c r="J214" s="74" t="s">
        <v>73</v>
      </c>
      <c r="K214" s="73" t="s">
        <v>2507</v>
      </c>
      <c r="L214" s="77">
        <v>1</v>
      </c>
      <c r="M214" s="78">
        <v>5992.30517578125</v>
      </c>
      <c r="N214" s="78">
        <v>1429.8834228515625</v>
      </c>
      <c r="O214" s="79"/>
      <c r="P214" s="80"/>
      <c r="Q214" s="80"/>
      <c r="R214" s="93"/>
      <c r="S214" s="49">
        <v>0</v>
      </c>
      <c r="T214" s="49">
        <v>2</v>
      </c>
      <c r="U214" s="50">
        <v>720</v>
      </c>
      <c r="V214" s="50">
        <v>0.001241</v>
      </c>
      <c r="W214" s="50">
        <v>2E-05</v>
      </c>
      <c r="X214" s="50">
        <v>0.702429</v>
      </c>
      <c r="Y214" s="50">
        <v>0</v>
      </c>
      <c r="Z214" s="50">
        <v>0</v>
      </c>
      <c r="AA214" s="75">
        <v>214</v>
      </c>
      <c r="AB214" s="75"/>
      <c r="AC214" s="76"/>
      <c r="AD214" s="83" t="s">
        <v>1754</v>
      </c>
      <c r="AE214" s="91" t="s">
        <v>1966</v>
      </c>
      <c r="AF214" s="83">
        <v>1</v>
      </c>
      <c r="AG214" s="83">
        <v>4916</v>
      </c>
      <c r="AH214" s="83">
        <v>556702</v>
      </c>
      <c r="AI214" s="83">
        <v>257</v>
      </c>
      <c r="AJ214" s="83"/>
      <c r="AK214" s="83" t="s">
        <v>2164</v>
      </c>
      <c r="AL214" s="83" t="s">
        <v>2293</v>
      </c>
      <c r="AM214" s="83"/>
      <c r="AN214" s="83"/>
      <c r="AO214" s="85">
        <v>43808.83405092593</v>
      </c>
      <c r="AP214" s="88" t="str">
        <f>HYPERLINK("https://pbs.twimg.com/profile_banners/1204128767251230720/1575923213")</f>
        <v>https://pbs.twimg.com/profile_banners/1204128767251230720/1575923213</v>
      </c>
      <c r="AQ214" s="83" t="b">
        <v>1</v>
      </c>
      <c r="AR214" s="83" t="b">
        <v>0</v>
      </c>
      <c r="AS214" s="83" t="b">
        <v>0</v>
      </c>
      <c r="AT214" s="83"/>
      <c r="AU214" s="83">
        <v>56</v>
      </c>
      <c r="AV214" s="83"/>
      <c r="AW214" s="83" t="b">
        <v>0</v>
      </c>
      <c r="AX214" s="83" t="s">
        <v>2296</v>
      </c>
      <c r="AY214" s="88" t="str">
        <f>HYPERLINK("https://twitter.com/codedailybot")</f>
        <v>https://twitter.com/codedailybot</v>
      </c>
      <c r="AZ214" s="83" t="s">
        <v>66</v>
      </c>
      <c r="BA214" s="83" t="str">
        <f>REPLACE(INDEX(GroupVertices[Group],MATCH(Vertices[[#This Row],[Vertex]],GroupVertices[Vertex],0)),1,1,"")</f>
        <v>8</v>
      </c>
      <c r="BB214" s="49">
        <v>0</v>
      </c>
      <c r="BC214" s="50">
        <v>0</v>
      </c>
      <c r="BD214" s="49">
        <v>0</v>
      </c>
      <c r="BE214" s="50">
        <v>0</v>
      </c>
      <c r="BF214" s="49">
        <v>0</v>
      </c>
      <c r="BG214" s="50">
        <v>0</v>
      </c>
      <c r="BH214" s="49">
        <v>236</v>
      </c>
      <c r="BI214" s="50">
        <v>100</v>
      </c>
      <c r="BJ214" s="49">
        <v>236</v>
      </c>
      <c r="BK214" s="49" t="s">
        <v>4843</v>
      </c>
      <c r="BL214" s="49" t="s">
        <v>4847</v>
      </c>
      <c r="BM214" s="49" t="s">
        <v>4878</v>
      </c>
      <c r="BN214" s="49" t="s">
        <v>4885</v>
      </c>
      <c r="BO214" s="49" t="s">
        <v>4934</v>
      </c>
      <c r="BP214" s="49" t="s">
        <v>4972</v>
      </c>
      <c r="BQ214" s="119" t="s">
        <v>5064</v>
      </c>
      <c r="BR214" s="119" t="s">
        <v>5107</v>
      </c>
      <c r="BS214" s="119" t="s">
        <v>5144</v>
      </c>
      <c r="BT214" s="119" t="s">
        <v>5112</v>
      </c>
      <c r="BU214" s="2"/>
      <c r="BV214" s="3"/>
      <c r="BW214" s="3"/>
      <c r="BX214" s="3"/>
      <c r="BY214" s="3"/>
    </row>
    <row r="215" spans="1:77" ht="15">
      <c r="A215" s="68" t="s">
        <v>424</v>
      </c>
      <c r="B215" s="69"/>
      <c r="C215" s="69" t="s">
        <v>46</v>
      </c>
      <c r="D215" s="70"/>
      <c r="E215" s="72"/>
      <c r="F215" s="107" t="str">
        <f>HYPERLINK("http://pbs.twimg.com/profile_images/1127117772490625024/7oz54mHz_normal.png")</f>
        <v>http://pbs.twimg.com/profile_images/1127117772490625024/7oz54mHz_normal.png</v>
      </c>
      <c r="G215" s="69"/>
      <c r="H215" s="73" t="s">
        <v>424</v>
      </c>
      <c r="I215" s="74" t="s">
        <v>5214</v>
      </c>
      <c r="J215" s="74" t="s">
        <v>73</v>
      </c>
      <c r="K215" s="73" t="s">
        <v>2508</v>
      </c>
      <c r="L215" s="77">
        <v>1</v>
      </c>
      <c r="M215" s="78">
        <v>5910.91162109375</v>
      </c>
      <c r="N215" s="78">
        <v>6075.62646484375</v>
      </c>
      <c r="O215" s="79"/>
      <c r="P215" s="80"/>
      <c r="Q215" s="80"/>
      <c r="R215" s="93"/>
      <c r="S215" s="49">
        <v>0</v>
      </c>
      <c r="T215" s="49">
        <v>3</v>
      </c>
      <c r="U215" s="50">
        <v>340.677367</v>
      </c>
      <c r="V215" s="50">
        <v>0.001603</v>
      </c>
      <c r="W215" s="50">
        <v>0.000397</v>
      </c>
      <c r="X215" s="50">
        <v>0.825431</v>
      </c>
      <c r="Y215" s="50">
        <v>0</v>
      </c>
      <c r="Z215" s="50">
        <v>0</v>
      </c>
      <c r="AA215" s="75">
        <v>215</v>
      </c>
      <c r="AB215" s="75"/>
      <c r="AC215" s="76"/>
      <c r="AD215" s="83" t="s">
        <v>1755</v>
      </c>
      <c r="AE215" s="91" t="s">
        <v>1967</v>
      </c>
      <c r="AF215" s="83">
        <v>2778</v>
      </c>
      <c r="AG215" s="83">
        <v>2767</v>
      </c>
      <c r="AH215" s="83">
        <v>171722</v>
      </c>
      <c r="AI215" s="83">
        <v>165998</v>
      </c>
      <c r="AJ215" s="83"/>
      <c r="AK215" s="83" t="s">
        <v>2165</v>
      </c>
      <c r="AL215" s="83" t="s">
        <v>2294</v>
      </c>
      <c r="AM215" s="88" t="str">
        <f>HYPERLINK("https://t.co/Sw8VljA5Rv")</f>
        <v>https://t.co/Sw8VljA5Rv</v>
      </c>
      <c r="AN215" s="83"/>
      <c r="AO215" s="85">
        <v>43205.32724537037</v>
      </c>
      <c r="AP215" s="88" t="str">
        <f>HYPERLINK("https://pbs.twimg.com/profile_banners/985425300292022273/1557561086")</f>
        <v>https://pbs.twimg.com/profile_banners/985425300292022273/1557561086</v>
      </c>
      <c r="AQ215" s="83" t="b">
        <v>0</v>
      </c>
      <c r="AR215" s="83" t="b">
        <v>0</v>
      </c>
      <c r="AS215" s="83" t="b">
        <v>0</v>
      </c>
      <c r="AT215" s="83"/>
      <c r="AU215" s="83">
        <v>42</v>
      </c>
      <c r="AV215" s="88" t="str">
        <f>HYPERLINK("http://abs.twimg.com/images/themes/theme1/bg.png")</f>
        <v>http://abs.twimg.com/images/themes/theme1/bg.png</v>
      </c>
      <c r="AW215" s="83" t="b">
        <v>0</v>
      </c>
      <c r="AX215" s="83" t="s">
        <v>2296</v>
      </c>
      <c r="AY215" s="88" t="str">
        <f>HYPERLINK("https://twitter.com/fullnam35087976")</f>
        <v>https://twitter.com/fullnam35087976</v>
      </c>
      <c r="AZ215" s="83" t="s">
        <v>66</v>
      </c>
      <c r="BA215" s="83" t="str">
        <f>REPLACE(INDEX(GroupVertices[Group],MATCH(Vertices[[#This Row],[Vertex]],GroupVertices[Vertex],0)),1,1,"")</f>
        <v>7</v>
      </c>
      <c r="BB215" s="49">
        <v>0</v>
      </c>
      <c r="BC215" s="50">
        <v>0</v>
      </c>
      <c r="BD215" s="49">
        <v>0</v>
      </c>
      <c r="BE215" s="50">
        <v>0</v>
      </c>
      <c r="BF215" s="49">
        <v>0</v>
      </c>
      <c r="BG215" s="50">
        <v>0</v>
      </c>
      <c r="BH215" s="49">
        <v>99</v>
      </c>
      <c r="BI215" s="50">
        <v>100</v>
      </c>
      <c r="BJ215" s="49">
        <v>99</v>
      </c>
      <c r="BK215" s="49" t="s">
        <v>4481</v>
      </c>
      <c r="BL215" s="49" t="s">
        <v>4481</v>
      </c>
      <c r="BM215" s="49" t="s">
        <v>544</v>
      </c>
      <c r="BN215" s="49" t="s">
        <v>544</v>
      </c>
      <c r="BO215" s="49" t="s">
        <v>4935</v>
      </c>
      <c r="BP215" s="49" t="s">
        <v>4973</v>
      </c>
      <c r="BQ215" s="119" t="s">
        <v>5065</v>
      </c>
      <c r="BR215" s="119" t="s">
        <v>5108</v>
      </c>
      <c r="BS215" s="119" t="s">
        <v>5183</v>
      </c>
      <c r="BT215" s="119" t="s">
        <v>5207</v>
      </c>
      <c r="BU215" s="2"/>
      <c r="BV215" s="3"/>
      <c r="BW215" s="3"/>
      <c r="BX215" s="3"/>
      <c r="BY215" s="3"/>
    </row>
    <row r="216" spans="1:77" ht="15">
      <c r="A216" s="94" t="s">
        <v>428</v>
      </c>
      <c r="B216" s="95"/>
      <c r="C216" s="95" t="s">
        <v>46</v>
      </c>
      <c r="D216" s="96">
        <v>10</v>
      </c>
      <c r="E216" s="97"/>
      <c r="F216" s="108" t="str">
        <f>HYPERLINK("http://abs.twimg.com/sticky/default_profile_images/default_profile_normal.png")</f>
        <v>http://abs.twimg.com/sticky/default_profile_images/default_profile_normal.png</v>
      </c>
      <c r="G216" s="95"/>
      <c r="H216" s="98" t="s">
        <v>428</v>
      </c>
      <c r="I216" s="99" t="s">
        <v>5218</v>
      </c>
      <c r="J216" s="99" t="s">
        <v>73</v>
      </c>
      <c r="K216" s="98" t="s">
        <v>2509</v>
      </c>
      <c r="L216" s="100">
        <v>323.51612903225805</v>
      </c>
      <c r="M216" s="101"/>
      <c r="N216" s="101"/>
      <c r="O216" s="102"/>
      <c r="P216" s="103"/>
      <c r="Q216" s="103"/>
      <c r="R216" s="104"/>
      <c r="S216" s="49">
        <v>1</v>
      </c>
      <c r="T216" s="49">
        <v>1</v>
      </c>
      <c r="U216" s="50">
        <v>0</v>
      </c>
      <c r="V216" s="50">
        <v>0</v>
      </c>
      <c r="W216" s="50">
        <v>0</v>
      </c>
      <c r="X216" s="50">
        <v>0.999997</v>
      </c>
      <c r="Y216" s="50">
        <v>0</v>
      </c>
      <c r="Z216" s="50">
        <v>0</v>
      </c>
      <c r="AA216" s="105">
        <v>216</v>
      </c>
      <c r="AB216" s="105"/>
      <c r="AC216" s="106"/>
      <c r="AD216" s="83" t="s">
        <v>1756</v>
      </c>
      <c r="AE216" s="91" t="s">
        <v>1968</v>
      </c>
      <c r="AF216" s="83">
        <v>40</v>
      </c>
      <c r="AG216" s="83">
        <v>1</v>
      </c>
      <c r="AH216" s="83">
        <v>47</v>
      </c>
      <c r="AI216" s="83">
        <v>92</v>
      </c>
      <c r="AJ216" s="83"/>
      <c r="AK216" s="83" t="s">
        <v>2166</v>
      </c>
      <c r="AL216" s="83"/>
      <c r="AM216" s="83"/>
      <c r="AN216" s="83"/>
      <c r="AO216" s="85">
        <v>43995.725949074076</v>
      </c>
      <c r="AP216" s="83"/>
      <c r="AQ216" s="83" t="b">
        <v>1</v>
      </c>
      <c r="AR216" s="83" t="b">
        <v>1</v>
      </c>
      <c r="AS216" s="83" t="b">
        <v>0</v>
      </c>
      <c r="AT216" s="83"/>
      <c r="AU216" s="83">
        <v>0</v>
      </c>
      <c r="AV216" s="83"/>
      <c r="AW216" s="83" t="b">
        <v>0</v>
      </c>
      <c r="AX216" s="83" t="s">
        <v>2296</v>
      </c>
      <c r="AY216" s="88" t="str">
        <f>HYPERLINK("https://twitter.com/nikhilmaheswar3")</f>
        <v>https://twitter.com/nikhilmaheswar3</v>
      </c>
      <c r="AZ216" s="83" t="s">
        <v>66</v>
      </c>
      <c r="BA216" s="83" t="str">
        <f>REPLACE(INDEX(GroupVertices[Group],MATCH(Vertices[[#This Row],[Vertex]],GroupVertices[Vertex],0)),1,1,"")</f>
        <v>6</v>
      </c>
      <c r="BB216" s="49">
        <v>0</v>
      </c>
      <c r="BC216" s="50">
        <v>0</v>
      </c>
      <c r="BD216" s="49">
        <v>0</v>
      </c>
      <c r="BE216" s="50">
        <v>0</v>
      </c>
      <c r="BF216" s="49">
        <v>0</v>
      </c>
      <c r="BG216" s="50">
        <v>0</v>
      </c>
      <c r="BH216" s="49">
        <v>24</v>
      </c>
      <c r="BI216" s="50">
        <v>100</v>
      </c>
      <c r="BJ216" s="49">
        <v>24</v>
      </c>
      <c r="BK216" s="49" t="s">
        <v>4844</v>
      </c>
      <c r="BL216" s="49" t="s">
        <v>4844</v>
      </c>
      <c r="BM216" s="49" t="s">
        <v>562</v>
      </c>
      <c r="BN216" s="49" t="s">
        <v>562</v>
      </c>
      <c r="BO216" s="49" t="s">
        <v>638</v>
      </c>
      <c r="BP216" s="49" t="s">
        <v>638</v>
      </c>
      <c r="BQ216" s="119" t="s">
        <v>5066</v>
      </c>
      <c r="BR216" s="119" t="s">
        <v>5066</v>
      </c>
      <c r="BS216" s="119" t="s">
        <v>5184</v>
      </c>
      <c r="BT216" s="119" t="s">
        <v>5184</v>
      </c>
      <c r="BU216" s="2"/>
      <c r="BV216" s="3"/>
      <c r="BW216" s="3"/>
      <c r="BX216" s="3"/>
      <c r="BY2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6"/>
    <dataValidation allowBlank="1" showInputMessage="1" promptTitle="Vertex Tooltip" prompt="Enter optional text that will pop up when the mouse is hovered over the vertex." errorTitle="Invalid Vertex Image Key" sqref="K3:K2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6"/>
    <dataValidation allowBlank="1" showInputMessage="1" promptTitle="Vertex Label Fill Color" prompt="To select an optional fill color for the Label shape, right-click and select Select Color on the right-click menu." sqref="I3:I216"/>
    <dataValidation allowBlank="1" showInputMessage="1" promptTitle="Vertex Image File" prompt="Enter the path to an image file.  Hover over the column header for examples." errorTitle="Invalid Vertex Image Key" sqref="F3:F216"/>
    <dataValidation allowBlank="1" showInputMessage="1" promptTitle="Vertex Color" prompt="To select an optional vertex color, right-click and select Select Color on the right-click menu." sqref="B3:B216"/>
    <dataValidation allowBlank="1" showInputMessage="1" promptTitle="Vertex Opacity" prompt="Enter an optional vertex opacity between 0 (transparent) and 100 (opaque)." errorTitle="Invalid Vertex Opacity" error="The optional vertex opacity must be a whole number between 0 and 10." sqref="E3:E216"/>
    <dataValidation type="list" allowBlank="1" showInputMessage="1" showErrorMessage="1" promptTitle="Vertex Shape" prompt="Select an optional vertex shape." errorTitle="Invalid Vertex Shape" error="You have entered an invalid vertex shape.  Try selecting from the drop-down list instead." sqref="C3:C2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6">
      <formula1>ValidVertexLabelPositions</formula1>
    </dataValidation>
    <dataValidation allowBlank="1" showInputMessage="1" showErrorMessage="1" promptTitle="Vertex Name" prompt="Enter the name of the vertex." sqref="A3:A2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3172</v>
      </c>
      <c r="Z2" s="54" t="s">
        <v>3173</v>
      </c>
      <c r="AA2" s="54" t="s">
        <v>3174</v>
      </c>
      <c r="AB2" s="54" t="s">
        <v>3175</v>
      </c>
      <c r="AC2" s="54" t="s">
        <v>3176</v>
      </c>
      <c r="AD2" s="54" t="s">
        <v>3177</v>
      </c>
      <c r="AE2" s="54" t="s">
        <v>3178</v>
      </c>
      <c r="AF2" s="54" t="s">
        <v>3179</v>
      </c>
      <c r="AG2" s="54" t="s">
        <v>3182</v>
      </c>
      <c r="AH2" s="13" t="s">
        <v>4513</v>
      </c>
      <c r="AI2" s="13" t="s">
        <v>4539</v>
      </c>
      <c r="AJ2" s="13" t="s">
        <v>4581</v>
      </c>
      <c r="AK2" s="13" t="s">
        <v>4606</v>
      </c>
      <c r="AL2" s="13" t="s">
        <v>4725</v>
      </c>
      <c r="AM2" s="13" t="s">
        <v>4767</v>
      </c>
      <c r="AN2" s="13" t="s">
        <v>4768</v>
      </c>
      <c r="AO2" s="13" t="s">
        <v>4785</v>
      </c>
    </row>
    <row r="3" spans="1:41" ht="15">
      <c r="A3" s="68" t="s">
        <v>2518</v>
      </c>
      <c r="B3" s="69" t="s">
        <v>2539</v>
      </c>
      <c r="C3" s="69" t="s">
        <v>56</v>
      </c>
      <c r="D3" s="110"/>
      <c r="E3" s="14" t="s">
        <v>65</v>
      </c>
      <c r="F3" s="15" t="s">
        <v>5229</v>
      </c>
      <c r="G3" s="64"/>
      <c r="H3" s="64"/>
      <c r="I3" s="111">
        <v>3</v>
      </c>
      <c r="J3" s="51"/>
      <c r="K3" s="49">
        <v>63</v>
      </c>
      <c r="L3" s="49">
        <v>132</v>
      </c>
      <c r="M3" s="49">
        <v>87</v>
      </c>
      <c r="N3" s="49">
        <v>219</v>
      </c>
      <c r="O3" s="49">
        <v>14</v>
      </c>
      <c r="P3" s="50">
        <v>0.013245033112582781</v>
      </c>
      <c r="Q3" s="50">
        <v>0.026143790849673203</v>
      </c>
      <c r="R3" s="49">
        <v>1</v>
      </c>
      <c r="S3" s="49">
        <v>0</v>
      </c>
      <c r="T3" s="49">
        <v>63</v>
      </c>
      <c r="U3" s="49">
        <v>219</v>
      </c>
      <c r="V3" s="49">
        <v>6</v>
      </c>
      <c r="W3" s="50">
        <v>2.737717</v>
      </c>
      <c r="X3" s="50">
        <v>0.03917050691244239</v>
      </c>
      <c r="Y3" s="49">
        <v>0</v>
      </c>
      <c r="Z3" s="50">
        <v>0</v>
      </c>
      <c r="AA3" s="49">
        <v>0</v>
      </c>
      <c r="AB3" s="50">
        <v>0</v>
      </c>
      <c r="AC3" s="49">
        <v>0</v>
      </c>
      <c r="AD3" s="50">
        <v>0</v>
      </c>
      <c r="AE3" s="49">
        <v>5354</v>
      </c>
      <c r="AF3" s="50">
        <v>100</v>
      </c>
      <c r="AG3" s="49">
        <v>5354</v>
      </c>
      <c r="AH3" s="83" t="s">
        <v>4514</v>
      </c>
      <c r="AI3" s="83" t="s">
        <v>4540</v>
      </c>
      <c r="AJ3" s="83" t="s">
        <v>4582</v>
      </c>
      <c r="AK3" s="91" t="s">
        <v>4607</v>
      </c>
      <c r="AL3" s="91" t="s">
        <v>4726</v>
      </c>
      <c r="AM3" s="91"/>
      <c r="AN3" s="91" t="s">
        <v>4769</v>
      </c>
      <c r="AO3" s="91" t="s">
        <v>4786</v>
      </c>
    </row>
    <row r="4" spans="1:41" ht="15">
      <c r="A4" s="68" t="s">
        <v>2519</v>
      </c>
      <c r="B4" s="69" t="s">
        <v>2540</v>
      </c>
      <c r="C4" s="69" t="s">
        <v>56</v>
      </c>
      <c r="D4" s="110"/>
      <c r="E4" s="14" t="s">
        <v>65</v>
      </c>
      <c r="F4" s="15" t="s">
        <v>5230</v>
      </c>
      <c r="G4" s="64"/>
      <c r="H4" s="64"/>
      <c r="I4" s="111">
        <v>4</v>
      </c>
      <c r="J4" s="81"/>
      <c r="K4" s="49">
        <v>23</v>
      </c>
      <c r="L4" s="49">
        <v>27</v>
      </c>
      <c r="M4" s="49">
        <v>0</v>
      </c>
      <c r="N4" s="49">
        <v>27</v>
      </c>
      <c r="O4" s="49">
        <v>4</v>
      </c>
      <c r="P4" s="50">
        <v>0</v>
      </c>
      <c r="Q4" s="50">
        <v>0</v>
      </c>
      <c r="R4" s="49">
        <v>1</v>
      </c>
      <c r="S4" s="49">
        <v>0</v>
      </c>
      <c r="T4" s="49">
        <v>23</v>
      </c>
      <c r="U4" s="49">
        <v>27</v>
      </c>
      <c r="V4" s="49">
        <v>4</v>
      </c>
      <c r="W4" s="50">
        <v>2.706994</v>
      </c>
      <c r="X4" s="50">
        <v>0.045454545454545456</v>
      </c>
      <c r="Y4" s="49">
        <v>0</v>
      </c>
      <c r="Z4" s="50">
        <v>0</v>
      </c>
      <c r="AA4" s="49">
        <v>0</v>
      </c>
      <c r="AB4" s="50">
        <v>0</v>
      </c>
      <c r="AC4" s="49">
        <v>0</v>
      </c>
      <c r="AD4" s="50">
        <v>0</v>
      </c>
      <c r="AE4" s="49">
        <v>981</v>
      </c>
      <c r="AF4" s="50">
        <v>100</v>
      </c>
      <c r="AG4" s="49">
        <v>981</v>
      </c>
      <c r="AH4" s="83" t="s">
        <v>4515</v>
      </c>
      <c r="AI4" s="83" t="s">
        <v>4541</v>
      </c>
      <c r="AJ4" s="83" t="s">
        <v>4583</v>
      </c>
      <c r="AK4" s="91" t="s">
        <v>4608</v>
      </c>
      <c r="AL4" s="91" t="s">
        <v>4727</v>
      </c>
      <c r="AM4" s="91"/>
      <c r="AN4" s="91" t="s">
        <v>4770</v>
      </c>
      <c r="AO4" s="91" t="s">
        <v>4787</v>
      </c>
    </row>
    <row r="5" spans="1:41" ht="15">
      <c r="A5" s="68" t="s">
        <v>2520</v>
      </c>
      <c r="B5" s="69" t="s">
        <v>2541</v>
      </c>
      <c r="C5" s="69" t="s">
        <v>56</v>
      </c>
      <c r="D5" s="110"/>
      <c r="E5" s="14" t="s">
        <v>65</v>
      </c>
      <c r="F5" s="15" t="s">
        <v>5231</v>
      </c>
      <c r="G5" s="64"/>
      <c r="H5" s="64"/>
      <c r="I5" s="111">
        <v>5</v>
      </c>
      <c r="J5" s="81"/>
      <c r="K5" s="49">
        <v>22</v>
      </c>
      <c r="L5" s="49">
        <v>19</v>
      </c>
      <c r="M5" s="49">
        <v>8</v>
      </c>
      <c r="N5" s="49">
        <v>27</v>
      </c>
      <c r="O5" s="49">
        <v>4</v>
      </c>
      <c r="P5" s="50">
        <v>0</v>
      </c>
      <c r="Q5" s="50">
        <v>0</v>
      </c>
      <c r="R5" s="49">
        <v>1</v>
      </c>
      <c r="S5" s="49">
        <v>0</v>
      </c>
      <c r="T5" s="49">
        <v>22</v>
      </c>
      <c r="U5" s="49">
        <v>27</v>
      </c>
      <c r="V5" s="49">
        <v>2</v>
      </c>
      <c r="W5" s="50">
        <v>1.822314</v>
      </c>
      <c r="X5" s="50">
        <v>0.045454545454545456</v>
      </c>
      <c r="Y5" s="49">
        <v>0</v>
      </c>
      <c r="Z5" s="50">
        <v>0</v>
      </c>
      <c r="AA5" s="49">
        <v>0</v>
      </c>
      <c r="AB5" s="50">
        <v>0</v>
      </c>
      <c r="AC5" s="49">
        <v>0</v>
      </c>
      <c r="AD5" s="50">
        <v>0</v>
      </c>
      <c r="AE5" s="49">
        <v>788</v>
      </c>
      <c r="AF5" s="50">
        <v>100</v>
      </c>
      <c r="AG5" s="49">
        <v>788</v>
      </c>
      <c r="AH5" s="83" t="s">
        <v>4516</v>
      </c>
      <c r="AI5" s="83" t="s">
        <v>4542</v>
      </c>
      <c r="AJ5" s="83" t="s">
        <v>4584</v>
      </c>
      <c r="AK5" s="91" t="s">
        <v>4609</v>
      </c>
      <c r="AL5" s="91" t="s">
        <v>4728</v>
      </c>
      <c r="AM5" s="91"/>
      <c r="AN5" s="91"/>
      <c r="AO5" s="91" t="s">
        <v>4788</v>
      </c>
    </row>
    <row r="6" spans="1:41" ht="15">
      <c r="A6" s="68" t="s">
        <v>2521</v>
      </c>
      <c r="B6" s="69" t="s">
        <v>2542</v>
      </c>
      <c r="C6" s="69" t="s">
        <v>56</v>
      </c>
      <c r="D6" s="110"/>
      <c r="E6" s="14" t="s">
        <v>65</v>
      </c>
      <c r="F6" s="15" t="s">
        <v>5232</v>
      </c>
      <c r="G6" s="64"/>
      <c r="H6" s="64"/>
      <c r="I6" s="111">
        <v>6</v>
      </c>
      <c r="J6" s="81"/>
      <c r="K6" s="49">
        <v>21</v>
      </c>
      <c r="L6" s="49">
        <v>149</v>
      </c>
      <c r="M6" s="49">
        <v>16</v>
      </c>
      <c r="N6" s="49">
        <v>165</v>
      </c>
      <c r="O6" s="49">
        <v>1</v>
      </c>
      <c r="P6" s="50">
        <v>0.10638297872340426</v>
      </c>
      <c r="Q6" s="50">
        <v>0.19230769230769232</v>
      </c>
      <c r="R6" s="49">
        <v>1</v>
      </c>
      <c r="S6" s="49">
        <v>0</v>
      </c>
      <c r="T6" s="49">
        <v>21</v>
      </c>
      <c r="U6" s="49">
        <v>165</v>
      </c>
      <c r="V6" s="49">
        <v>2</v>
      </c>
      <c r="W6" s="50">
        <v>1.265306</v>
      </c>
      <c r="X6" s="50">
        <v>0.37142857142857144</v>
      </c>
      <c r="Y6" s="49">
        <v>0</v>
      </c>
      <c r="Z6" s="50">
        <v>0</v>
      </c>
      <c r="AA6" s="49">
        <v>0</v>
      </c>
      <c r="AB6" s="50">
        <v>0</v>
      </c>
      <c r="AC6" s="49">
        <v>0</v>
      </c>
      <c r="AD6" s="50">
        <v>0</v>
      </c>
      <c r="AE6" s="49">
        <v>532</v>
      </c>
      <c r="AF6" s="50">
        <v>100</v>
      </c>
      <c r="AG6" s="49">
        <v>532</v>
      </c>
      <c r="AH6" s="83" t="s">
        <v>4456</v>
      </c>
      <c r="AI6" s="83" t="s">
        <v>532</v>
      </c>
      <c r="AJ6" s="83" t="s">
        <v>619</v>
      </c>
      <c r="AK6" s="91" t="s">
        <v>4610</v>
      </c>
      <c r="AL6" s="91" t="s">
        <v>4729</v>
      </c>
      <c r="AM6" s="91"/>
      <c r="AN6" s="91" t="s">
        <v>4771</v>
      </c>
      <c r="AO6" s="91" t="s">
        <v>4789</v>
      </c>
    </row>
    <row r="7" spans="1:41" ht="15">
      <c r="A7" s="68" t="s">
        <v>2522</v>
      </c>
      <c r="B7" s="69" t="s">
        <v>2543</v>
      </c>
      <c r="C7" s="69" t="s">
        <v>56</v>
      </c>
      <c r="D7" s="110"/>
      <c r="E7" s="14" t="s">
        <v>65</v>
      </c>
      <c r="F7" s="15" t="s">
        <v>5233</v>
      </c>
      <c r="G7" s="64"/>
      <c r="H7" s="64"/>
      <c r="I7" s="111">
        <v>7</v>
      </c>
      <c r="J7" s="81"/>
      <c r="K7" s="49">
        <v>15</v>
      </c>
      <c r="L7" s="49">
        <v>16</v>
      </c>
      <c r="M7" s="49">
        <v>7</v>
      </c>
      <c r="N7" s="49">
        <v>23</v>
      </c>
      <c r="O7" s="49">
        <v>4</v>
      </c>
      <c r="P7" s="50">
        <v>0</v>
      </c>
      <c r="Q7" s="50">
        <v>0</v>
      </c>
      <c r="R7" s="49">
        <v>1</v>
      </c>
      <c r="S7" s="49">
        <v>0</v>
      </c>
      <c r="T7" s="49">
        <v>15</v>
      </c>
      <c r="U7" s="49">
        <v>23</v>
      </c>
      <c r="V7" s="49">
        <v>4</v>
      </c>
      <c r="W7" s="50">
        <v>2.293333</v>
      </c>
      <c r="X7" s="50">
        <v>0.0761904761904762</v>
      </c>
      <c r="Y7" s="49">
        <v>0</v>
      </c>
      <c r="Z7" s="50">
        <v>0</v>
      </c>
      <c r="AA7" s="49">
        <v>0</v>
      </c>
      <c r="AB7" s="50">
        <v>0</v>
      </c>
      <c r="AC7" s="49">
        <v>0</v>
      </c>
      <c r="AD7" s="50">
        <v>0</v>
      </c>
      <c r="AE7" s="49">
        <v>1249</v>
      </c>
      <c r="AF7" s="50">
        <v>100</v>
      </c>
      <c r="AG7" s="49">
        <v>1249</v>
      </c>
      <c r="AH7" s="83" t="s">
        <v>4517</v>
      </c>
      <c r="AI7" s="83" t="s">
        <v>4543</v>
      </c>
      <c r="AJ7" s="83" t="s">
        <v>4585</v>
      </c>
      <c r="AK7" s="91" t="s">
        <v>4611</v>
      </c>
      <c r="AL7" s="91" t="s">
        <v>4730</v>
      </c>
      <c r="AM7" s="91"/>
      <c r="AN7" s="91" t="s">
        <v>4772</v>
      </c>
      <c r="AO7" s="91" t="s">
        <v>4790</v>
      </c>
    </row>
    <row r="8" spans="1:41" ht="15">
      <c r="A8" s="68" t="s">
        <v>2523</v>
      </c>
      <c r="B8" s="69" t="s">
        <v>2544</v>
      </c>
      <c r="C8" s="69" t="s">
        <v>56</v>
      </c>
      <c r="D8" s="110"/>
      <c r="E8" s="14" t="s">
        <v>66</v>
      </c>
      <c r="F8" s="15" t="s">
        <v>5234</v>
      </c>
      <c r="G8" s="64">
        <v>9254.67578125</v>
      </c>
      <c r="H8" s="64">
        <v>683.7881469726562</v>
      </c>
      <c r="I8" s="111">
        <v>8</v>
      </c>
      <c r="J8" s="81"/>
      <c r="K8" s="49">
        <v>12</v>
      </c>
      <c r="L8" s="49">
        <v>10</v>
      </c>
      <c r="M8" s="49">
        <v>10</v>
      </c>
      <c r="N8" s="49">
        <v>20</v>
      </c>
      <c r="O8" s="49">
        <v>20</v>
      </c>
      <c r="P8" s="50" t="s">
        <v>2554</v>
      </c>
      <c r="Q8" s="50" t="s">
        <v>2554</v>
      </c>
      <c r="R8" s="49">
        <v>12</v>
      </c>
      <c r="S8" s="49">
        <v>12</v>
      </c>
      <c r="T8" s="49">
        <v>1</v>
      </c>
      <c r="U8" s="49">
        <v>7</v>
      </c>
      <c r="V8" s="49">
        <v>0</v>
      </c>
      <c r="W8" s="50">
        <v>0</v>
      </c>
      <c r="X8" s="50">
        <v>0</v>
      </c>
      <c r="Y8" s="49">
        <v>0</v>
      </c>
      <c r="Z8" s="50">
        <v>0</v>
      </c>
      <c r="AA8" s="49">
        <v>0</v>
      </c>
      <c r="AB8" s="50">
        <v>0</v>
      </c>
      <c r="AC8" s="49">
        <v>0</v>
      </c>
      <c r="AD8" s="50">
        <v>0</v>
      </c>
      <c r="AE8" s="49">
        <v>365</v>
      </c>
      <c r="AF8" s="50">
        <v>100</v>
      </c>
      <c r="AG8" s="49">
        <v>365</v>
      </c>
      <c r="AH8" s="83" t="s">
        <v>4518</v>
      </c>
      <c r="AI8" s="83" t="s">
        <v>4544</v>
      </c>
      <c r="AJ8" s="83" t="s">
        <v>4586</v>
      </c>
      <c r="AK8" s="91" t="s">
        <v>4612</v>
      </c>
      <c r="AL8" s="91" t="s">
        <v>4731</v>
      </c>
      <c r="AM8" s="91"/>
      <c r="AN8" s="91"/>
      <c r="AO8" s="91" t="s">
        <v>4791</v>
      </c>
    </row>
    <row r="9" spans="1:41" ht="15">
      <c r="A9" s="68" t="s">
        <v>2524</v>
      </c>
      <c r="B9" s="69" t="s">
        <v>2545</v>
      </c>
      <c r="C9" s="69" t="s">
        <v>56</v>
      </c>
      <c r="D9" s="110"/>
      <c r="E9" s="14" t="s">
        <v>65</v>
      </c>
      <c r="F9" s="15" t="s">
        <v>5235</v>
      </c>
      <c r="G9" s="64"/>
      <c r="H9" s="64"/>
      <c r="I9" s="111">
        <v>9</v>
      </c>
      <c r="J9" s="81"/>
      <c r="K9" s="49">
        <v>11</v>
      </c>
      <c r="L9" s="49">
        <v>11</v>
      </c>
      <c r="M9" s="49">
        <v>15</v>
      </c>
      <c r="N9" s="49">
        <v>26</v>
      </c>
      <c r="O9" s="49">
        <v>14</v>
      </c>
      <c r="P9" s="50">
        <v>0</v>
      </c>
      <c r="Q9" s="50">
        <v>0</v>
      </c>
      <c r="R9" s="49">
        <v>1</v>
      </c>
      <c r="S9" s="49">
        <v>0</v>
      </c>
      <c r="T9" s="49">
        <v>11</v>
      </c>
      <c r="U9" s="49">
        <v>26</v>
      </c>
      <c r="V9" s="49">
        <v>4</v>
      </c>
      <c r="W9" s="50">
        <v>2.413223</v>
      </c>
      <c r="X9" s="50">
        <v>0.09090909090909091</v>
      </c>
      <c r="Y9" s="49">
        <v>0</v>
      </c>
      <c r="Z9" s="50">
        <v>0</v>
      </c>
      <c r="AA9" s="49">
        <v>0</v>
      </c>
      <c r="AB9" s="50">
        <v>0</v>
      </c>
      <c r="AC9" s="49">
        <v>0</v>
      </c>
      <c r="AD9" s="50">
        <v>0</v>
      </c>
      <c r="AE9" s="49">
        <v>614</v>
      </c>
      <c r="AF9" s="50">
        <v>100</v>
      </c>
      <c r="AG9" s="49">
        <v>614</v>
      </c>
      <c r="AH9" s="83" t="s">
        <v>4519</v>
      </c>
      <c r="AI9" s="83" t="s">
        <v>4545</v>
      </c>
      <c r="AJ9" s="83" t="s">
        <v>4587</v>
      </c>
      <c r="AK9" s="91" t="s">
        <v>4613</v>
      </c>
      <c r="AL9" s="91" t="s">
        <v>4732</v>
      </c>
      <c r="AM9" s="91"/>
      <c r="AN9" s="91"/>
      <c r="AO9" s="91" t="s">
        <v>4792</v>
      </c>
    </row>
    <row r="10" spans="1:41" ht="14.25" customHeight="1">
      <c r="A10" s="68" t="s">
        <v>2525</v>
      </c>
      <c r="B10" s="69" t="s">
        <v>2546</v>
      </c>
      <c r="C10" s="69" t="s">
        <v>56</v>
      </c>
      <c r="D10" s="110"/>
      <c r="E10" s="14" t="s">
        <v>65</v>
      </c>
      <c r="F10" s="15" t="s">
        <v>5236</v>
      </c>
      <c r="G10" s="64"/>
      <c r="H10" s="64"/>
      <c r="I10" s="111">
        <v>10</v>
      </c>
      <c r="J10" s="81"/>
      <c r="K10" s="49">
        <v>10</v>
      </c>
      <c r="L10" s="49">
        <v>9</v>
      </c>
      <c r="M10" s="49">
        <v>7</v>
      </c>
      <c r="N10" s="49">
        <v>16</v>
      </c>
      <c r="O10" s="49">
        <v>3</v>
      </c>
      <c r="P10" s="50">
        <v>0</v>
      </c>
      <c r="Q10" s="50">
        <v>0</v>
      </c>
      <c r="R10" s="49">
        <v>1</v>
      </c>
      <c r="S10" s="49">
        <v>0</v>
      </c>
      <c r="T10" s="49">
        <v>10</v>
      </c>
      <c r="U10" s="49">
        <v>16</v>
      </c>
      <c r="V10" s="49">
        <v>4</v>
      </c>
      <c r="W10" s="50">
        <v>2</v>
      </c>
      <c r="X10" s="50">
        <v>0.1</v>
      </c>
      <c r="Y10" s="49">
        <v>0</v>
      </c>
      <c r="Z10" s="50">
        <v>0</v>
      </c>
      <c r="AA10" s="49">
        <v>0</v>
      </c>
      <c r="AB10" s="50">
        <v>0</v>
      </c>
      <c r="AC10" s="49">
        <v>0</v>
      </c>
      <c r="AD10" s="50">
        <v>0</v>
      </c>
      <c r="AE10" s="49">
        <v>685</v>
      </c>
      <c r="AF10" s="50">
        <v>100</v>
      </c>
      <c r="AG10" s="49">
        <v>685</v>
      </c>
      <c r="AH10" s="83" t="s">
        <v>4520</v>
      </c>
      <c r="AI10" s="83" t="s">
        <v>4546</v>
      </c>
      <c r="AJ10" s="83" t="s">
        <v>4588</v>
      </c>
      <c r="AK10" s="91" t="s">
        <v>4614</v>
      </c>
      <c r="AL10" s="91" t="s">
        <v>4733</v>
      </c>
      <c r="AM10" s="91"/>
      <c r="AN10" s="91"/>
      <c r="AO10" s="91" t="s">
        <v>4793</v>
      </c>
    </row>
    <row r="11" spans="1:41" ht="15">
      <c r="A11" s="68" t="s">
        <v>2526</v>
      </c>
      <c r="B11" s="69" t="s">
        <v>2547</v>
      </c>
      <c r="C11" s="69" t="s">
        <v>56</v>
      </c>
      <c r="D11" s="110"/>
      <c r="E11" s="14" t="s">
        <v>65</v>
      </c>
      <c r="F11" s="15" t="s">
        <v>5237</v>
      </c>
      <c r="G11" s="64"/>
      <c r="H11" s="64"/>
      <c r="I11" s="111">
        <v>11</v>
      </c>
      <c r="J11" s="81"/>
      <c r="K11" s="49">
        <v>8</v>
      </c>
      <c r="L11" s="49">
        <v>12</v>
      </c>
      <c r="M11" s="49">
        <v>2</v>
      </c>
      <c r="N11" s="49">
        <v>14</v>
      </c>
      <c r="O11" s="49">
        <v>4</v>
      </c>
      <c r="P11" s="50">
        <v>0</v>
      </c>
      <c r="Q11" s="50">
        <v>0</v>
      </c>
      <c r="R11" s="49">
        <v>1</v>
      </c>
      <c r="S11" s="49">
        <v>0</v>
      </c>
      <c r="T11" s="49">
        <v>8</v>
      </c>
      <c r="U11" s="49">
        <v>14</v>
      </c>
      <c r="V11" s="49">
        <v>4</v>
      </c>
      <c r="W11" s="50">
        <v>1.75</v>
      </c>
      <c r="X11" s="50">
        <v>0.17857142857142858</v>
      </c>
      <c r="Y11" s="49">
        <v>0</v>
      </c>
      <c r="Z11" s="50">
        <v>0</v>
      </c>
      <c r="AA11" s="49">
        <v>0</v>
      </c>
      <c r="AB11" s="50">
        <v>0</v>
      </c>
      <c r="AC11" s="49">
        <v>0</v>
      </c>
      <c r="AD11" s="50">
        <v>0</v>
      </c>
      <c r="AE11" s="49">
        <v>432</v>
      </c>
      <c r="AF11" s="50">
        <v>100</v>
      </c>
      <c r="AG11" s="49">
        <v>432</v>
      </c>
      <c r="AH11" s="83" t="s">
        <v>4521</v>
      </c>
      <c r="AI11" s="83" t="s">
        <v>4547</v>
      </c>
      <c r="AJ11" s="83" t="s">
        <v>4589</v>
      </c>
      <c r="AK11" s="91" t="s">
        <v>4615</v>
      </c>
      <c r="AL11" s="91" t="s">
        <v>4734</v>
      </c>
      <c r="AM11" s="91"/>
      <c r="AN11" s="91" t="s">
        <v>4773</v>
      </c>
      <c r="AO11" s="91" t="s">
        <v>4794</v>
      </c>
    </row>
    <row r="12" spans="1:41" ht="15">
      <c r="A12" s="68" t="s">
        <v>2527</v>
      </c>
      <c r="B12" s="69" t="s">
        <v>2548</v>
      </c>
      <c r="C12" s="69" t="s">
        <v>56</v>
      </c>
      <c r="D12" s="110"/>
      <c r="E12" s="14" t="s">
        <v>65</v>
      </c>
      <c r="F12" s="15" t="s">
        <v>5238</v>
      </c>
      <c r="G12" s="64"/>
      <c r="H12" s="64"/>
      <c r="I12" s="111">
        <v>12</v>
      </c>
      <c r="J12" s="81"/>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136</v>
      </c>
      <c r="AF12" s="50">
        <v>100</v>
      </c>
      <c r="AG12" s="49">
        <v>136</v>
      </c>
      <c r="AH12" s="83" t="s">
        <v>4511</v>
      </c>
      <c r="AI12" s="83" t="s">
        <v>536</v>
      </c>
      <c r="AJ12" s="83" t="s">
        <v>4590</v>
      </c>
      <c r="AK12" s="91" t="s">
        <v>4616</v>
      </c>
      <c r="AL12" s="91" t="s">
        <v>4735</v>
      </c>
      <c r="AM12" s="91"/>
      <c r="AN12" s="91"/>
      <c r="AO12" s="91" t="s">
        <v>4795</v>
      </c>
    </row>
    <row r="13" spans="1:41" ht="15">
      <c r="A13" s="68" t="s">
        <v>2528</v>
      </c>
      <c r="B13" s="69" t="s">
        <v>2549</v>
      </c>
      <c r="C13" s="69" t="s">
        <v>56</v>
      </c>
      <c r="D13" s="110"/>
      <c r="E13" s="14" t="s">
        <v>65</v>
      </c>
      <c r="F13" s="15" t="s">
        <v>5239</v>
      </c>
      <c r="G13" s="64"/>
      <c r="H13" s="64"/>
      <c r="I13" s="111">
        <v>13</v>
      </c>
      <c r="J13" s="81"/>
      <c r="K13" s="49">
        <v>3</v>
      </c>
      <c r="L13" s="49">
        <v>3</v>
      </c>
      <c r="M13" s="49">
        <v>0</v>
      </c>
      <c r="N13" s="49">
        <v>3</v>
      </c>
      <c r="O13" s="49">
        <v>1</v>
      </c>
      <c r="P13" s="50">
        <v>0</v>
      </c>
      <c r="Q13" s="50">
        <v>0</v>
      </c>
      <c r="R13" s="49">
        <v>1</v>
      </c>
      <c r="S13" s="49">
        <v>0</v>
      </c>
      <c r="T13" s="49">
        <v>3</v>
      </c>
      <c r="U13" s="49">
        <v>3</v>
      </c>
      <c r="V13" s="49">
        <v>2</v>
      </c>
      <c r="W13" s="50">
        <v>0.888889</v>
      </c>
      <c r="X13" s="50">
        <v>0.3333333333333333</v>
      </c>
      <c r="Y13" s="49">
        <v>0</v>
      </c>
      <c r="Z13" s="50">
        <v>0</v>
      </c>
      <c r="AA13" s="49">
        <v>0</v>
      </c>
      <c r="AB13" s="50">
        <v>0</v>
      </c>
      <c r="AC13" s="49">
        <v>0</v>
      </c>
      <c r="AD13" s="50">
        <v>0</v>
      </c>
      <c r="AE13" s="49">
        <v>126</v>
      </c>
      <c r="AF13" s="50">
        <v>100</v>
      </c>
      <c r="AG13" s="49">
        <v>126</v>
      </c>
      <c r="AH13" s="83" t="s">
        <v>4522</v>
      </c>
      <c r="AI13" s="83" t="s">
        <v>546</v>
      </c>
      <c r="AJ13" s="83" t="s">
        <v>4591</v>
      </c>
      <c r="AK13" s="91" t="s">
        <v>4617</v>
      </c>
      <c r="AL13" s="91" t="s">
        <v>4736</v>
      </c>
      <c r="AM13" s="91"/>
      <c r="AN13" s="91"/>
      <c r="AO13" s="91" t="s">
        <v>4796</v>
      </c>
    </row>
    <row r="14" spans="1:41" ht="15">
      <c r="A14" s="68" t="s">
        <v>2529</v>
      </c>
      <c r="B14" s="69" t="s">
        <v>2550</v>
      </c>
      <c r="C14" s="69" t="s">
        <v>56</v>
      </c>
      <c r="D14" s="110"/>
      <c r="E14" s="14" t="s">
        <v>65</v>
      </c>
      <c r="F14" s="15" t="s">
        <v>5240</v>
      </c>
      <c r="G14" s="64"/>
      <c r="H14" s="64"/>
      <c r="I14" s="111">
        <v>14</v>
      </c>
      <c r="J14" s="81"/>
      <c r="K14" s="49">
        <v>3</v>
      </c>
      <c r="L14" s="49">
        <v>3</v>
      </c>
      <c r="M14" s="49">
        <v>0</v>
      </c>
      <c r="N14" s="49">
        <v>3</v>
      </c>
      <c r="O14" s="49">
        <v>1</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82</v>
      </c>
      <c r="AF14" s="50">
        <v>100</v>
      </c>
      <c r="AG14" s="49">
        <v>82</v>
      </c>
      <c r="AH14" s="83" t="s">
        <v>4523</v>
      </c>
      <c r="AI14" s="83" t="s">
        <v>535</v>
      </c>
      <c r="AJ14" s="83" t="s">
        <v>4592</v>
      </c>
      <c r="AK14" s="91" t="s">
        <v>4618</v>
      </c>
      <c r="AL14" s="91" t="s">
        <v>4737</v>
      </c>
      <c r="AM14" s="91"/>
      <c r="AN14" s="91"/>
      <c r="AO14" s="91" t="s">
        <v>4797</v>
      </c>
    </row>
    <row r="15" spans="1:41" ht="15">
      <c r="A15" s="68" t="s">
        <v>2530</v>
      </c>
      <c r="B15" s="69" t="s">
        <v>2539</v>
      </c>
      <c r="C15" s="69" t="s">
        <v>59</v>
      </c>
      <c r="D15" s="110"/>
      <c r="E15" s="14" t="s">
        <v>65</v>
      </c>
      <c r="F15" s="15" t="s">
        <v>5241</v>
      </c>
      <c r="G15" s="64"/>
      <c r="H15" s="64"/>
      <c r="I15" s="111">
        <v>15</v>
      </c>
      <c r="J15" s="81"/>
      <c r="K15" s="49">
        <v>3</v>
      </c>
      <c r="L15" s="49">
        <v>3</v>
      </c>
      <c r="M15" s="49">
        <v>0</v>
      </c>
      <c r="N15" s="49">
        <v>3</v>
      </c>
      <c r="O15" s="49">
        <v>1</v>
      </c>
      <c r="P15" s="50">
        <v>0</v>
      </c>
      <c r="Q15" s="50">
        <v>0</v>
      </c>
      <c r="R15" s="49">
        <v>1</v>
      </c>
      <c r="S15" s="49">
        <v>0</v>
      </c>
      <c r="T15" s="49">
        <v>3</v>
      </c>
      <c r="U15" s="49">
        <v>3</v>
      </c>
      <c r="V15" s="49">
        <v>2</v>
      </c>
      <c r="W15" s="50">
        <v>0.888889</v>
      </c>
      <c r="X15" s="50">
        <v>0.3333333333333333</v>
      </c>
      <c r="Y15" s="49">
        <v>0</v>
      </c>
      <c r="Z15" s="50">
        <v>0</v>
      </c>
      <c r="AA15" s="49">
        <v>0</v>
      </c>
      <c r="AB15" s="50">
        <v>0</v>
      </c>
      <c r="AC15" s="49">
        <v>0</v>
      </c>
      <c r="AD15" s="50">
        <v>0</v>
      </c>
      <c r="AE15" s="49">
        <v>72</v>
      </c>
      <c r="AF15" s="50">
        <v>100</v>
      </c>
      <c r="AG15" s="49">
        <v>72</v>
      </c>
      <c r="AH15" s="83"/>
      <c r="AI15" s="83"/>
      <c r="AJ15" s="83" t="s">
        <v>4593</v>
      </c>
      <c r="AK15" s="91" t="s">
        <v>4619</v>
      </c>
      <c r="AL15" s="91" t="s">
        <v>4738</v>
      </c>
      <c r="AM15" s="91"/>
      <c r="AN15" s="91"/>
      <c r="AO15" s="91" t="s">
        <v>4798</v>
      </c>
    </row>
    <row r="16" spans="1:41" ht="15">
      <c r="A16" s="68" t="s">
        <v>2531</v>
      </c>
      <c r="B16" s="69" t="s">
        <v>2540</v>
      </c>
      <c r="C16" s="69" t="s">
        <v>59</v>
      </c>
      <c r="D16" s="110"/>
      <c r="E16" s="14" t="s">
        <v>65</v>
      </c>
      <c r="F16" s="15" t="s">
        <v>5242</v>
      </c>
      <c r="G16" s="64"/>
      <c r="H16" s="64"/>
      <c r="I16" s="111">
        <v>16</v>
      </c>
      <c r="J16" s="81"/>
      <c r="K16" s="49">
        <v>2</v>
      </c>
      <c r="L16" s="49">
        <v>2</v>
      </c>
      <c r="M16" s="49">
        <v>0</v>
      </c>
      <c r="N16" s="49">
        <v>2</v>
      </c>
      <c r="O16" s="49">
        <v>1</v>
      </c>
      <c r="P16" s="50">
        <v>0</v>
      </c>
      <c r="Q16" s="50">
        <v>0</v>
      </c>
      <c r="R16" s="49">
        <v>1</v>
      </c>
      <c r="S16" s="49">
        <v>0</v>
      </c>
      <c r="T16" s="49">
        <v>2</v>
      </c>
      <c r="U16" s="49">
        <v>2</v>
      </c>
      <c r="V16" s="49">
        <v>1</v>
      </c>
      <c r="W16" s="50">
        <v>0.5</v>
      </c>
      <c r="X16" s="50">
        <v>0.5</v>
      </c>
      <c r="Y16" s="49">
        <v>0</v>
      </c>
      <c r="Z16" s="50">
        <v>0</v>
      </c>
      <c r="AA16" s="49">
        <v>0</v>
      </c>
      <c r="AB16" s="50">
        <v>0</v>
      </c>
      <c r="AC16" s="49">
        <v>0</v>
      </c>
      <c r="AD16" s="50">
        <v>0</v>
      </c>
      <c r="AE16" s="49">
        <v>86</v>
      </c>
      <c r="AF16" s="50">
        <v>100</v>
      </c>
      <c r="AG16" s="49">
        <v>86</v>
      </c>
      <c r="AH16" s="83" t="s">
        <v>4524</v>
      </c>
      <c r="AI16" s="83" t="s">
        <v>555</v>
      </c>
      <c r="AJ16" s="83" t="s">
        <v>613</v>
      </c>
      <c r="AK16" s="91" t="s">
        <v>4620</v>
      </c>
      <c r="AL16" s="91" t="s">
        <v>4739</v>
      </c>
      <c r="AM16" s="91"/>
      <c r="AN16" s="91"/>
      <c r="AO16" s="91" t="s">
        <v>4799</v>
      </c>
    </row>
    <row r="17" spans="1:41" ht="15">
      <c r="A17" s="68" t="s">
        <v>2532</v>
      </c>
      <c r="B17" s="69" t="s">
        <v>2541</v>
      </c>
      <c r="C17" s="69" t="s">
        <v>59</v>
      </c>
      <c r="D17" s="110"/>
      <c r="E17" s="14" t="s">
        <v>65</v>
      </c>
      <c r="F17" s="15" t="s">
        <v>5243</v>
      </c>
      <c r="G17" s="64"/>
      <c r="H17" s="64"/>
      <c r="I17" s="111">
        <v>17</v>
      </c>
      <c r="J17" s="81"/>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0</v>
      </c>
      <c r="AB17" s="50">
        <v>0</v>
      </c>
      <c r="AC17" s="49">
        <v>0</v>
      </c>
      <c r="AD17" s="50">
        <v>0</v>
      </c>
      <c r="AE17" s="49">
        <v>38</v>
      </c>
      <c r="AF17" s="50">
        <v>100</v>
      </c>
      <c r="AG17" s="49">
        <v>38</v>
      </c>
      <c r="AH17" s="83" t="s">
        <v>4525</v>
      </c>
      <c r="AI17" s="83" t="s">
        <v>554</v>
      </c>
      <c r="AJ17" s="83" t="s">
        <v>610</v>
      </c>
      <c r="AK17" s="91" t="s">
        <v>4621</v>
      </c>
      <c r="AL17" s="91" t="s">
        <v>4740</v>
      </c>
      <c r="AM17" s="91"/>
      <c r="AN17" s="91"/>
      <c r="AO17" s="91" t="s">
        <v>4800</v>
      </c>
    </row>
    <row r="18" spans="1:41" ht="15">
      <c r="A18" s="68" t="s">
        <v>2533</v>
      </c>
      <c r="B18" s="69" t="s">
        <v>2542</v>
      </c>
      <c r="C18" s="69" t="s">
        <v>59</v>
      </c>
      <c r="D18" s="110"/>
      <c r="E18" s="14" t="s">
        <v>65</v>
      </c>
      <c r="F18" s="15" t="s">
        <v>5244</v>
      </c>
      <c r="G18" s="64"/>
      <c r="H18" s="64"/>
      <c r="I18" s="111">
        <v>18</v>
      </c>
      <c r="J18" s="81"/>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104</v>
      </c>
      <c r="AF18" s="50">
        <v>100</v>
      </c>
      <c r="AG18" s="49">
        <v>104</v>
      </c>
      <c r="AH18" s="83"/>
      <c r="AI18" s="83"/>
      <c r="AJ18" s="83" t="s">
        <v>594</v>
      </c>
      <c r="AK18" s="91" t="s">
        <v>4622</v>
      </c>
      <c r="AL18" s="91" t="s">
        <v>4741</v>
      </c>
      <c r="AM18" s="91"/>
      <c r="AN18" s="91"/>
      <c r="AO18" s="91" t="s">
        <v>4801</v>
      </c>
    </row>
    <row r="19" spans="1:41" ht="15">
      <c r="A19" s="68" t="s">
        <v>2534</v>
      </c>
      <c r="B19" s="69" t="s">
        <v>2543</v>
      </c>
      <c r="C19" s="69" t="s">
        <v>59</v>
      </c>
      <c r="D19" s="110"/>
      <c r="E19" s="14" t="s">
        <v>65</v>
      </c>
      <c r="F19" s="15" t="s">
        <v>5245</v>
      </c>
      <c r="G19" s="64"/>
      <c r="H19" s="64"/>
      <c r="I19" s="111">
        <v>19</v>
      </c>
      <c r="J19" s="81"/>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42</v>
      </c>
      <c r="AF19" s="50">
        <v>100</v>
      </c>
      <c r="AG19" s="49">
        <v>42</v>
      </c>
      <c r="AH19" s="83"/>
      <c r="AI19" s="83"/>
      <c r="AJ19" s="83" t="s">
        <v>586</v>
      </c>
      <c r="AK19" s="91" t="s">
        <v>4623</v>
      </c>
      <c r="AL19" s="91" t="s">
        <v>1453</v>
      </c>
      <c r="AM19" s="91" t="s">
        <v>434</v>
      </c>
      <c r="AN19" s="91"/>
      <c r="AO19" s="91" t="s">
        <v>4802</v>
      </c>
    </row>
    <row r="20" spans="1:41" ht="15">
      <c r="A20" s="68" t="s">
        <v>2535</v>
      </c>
      <c r="B20" s="69" t="s">
        <v>2544</v>
      </c>
      <c r="C20" s="69" t="s">
        <v>59</v>
      </c>
      <c r="D20" s="110"/>
      <c r="E20" s="14" t="s">
        <v>65</v>
      </c>
      <c r="F20" s="15" t="s">
        <v>5246</v>
      </c>
      <c r="G20" s="64"/>
      <c r="H20" s="64"/>
      <c r="I20" s="111">
        <v>20</v>
      </c>
      <c r="J20" s="81"/>
      <c r="K20" s="49">
        <v>2</v>
      </c>
      <c r="L20" s="49">
        <v>1</v>
      </c>
      <c r="M20" s="49">
        <v>2</v>
      </c>
      <c r="N20" s="49">
        <v>3</v>
      </c>
      <c r="O20" s="49">
        <v>2</v>
      </c>
      <c r="P20" s="50">
        <v>0</v>
      </c>
      <c r="Q20" s="50">
        <v>0</v>
      </c>
      <c r="R20" s="49">
        <v>1</v>
      </c>
      <c r="S20" s="49">
        <v>0</v>
      </c>
      <c r="T20" s="49">
        <v>2</v>
      </c>
      <c r="U20" s="49">
        <v>3</v>
      </c>
      <c r="V20" s="49">
        <v>1</v>
      </c>
      <c r="W20" s="50">
        <v>0.5</v>
      </c>
      <c r="X20" s="50">
        <v>0.5</v>
      </c>
      <c r="Y20" s="49">
        <v>0</v>
      </c>
      <c r="Z20" s="50">
        <v>0</v>
      </c>
      <c r="AA20" s="49">
        <v>0</v>
      </c>
      <c r="AB20" s="50">
        <v>0</v>
      </c>
      <c r="AC20" s="49">
        <v>0</v>
      </c>
      <c r="AD20" s="50">
        <v>0</v>
      </c>
      <c r="AE20" s="49">
        <v>84</v>
      </c>
      <c r="AF20" s="50">
        <v>100</v>
      </c>
      <c r="AG20" s="49">
        <v>84</v>
      </c>
      <c r="AH20" s="83"/>
      <c r="AI20" s="83"/>
      <c r="AJ20" s="83" t="s">
        <v>4594</v>
      </c>
      <c r="AK20" s="91" t="s">
        <v>4624</v>
      </c>
      <c r="AL20" s="91" t="s">
        <v>4742</v>
      </c>
      <c r="AM20" s="91"/>
      <c r="AN20" s="91"/>
      <c r="AO20" s="91" t="s">
        <v>4803</v>
      </c>
    </row>
    <row r="21" spans="1:41" ht="15">
      <c r="A21" s="68" t="s">
        <v>2536</v>
      </c>
      <c r="B21" s="69" t="s">
        <v>2545</v>
      </c>
      <c r="C21" s="69" t="s">
        <v>59</v>
      </c>
      <c r="D21" s="110"/>
      <c r="E21" s="14" t="s">
        <v>65</v>
      </c>
      <c r="F21" s="15" t="s">
        <v>5247</v>
      </c>
      <c r="G21" s="64"/>
      <c r="H21" s="64"/>
      <c r="I21" s="111">
        <v>21</v>
      </c>
      <c r="J21" s="81"/>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0</v>
      </c>
      <c r="AB21" s="50">
        <v>0</v>
      </c>
      <c r="AC21" s="49">
        <v>0</v>
      </c>
      <c r="AD21" s="50">
        <v>0</v>
      </c>
      <c r="AE21" s="49">
        <v>90</v>
      </c>
      <c r="AF21" s="50">
        <v>100</v>
      </c>
      <c r="AG21" s="49">
        <v>90</v>
      </c>
      <c r="AH21" s="83"/>
      <c r="AI21" s="83"/>
      <c r="AJ21" s="83" t="s">
        <v>582</v>
      </c>
      <c r="AK21" s="91" t="s">
        <v>4625</v>
      </c>
      <c r="AL21" s="91" t="s">
        <v>4743</v>
      </c>
      <c r="AM21" s="91"/>
      <c r="AN21" s="91"/>
      <c r="AO21" s="91" t="s">
        <v>4804</v>
      </c>
    </row>
    <row r="22" spans="1:41" ht="15">
      <c r="A22" s="68" t="s">
        <v>2537</v>
      </c>
      <c r="B22" s="69" t="s">
        <v>2546</v>
      </c>
      <c r="C22" s="69" t="s">
        <v>59</v>
      </c>
      <c r="D22" s="110"/>
      <c r="E22" s="14" t="s">
        <v>65</v>
      </c>
      <c r="F22" s="15" t="s">
        <v>5248</v>
      </c>
      <c r="G22" s="64"/>
      <c r="H22" s="64"/>
      <c r="I22" s="111">
        <v>22</v>
      </c>
      <c r="J22" s="81"/>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15</v>
      </c>
      <c r="AF22" s="50">
        <v>100</v>
      </c>
      <c r="AG22" s="49">
        <v>15</v>
      </c>
      <c r="AH22" s="83" t="s">
        <v>4526</v>
      </c>
      <c r="AI22" s="83" t="s">
        <v>537</v>
      </c>
      <c r="AJ22" s="83" t="s">
        <v>574</v>
      </c>
      <c r="AK22" s="91" t="s">
        <v>1453</v>
      </c>
      <c r="AL22" s="91" t="s">
        <v>1453</v>
      </c>
      <c r="AM22" s="91"/>
      <c r="AN22" s="91" t="s">
        <v>433</v>
      </c>
      <c r="AO22" s="91" t="s">
        <v>4805</v>
      </c>
    </row>
    <row r="23" spans="1:41" ht="15">
      <c r="A23" s="68" t="s">
        <v>2538</v>
      </c>
      <c r="B23" s="69" t="s">
        <v>2547</v>
      </c>
      <c r="C23" s="69" t="s">
        <v>59</v>
      </c>
      <c r="D23" s="110"/>
      <c r="E23" s="14" t="s">
        <v>65</v>
      </c>
      <c r="F23" s="15" t="s">
        <v>5249</v>
      </c>
      <c r="G23" s="64"/>
      <c r="H23" s="64"/>
      <c r="I23" s="111">
        <v>23</v>
      </c>
      <c r="J23" s="81"/>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68</v>
      </c>
      <c r="AF23" s="50">
        <v>100</v>
      </c>
      <c r="AG23" s="49">
        <v>68</v>
      </c>
      <c r="AH23" s="83"/>
      <c r="AI23" s="83"/>
      <c r="AJ23" s="83" t="s">
        <v>563</v>
      </c>
      <c r="AK23" s="91" t="s">
        <v>4626</v>
      </c>
      <c r="AL23" s="91" t="s">
        <v>4744</v>
      </c>
      <c r="AM23" s="91"/>
      <c r="AN23" s="91"/>
      <c r="AO23" s="91" t="s">
        <v>4806</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3" t="s">
        <v>2518</v>
      </c>
      <c r="B2" s="91" t="s">
        <v>423</v>
      </c>
      <c r="C2" s="83">
        <f>VLOOKUP(GroupVertices[[#This Row],[Vertex]],Vertices[],MATCH("ID",Vertices[[#Headers],[Vertex]:[Top Word Pairs in Tweet by Salience]],0),FALSE)</f>
        <v>57</v>
      </c>
    </row>
    <row r="3" spans="1:3" ht="15">
      <c r="A3" s="84" t="s">
        <v>2518</v>
      </c>
      <c r="B3" s="91" t="s">
        <v>416</v>
      </c>
      <c r="C3" s="83">
        <f>VLOOKUP(GroupVertices[[#This Row],[Vertex]],Vertices[],MATCH("ID",Vertices[[#Headers],[Vertex]:[Top Word Pairs in Tweet by Salience]],0),FALSE)</f>
        <v>213</v>
      </c>
    </row>
    <row r="4" spans="1:3" ht="15">
      <c r="A4" s="84" t="s">
        <v>2518</v>
      </c>
      <c r="B4" s="91" t="s">
        <v>419</v>
      </c>
      <c r="C4" s="83">
        <f>VLOOKUP(GroupVertices[[#This Row],[Vertex]],Vertices[],MATCH("ID",Vertices[[#Headers],[Vertex]:[Top Word Pairs in Tweet by Salience]],0),FALSE)</f>
        <v>200</v>
      </c>
    </row>
    <row r="5" spans="1:3" ht="15">
      <c r="A5" s="84" t="s">
        <v>2518</v>
      </c>
      <c r="B5" s="91" t="s">
        <v>438</v>
      </c>
      <c r="C5" s="83">
        <f>VLOOKUP(GroupVertices[[#This Row],[Vertex]],Vertices[],MATCH("ID",Vertices[[#Headers],[Vertex]:[Top Word Pairs in Tweet by Salience]],0),FALSE)</f>
        <v>199</v>
      </c>
    </row>
    <row r="6" spans="1:3" ht="15">
      <c r="A6" s="84" t="s">
        <v>2518</v>
      </c>
      <c r="B6" s="91" t="s">
        <v>420</v>
      </c>
      <c r="C6" s="83">
        <f>VLOOKUP(GroupVertices[[#This Row],[Vertex]],Vertices[],MATCH("ID",Vertices[[#Headers],[Vertex]:[Top Word Pairs in Tweet by Salience]],0),FALSE)</f>
        <v>198</v>
      </c>
    </row>
    <row r="7" spans="1:3" ht="15">
      <c r="A7" s="84" t="s">
        <v>2518</v>
      </c>
      <c r="B7" s="91" t="s">
        <v>418</v>
      </c>
      <c r="C7" s="83">
        <f>VLOOKUP(GroupVertices[[#This Row],[Vertex]],Vertices[],MATCH("ID",Vertices[[#Headers],[Vertex]:[Top Word Pairs in Tweet by Salience]],0),FALSE)</f>
        <v>159</v>
      </c>
    </row>
    <row r="8" spans="1:3" ht="15">
      <c r="A8" s="84" t="s">
        <v>2518</v>
      </c>
      <c r="B8" s="91" t="s">
        <v>436</v>
      </c>
      <c r="C8" s="83">
        <f>VLOOKUP(GroupVertices[[#This Row],[Vertex]],Vertices[],MATCH("ID",Vertices[[#Headers],[Vertex]:[Top Word Pairs in Tweet by Salience]],0),FALSE)</f>
        <v>158</v>
      </c>
    </row>
    <row r="9" spans="1:3" ht="15">
      <c r="A9" s="84" t="s">
        <v>2518</v>
      </c>
      <c r="B9" s="91" t="s">
        <v>390</v>
      </c>
      <c r="C9" s="83">
        <f>VLOOKUP(GroupVertices[[#This Row],[Vertex]],Vertices[],MATCH("ID",Vertices[[#Headers],[Vertex]:[Top Word Pairs in Tweet by Salience]],0),FALSE)</f>
        <v>124</v>
      </c>
    </row>
    <row r="10" spans="1:3" ht="15">
      <c r="A10" s="84" t="s">
        <v>2518</v>
      </c>
      <c r="B10" s="91" t="s">
        <v>435</v>
      </c>
      <c r="C10" s="83">
        <f>VLOOKUP(GroupVertices[[#This Row],[Vertex]],Vertices[],MATCH("ID",Vertices[[#Headers],[Vertex]:[Top Word Pairs in Tweet by Salience]],0),FALSE)</f>
        <v>142</v>
      </c>
    </row>
    <row r="11" spans="1:3" ht="15">
      <c r="A11" s="84" t="s">
        <v>2518</v>
      </c>
      <c r="B11" s="91" t="s">
        <v>437</v>
      </c>
      <c r="C11" s="83">
        <f>VLOOKUP(GroupVertices[[#This Row],[Vertex]],Vertices[],MATCH("ID",Vertices[[#Headers],[Vertex]:[Top Word Pairs in Tweet by Salience]],0),FALSE)</f>
        <v>194</v>
      </c>
    </row>
    <row r="12" spans="1:3" ht="15">
      <c r="A12" s="84" t="s">
        <v>2518</v>
      </c>
      <c r="B12" s="91" t="s">
        <v>412</v>
      </c>
      <c r="C12" s="83">
        <f>VLOOKUP(GroupVertices[[#This Row],[Vertex]],Vertices[],MATCH("ID",Vertices[[#Headers],[Vertex]:[Top Word Pairs in Tweet by Salience]],0),FALSE)</f>
        <v>211</v>
      </c>
    </row>
    <row r="13" spans="1:3" ht="15">
      <c r="A13" s="84" t="s">
        <v>2518</v>
      </c>
      <c r="B13" s="91" t="s">
        <v>413</v>
      </c>
      <c r="C13" s="83">
        <f>VLOOKUP(GroupVertices[[#This Row],[Vertex]],Vertices[],MATCH("ID",Vertices[[#Headers],[Vertex]:[Top Word Pairs in Tweet by Salience]],0),FALSE)</f>
        <v>212</v>
      </c>
    </row>
    <row r="14" spans="1:3" ht="15">
      <c r="A14" s="84" t="s">
        <v>2518</v>
      </c>
      <c r="B14" s="91" t="s">
        <v>414</v>
      </c>
      <c r="C14" s="83">
        <f>VLOOKUP(GroupVertices[[#This Row],[Vertex]],Vertices[],MATCH("ID",Vertices[[#Headers],[Vertex]:[Top Word Pairs in Tweet by Salience]],0),FALSE)</f>
        <v>166</v>
      </c>
    </row>
    <row r="15" spans="1:3" ht="15">
      <c r="A15" s="84" t="s">
        <v>2518</v>
      </c>
      <c r="B15" s="91" t="s">
        <v>411</v>
      </c>
      <c r="C15" s="83">
        <f>VLOOKUP(GroupVertices[[#This Row],[Vertex]],Vertices[],MATCH("ID",Vertices[[#Headers],[Vertex]:[Top Word Pairs in Tweet by Salience]],0),FALSE)</f>
        <v>208</v>
      </c>
    </row>
    <row r="16" spans="1:3" ht="15">
      <c r="A16" s="84" t="s">
        <v>2518</v>
      </c>
      <c r="B16" s="91" t="s">
        <v>407</v>
      </c>
      <c r="C16" s="83">
        <f>VLOOKUP(GroupVertices[[#This Row],[Vertex]],Vertices[],MATCH("ID",Vertices[[#Headers],[Vertex]:[Top Word Pairs in Tweet by Salience]],0),FALSE)</f>
        <v>209</v>
      </c>
    </row>
    <row r="17" spans="1:3" ht="15">
      <c r="A17" s="84" t="s">
        <v>2518</v>
      </c>
      <c r="B17" s="91" t="s">
        <v>408</v>
      </c>
      <c r="C17" s="83">
        <f>VLOOKUP(GroupVertices[[#This Row],[Vertex]],Vertices[],MATCH("ID",Vertices[[#Headers],[Vertex]:[Top Word Pairs in Tweet by Salience]],0),FALSE)</f>
        <v>180</v>
      </c>
    </row>
    <row r="18" spans="1:3" ht="15">
      <c r="A18" s="84" t="s">
        <v>2518</v>
      </c>
      <c r="B18" s="91" t="s">
        <v>409</v>
      </c>
      <c r="C18" s="83">
        <f>VLOOKUP(GroupVertices[[#This Row],[Vertex]],Vertices[],MATCH("ID",Vertices[[#Headers],[Vertex]:[Top Word Pairs in Tweet by Salience]],0),FALSE)</f>
        <v>179</v>
      </c>
    </row>
    <row r="19" spans="1:3" ht="15">
      <c r="A19" s="84" t="s">
        <v>2518</v>
      </c>
      <c r="B19" s="91" t="s">
        <v>406</v>
      </c>
      <c r="C19" s="83">
        <f>VLOOKUP(GroupVertices[[#This Row],[Vertex]],Vertices[],MATCH("ID",Vertices[[#Headers],[Vertex]:[Top Word Pairs in Tweet by Salience]],0),FALSE)</f>
        <v>171</v>
      </c>
    </row>
    <row r="20" spans="1:3" ht="15">
      <c r="A20" s="84" t="s">
        <v>2518</v>
      </c>
      <c r="B20" s="91" t="s">
        <v>405</v>
      </c>
      <c r="C20" s="83">
        <f>VLOOKUP(GroupVertices[[#This Row],[Vertex]],Vertices[],MATCH("ID",Vertices[[#Headers],[Vertex]:[Top Word Pairs in Tweet by Salience]],0),FALSE)</f>
        <v>207</v>
      </c>
    </row>
    <row r="21" spans="1:3" ht="15">
      <c r="A21" s="84" t="s">
        <v>2518</v>
      </c>
      <c r="B21" s="91" t="s">
        <v>402</v>
      </c>
      <c r="C21" s="83">
        <f>VLOOKUP(GroupVertices[[#This Row],[Vertex]],Vertices[],MATCH("ID",Vertices[[#Headers],[Vertex]:[Top Word Pairs in Tweet by Salience]],0),FALSE)</f>
        <v>206</v>
      </c>
    </row>
    <row r="22" spans="1:3" ht="15">
      <c r="A22" s="84" t="s">
        <v>2518</v>
      </c>
      <c r="B22" s="91" t="s">
        <v>403</v>
      </c>
      <c r="C22" s="83">
        <f>VLOOKUP(GroupVertices[[#This Row],[Vertex]],Vertices[],MATCH("ID",Vertices[[#Headers],[Vertex]:[Top Word Pairs in Tweet by Salience]],0),FALSE)</f>
        <v>88</v>
      </c>
    </row>
    <row r="23" spans="1:3" ht="15">
      <c r="A23" s="84" t="s">
        <v>2518</v>
      </c>
      <c r="B23" s="91" t="s">
        <v>401</v>
      </c>
      <c r="C23" s="83">
        <f>VLOOKUP(GroupVertices[[#This Row],[Vertex]],Vertices[],MATCH("ID",Vertices[[#Headers],[Vertex]:[Top Word Pairs in Tweet by Salience]],0),FALSE)</f>
        <v>205</v>
      </c>
    </row>
    <row r="24" spans="1:3" ht="15">
      <c r="A24" s="84" t="s">
        <v>2518</v>
      </c>
      <c r="B24" s="91" t="s">
        <v>400</v>
      </c>
      <c r="C24" s="83">
        <f>VLOOKUP(GroupVertices[[#This Row],[Vertex]],Vertices[],MATCH("ID",Vertices[[#Headers],[Vertex]:[Top Word Pairs in Tweet by Salience]],0),FALSE)</f>
        <v>204</v>
      </c>
    </row>
    <row r="25" spans="1:3" ht="15">
      <c r="A25" s="84" t="s">
        <v>2518</v>
      </c>
      <c r="B25" s="91" t="s">
        <v>399</v>
      </c>
      <c r="C25" s="83">
        <f>VLOOKUP(GroupVertices[[#This Row],[Vertex]],Vertices[],MATCH("ID",Vertices[[#Headers],[Vertex]:[Top Word Pairs in Tweet by Salience]],0),FALSE)</f>
        <v>203</v>
      </c>
    </row>
    <row r="26" spans="1:3" ht="15">
      <c r="A26" s="84" t="s">
        <v>2518</v>
      </c>
      <c r="B26" s="91" t="s">
        <v>397</v>
      </c>
      <c r="C26" s="83">
        <f>VLOOKUP(GroupVertices[[#This Row],[Vertex]],Vertices[],MATCH("ID",Vertices[[#Headers],[Vertex]:[Top Word Pairs in Tweet by Salience]],0),FALSE)</f>
        <v>202</v>
      </c>
    </row>
    <row r="27" spans="1:3" ht="15">
      <c r="A27" s="84" t="s">
        <v>2518</v>
      </c>
      <c r="B27" s="91" t="s">
        <v>396</v>
      </c>
      <c r="C27" s="83">
        <f>VLOOKUP(GroupVertices[[#This Row],[Vertex]],Vertices[],MATCH("ID",Vertices[[#Headers],[Vertex]:[Top Word Pairs in Tweet by Salience]],0),FALSE)</f>
        <v>201</v>
      </c>
    </row>
    <row r="28" spans="1:3" ht="15">
      <c r="A28" s="84" t="s">
        <v>2518</v>
      </c>
      <c r="B28" s="91" t="s">
        <v>395</v>
      </c>
      <c r="C28" s="83">
        <f>VLOOKUP(GroupVertices[[#This Row],[Vertex]],Vertices[],MATCH("ID",Vertices[[#Headers],[Vertex]:[Top Word Pairs in Tweet by Salience]],0),FALSE)</f>
        <v>197</v>
      </c>
    </row>
    <row r="29" spans="1:3" ht="15">
      <c r="A29" s="84" t="s">
        <v>2518</v>
      </c>
      <c r="B29" s="91" t="s">
        <v>393</v>
      </c>
      <c r="C29" s="83">
        <f>VLOOKUP(GroupVertices[[#This Row],[Vertex]],Vertices[],MATCH("ID",Vertices[[#Headers],[Vertex]:[Top Word Pairs in Tweet by Salience]],0),FALSE)</f>
        <v>196</v>
      </c>
    </row>
    <row r="30" spans="1:3" ht="15">
      <c r="A30" s="84" t="s">
        <v>2518</v>
      </c>
      <c r="B30" s="91" t="s">
        <v>391</v>
      </c>
      <c r="C30" s="83">
        <f>VLOOKUP(GroupVertices[[#This Row],[Vertex]],Vertices[],MATCH("ID",Vertices[[#Headers],[Vertex]:[Top Word Pairs in Tweet by Salience]],0),FALSE)</f>
        <v>195</v>
      </c>
    </row>
    <row r="31" spans="1:3" ht="15">
      <c r="A31" s="84" t="s">
        <v>2518</v>
      </c>
      <c r="B31" s="91" t="s">
        <v>388</v>
      </c>
      <c r="C31" s="83">
        <f>VLOOKUP(GroupVertices[[#This Row],[Vertex]],Vertices[],MATCH("ID",Vertices[[#Headers],[Vertex]:[Top Word Pairs in Tweet by Salience]],0),FALSE)</f>
        <v>193</v>
      </c>
    </row>
    <row r="32" spans="1:3" ht="15">
      <c r="A32" s="84" t="s">
        <v>2518</v>
      </c>
      <c r="B32" s="91" t="s">
        <v>368</v>
      </c>
      <c r="C32" s="83">
        <f>VLOOKUP(GroupVertices[[#This Row],[Vertex]],Vertices[],MATCH("ID",Vertices[[#Headers],[Vertex]:[Top Word Pairs in Tweet by Salience]],0),FALSE)</f>
        <v>181</v>
      </c>
    </row>
    <row r="33" spans="1:3" ht="15">
      <c r="A33" s="84" t="s">
        <v>2518</v>
      </c>
      <c r="B33" s="91" t="s">
        <v>367</v>
      </c>
      <c r="C33" s="83">
        <f>VLOOKUP(GroupVertices[[#This Row],[Vertex]],Vertices[],MATCH("ID",Vertices[[#Headers],[Vertex]:[Top Word Pairs in Tweet by Salience]],0),FALSE)</f>
        <v>178</v>
      </c>
    </row>
    <row r="34" spans="1:3" ht="15">
      <c r="A34" s="84" t="s">
        <v>2518</v>
      </c>
      <c r="B34" s="91" t="s">
        <v>364</v>
      </c>
      <c r="C34" s="83">
        <f>VLOOKUP(GroupVertices[[#This Row],[Vertex]],Vertices[],MATCH("ID",Vertices[[#Headers],[Vertex]:[Top Word Pairs in Tweet by Salience]],0),FALSE)</f>
        <v>175</v>
      </c>
    </row>
    <row r="35" spans="1:3" ht="15">
      <c r="A35" s="84" t="s">
        <v>2518</v>
      </c>
      <c r="B35" s="91" t="s">
        <v>360</v>
      </c>
      <c r="C35" s="83">
        <f>VLOOKUP(GroupVertices[[#This Row],[Vertex]],Vertices[],MATCH("ID",Vertices[[#Headers],[Vertex]:[Top Word Pairs in Tweet by Salience]],0),FALSE)</f>
        <v>170</v>
      </c>
    </row>
    <row r="36" spans="1:3" ht="15">
      <c r="A36" s="84" t="s">
        <v>2518</v>
      </c>
      <c r="B36" s="91" t="s">
        <v>359</v>
      </c>
      <c r="C36" s="83">
        <f>VLOOKUP(GroupVertices[[#This Row],[Vertex]],Vertices[],MATCH("ID",Vertices[[#Headers],[Vertex]:[Top Word Pairs in Tweet by Salience]],0),FALSE)</f>
        <v>169</v>
      </c>
    </row>
    <row r="37" spans="1:3" ht="15">
      <c r="A37" s="84" t="s">
        <v>2518</v>
      </c>
      <c r="B37" s="91" t="s">
        <v>355</v>
      </c>
      <c r="C37" s="83">
        <f>VLOOKUP(GroupVertices[[#This Row],[Vertex]],Vertices[],MATCH("ID",Vertices[[#Headers],[Vertex]:[Top Word Pairs in Tweet by Salience]],0),FALSE)</f>
        <v>165</v>
      </c>
    </row>
    <row r="38" spans="1:3" ht="15">
      <c r="A38" s="84" t="s">
        <v>2518</v>
      </c>
      <c r="B38" s="91" t="s">
        <v>354</v>
      </c>
      <c r="C38" s="83">
        <f>VLOOKUP(GroupVertices[[#This Row],[Vertex]],Vertices[],MATCH("ID",Vertices[[#Headers],[Vertex]:[Top Word Pairs in Tweet by Salience]],0),FALSE)</f>
        <v>164</v>
      </c>
    </row>
    <row r="39" spans="1:3" ht="15">
      <c r="A39" s="84" t="s">
        <v>2518</v>
      </c>
      <c r="B39" s="91" t="s">
        <v>353</v>
      </c>
      <c r="C39" s="83">
        <f>VLOOKUP(GroupVertices[[#This Row],[Vertex]],Vertices[],MATCH("ID",Vertices[[#Headers],[Vertex]:[Top Word Pairs in Tweet by Salience]],0),FALSE)</f>
        <v>163</v>
      </c>
    </row>
    <row r="40" spans="1:3" ht="15">
      <c r="A40" s="84" t="s">
        <v>2518</v>
      </c>
      <c r="B40" s="91" t="s">
        <v>351</v>
      </c>
      <c r="C40" s="83">
        <f>VLOOKUP(GroupVertices[[#This Row],[Vertex]],Vertices[],MATCH("ID",Vertices[[#Headers],[Vertex]:[Top Word Pairs in Tweet by Salience]],0),FALSE)</f>
        <v>161</v>
      </c>
    </row>
    <row r="41" spans="1:3" ht="15">
      <c r="A41" s="84" t="s">
        <v>2518</v>
      </c>
      <c r="B41" s="91" t="s">
        <v>350</v>
      </c>
      <c r="C41" s="83">
        <f>VLOOKUP(GroupVertices[[#This Row],[Vertex]],Vertices[],MATCH("ID",Vertices[[#Headers],[Vertex]:[Top Word Pairs in Tweet by Salience]],0),FALSE)</f>
        <v>160</v>
      </c>
    </row>
    <row r="42" spans="1:3" ht="15">
      <c r="A42" s="84" t="s">
        <v>2518</v>
      </c>
      <c r="B42" s="91" t="s">
        <v>349</v>
      </c>
      <c r="C42" s="83">
        <f>VLOOKUP(GroupVertices[[#This Row],[Vertex]],Vertices[],MATCH("ID",Vertices[[#Headers],[Vertex]:[Top Word Pairs in Tweet by Salience]],0),FALSE)</f>
        <v>157</v>
      </c>
    </row>
    <row r="43" spans="1:3" ht="15">
      <c r="A43" s="84" t="s">
        <v>2518</v>
      </c>
      <c r="B43" s="91" t="s">
        <v>343</v>
      </c>
      <c r="C43" s="83">
        <f>VLOOKUP(GroupVertices[[#This Row],[Vertex]],Vertices[],MATCH("ID",Vertices[[#Headers],[Vertex]:[Top Word Pairs in Tweet by Salience]],0),FALSE)</f>
        <v>149</v>
      </c>
    </row>
    <row r="44" spans="1:3" ht="15">
      <c r="A44" s="84" t="s">
        <v>2518</v>
      </c>
      <c r="B44" s="91" t="s">
        <v>342</v>
      </c>
      <c r="C44" s="83">
        <f>VLOOKUP(GroupVertices[[#This Row],[Vertex]],Vertices[],MATCH("ID",Vertices[[#Headers],[Vertex]:[Top Word Pairs in Tweet by Salience]],0),FALSE)</f>
        <v>148</v>
      </c>
    </row>
    <row r="45" spans="1:3" ht="15">
      <c r="A45" s="84" t="s">
        <v>2518</v>
      </c>
      <c r="B45" s="91" t="s">
        <v>341</v>
      </c>
      <c r="C45" s="83">
        <f>VLOOKUP(GroupVertices[[#This Row],[Vertex]],Vertices[],MATCH("ID",Vertices[[#Headers],[Vertex]:[Top Word Pairs in Tweet by Salience]],0),FALSE)</f>
        <v>147</v>
      </c>
    </row>
    <row r="46" spans="1:3" ht="15">
      <c r="A46" s="84" t="s">
        <v>2518</v>
      </c>
      <c r="B46" s="91" t="s">
        <v>340</v>
      </c>
      <c r="C46" s="83">
        <f>VLOOKUP(GroupVertices[[#This Row],[Vertex]],Vertices[],MATCH("ID",Vertices[[#Headers],[Vertex]:[Top Word Pairs in Tweet by Salience]],0),FALSE)</f>
        <v>146</v>
      </c>
    </row>
    <row r="47" spans="1:3" ht="15">
      <c r="A47" s="84" t="s">
        <v>2518</v>
      </c>
      <c r="B47" s="91" t="s">
        <v>339</v>
      </c>
      <c r="C47" s="83">
        <f>VLOOKUP(GroupVertices[[#This Row],[Vertex]],Vertices[],MATCH("ID",Vertices[[#Headers],[Vertex]:[Top Word Pairs in Tweet by Salience]],0),FALSE)</f>
        <v>145</v>
      </c>
    </row>
    <row r="48" spans="1:3" ht="15">
      <c r="A48" s="84" t="s">
        <v>2518</v>
      </c>
      <c r="B48" s="91" t="s">
        <v>338</v>
      </c>
      <c r="C48" s="83">
        <f>VLOOKUP(GroupVertices[[#This Row],[Vertex]],Vertices[],MATCH("ID",Vertices[[#Headers],[Vertex]:[Top Word Pairs in Tweet by Salience]],0),FALSE)</f>
        <v>144</v>
      </c>
    </row>
    <row r="49" spans="1:3" ht="15">
      <c r="A49" s="84" t="s">
        <v>2518</v>
      </c>
      <c r="B49" s="91" t="s">
        <v>337</v>
      </c>
      <c r="C49" s="83">
        <f>VLOOKUP(GroupVertices[[#This Row],[Vertex]],Vertices[],MATCH("ID",Vertices[[#Headers],[Vertex]:[Top Word Pairs in Tweet by Salience]],0),FALSE)</f>
        <v>143</v>
      </c>
    </row>
    <row r="50" spans="1:3" ht="15">
      <c r="A50" s="84" t="s">
        <v>2518</v>
      </c>
      <c r="B50" s="91" t="s">
        <v>320</v>
      </c>
      <c r="C50" s="83">
        <f>VLOOKUP(GroupVertices[[#This Row],[Vertex]],Vertices[],MATCH("ID",Vertices[[#Headers],[Vertex]:[Top Word Pairs in Tweet by Salience]],0),FALSE)</f>
        <v>126</v>
      </c>
    </row>
    <row r="51" spans="1:3" ht="15">
      <c r="A51" s="84" t="s">
        <v>2518</v>
      </c>
      <c r="B51" s="91" t="s">
        <v>319</v>
      </c>
      <c r="C51" s="83">
        <f>VLOOKUP(GroupVertices[[#This Row],[Vertex]],Vertices[],MATCH("ID",Vertices[[#Headers],[Vertex]:[Top Word Pairs in Tweet by Salience]],0),FALSE)</f>
        <v>125</v>
      </c>
    </row>
    <row r="52" spans="1:3" ht="15">
      <c r="A52" s="84" t="s">
        <v>2518</v>
      </c>
      <c r="B52" s="91" t="s">
        <v>318</v>
      </c>
      <c r="C52" s="83">
        <f>VLOOKUP(GroupVertices[[#This Row],[Vertex]],Vertices[],MATCH("ID",Vertices[[#Headers],[Vertex]:[Top Word Pairs in Tweet by Salience]],0),FALSE)</f>
        <v>123</v>
      </c>
    </row>
    <row r="53" spans="1:3" ht="15">
      <c r="A53" s="84" t="s">
        <v>2518</v>
      </c>
      <c r="B53" s="91" t="s">
        <v>309</v>
      </c>
      <c r="C53" s="83">
        <f>VLOOKUP(GroupVertices[[#This Row],[Vertex]],Vertices[],MATCH("ID",Vertices[[#Headers],[Vertex]:[Top Word Pairs in Tweet by Salience]],0),FALSE)</f>
        <v>113</v>
      </c>
    </row>
    <row r="54" spans="1:3" ht="15">
      <c r="A54" s="84" t="s">
        <v>2518</v>
      </c>
      <c r="B54" s="91" t="s">
        <v>295</v>
      </c>
      <c r="C54" s="83">
        <f>VLOOKUP(GroupVertices[[#This Row],[Vertex]],Vertices[],MATCH("ID",Vertices[[#Headers],[Vertex]:[Top Word Pairs in Tweet by Salience]],0),FALSE)</f>
        <v>98</v>
      </c>
    </row>
    <row r="55" spans="1:3" ht="15">
      <c r="A55" s="84" t="s">
        <v>2518</v>
      </c>
      <c r="B55" s="91" t="s">
        <v>294</v>
      </c>
      <c r="C55" s="83">
        <f>VLOOKUP(GroupVertices[[#This Row],[Vertex]],Vertices[],MATCH("ID",Vertices[[#Headers],[Vertex]:[Top Word Pairs in Tweet by Salience]],0),FALSE)</f>
        <v>97</v>
      </c>
    </row>
    <row r="56" spans="1:3" ht="15">
      <c r="A56" s="84" t="s">
        <v>2518</v>
      </c>
      <c r="B56" s="91" t="s">
        <v>293</v>
      </c>
      <c r="C56" s="83">
        <f>VLOOKUP(GroupVertices[[#This Row],[Vertex]],Vertices[],MATCH("ID",Vertices[[#Headers],[Vertex]:[Top Word Pairs in Tweet by Salience]],0),FALSE)</f>
        <v>96</v>
      </c>
    </row>
    <row r="57" spans="1:3" ht="15">
      <c r="A57" s="84" t="s">
        <v>2518</v>
      </c>
      <c r="B57" s="91" t="s">
        <v>290</v>
      </c>
      <c r="C57" s="83">
        <f>VLOOKUP(GroupVertices[[#This Row],[Vertex]],Vertices[],MATCH("ID",Vertices[[#Headers],[Vertex]:[Top Word Pairs in Tweet by Salience]],0),FALSE)</f>
        <v>92</v>
      </c>
    </row>
    <row r="58" spans="1:3" ht="15">
      <c r="A58" s="84" t="s">
        <v>2518</v>
      </c>
      <c r="B58" s="91" t="s">
        <v>286</v>
      </c>
      <c r="C58" s="83">
        <f>VLOOKUP(GroupVertices[[#This Row],[Vertex]],Vertices[],MATCH("ID",Vertices[[#Headers],[Vertex]:[Top Word Pairs in Tweet by Salience]],0),FALSE)</f>
        <v>87</v>
      </c>
    </row>
    <row r="59" spans="1:3" ht="15">
      <c r="A59" s="84" t="s">
        <v>2518</v>
      </c>
      <c r="B59" s="91" t="s">
        <v>285</v>
      </c>
      <c r="C59" s="83">
        <f>VLOOKUP(GroupVertices[[#This Row],[Vertex]],Vertices[],MATCH("ID",Vertices[[#Headers],[Vertex]:[Top Word Pairs in Tweet by Salience]],0),FALSE)</f>
        <v>86</v>
      </c>
    </row>
    <row r="60" spans="1:3" ht="15">
      <c r="A60" s="84" t="s">
        <v>2518</v>
      </c>
      <c r="B60" s="91" t="s">
        <v>266</v>
      </c>
      <c r="C60" s="83">
        <f>VLOOKUP(GroupVertices[[#This Row],[Vertex]],Vertices[],MATCH("ID",Vertices[[#Headers],[Vertex]:[Top Word Pairs in Tweet by Salience]],0),FALSE)</f>
        <v>67</v>
      </c>
    </row>
    <row r="61" spans="1:3" ht="15">
      <c r="A61" s="84" t="s">
        <v>2518</v>
      </c>
      <c r="B61" s="91" t="s">
        <v>263</v>
      </c>
      <c r="C61" s="83">
        <f>VLOOKUP(GroupVertices[[#This Row],[Vertex]],Vertices[],MATCH("ID",Vertices[[#Headers],[Vertex]:[Top Word Pairs in Tweet by Salience]],0),FALSE)</f>
        <v>64</v>
      </c>
    </row>
    <row r="62" spans="1:3" ht="15">
      <c r="A62" s="84" t="s">
        <v>2518</v>
      </c>
      <c r="B62" s="91" t="s">
        <v>261</v>
      </c>
      <c r="C62" s="83">
        <f>VLOOKUP(GroupVertices[[#This Row],[Vertex]],Vertices[],MATCH("ID",Vertices[[#Headers],[Vertex]:[Top Word Pairs in Tweet by Salience]],0),FALSE)</f>
        <v>62</v>
      </c>
    </row>
    <row r="63" spans="1:3" ht="15">
      <c r="A63" s="84" t="s">
        <v>2518</v>
      </c>
      <c r="B63" s="91" t="s">
        <v>258</v>
      </c>
      <c r="C63" s="83">
        <f>VLOOKUP(GroupVertices[[#This Row],[Vertex]],Vertices[],MATCH("ID",Vertices[[#Headers],[Vertex]:[Top Word Pairs in Tweet by Salience]],0),FALSE)</f>
        <v>58</v>
      </c>
    </row>
    <row r="64" spans="1:3" ht="15">
      <c r="A64" s="84" t="s">
        <v>2518</v>
      </c>
      <c r="B64" s="91" t="s">
        <v>257</v>
      </c>
      <c r="C64" s="83">
        <f>VLOOKUP(GroupVertices[[#This Row],[Vertex]],Vertices[],MATCH("ID",Vertices[[#Headers],[Vertex]:[Top Word Pairs in Tweet by Salience]],0),FALSE)</f>
        <v>56</v>
      </c>
    </row>
    <row r="65" spans="1:3" ht="15">
      <c r="A65" s="84" t="s">
        <v>2519</v>
      </c>
      <c r="B65" s="91" t="s">
        <v>417</v>
      </c>
      <c r="C65" s="83">
        <f>VLOOKUP(GroupVertices[[#This Row],[Vertex]],Vertices[],MATCH("ID",Vertices[[#Headers],[Vertex]:[Top Word Pairs in Tweet by Salience]],0),FALSE)</f>
        <v>32</v>
      </c>
    </row>
    <row r="66" spans="1:3" ht="15">
      <c r="A66" s="84" t="s">
        <v>2519</v>
      </c>
      <c r="B66" s="91" t="s">
        <v>392</v>
      </c>
      <c r="C66" s="83">
        <f>VLOOKUP(GroupVertices[[#This Row],[Vertex]],Vertices[],MATCH("ID",Vertices[[#Headers],[Vertex]:[Top Word Pairs in Tweet by Salience]],0),FALSE)</f>
        <v>54</v>
      </c>
    </row>
    <row r="67" spans="1:3" ht="15">
      <c r="A67" s="84" t="s">
        <v>2519</v>
      </c>
      <c r="B67" s="91" t="s">
        <v>379</v>
      </c>
      <c r="C67" s="83">
        <f>VLOOKUP(GroupVertices[[#This Row],[Vertex]],Vertices[],MATCH("ID",Vertices[[#Headers],[Vertex]:[Top Word Pairs in Tweet by Salience]],0),FALSE)</f>
        <v>191</v>
      </c>
    </row>
    <row r="68" spans="1:3" ht="15">
      <c r="A68" s="84" t="s">
        <v>2519</v>
      </c>
      <c r="B68" s="91" t="s">
        <v>378</v>
      </c>
      <c r="C68" s="83">
        <f>VLOOKUP(GroupVertices[[#This Row],[Vertex]],Vertices[],MATCH("ID",Vertices[[#Headers],[Vertex]:[Top Word Pairs in Tweet by Salience]],0),FALSE)</f>
        <v>185</v>
      </c>
    </row>
    <row r="69" spans="1:3" ht="15">
      <c r="A69" s="84" t="s">
        <v>2519</v>
      </c>
      <c r="B69" s="91" t="s">
        <v>375</v>
      </c>
      <c r="C69" s="83">
        <f>VLOOKUP(GroupVertices[[#This Row],[Vertex]],Vertices[],MATCH("ID",Vertices[[#Headers],[Vertex]:[Top Word Pairs in Tweet by Salience]],0),FALSE)</f>
        <v>188</v>
      </c>
    </row>
    <row r="70" spans="1:3" ht="15">
      <c r="A70" s="84" t="s">
        <v>2519</v>
      </c>
      <c r="B70" s="91" t="s">
        <v>374</v>
      </c>
      <c r="C70" s="83">
        <f>VLOOKUP(GroupVertices[[#This Row],[Vertex]],Vertices[],MATCH("ID",Vertices[[#Headers],[Vertex]:[Top Word Pairs in Tweet by Salience]],0),FALSE)</f>
        <v>187</v>
      </c>
    </row>
    <row r="71" spans="1:3" ht="15">
      <c r="A71" s="84" t="s">
        <v>2519</v>
      </c>
      <c r="B71" s="91" t="s">
        <v>373</v>
      </c>
      <c r="C71" s="83">
        <f>VLOOKUP(GroupVertices[[#This Row],[Vertex]],Vertices[],MATCH("ID",Vertices[[#Headers],[Vertex]:[Top Word Pairs in Tweet by Salience]],0),FALSE)</f>
        <v>186</v>
      </c>
    </row>
    <row r="72" spans="1:3" ht="15">
      <c r="A72" s="84" t="s">
        <v>2519</v>
      </c>
      <c r="B72" s="91" t="s">
        <v>372</v>
      </c>
      <c r="C72" s="83">
        <f>VLOOKUP(GroupVertices[[#This Row],[Vertex]],Vertices[],MATCH("ID",Vertices[[#Headers],[Vertex]:[Top Word Pairs in Tweet by Salience]],0),FALSE)</f>
        <v>46</v>
      </c>
    </row>
    <row r="73" spans="1:3" ht="15">
      <c r="A73" s="84" t="s">
        <v>2519</v>
      </c>
      <c r="B73" s="91" t="s">
        <v>371</v>
      </c>
      <c r="C73" s="83">
        <f>VLOOKUP(GroupVertices[[#This Row],[Vertex]],Vertices[],MATCH("ID",Vertices[[#Headers],[Vertex]:[Top Word Pairs in Tweet by Salience]],0),FALSE)</f>
        <v>184</v>
      </c>
    </row>
    <row r="74" spans="1:3" ht="15">
      <c r="A74" s="84" t="s">
        <v>2519</v>
      </c>
      <c r="B74" s="91" t="s">
        <v>352</v>
      </c>
      <c r="C74" s="83">
        <f>VLOOKUP(GroupVertices[[#This Row],[Vertex]],Vertices[],MATCH("ID",Vertices[[#Headers],[Vertex]:[Top Word Pairs in Tweet by Salience]],0),FALSE)</f>
        <v>162</v>
      </c>
    </row>
    <row r="75" spans="1:3" ht="15">
      <c r="A75" s="84" t="s">
        <v>2519</v>
      </c>
      <c r="B75" s="91" t="s">
        <v>316</v>
      </c>
      <c r="C75" s="83">
        <f>VLOOKUP(GroupVertices[[#This Row],[Vertex]],Vertices[],MATCH("ID",Vertices[[#Headers],[Vertex]:[Top Word Pairs in Tweet by Salience]],0),FALSE)</f>
        <v>121</v>
      </c>
    </row>
    <row r="76" spans="1:3" ht="15">
      <c r="A76" s="84" t="s">
        <v>2519</v>
      </c>
      <c r="B76" s="91" t="s">
        <v>315</v>
      </c>
      <c r="C76" s="83">
        <f>VLOOKUP(GroupVertices[[#This Row],[Vertex]],Vertices[],MATCH("ID",Vertices[[#Headers],[Vertex]:[Top Word Pairs in Tweet by Salience]],0),FALSE)</f>
        <v>120</v>
      </c>
    </row>
    <row r="77" spans="1:3" ht="15">
      <c r="A77" s="84" t="s">
        <v>2519</v>
      </c>
      <c r="B77" s="91" t="s">
        <v>314</v>
      </c>
      <c r="C77" s="83">
        <f>VLOOKUP(GroupVertices[[#This Row],[Vertex]],Vertices[],MATCH("ID",Vertices[[#Headers],[Vertex]:[Top Word Pairs in Tweet by Salience]],0),FALSE)</f>
        <v>119</v>
      </c>
    </row>
    <row r="78" spans="1:3" ht="15">
      <c r="A78" s="84" t="s">
        <v>2519</v>
      </c>
      <c r="B78" s="91" t="s">
        <v>256</v>
      </c>
      <c r="C78" s="83">
        <f>VLOOKUP(GroupVertices[[#This Row],[Vertex]],Vertices[],MATCH("ID",Vertices[[#Headers],[Vertex]:[Top Word Pairs in Tweet by Salience]],0),FALSE)</f>
        <v>55</v>
      </c>
    </row>
    <row r="79" spans="1:3" ht="15">
      <c r="A79" s="84" t="s">
        <v>2519</v>
      </c>
      <c r="B79" s="91" t="s">
        <v>255</v>
      </c>
      <c r="C79" s="83">
        <f>VLOOKUP(GroupVertices[[#This Row],[Vertex]],Vertices[],MATCH("ID",Vertices[[#Headers],[Vertex]:[Top Word Pairs in Tweet by Salience]],0),FALSE)</f>
        <v>53</v>
      </c>
    </row>
    <row r="80" spans="1:3" ht="15">
      <c r="A80" s="84" t="s">
        <v>2519</v>
      </c>
      <c r="B80" s="91" t="s">
        <v>251</v>
      </c>
      <c r="C80" s="83">
        <f>VLOOKUP(GroupVertices[[#This Row],[Vertex]],Vertices[],MATCH("ID",Vertices[[#Headers],[Vertex]:[Top Word Pairs in Tweet by Salience]],0),FALSE)</f>
        <v>45</v>
      </c>
    </row>
    <row r="81" spans="1:3" ht="15">
      <c r="A81" s="84" t="s">
        <v>2519</v>
      </c>
      <c r="B81" s="91" t="s">
        <v>247</v>
      </c>
      <c r="C81" s="83">
        <f>VLOOKUP(GroupVertices[[#This Row],[Vertex]],Vertices[],MATCH("ID",Vertices[[#Headers],[Vertex]:[Top Word Pairs in Tweet by Salience]],0),FALSE)</f>
        <v>41</v>
      </c>
    </row>
    <row r="82" spans="1:3" ht="15">
      <c r="A82" s="84" t="s">
        <v>2519</v>
      </c>
      <c r="B82" s="91" t="s">
        <v>245</v>
      </c>
      <c r="C82" s="83">
        <f>VLOOKUP(GroupVertices[[#This Row],[Vertex]],Vertices[],MATCH("ID",Vertices[[#Headers],[Vertex]:[Top Word Pairs in Tweet by Salience]],0),FALSE)</f>
        <v>39</v>
      </c>
    </row>
    <row r="83" spans="1:3" ht="15">
      <c r="A83" s="84" t="s">
        <v>2519</v>
      </c>
      <c r="B83" s="91" t="s">
        <v>244</v>
      </c>
      <c r="C83" s="83">
        <f>VLOOKUP(GroupVertices[[#This Row],[Vertex]],Vertices[],MATCH("ID",Vertices[[#Headers],[Vertex]:[Top Word Pairs in Tweet by Salience]],0),FALSE)</f>
        <v>38</v>
      </c>
    </row>
    <row r="84" spans="1:3" ht="15">
      <c r="A84" s="84" t="s">
        <v>2519</v>
      </c>
      <c r="B84" s="91" t="s">
        <v>243</v>
      </c>
      <c r="C84" s="83">
        <f>VLOOKUP(GroupVertices[[#This Row],[Vertex]],Vertices[],MATCH("ID",Vertices[[#Headers],[Vertex]:[Top Word Pairs in Tweet by Salience]],0),FALSE)</f>
        <v>37</v>
      </c>
    </row>
    <row r="85" spans="1:3" ht="15">
      <c r="A85" s="84" t="s">
        <v>2519</v>
      </c>
      <c r="B85" s="91" t="s">
        <v>241</v>
      </c>
      <c r="C85" s="83">
        <f>VLOOKUP(GroupVertices[[#This Row],[Vertex]],Vertices[],MATCH("ID",Vertices[[#Headers],[Vertex]:[Top Word Pairs in Tweet by Salience]],0),FALSE)</f>
        <v>35</v>
      </c>
    </row>
    <row r="86" spans="1:3" ht="15">
      <c r="A86" s="84" t="s">
        <v>2519</v>
      </c>
      <c r="B86" s="91" t="s">
        <v>239</v>
      </c>
      <c r="C86" s="83">
        <f>VLOOKUP(GroupVertices[[#This Row],[Vertex]],Vertices[],MATCH("ID",Vertices[[#Headers],[Vertex]:[Top Word Pairs in Tweet by Salience]],0),FALSE)</f>
        <v>33</v>
      </c>
    </row>
    <row r="87" spans="1:3" ht="15">
      <c r="A87" s="84" t="s">
        <v>2519</v>
      </c>
      <c r="B87" s="91" t="s">
        <v>238</v>
      </c>
      <c r="C87" s="83">
        <f>VLOOKUP(GroupVertices[[#This Row],[Vertex]],Vertices[],MATCH("ID",Vertices[[#Headers],[Vertex]:[Top Word Pairs in Tweet by Salience]],0),FALSE)</f>
        <v>31</v>
      </c>
    </row>
    <row r="88" spans="1:3" ht="15">
      <c r="A88" s="84" t="s">
        <v>2520</v>
      </c>
      <c r="B88" s="91" t="s">
        <v>389</v>
      </c>
      <c r="C88" s="83">
        <f>VLOOKUP(GroupVertices[[#This Row],[Vertex]],Vertices[],MATCH("ID",Vertices[[#Headers],[Vertex]:[Top Word Pairs in Tweet by Salience]],0),FALSE)</f>
        <v>66</v>
      </c>
    </row>
    <row r="89" spans="1:3" ht="15">
      <c r="A89" s="84" t="s">
        <v>2520</v>
      </c>
      <c r="B89" s="91" t="s">
        <v>361</v>
      </c>
      <c r="C89" s="83">
        <f>VLOOKUP(GroupVertices[[#This Row],[Vertex]],Vertices[],MATCH("ID",Vertices[[#Headers],[Vertex]:[Top Word Pairs in Tweet by Salience]],0),FALSE)</f>
        <v>172</v>
      </c>
    </row>
    <row r="90" spans="1:3" ht="15">
      <c r="A90" s="84" t="s">
        <v>2520</v>
      </c>
      <c r="B90" s="91" t="s">
        <v>346</v>
      </c>
      <c r="C90" s="83">
        <f>VLOOKUP(GroupVertices[[#This Row],[Vertex]],Vertices[],MATCH("ID",Vertices[[#Headers],[Vertex]:[Top Word Pairs in Tweet by Salience]],0),FALSE)</f>
        <v>154</v>
      </c>
    </row>
    <row r="91" spans="1:3" ht="15">
      <c r="A91" s="84" t="s">
        <v>2520</v>
      </c>
      <c r="B91" s="91" t="s">
        <v>332</v>
      </c>
      <c r="C91" s="83">
        <f>VLOOKUP(GroupVertices[[#This Row],[Vertex]],Vertices[],MATCH("ID",Vertices[[#Headers],[Vertex]:[Top Word Pairs in Tweet by Salience]],0),FALSE)</f>
        <v>138</v>
      </c>
    </row>
    <row r="92" spans="1:3" ht="15">
      <c r="A92" s="84" t="s">
        <v>2520</v>
      </c>
      <c r="B92" s="91" t="s">
        <v>331</v>
      </c>
      <c r="C92" s="83">
        <f>VLOOKUP(GroupVertices[[#This Row],[Vertex]],Vertices[],MATCH("ID",Vertices[[#Headers],[Vertex]:[Top Word Pairs in Tweet by Salience]],0),FALSE)</f>
        <v>137</v>
      </c>
    </row>
    <row r="93" spans="1:3" ht="15">
      <c r="A93" s="84" t="s">
        <v>2520</v>
      </c>
      <c r="B93" s="91" t="s">
        <v>330</v>
      </c>
      <c r="C93" s="83">
        <f>VLOOKUP(GroupVertices[[#This Row],[Vertex]],Vertices[],MATCH("ID",Vertices[[#Headers],[Vertex]:[Top Word Pairs in Tweet by Salience]],0),FALSE)</f>
        <v>136</v>
      </c>
    </row>
    <row r="94" spans="1:3" ht="15">
      <c r="A94" s="84" t="s">
        <v>2520</v>
      </c>
      <c r="B94" s="91" t="s">
        <v>329</v>
      </c>
      <c r="C94" s="83">
        <f>VLOOKUP(GroupVertices[[#This Row],[Vertex]],Vertices[],MATCH("ID",Vertices[[#Headers],[Vertex]:[Top Word Pairs in Tweet by Salience]],0),FALSE)</f>
        <v>135</v>
      </c>
    </row>
    <row r="95" spans="1:3" ht="15">
      <c r="A95" s="84" t="s">
        <v>2520</v>
      </c>
      <c r="B95" s="91" t="s">
        <v>328</v>
      </c>
      <c r="C95" s="83">
        <f>VLOOKUP(GroupVertices[[#This Row],[Vertex]],Vertices[],MATCH("ID",Vertices[[#Headers],[Vertex]:[Top Word Pairs in Tweet by Salience]],0),FALSE)</f>
        <v>134</v>
      </c>
    </row>
    <row r="96" spans="1:3" ht="15">
      <c r="A96" s="84" t="s">
        <v>2520</v>
      </c>
      <c r="B96" s="91" t="s">
        <v>327</v>
      </c>
      <c r="C96" s="83">
        <f>VLOOKUP(GroupVertices[[#This Row],[Vertex]],Vertices[],MATCH("ID",Vertices[[#Headers],[Vertex]:[Top Word Pairs in Tweet by Salience]],0),FALSE)</f>
        <v>133</v>
      </c>
    </row>
    <row r="97" spans="1:3" ht="15">
      <c r="A97" s="84" t="s">
        <v>2520</v>
      </c>
      <c r="B97" s="91" t="s">
        <v>326</v>
      </c>
      <c r="C97" s="83">
        <f>VLOOKUP(GroupVertices[[#This Row],[Vertex]],Vertices[],MATCH("ID",Vertices[[#Headers],[Vertex]:[Top Word Pairs in Tweet by Salience]],0),FALSE)</f>
        <v>132</v>
      </c>
    </row>
    <row r="98" spans="1:3" ht="15">
      <c r="A98" s="84" t="s">
        <v>2520</v>
      </c>
      <c r="B98" s="91" t="s">
        <v>325</v>
      </c>
      <c r="C98" s="83">
        <f>VLOOKUP(GroupVertices[[#This Row],[Vertex]],Vertices[],MATCH("ID",Vertices[[#Headers],[Vertex]:[Top Word Pairs in Tweet by Salience]],0),FALSE)</f>
        <v>131</v>
      </c>
    </row>
    <row r="99" spans="1:3" ht="15">
      <c r="A99" s="84" t="s">
        <v>2520</v>
      </c>
      <c r="B99" s="91" t="s">
        <v>324</v>
      </c>
      <c r="C99" s="83">
        <f>VLOOKUP(GroupVertices[[#This Row],[Vertex]],Vertices[],MATCH("ID",Vertices[[#Headers],[Vertex]:[Top Word Pairs in Tweet by Salience]],0),FALSE)</f>
        <v>130</v>
      </c>
    </row>
    <row r="100" spans="1:3" ht="15">
      <c r="A100" s="84" t="s">
        <v>2520</v>
      </c>
      <c r="B100" s="91" t="s">
        <v>317</v>
      </c>
      <c r="C100" s="83">
        <f>VLOOKUP(GroupVertices[[#This Row],[Vertex]],Vertices[],MATCH("ID",Vertices[[#Headers],[Vertex]:[Top Word Pairs in Tweet by Salience]],0),FALSE)</f>
        <v>122</v>
      </c>
    </row>
    <row r="101" spans="1:3" ht="15">
      <c r="A101" s="84" t="s">
        <v>2520</v>
      </c>
      <c r="B101" s="91" t="s">
        <v>313</v>
      </c>
      <c r="C101" s="83">
        <f>VLOOKUP(GroupVertices[[#This Row],[Vertex]],Vertices[],MATCH("ID",Vertices[[#Headers],[Vertex]:[Top Word Pairs in Tweet by Salience]],0),FALSE)</f>
        <v>118</v>
      </c>
    </row>
    <row r="102" spans="1:3" ht="15">
      <c r="A102" s="84" t="s">
        <v>2520</v>
      </c>
      <c r="B102" s="91" t="s">
        <v>310</v>
      </c>
      <c r="C102" s="83">
        <f>VLOOKUP(GroupVertices[[#This Row],[Vertex]],Vertices[],MATCH("ID",Vertices[[#Headers],[Vertex]:[Top Word Pairs in Tweet by Salience]],0),FALSE)</f>
        <v>114</v>
      </c>
    </row>
    <row r="103" spans="1:3" ht="15">
      <c r="A103" s="84" t="s">
        <v>2520</v>
      </c>
      <c r="B103" s="91" t="s">
        <v>308</v>
      </c>
      <c r="C103" s="83">
        <f>VLOOKUP(GroupVertices[[#This Row],[Vertex]],Vertices[],MATCH("ID",Vertices[[#Headers],[Vertex]:[Top Word Pairs in Tweet by Salience]],0),FALSE)</f>
        <v>112</v>
      </c>
    </row>
    <row r="104" spans="1:3" ht="15">
      <c r="A104" s="84" t="s">
        <v>2520</v>
      </c>
      <c r="B104" s="91" t="s">
        <v>307</v>
      </c>
      <c r="C104" s="83">
        <f>VLOOKUP(GroupVertices[[#This Row],[Vertex]],Vertices[],MATCH("ID",Vertices[[#Headers],[Vertex]:[Top Word Pairs in Tweet by Salience]],0),FALSE)</f>
        <v>111</v>
      </c>
    </row>
    <row r="105" spans="1:3" ht="15">
      <c r="A105" s="84" t="s">
        <v>2520</v>
      </c>
      <c r="B105" s="91" t="s">
        <v>306</v>
      </c>
      <c r="C105" s="83">
        <f>VLOOKUP(GroupVertices[[#This Row],[Vertex]],Vertices[],MATCH("ID",Vertices[[#Headers],[Vertex]:[Top Word Pairs in Tweet by Salience]],0),FALSE)</f>
        <v>110</v>
      </c>
    </row>
    <row r="106" spans="1:3" ht="15">
      <c r="A106" s="84" t="s">
        <v>2520</v>
      </c>
      <c r="B106" s="91" t="s">
        <v>305</v>
      </c>
      <c r="C106" s="83">
        <f>VLOOKUP(GroupVertices[[#This Row],[Vertex]],Vertices[],MATCH("ID",Vertices[[#Headers],[Vertex]:[Top Word Pairs in Tweet by Salience]],0),FALSE)</f>
        <v>109</v>
      </c>
    </row>
    <row r="107" spans="1:3" ht="15">
      <c r="A107" s="84" t="s">
        <v>2520</v>
      </c>
      <c r="B107" s="91" t="s">
        <v>304</v>
      </c>
      <c r="C107" s="83">
        <f>VLOOKUP(GroupVertices[[#This Row],[Vertex]],Vertices[],MATCH("ID",Vertices[[#Headers],[Vertex]:[Top Word Pairs in Tweet by Salience]],0),FALSE)</f>
        <v>108</v>
      </c>
    </row>
    <row r="108" spans="1:3" ht="15">
      <c r="A108" s="84" t="s">
        <v>2520</v>
      </c>
      <c r="B108" s="91" t="s">
        <v>303</v>
      </c>
      <c r="C108" s="83">
        <f>VLOOKUP(GroupVertices[[#This Row],[Vertex]],Vertices[],MATCH("ID",Vertices[[#Headers],[Vertex]:[Top Word Pairs in Tweet by Salience]],0),FALSE)</f>
        <v>107</v>
      </c>
    </row>
    <row r="109" spans="1:3" ht="15">
      <c r="A109" s="84" t="s">
        <v>2520</v>
      </c>
      <c r="B109" s="91" t="s">
        <v>302</v>
      </c>
      <c r="C109" s="83">
        <f>VLOOKUP(GroupVertices[[#This Row],[Vertex]],Vertices[],MATCH("ID",Vertices[[#Headers],[Vertex]:[Top Word Pairs in Tweet by Salience]],0),FALSE)</f>
        <v>106</v>
      </c>
    </row>
    <row r="110" spans="1:3" ht="15">
      <c r="A110" s="84" t="s">
        <v>2521</v>
      </c>
      <c r="B110" s="91" t="s">
        <v>384</v>
      </c>
      <c r="C110" s="83">
        <f>VLOOKUP(GroupVertices[[#This Row],[Vertex]],Vertices[],MATCH("ID",Vertices[[#Headers],[Vertex]:[Top Word Pairs in Tweet by Salience]],0),FALSE)</f>
        <v>22</v>
      </c>
    </row>
    <row r="111" spans="1:3" ht="15">
      <c r="A111" s="84" t="s">
        <v>2521</v>
      </c>
      <c r="B111" s="91" t="s">
        <v>432</v>
      </c>
      <c r="C111" s="83">
        <f>VLOOKUP(GroupVertices[[#This Row],[Vertex]],Vertices[],MATCH("ID",Vertices[[#Headers],[Vertex]:[Top Word Pairs in Tweet by Salience]],0),FALSE)</f>
        <v>21</v>
      </c>
    </row>
    <row r="112" spans="1:3" ht="15">
      <c r="A112" s="84" t="s">
        <v>2521</v>
      </c>
      <c r="B112" s="91" t="s">
        <v>431</v>
      </c>
      <c r="C112" s="83">
        <f>VLOOKUP(GroupVertices[[#This Row],[Vertex]],Vertices[],MATCH("ID",Vertices[[#Headers],[Vertex]:[Top Word Pairs in Tweet by Salience]],0),FALSE)</f>
        <v>20</v>
      </c>
    </row>
    <row r="113" spans="1:3" ht="15">
      <c r="A113" s="84" t="s">
        <v>2521</v>
      </c>
      <c r="B113" s="91" t="s">
        <v>381</v>
      </c>
      <c r="C113" s="83">
        <f>VLOOKUP(GroupVertices[[#This Row],[Vertex]],Vertices[],MATCH("ID",Vertices[[#Headers],[Vertex]:[Top Word Pairs in Tweet by Salience]],0),FALSE)</f>
        <v>19</v>
      </c>
    </row>
    <row r="114" spans="1:3" ht="15">
      <c r="A114" s="84" t="s">
        <v>2521</v>
      </c>
      <c r="B114" s="91" t="s">
        <v>380</v>
      </c>
      <c r="C114" s="83">
        <f>VLOOKUP(GroupVertices[[#This Row],[Vertex]],Vertices[],MATCH("ID",Vertices[[#Headers],[Vertex]:[Top Word Pairs in Tweet by Salience]],0),FALSE)</f>
        <v>18</v>
      </c>
    </row>
    <row r="115" spans="1:3" ht="15">
      <c r="A115" s="84" t="s">
        <v>2521</v>
      </c>
      <c r="B115" s="91" t="s">
        <v>383</v>
      </c>
      <c r="C115" s="83">
        <f>VLOOKUP(GroupVertices[[#This Row],[Vertex]],Vertices[],MATCH("ID",Vertices[[#Headers],[Vertex]:[Top Word Pairs in Tweet by Salience]],0),FALSE)</f>
        <v>17</v>
      </c>
    </row>
    <row r="116" spans="1:3" ht="15">
      <c r="A116" s="84" t="s">
        <v>2521</v>
      </c>
      <c r="B116" s="91" t="s">
        <v>430</v>
      </c>
      <c r="C116" s="83">
        <f>VLOOKUP(GroupVertices[[#This Row],[Vertex]],Vertices[],MATCH("ID",Vertices[[#Headers],[Vertex]:[Top Word Pairs in Tweet by Salience]],0),FALSE)</f>
        <v>16</v>
      </c>
    </row>
    <row r="117" spans="1:3" ht="15">
      <c r="A117" s="84" t="s">
        <v>2521</v>
      </c>
      <c r="B117" s="91" t="s">
        <v>385</v>
      </c>
      <c r="C117" s="83">
        <f>VLOOKUP(GroupVertices[[#This Row],[Vertex]],Vertices[],MATCH("ID",Vertices[[#Headers],[Vertex]:[Top Word Pairs in Tweet by Salience]],0),FALSE)</f>
        <v>15</v>
      </c>
    </row>
    <row r="118" spans="1:3" ht="15">
      <c r="A118" s="84" t="s">
        <v>2521</v>
      </c>
      <c r="B118" s="91" t="s">
        <v>382</v>
      </c>
      <c r="C118" s="83">
        <f>VLOOKUP(GroupVertices[[#This Row],[Vertex]],Vertices[],MATCH("ID",Vertices[[#Headers],[Vertex]:[Top Word Pairs in Tweet by Salience]],0),FALSE)</f>
        <v>14</v>
      </c>
    </row>
    <row r="119" spans="1:3" ht="15">
      <c r="A119" s="84" t="s">
        <v>2521</v>
      </c>
      <c r="B119" s="91" t="s">
        <v>271</v>
      </c>
      <c r="C119" s="83">
        <f>VLOOKUP(GroupVertices[[#This Row],[Vertex]],Vertices[],MATCH("ID",Vertices[[#Headers],[Vertex]:[Top Word Pairs in Tweet by Salience]],0),FALSE)</f>
        <v>71</v>
      </c>
    </row>
    <row r="120" spans="1:3" ht="15">
      <c r="A120" s="84" t="s">
        <v>2521</v>
      </c>
      <c r="B120" s="91" t="s">
        <v>267</v>
      </c>
      <c r="C120" s="83">
        <f>VLOOKUP(GroupVertices[[#This Row],[Vertex]],Vertices[],MATCH("ID",Vertices[[#Headers],[Vertex]:[Top Word Pairs in Tweet by Salience]],0),FALSE)</f>
        <v>68</v>
      </c>
    </row>
    <row r="121" spans="1:3" ht="15">
      <c r="A121" s="84" t="s">
        <v>2521</v>
      </c>
      <c r="B121" s="91" t="s">
        <v>249</v>
      </c>
      <c r="C121" s="83">
        <f>VLOOKUP(GroupVertices[[#This Row],[Vertex]],Vertices[],MATCH("ID",Vertices[[#Headers],[Vertex]:[Top Word Pairs in Tweet by Salience]],0),FALSE)</f>
        <v>43</v>
      </c>
    </row>
    <row r="122" spans="1:3" ht="15">
      <c r="A122" s="84" t="s">
        <v>2521</v>
      </c>
      <c r="B122" s="91" t="s">
        <v>248</v>
      </c>
      <c r="C122" s="83">
        <f>VLOOKUP(GroupVertices[[#This Row],[Vertex]],Vertices[],MATCH("ID",Vertices[[#Headers],[Vertex]:[Top Word Pairs in Tweet by Salience]],0),FALSE)</f>
        <v>42</v>
      </c>
    </row>
    <row r="123" spans="1:3" ht="15">
      <c r="A123" s="84" t="s">
        <v>2521</v>
      </c>
      <c r="B123" s="91" t="s">
        <v>246</v>
      </c>
      <c r="C123" s="83">
        <f>VLOOKUP(GroupVertices[[#This Row],[Vertex]],Vertices[],MATCH("ID",Vertices[[#Headers],[Vertex]:[Top Word Pairs in Tweet by Salience]],0),FALSE)</f>
        <v>40</v>
      </c>
    </row>
    <row r="124" spans="1:3" ht="15">
      <c r="A124" s="84" t="s">
        <v>2521</v>
      </c>
      <c r="B124" s="91" t="s">
        <v>237</v>
      </c>
      <c r="C124" s="83">
        <f>VLOOKUP(GroupVertices[[#This Row],[Vertex]],Vertices[],MATCH("ID",Vertices[[#Headers],[Vertex]:[Top Word Pairs in Tweet by Salience]],0),FALSE)</f>
        <v>30</v>
      </c>
    </row>
    <row r="125" spans="1:3" ht="15">
      <c r="A125" s="84" t="s">
        <v>2521</v>
      </c>
      <c r="B125" s="91" t="s">
        <v>235</v>
      </c>
      <c r="C125" s="83">
        <f>VLOOKUP(GroupVertices[[#This Row],[Vertex]],Vertices[],MATCH("ID",Vertices[[#Headers],[Vertex]:[Top Word Pairs in Tweet by Salience]],0),FALSE)</f>
        <v>27</v>
      </c>
    </row>
    <row r="126" spans="1:3" ht="15">
      <c r="A126" s="84" t="s">
        <v>2521</v>
      </c>
      <c r="B126" s="91" t="s">
        <v>234</v>
      </c>
      <c r="C126" s="83">
        <f>VLOOKUP(GroupVertices[[#This Row],[Vertex]],Vertices[],MATCH("ID",Vertices[[#Headers],[Vertex]:[Top Word Pairs in Tweet by Salience]],0),FALSE)</f>
        <v>26</v>
      </c>
    </row>
    <row r="127" spans="1:3" ht="15">
      <c r="A127" s="84" t="s">
        <v>2521</v>
      </c>
      <c r="B127" s="91" t="s">
        <v>233</v>
      </c>
      <c r="C127" s="83">
        <f>VLOOKUP(GroupVertices[[#This Row],[Vertex]],Vertices[],MATCH("ID",Vertices[[#Headers],[Vertex]:[Top Word Pairs in Tweet by Salience]],0),FALSE)</f>
        <v>25</v>
      </c>
    </row>
    <row r="128" spans="1:3" ht="15">
      <c r="A128" s="84" t="s">
        <v>2521</v>
      </c>
      <c r="B128" s="91" t="s">
        <v>232</v>
      </c>
      <c r="C128" s="83">
        <f>VLOOKUP(GroupVertices[[#This Row],[Vertex]],Vertices[],MATCH("ID",Vertices[[#Headers],[Vertex]:[Top Word Pairs in Tweet by Salience]],0),FALSE)</f>
        <v>24</v>
      </c>
    </row>
    <row r="129" spans="1:3" ht="15">
      <c r="A129" s="84" t="s">
        <v>2521</v>
      </c>
      <c r="B129" s="91" t="s">
        <v>231</v>
      </c>
      <c r="C129" s="83">
        <f>VLOOKUP(GroupVertices[[#This Row],[Vertex]],Vertices[],MATCH("ID",Vertices[[#Headers],[Vertex]:[Top Word Pairs in Tweet by Salience]],0),FALSE)</f>
        <v>23</v>
      </c>
    </row>
    <row r="130" spans="1:3" ht="15">
      <c r="A130" s="84" t="s">
        <v>2521</v>
      </c>
      <c r="B130" s="91" t="s">
        <v>230</v>
      </c>
      <c r="C130" s="83">
        <f>VLOOKUP(GroupVertices[[#This Row],[Vertex]],Vertices[],MATCH("ID",Vertices[[#Headers],[Vertex]:[Top Word Pairs in Tweet by Salience]],0),FALSE)</f>
        <v>13</v>
      </c>
    </row>
    <row r="131" spans="1:3" ht="15">
      <c r="A131" s="84" t="s">
        <v>2522</v>
      </c>
      <c r="B131" s="91" t="s">
        <v>425</v>
      </c>
      <c r="C131" s="83">
        <f>VLOOKUP(GroupVertices[[#This Row],[Vertex]],Vertices[],MATCH("ID",Vertices[[#Headers],[Vertex]:[Top Word Pairs in Tweet by Salience]],0),FALSE)</f>
        <v>94</v>
      </c>
    </row>
    <row r="132" spans="1:3" ht="15">
      <c r="A132" s="84" t="s">
        <v>2522</v>
      </c>
      <c r="B132" s="91" t="s">
        <v>404</v>
      </c>
      <c r="C132" s="83">
        <f>VLOOKUP(GroupVertices[[#This Row],[Vertex]],Vertices[],MATCH("ID",Vertices[[#Headers],[Vertex]:[Top Word Pairs in Tweet by Salience]],0),FALSE)</f>
        <v>12</v>
      </c>
    </row>
    <row r="133" spans="1:3" ht="15">
      <c r="A133" s="84" t="s">
        <v>2522</v>
      </c>
      <c r="B133" s="91" t="s">
        <v>386</v>
      </c>
      <c r="C133" s="83">
        <f>VLOOKUP(GroupVertices[[#This Row],[Vertex]],Vertices[],MATCH("ID",Vertices[[#Headers],[Vertex]:[Top Word Pairs in Tweet by Salience]],0),FALSE)</f>
        <v>192</v>
      </c>
    </row>
    <row r="134" spans="1:3" ht="15">
      <c r="A134" s="84" t="s">
        <v>2522</v>
      </c>
      <c r="B134" s="91" t="s">
        <v>387</v>
      </c>
      <c r="C134" s="83">
        <f>VLOOKUP(GroupVertices[[#This Row],[Vertex]],Vertices[],MATCH("ID",Vertices[[#Headers],[Vertex]:[Top Word Pairs in Tweet by Salience]],0),FALSE)</f>
        <v>48</v>
      </c>
    </row>
    <row r="135" spans="1:3" ht="15">
      <c r="A135" s="84" t="s">
        <v>2522</v>
      </c>
      <c r="B135" s="91" t="s">
        <v>336</v>
      </c>
      <c r="C135" s="83">
        <f>VLOOKUP(GroupVertices[[#This Row],[Vertex]],Vertices[],MATCH("ID",Vertices[[#Headers],[Vertex]:[Top Word Pairs in Tweet by Salience]],0),FALSE)</f>
        <v>141</v>
      </c>
    </row>
    <row r="136" spans="1:3" ht="15">
      <c r="A136" s="84" t="s">
        <v>2522</v>
      </c>
      <c r="B136" s="91" t="s">
        <v>323</v>
      </c>
      <c r="C136" s="83">
        <f>VLOOKUP(GroupVertices[[#This Row],[Vertex]],Vertices[],MATCH("ID",Vertices[[#Headers],[Vertex]:[Top Word Pairs in Tweet by Salience]],0),FALSE)</f>
        <v>129</v>
      </c>
    </row>
    <row r="137" spans="1:3" ht="15">
      <c r="A137" s="84" t="s">
        <v>2522</v>
      </c>
      <c r="B137" s="91" t="s">
        <v>301</v>
      </c>
      <c r="C137" s="83">
        <f>VLOOKUP(GroupVertices[[#This Row],[Vertex]],Vertices[],MATCH("ID",Vertices[[#Headers],[Vertex]:[Top Word Pairs in Tweet by Salience]],0),FALSE)</f>
        <v>105</v>
      </c>
    </row>
    <row r="138" spans="1:3" ht="15">
      <c r="A138" s="84" t="s">
        <v>2522</v>
      </c>
      <c r="B138" s="91" t="s">
        <v>296</v>
      </c>
      <c r="C138" s="83">
        <f>VLOOKUP(GroupVertices[[#This Row],[Vertex]],Vertices[],MATCH("ID",Vertices[[#Headers],[Vertex]:[Top Word Pairs in Tweet by Salience]],0),FALSE)</f>
        <v>99</v>
      </c>
    </row>
    <row r="139" spans="1:3" ht="15">
      <c r="A139" s="84" t="s">
        <v>2522</v>
      </c>
      <c r="B139" s="91" t="s">
        <v>291</v>
      </c>
      <c r="C139" s="83">
        <f>VLOOKUP(GroupVertices[[#This Row],[Vertex]],Vertices[],MATCH("ID",Vertices[[#Headers],[Vertex]:[Top Word Pairs in Tweet by Salience]],0),FALSE)</f>
        <v>93</v>
      </c>
    </row>
    <row r="140" spans="1:3" ht="15">
      <c r="A140" s="84" t="s">
        <v>2522</v>
      </c>
      <c r="B140" s="91" t="s">
        <v>283</v>
      </c>
      <c r="C140" s="83">
        <f>VLOOKUP(GroupVertices[[#This Row],[Vertex]],Vertices[],MATCH("ID",Vertices[[#Headers],[Vertex]:[Top Word Pairs in Tweet by Salience]],0),FALSE)</f>
        <v>83</v>
      </c>
    </row>
    <row r="141" spans="1:3" ht="15">
      <c r="A141" s="84" t="s">
        <v>2522</v>
      </c>
      <c r="B141" s="91" t="s">
        <v>282</v>
      </c>
      <c r="C141" s="83">
        <f>VLOOKUP(GroupVertices[[#This Row],[Vertex]],Vertices[],MATCH("ID",Vertices[[#Headers],[Vertex]:[Top Word Pairs in Tweet by Salience]],0),FALSE)</f>
        <v>82</v>
      </c>
    </row>
    <row r="142" spans="1:3" ht="15">
      <c r="A142" s="84" t="s">
        <v>2522</v>
      </c>
      <c r="B142" s="91" t="s">
        <v>281</v>
      </c>
      <c r="C142" s="83">
        <f>VLOOKUP(GroupVertices[[#This Row],[Vertex]],Vertices[],MATCH("ID",Vertices[[#Headers],[Vertex]:[Top Word Pairs in Tweet by Salience]],0),FALSE)</f>
        <v>81</v>
      </c>
    </row>
    <row r="143" spans="1:3" ht="15">
      <c r="A143" s="84" t="s">
        <v>2522</v>
      </c>
      <c r="B143" s="91" t="s">
        <v>259</v>
      </c>
      <c r="C143" s="83">
        <f>VLOOKUP(GroupVertices[[#This Row],[Vertex]],Vertices[],MATCH("ID",Vertices[[#Headers],[Vertex]:[Top Word Pairs in Tweet by Salience]],0),FALSE)</f>
        <v>59</v>
      </c>
    </row>
    <row r="144" spans="1:3" ht="15">
      <c r="A144" s="84" t="s">
        <v>2522</v>
      </c>
      <c r="B144" s="91" t="s">
        <v>252</v>
      </c>
      <c r="C144" s="83">
        <f>VLOOKUP(GroupVertices[[#This Row],[Vertex]],Vertices[],MATCH("ID",Vertices[[#Headers],[Vertex]:[Top Word Pairs in Tweet by Salience]],0),FALSE)</f>
        <v>47</v>
      </c>
    </row>
    <row r="145" spans="1:3" ht="15">
      <c r="A145" s="84" t="s">
        <v>2522</v>
      </c>
      <c r="B145" s="91" t="s">
        <v>229</v>
      </c>
      <c r="C145" s="83">
        <f>VLOOKUP(GroupVertices[[#This Row],[Vertex]],Vertices[],MATCH("ID",Vertices[[#Headers],[Vertex]:[Top Word Pairs in Tweet by Salience]],0),FALSE)</f>
        <v>11</v>
      </c>
    </row>
    <row r="146" spans="1:3" ht="15">
      <c r="A146" s="84" t="s">
        <v>2523</v>
      </c>
      <c r="B146" s="91" t="s">
        <v>242</v>
      </c>
      <c r="C146" s="83">
        <f>VLOOKUP(GroupVertices[[#This Row],[Vertex]],Vertices[],MATCH("ID",Vertices[[#Headers],[Vertex]:[Top Word Pairs in Tweet by Salience]],0),FALSE)</f>
        <v>36</v>
      </c>
    </row>
    <row r="147" spans="1:3" ht="15">
      <c r="A147" s="84" t="s">
        <v>2523</v>
      </c>
      <c r="B147" s="91" t="s">
        <v>262</v>
      </c>
      <c r="C147" s="83">
        <f>VLOOKUP(GroupVertices[[#This Row],[Vertex]],Vertices[],MATCH("ID",Vertices[[#Headers],[Vertex]:[Top Word Pairs in Tweet by Salience]],0),FALSE)</f>
        <v>63</v>
      </c>
    </row>
    <row r="148" spans="1:3" ht="15">
      <c r="A148" s="84" t="s">
        <v>2523</v>
      </c>
      <c r="B148" s="91" t="s">
        <v>268</v>
      </c>
      <c r="C148" s="83">
        <f>VLOOKUP(GroupVertices[[#This Row],[Vertex]],Vertices[],MATCH("ID",Vertices[[#Headers],[Vertex]:[Top Word Pairs in Tweet by Salience]],0),FALSE)</f>
        <v>69</v>
      </c>
    </row>
    <row r="149" spans="1:3" ht="15">
      <c r="A149" s="84" t="s">
        <v>2523</v>
      </c>
      <c r="B149" s="91" t="s">
        <v>292</v>
      </c>
      <c r="C149" s="83">
        <f>VLOOKUP(GroupVertices[[#This Row],[Vertex]],Vertices[],MATCH("ID",Vertices[[#Headers],[Vertex]:[Top Word Pairs in Tweet by Salience]],0),FALSE)</f>
        <v>95</v>
      </c>
    </row>
    <row r="150" spans="1:3" ht="15">
      <c r="A150" s="84" t="s">
        <v>2523</v>
      </c>
      <c r="B150" s="91" t="s">
        <v>297</v>
      </c>
      <c r="C150" s="83">
        <f>VLOOKUP(GroupVertices[[#This Row],[Vertex]],Vertices[],MATCH("ID",Vertices[[#Headers],[Vertex]:[Top Word Pairs in Tweet by Salience]],0),FALSE)</f>
        <v>100</v>
      </c>
    </row>
    <row r="151" spans="1:3" ht="15">
      <c r="A151" s="84" t="s">
        <v>2523</v>
      </c>
      <c r="B151" s="91" t="s">
        <v>312</v>
      </c>
      <c r="C151" s="83">
        <f>VLOOKUP(GroupVertices[[#This Row],[Vertex]],Vertices[],MATCH("ID",Vertices[[#Headers],[Vertex]:[Top Word Pairs in Tweet by Salience]],0),FALSE)</f>
        <v>117</v>
      </c>
    </row>
    <row r="152" spans="1:3" ht="15">
      <c r="A152" s="84" t="s">
        <v>2523</v>
      </c>
      <c r="B152" s="91" t="s">
        <v>333</v>
      </c>
      <c r="C152" s="83">
        <f>VLOOKUP(GroupVertices[[#This Row],[Vertex]],Vertices[],MATCH("ID",Vertices[[#Headers],[Vertex]:[Top Word Pairs in Tweet by Salience]],0),FALSE)</f>
        <v>139</v>
      </c>
    </row>
    <row r="153" spans="1:3" ht="15">
      <c r="A153" s="84" t="s">
        <v>2523</v>
      </c>
      <c r="B153" s="91" t="s">
        <v>347</v>
      </c>
      <c r="C153" s="83">
        <f>VLOOKUP(GroupVertices[[#This Row],[Vertex]],Vertices[],MATCH("ID",Vertices[[#Headers],[Vertex]:[Top Word Pairs in Tweet by Salience]],0),FALSE)</f>
        <v>155</v>
      </c>
    </row>
    <row r="154" spans="1:3" ht="15">
      <c r="A154" s="84" t="s">
        <v>2523</v>
      </c>
      <c r="B154" s="91" t="s">
        <v>348</v>
      </c>
      <c r="C154" s="83">
        <f>VLOOKUP(GroupVertices[[#This Row],[Vertex]],Vertices[],MATCH("ID",Vertices[[#Headers],[Vertex]:[Top Word Pairs in Tweet by Salience]],0),FALSE)</f>
        <v>156</v>
      </c>
    </row>
    <row r="155" spans="1:3" ht="15">
      <c r="A155" s="84" t="s">
        <v>2523</v>
      </c>
      <c r="B155" s="91" t="s">
        <v>376</v>
      </c>
      <c r="C155" s="83">
        <f>VLOOKUP(GroupVertices[[#This Row],[Vertex]],Vertices[],MATCH("ID",Vertices[[#Headers],[Vertex]:[Top Word Pairs in Tweet by Salience]],0),FALSE)</f>
        <v>189</v>
      </c>
    </row>
    <row r="156" spans="1:3" ht="15">
      <c r="A156" s="84" t="s">
        <v>2523</v>
      </c>
      <c r="B156" s="91" t="s">
        <v>377</v>
      </c>
      <c r="C156" s="83">
        <f>VLOOKUP(GroupVertices[[#This Row],[Vertex]],Vertices[],MATCH("ID",Vertices[[#Headers],[Vertex]:[Top Word Pairs in Tweet by Salience]],0),FALSE)</f>
        <v>190</v>
      </c>
    </row>
    <row r="157" spans="1:3" ht="15">
      <c r="A157" s="84" t="s">
        <v>2523</v>
      </c>
      <c r="B157" s="91" t="s">
        <v>428</v>
      </c>
      <c r="C157" s="83">
        <f>VLOOKUP(GroupVertices[[#This Row],[Vertex]],Vertices[],MATCH("ID",Vertices[[#Headers],[Vertex]:[Top Word Pairs in Tweet by Salience]],0),FALSE)</f>
        <v>216</v>
      </c>
    </row>
    <row r="158" spans="1:3" ht="15">
      <c r="A158" s="84" t="s">
        <v>2524</v>
      </c>
      <c r="B158" s="91" t="s">
        <v>424</v>
      </c>
      <c r="C158" s="83">
        <f>VLOOKUP(GroupVertices[[#This Row],[Vertex]],Vertices[],MATCH("ID",Vertices[[#Headers],[Vertex]:[Top Word Pairs in Tweet by Salience]],0),FALSE)</f>
        <v>215</v>
      </c>
    </row>
    <row r="159" spans="1:3" ht="15">
      <c r="A159" s="84" t="s">
        <v>2524</v>
      </c>
      <c r="B159" s="91" t="s">
        <v>426</v>
      </c>
      <c r="C159" s="83">
        <f>VLOOKUP(GroupVertices[[#This Row],[Vertex]],Vertices[],MATCH("ID",Vertices[[#Headers],[Vertex]:[Top Word Pairs in Tweet by Salience]],0),FALSE)</f>
        <v>10</v>
      </c>
    </row>
    <row r="160" spans="1:3" ht="15">
      <c r="A160" s="84" t="s">
        <v>2524</v>
      </c>
      <c r="B160" s="91" t="s">
        <v>270</v>
      </c>
      <c r="C160" s="83">
        <f>VLOOKUP(GroupVertices[[#This Row],[Vertex]],Vertices[],MATCH("ID",Vertices[[#Headers],[Vertex]:[Top Word Pairs in Tweet by Salience]],0),FALSE)</f>
        <v>70</v>
      </c>
    </row>
    <row r="161" spans="1:3" ht="15">
      <c r="A161" s="84" t="s">
        <v>2524</v>
      </c>
      <c r="B161" s="91" t="s">
        <v>269</v>
      </c>
      <c r="C161" s="83">
        <f>VLOOKUP(GroupVertices[[#This Row],[Vertex]],Vertices[],MATCH("ID",Vertices[[#Headers],[Vertex]:[Top Word Pairs in Tweet by Salience]],0),FALSE)</f>
        <v>61</v>
      </c>
    </row>
    <row r="162" spans="1:3" ht="15">
      <c r="A162" s="84" t="s">
        <v>2524</v>
      </c>
      <c r="B162" s="91" t="s">
        <v>265</v>
      </c>
      <c r="C162" s="83">
        <f>VLOOKUP(GroupVertices[[#This Row],[Vertex]],Vertices[],MATCH("ID",Vertices[[#Headers],[Vertex]:[Top Word Pairs in Tweet by Salience]],0),FALSE)</f>
        <v>65</v>
      </c>
    </row>
    <row r="163" spans="1:3" ht="15">
      <c r="A163" s="84" t="s">
        <v>2524</v>
      </c>
      <c r="B163" s="91" t="s">
        <v>264</v>
      </c>
      <c r="C163" s="83">
        <f>VLOOKUP(GroupVertices[[#This Row],[Vertex]],Vertices[],MATCH("ID",Vertices[[#Headers],[Vertex]:[Top Word Pairs in Tweet by Salience]],0),FALSE)</f>
        <v>29</v>
      </c>
    </row>
    <row r="164" spans="1:3" ht="15">
      <c r="A164" s="84" t="s">
        <v>2524</v>
      </c>
      <c r="B164" s="91" t="s">
        <v>260</v>
      </c>
      <c r="C164" s="83">
        <f>VLOOKUP(GroupVertices[[#This Row],[Vertex]],Vertices[],MATCH("ID",Vertices[[#Headers],[Vertex]:[Top Word Pairs in Tweet by Salience]],0),FALSE)</f>
        <v>60</v>
      </c>
    </row>
    <row r="165" spans="1:3" ht="15">
      <c r="A165" s="84" t="s">
        <v>2524</v>
      </c>
      <c r="B165" s="91" t="s">
        <v>250</v>
      </c>
      <c r="C165" s="83">
        <f>VLOOKUP(GroupVertices[[#This Row],[Vertex]],Vertices[],MATCH("ID",Vertices[[#Headers],[Vertex]:[Top Word Pairs in Tweet by Salience]],0),FALSE)</f>
        <v>44</v>
      </c>
    </row>
    <row r="166" spans="1:3" ht="15">
      <c r="A166" s="84" t="s">
        <v>2524</v>
      </c>
      <c r="B166" s="91" t="s">
        <v>240</v>
      </c>
      <c r="C166" s="83">
        <f>VLOOKUP(GroupVertices[[#This Row],[Vertex]],Vertices[],MATCH("ID",Vertices[[#Headers],[Vertex]:[Top Word Pairs in Tweet by Salience]],0),FALSE)</f>
        <v>34</v>
      </c>
    </row>
    <row r="167" spans="1:3" ht="15">
      <c r="A167" s="84" t="s">
        <v>2524</v>
      </c>
      <c r="B167" s="91" t="s">
        <v>236</v>
      </c>
      <c r="C167" s="83">
        <f>VLOOKUP(GroupVertices[[#This Row],[Vertex]],Vertices[],MATCH("ID",Vertices[[#Headers],[Vertex]:[Top Word Pairs in Tweet by Salience]],0),FALSE)</f>
        <v>28</v>
      </c>
    </row>
    <row r="168" spans="1:3" ht="15">
      <c r="A168" s="84" t="s">
        <v>2524</v>
      </c>
      <c r="B168" s="91" t="s">
        <v>228</v>
      </c>
      <c r="C168" s="83">
        <f>VLOOKUP(GroupVertices[[#This Row],[Vertex]],Vertices[],MATCH("ID",Vertices[[#Headers],[Vertex]:[Top Word Pairs in Tweet by Salience]],0),FALSE)</f>
        <v>9</v>
      </c>
    </row>
    <row r="169" spans="1:3" ht="15">
      <c r="A169" s="84" t="s">
        <v>2525</v>
      </c>
      <c r="B169" s="91" t="s">
        <v>422</v>
      </c>
      <c r="C169" s="83">
        <f>VLOOKUP(GroupVertices[[#This Row],[Vertex]],Vertices[],MATCH("ID",Vertices[[#Headers],[Vertex]:[Top Word Pairs in Tweet by Salience]],0),FALSE)</f>
        <v>214</v>
      </c>
    </row>
    <row r="170" spans="1:3" ht="15">
      <c r="A170" s="84" t="s">
        <v>2525</v>
      </c>
      <c r="B170" s="91" t="s">
        <v>427</v>
      </c>
      <c r="C170" s="83">
        <f>VLOOKUP(GroupVertices[[#This Row],[Vertex]],Vertices[],MATCH("ID",Vertices[[#Headers],[Vertex]:[Top Word Pairs in Tweet by Salience]],0),FALSE)</f>
        <v>8</v>
      </c>
    </row>
    <row r="171" spans="1:3" ht="15">
      <c r="A171" s="84" t="s">
        <v>2525</v>
      </c>
      <c r="B171" s="91" t="s">
        <v>421</v>
      </c>
      <c r="C171" s="83">
        <f>VLOOKUP(GroupVertices[[#This Row],[Vertex]],Vertices[],MATCH("ID",Vertices[[#Headers],[Vertex]:[Top Word Pairs in Tweet by Salience]],0),FALSE)</f>
        <v>116</v>
      </c>
    </row>
    <row r="172" spans="1:3" ht="15">
      <c r="A172" s="84" t="s">
        <v>2525</v>
      </c>
      <c r="B172" s="91" t="s">
        <v>410</v>
      </c>
      <c r="C172" s="83">
        <f>VLOOKUP(GroupVertices[[#This Row],[Vertex]],Vertices[],MATCH("ID",Vertices[[#Headers],[Vertex]:[Top Word Pairs in Tweet by Salience]],0),FALSE)</f>
        <v>210</v>
      </c>
    </row>
    <row r="173" spans="1:3" ht="15">
      <c r="A173" s="84" t="s">
        <v>2525</v>
      </c>
      <c r="B173" s="91" t="s">
        <v>363</v>
      </c>
      <c r="C173" s="83">
        <f>VLOOKUP(GroupVertices[[#This Row],[Vertex]],Vertices[],MATCH("ID",Vertices[[#Headers],[Vertex]:[Top Word Pairs in Tweet by Salience]],0),FALSE)</f>
        <v>174</v>
      </c>
    </row>
    <row r="174" spans="1:3" ht="15">
      <c r="A174" s="84" t="s">
        <v>2525</v>
      </c>
      <c r="B174" s="91" t="s">
        <v>362</v>
      </c>
      <c r="C174" s="83">
        <f>VLOOKUP(GroupVertices[[#This Row],[Vertex]],Vertices[],MATCH("ID",Vertices[[#Headers],[Vertex]:[Top Word Pairs in Tweet by Salience]],0),FALSE)</f>
        <v>173</v>
      </c>
    </row>
    <row r="175" spans="1:3" ht="15">
      <c r="A175" s="84" t="s">
        <v>2525</v>
      </c>
      <c r="B175" s="91" t="s">
        <v>322</v>
      </c>
      <c r="C175" s="83">
        <f>VLOOKUP(GroupVertices[[#This Row],[Vertex]],Vertices[],MATCH("ID",Vertices[[#Headers],[Vertex]:[Top Word Pairs in Tweet by Salience]],0),FALSE)</f>
        <v>128</v>
      </c>
    </row>
    <row r="176" spans="1:3" ht="15">
      <c r="A176" s="84" t="s">
        <v>2525</v>
      </c>
      <c r="B176" s="91" t="s">
        <v>321</v>
      </c>
      <c r="C176" s="83">
        <f>VLOOKUP(GroupVertices[[#This Row],[Vertex]],Vertices[],MATCH("ID",Vertices[[#Headers],[Vertex]:[Top Word Pairs in Tweet by Salience]],0),FALSE)</f>
        <v>127</v>
      </c>
    </row>
    <row r="177" spans="1:3" ht="15">
      <c r="A177" s="84" t="s">
        <v>2525</v>
      </c>
      <c r="B177" s="91" t="s">
        <v>311</v>
      </c>
      <c r="C177" s="83">
        <f>VLOOKUP(GroupVertices[[#This Row],[Vertex]],Vertices[],MATCH("ID",Vertices[[#Headers],[Vertex]:[Top Word Pairs in Tweet by Salience]],0),FALSE)</f>
        <v>115</v>
      </c>
    </row>
    <row r="178" spans="1:3" ht="15">
      <c r="A178" s="84" t="s">
        <v>2525</v>
      </c>
      <c r="B178" s="91" t="s">
        <v>227</v>
      </c>
      <c r="C178" s="83">
        <f>VLOOKUP(GroupVertices[[#This Row],[Vertex]],Vertices[],MATCH("ID",Vertices[[#Headers],[Vertex]:[Top Word Pairs in Tweet by Salience]],0),FALSE)</f>
        <v>7</v>
      </c>
    </row>
    <row r="179" spans="1:3" ht="15">
      <c r="A179" s="84" t="s">
        <v>2526</v>
      </c>
      <c r="B179" s="91" t="s">
        <v>415</v>
      </c>
      <c r="C179" s="83">
        <f>VLOOKUP(GroupVertices[[#This Row],[Vertex]],Vertices[],MATCH("ID",Vertices[[#Headers],[Vertex]:[Top Word Pairs in Tweet by Salience]],0),FALSE)</f>
        <v>6</v>
      </c>
    </row>
    <row r="180" spans="1:3" ht="15">
      <c r="A180" s="84" t="s">
        <v>2526</v>
      </c>
      <c r="B180" s="91" t="s">
        <v>358</v>
      </c>
      <c r="C180" s="83">
        <f>VLOOKUP(GroupVertices[[#This Row],[Vertex]],Vertices[],MATCH("ID",Vertices[[#Headers],[Vertex]:[Top Word Pairs in Tweet by Salience]],0),FALSE)</f>
        <v>153</v>
      </c>
    </row>
    <row r="181" spans="1:3" ht="15">
      <c r="A181" s="84" t="s">
        <v>2526</v>
      </c>
      <c r="B181" s="91" t="s">
        <v>394</v>
      </c>
      <c r="C181" s="83">
        <f>VLOOKUP(GroupVertices[[#This Row],[Vertex]],Vertices[],MATCH("ID",Vertices[[#Headers],[Vertex]:[Top Word Pairs in Tweet by Salience]],0),FALSE)</f>
        <v>152</v>
      </c>
    </row>
    <row r="182" spans="1:3" ht="15">
      <c r="A182" s="84" t="s">
        <v>2526</v>
      </c>
      <c r="B182" s="91" t="s">
        <v>357</v>
      </c>
      <c r="C182" s="83">
        <f>VLOOKUP(GroupVertices[[#This Row],[Vertex]],Vertices[],MATCH("ID",Vertices[[#Headers],[Vertex]:[Top Word Pairs in Tweet by Salience]],0),FALSE)</f>
        <v>168</v>
      </c>
    </row>
    <row r="183" spans="1:3" ht="15">
      <c r="A183" s="84" t="s">
        <v>2526</v>
      </c>
      <c r="B183" s="91" t="s">
        <v>356</v>
      </c>
      <c r="C183" s="83">
        <f>VLOOKUP(GroupVertices[[#This Row],[Vertex]],Vertices[],MATCH("ID",Vertices[[#Headers],[Vertex]:[Top Word Pairs in Tweet by Salience]],0),FALSE)</f>
        <v>167</v>
      </c>
    </row>
    <row r="184" spans="1:3" ht="15">
      <c r="A184" s="84" t="s">
        <v>2526</v>
      </c>
      <c r="B184" s="91" t="s">
        <v>345</v>
      </c>
      <c r="C184" s="83">
        <f>VLOOKUP(GroupVertices[[#This Row],[Vertex]],Vertices[],MATCH("ID",Vertices[[#Headers],[Vertex]:[Top Word Pairs in Tweet by Salience]],0),FALSE)</f>
        <v>151</v>
      </c>
    </row>
    <row r="185" spans="1:3" ht="15">
      <c r="A185" s="84" t="s">
        <v>2526</v>
      </c>
      <c r="B185" s="91" t="s">
        <v>344</v>
      </c>
      <c r="C185" s="83">
        <f>VLOOKUP(GroupVertices[[#This Row],[Vertex]],Vertices[],MATCH("ID",Vertices[[#Headers],[Vertex]:[Top Word Pairs in Tweet by Salience]],0),FALSE)</f>
        <v>150</v>
      </c>
    </row>
    <row r="186" spans="1:3" ht="15">
      <c r="A186" s="84" t="s">
        <v>2526</v>
      </c>
      <c r="B186" s="91" t="s">
        <v>226</v>
      </c>
      <c r="C186" s="83">
        <f>VLOOKUP(GroupVertices[[#This Row],[Vertex]],Vertices[],MATCH("ID",Vertices[[#Headers],[Vertex]:[Top Word Pairs in Tweet by Salience]],0),FALSE)</f>
        <v>5</v>
      </c>
    </row>
    <row r="187" spans="1:3" ht="15">
      <c r="A187" s="84" t="s">
        <v>2527</v>
      </c>
      <c r="B187" s="91" t="s">
        <v>398</v>
      </c>
      <c r="C187" s="83">
        <f>VLOOKUP(GroupVertices[[#This Row],[Vertex]],Vertices[],MATCH("ID",Vertices[[#Headers],[Vertex]:[Top Word Pairs in Tweet by Salience]],0),FALSE)</f>
        <v>50</v>
      </c>
    </row>
    <row r="188" spans="1:3" ht="15">
      <c r="A188" s="84" t="s">
        <v>2527</v>
      </c>
      <c r="B188" s="91" t="s">
        <v>275</v>
      </c>
      <c r="C188" s="83">
        <f>VLOOKUP(GroupVertices[[#This Row],[Vertex]],Vertices[],MATCH("ID",Vertices[[#Headers],[Vertex]:[Top Word Pairs in Tweet by Salience]],0),FALSE)</f>
        <v>75</v>
      </c>
    </row>
    <row r="189" spans="1:3" ht="15">
      <c r="A189" s="84" t="s">
        <v>2527</v>
      </c>
      <c r="B189" s="91" t="s">
        <v>274</v>
      </c>
      <c r="C189" s="83">
        <f>VLOOKUP(GroupVertices[[#This Row],[Vertex]],Vertices[],MATCH("ID",Vertices[[#Headers],[Vertex]:[Top Word Pairs in Tweet by Salience]],0),FALSE)</f>
        <v>74</v>
      </c>
    </row>
    <row r="190" spans="1:3" ht="15">
      <c r="A190" s="84" t="s">
        <v>2527</v>
      </c>
      <c r="B190" s="91" t="s">
        <v>253</v>
      </c>
      <c r="C190" s="83">
        <f>VLOOKUP(GroupVertices[[#This Row],[Vertex]],Vertices[],MATCH("ID",Vertices[[#Headers],[Vertex]:[Top Word Pairs in Tweet by Salience]],0),FALSE)</f>
        <v>49</v>
      </c>
    </row>
    <row r="191" spans="1:3" ht="15">
      <c r="A191" s="84" t="s">
        <v>2528</v>
      </c>
      <c r="B191" s="91" t="s">
        <v>335</v>
      </c>
      <c r="C191" s="83">
        <f>VLOOKUP(GroupVertices[[#This Row],[Vertex]],Vertices[],MATCH("ID",Vertices[[#Headers],[Vertex]:[Top Word Pairs in Tweet by Salience]],0),FALSE)</f>
        <v>140</v>
      </c>
    </row>
    <row r="192" spans="1:3" ht="15">
      <c r="A192" s="84" t="s">
        <v>2528</v>
      </c>
      <c r="B192" s="91" t="s">
        <v>334</v>
      </c>
      <c r="C192" s="83">
        <f>VLOOKUP(GroupVertices[[#This Row],[Vertex]],Vertices[],MATCH("ID",Vertices[[#Headers],[Vertex]:[Top Word Pairs in Tweet by Salience]],0),FALSE)</f>
        <v>102</v>
      </c>
    </row>
    <row r="193" spans="1:3" ht="15">
      <c r="A193" s="84" t="s">
        <v>2528</v>
      </c>
      <c r="B193" s="91" t="s">
        <v>298</v>
      </c>
      <c r="C193" s="83">
        <f>VLOOKUP(GroupVertices[[#This Row],[Vertex]],Vertices[],MATCH("ID",Vertices[[#Headers],[Vertex]:[Top Word Pairs in Tweet by Salience]],0),FALSE)</f>
        <v>101</v>
      </c>
    </row>
    <row r="194" spans="1:3" ht="15">
      <c r="A194" s="84" t="s">
        <v>2529</v>
      </c>
      <c r="B194" s="91" t="s">
        <v>289</v>
      </c>
      <c r="C194" s="83">
        <f>VLOOKUP(GroupVertices[[#This Row],[Vertex]],Vertices[],MATCH("ID",Vertices[[#Headers],[Vertex]:[Top Word Pairs in Tweet by Salience]],0),FALSE)</f>
        <v>91</v>
      </c>
    </row>
    <row r="195" spans="1:3" ht="15">
      <c r="A195" s="84" t="s">
        <v>2529</v>
      </c>
      <c r="B195" s="91" t="s">
        <v>288</v>
      </c>
      <c r="C195" s="83">
        <f>VLOOKUP(GroupVertices[[#This Row],[Vertex]],Vertices[],MATCH("ID",Vertices[[#Headers],[Vertex]:[Top Word Pairs in Tweet by Salience]],0),FALSE)</f>
        <v>90</v>
      </c>
    </row>
    <row r="196" spans="1:3" ht="15">
      <c r="A196" s="84" t="s">
        <v>2529</v>
      </c>
      <c r="B196" s="91" t="s">
        <v>287</v>
      </c>
      <c r="C196" s="83">
        <f>VLOOKUP(GroupVertices[[#This Row],[Vertex]],Vertices[],MATCH("ID",Vertices[[#Headers],[Vertex]:[Top Word Pairs in Tweet by Salience]],0),FALSE)</f>
        <v>89</v>
      </c>
    </row>
    <row r="197" spans="1:3" ht="15">
      <c r="A197" s="84" t="s">
        <v>2530</v>
      </c>
      <c r="B197" s="91" t="s">
        <v>278</v>
      </c>
      <c r="C197" s="83">
        <f>VLOOKUP(GroupVertices[[#This Row],[Vertex]],Vertices[],MATCH("ID",Vertices[[#Headers],[Vertex]:[Top Word Pairs in Tweet by Salience]],0),FALSE)</f>
        <v>78</v>
      </c>
    </row>
    <row r="198" spans="1:3" ht="15">
      <c r="A198" s="84" t="s">
        <v>2530</v>
      </c>
      <c r="B198" s="91" t="s">
        <v>277</v>
      </c>
      <c r="C198" s="83">
        <f>VLOOKUP(GroupVertices[[#This Row],[Vertex]],Vertices[],MATCH("ID",Vertices[[#Headers],[Vertex]:[Top Word Pairs in Tweet by Salience]],0),FALSE)</f>
        <v>77</v>
      </c>
    </row>
    <row r="199" spans="1:3" ht="15">
      <c r="A199" s="84" t="s">
        <v>2530</v>
      </c>
      <c r="B199" s="91" t="s">
        <v>276</v>
      </c>
      <c r="C199" s="83">
        <f>VLOOKUP(GroupVertices[[#This Row],[Vertex]],Vertices[],MATCH("ID",Vertices[[#Headers],[Vertex]:[Top Word Pairs in Tweet by Salience]],0),FALSE)</f>
        <v>76</v>
      </c>
    </row>
    <row r="200" spans="1:3" ht="15">
      <c r="A200" s="84" t="s">
        <v>2531</v>
      </c>
      <c r="B200" s="91" t="s">
        <v>370</v>
      </c>
      <c r="C200" s="83">
        <f>VLOOKUP(GroupVertices[[#This Row],[Vertex]],Vertices[],MATCH("ID",Vertices[[#Headers],[Vertex]:[Top Word Pairs in Tweet by Salience]],0),FALSE)</f>
        <v>183</v>
      </c>
    </row>
    <row r="201" spans="1:3" ht="15">
      <c r="A201" s="84" t="s">
        <v>2531</v>
      </c>
      <c r="B201" s="91" t="s">
        <v>369</v>
      </c>
      <c r="C201" s="83">
        <f>VLOOKUP(GroupVertices[[#This Row],[Vertex]],Vertices[],MATCH("ID",Vertices[[#Headers],[Vertex]:[Top Word Pairs in Tweet by Salience]],0),FALSE)</f>
        <v>182</v>
      </c>
    </row>
    <row r="202" spans="1:3" ht="15">
      <c r="A202" s="84" t="s">
        <v>2532</v>
      </c>
      <c r="B202" s="91" t="s">
        <v>366</v>
      </c>
      <c r="C202" s="83">
        <f>VLOOKUP(GroupVertices[[#This Row],[Vertex]],Vertices[],MATCH("ID",Vertices[[#Headers],[Vertex]:[Top Word Pairs in Tweet by Salience]],0),FALSE)</f>
        <v>177</v>
      </c>
    </row>
    <row r="203" spans="1:3" ht="15">
      <c r="A203" s="84" t="s">
        <v>2532</v>
      </c>
      <c r="B203" s="91" t="s">
        <v>365</v>
      </c>
      <c r="C203" s="83">
        <f>VLOOKUP(GroupVertices[[#This Row],[Vertex]],Vertices[],MATCH("ID",Vertices[[#Headers],[Vertex]:[Top Word Pairs in Tweet by Salience]],0),FALSE)</f>
        <v>176</v>
      </c>
    </row>
    <row r="204" spans="1:3" ht="15">
      <c r="A204" s="84" t="s">
        <v>2533</v>
      </c>
      <c r="B204" s="91" t="s">
        <v>300</v>
      </c>
      <c r="C204" s="83">
        <f>VLOOKUP(GroupVertices[[#This Row],[Vertex]],Vertices[],MATCH("ID",Vertices[[#Headers],[Vertex]:[Top Word Pairs in Tweet by Salience]],0),FALSE)</f>
        <v>104</v>
      </c>
    </row>
    <row r="205" spans="1:3" ht="15">
      <c r="A205" s="84" t="s">
        <v>2533</v>
      </c>
      <c r="B205" s="91" t="s">
        <v>299</v>
      </c>
      <c r="C205" s="83">
        <f>VLOOKUP(GroupVertices[[#This Row],[Vertex]],Vertices[],MATCH("ID",Vertices[[#Headers],[Vertex]:[Top Word Pairs in Tweet by Salience]],0),FALSE)</f>
        <v>103</v>
      </c>
    </row>
    <row r="206" spans="1:3" ht="15">
      <c r="A206" s="84" t="s">
        <v>2534</v>
      </c>
      <c r="B206" s="91" t="s">
        <v>284</v>
      </c>
      <c r="C206" s="83">
        <f>VLOOKUP(GroupVertices[[#This Row],[Vertex]],Vertices[],MATCH("ID",Vertices[[#Headers],[Vertex]:[Top Word Pairs in Tweet by Salience]],0),FALSE)</f>
        <v>84</v>
      </c>
    </row>
    <row r="207" spans="1:3" ht="15">
      <c r="A207" s="84" t="s">
        <v>2534</v>
      </c>
      <c r="B207" s="91" t="s">
        <v>434</v>
      </c>
      <c r="C207" s="83">
        <f>VLOOKUP(GroupVertices[[#This Row],[Vertex]],Vertices[],MATCH("ID",Vertices[[#Headers],[Vertex]:[Top Word Pairs in Tweet by Salience]],0),FALSE)</f>
        <v>85</v>
      </c>
    </row>
    <row r="208" spans="1:3" ht="15">
      <c r="A208" s="84" t="s">
        <v>2535</v>
      </c>
      <c r="B208" s="91" t="s">
        <v>280</v>
      </c>
      <c r="C208" s="83">
        <f>VLOOKUP(GroupVertices[[#This Row],[Vertex]],Vertices[],MATCH("ID",Vertices[[#Headers],[Vertex]:[Top Word Pairs in Tweet by Salience]],0),FALSE)</f>
        <v>80</v>
      </c>
    </row>
    <row r="209" spans="1:3" ht="15">
      <c r="A209" s="84" t="s">
        <v>2535</v>
      </c>
      <c r="B209" s="91" t="s">
        <v>279</v>
      </c>
      <c r="C209" s="83">
        <f>VLOOKUP(GroupVertices[[#This Row],[Vertex]],Vertices[],MATCH("ID",Vertices[[#Headers],[Vertex]:[Top Word Pairs in Tweet by Salience]],0),FALSE)</f>
        <v>79</v>
      </c>
    </row>
    <row r="210" spans="1:3" ht="15">
      <c r="A210" s="84" t="s">
        <v>2536</v>
      </c>
      <c r="B210" s="91" t="s">
        <v>273</v>
      </c>
      <c r="C210" s="83">
        <f>VLOOKUP(GroupVertices[[#This Row],[Vertex]],Vertices[],MATCH("ID",Vertices[[#Headers],[Vertex]:[Top Word Pairs in Tweet by Salience]],0),FALSE)</f>
        <v>73</v>
      </c>
    </row>
    <row r="211" spans="1:3" ht="15">
      <c r="A211" s="84" t="s">
        <v>2536</v>
      </c>
      <c r="B211" s="91" t="s">
        <v>272</v>
      </c>
      <c r="C211" s="83">
        <f>VLOOKUP(GroupVertices[[#This Row],[Vertex]],Vertices[],MATCH("ID",Vertices[[#Headers],[Vertex]:[Top Word Pairs in Tweet by Salience]],0),FALSE)</f>
        <v>72</v>
      </c>
    </row>
    <row r="212" spans="1:3" ht="15">
      <c r="A212" s="84" t="s">
        <v>2537</v>
      </c>
      <c r="B212" s="91" t="s">
        <v>254</v>
      </c>
      <c r="C212" s="83">
        <f>VLOOKUP(GroupVertices[[#This Row],[Vertex]],Vertices[],MATCH("ID",Vertices[[#Headers],[Vertex]:[Top Word Pairs in Tweet by Salience]],0),FALSE)</f>
        <v>51</v>
      </c>
    </row>
    <row r="213" spans="1:3" ht="15">
      <c r="A213" s="84" t="s">
        <v>2537</v>
      </c>
      <c r="B213" s="91" t="s">
        <v>433</v>
      </c>
      <c r="C213" s="83">
        <f>VLOOKUP(GroupVertices[[#This Row],[Vertex]],Vertices[],MATCH("ID",Vertices[[#Headers],[Vertex]:[Top Word Pairs in Tweet by Salience]],0),FALSE)</f>
        <v>52</v>
      </c>
    </row>
    <row r="214" spans="1:3" ht="15">
      <c r="A214" s="84" t="s">
        <v>2538</v>
      </c>
      <c r="B214" s="91" t="s">
        <v>225</v>
      </c>
      <c r="C214" s="83">
        <f>VLOOKUP(GroupVertices[[#This Row],[Vertex]],Vertices[],MATCH("ID",Vertices[[#Headers],[Vertex]:[Top Word Pairs in Tweet by Salience]],0),FALSE)</f>
        <v>4</v>
      </c>
    </row>
    <row r="215" spans="1:3" ht="15">
      <c r="A215" s="84" t="s">
        <v>2538</v>
      </c>
      <c r="B215" s="91" t="s">
        <v>429</v>
      </c>
      <c r="C21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15"/>
    <dataValidation allowBlank="1" showInputMessage="1" showErrorMessage="1" promptTitle="Vertex Name" prompt="Enter the name of a vertex to include in the group." sqref="B2:B215"/>
    <dataValidation allowBlank="1" showInputMessage="1" promptTitle="Vertex ID" prompt="This is the value of the hidden ID cell in the Vertices worksheet.  It gets filled in by the items on the NodeXL, Analysis, Groups menu." sqref="C2:C2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4423</v>
      </c>
      <c r="B2" s="35" t="s">
        <v>182</v>
      </c>
      <c r="D2" s="32">
        <f>MIN(Vertices[Degree])</f>
        <v>0</v>
      </c>
      <c r="E2" s="3">
        <f>COUNTIF(Vertices[Degree],"&gt;= "&amp;D2)-COUNTIF(Vertices[Degree],"&gt;="&amp;D3)</f>
        <v>0</v>
      </c>
      <c r="F2" s="38">
        <f>MIN(Vertices[In-Degree])</f>
        <v>0</v>
      </c>
      <c r="G2" s="39">
        <f>COUNTIF(Vertices[In-Degree],"&gt;= "&amp;F2)-COUNTIF(Vertices[In-Degree],"&gt;="&amp;F3)</f>
        <v>146</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149</v>
      </c>
      <c r="L2" s="38">
        <f>MIN(Vertices[Closeness Centrality])</f>
        <v>0</v>
      </c>
      <c r="M2" s="39">
        <f>COUNTIF(Vertices[Closeness Centrality],"&gt;= "&amp;L2)-COUNTIF(Vertices[Closeness Centrality],"&gt;="&amp;L3)</f>
        <v>195</v>
      </c>
      <c r="N2" s="38">
        <f>MIN(Vertices[Eigenvector Centrality])</f>
        <v>0</v>
      </c>
      <c r="O2" s="39">
        <f>COUNTIF(Vertices[Eigenvector Centrality],"&gt;= "&amp;N2)-COUNTIF(Vertices[Eigenvector Centrality],"&gt;="&amp;N3)</f>
        <v>185</v>
      </c>
      <c r="P2" s="38">
        <f>MIN(Vertices[PageRank])</f>
        <v>0.320037</v>
      </c>
      <c r="Q2" s="39">
        <f>COUNTIF(Vertices[PageRank],"&gt;= "&amp;P2)-COUNTIF(Vertices[PageRank],"&gt;="&amp;P3)</f>
        <v>92</v>
      </c>
      <c r="R2" s="38">
        <f>MIN(Vertices[Clustering Coefficient])</f>
        <v>0</v>
      </c>
      <c r="S2" s="44">
        <f>COUNTIF(Vertices[Clustering Coefficient],"&gt;= "&amp;R2)-COUNTIF(Vertices[Clustering Coefficient],"&gt;="&amp;R3)</f>
        <v>144</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0.6458333333333334</v>
      </c>
      <c r="G3" s="41">
        <f>COUNTIF(Vertices[In-Degree],"&gt;= "&amp;F3)-COUNTIF(Vertices[In-Degree],"&gt;="&amp;F4)</f>
        <v>14</v>
      </c>
      <c r="H3" s="40">
        <f aca="true" t="shared" si="3" ref="H3:H26">H2+($H$50-$H$2)/BinDivisor</f>
        <v>0.3333333333333333</v>
      </c>
      <c r="I3" s="41">
        <f>COUNTIF(Vertices[Out-Degree],"&gt;= "&amp;H3)-COUNTIF(Vertices[Out-Degree],"&gt;="&amp;H4)</f>
        <v>0</v>
      </c>
      <c r="J3" s="40">
        <f aca="true" t="shared" si="4" ref="J3:J26">J2+($J$50-$J$2)/BinDivisor</f>
        <v>205.743172375</v>
      </c>
      <c r="K3" s="41">
        <f>COUNTIF(Vertices[Betweenness Centrality],"&gt;= "&amp;J3)-COUNTIF(Vertices[Betweenness Centrality],"&gt;="&amp;J4)</f>
        <v>11</v>
      </c>
      <c r="L3" s="40">
        <f aca="true" t="shared" si="5" ref="L3:L26">L2+($L$50-$L$2)/BinDivisor</f>
        <v>0.020833333333333332</v>
      </c>
      <c r="M3" s="41">
        <f>COUNTIF(Vertices[Closeness Centrality],"&gt;= "&amp;L3)-COUNTIF(Vertices[Closeness Centrality],"&gt;="&amp;L4)</f>
        <v>0</v>
      </c>
      <c r="N3" s="40">
        <f aca="true" t="shared" si="6" ref="N3:N26">N2+($N$50-$N$2)/BinDivisor</f>
        <v>0.0013006666666666668</v>
      </c>
      <c r="O3" s="41">
        <f>COUNTIF(Vertices[Eigenvector Centrality],"&gt;= "&amp;N3)-COUNTIF(Vertices[Eigenvector Centrality],"&gt;="&amp;N4)</f>
        <v>0</v>
      </c>
      <c r="P3" s="40">
        <f aca="true" t="shared" si="7" ref="P3:P26">P2+($P$50-$P$2)/BinDivisor</f>
        <v>0.5064270000000001</v>
      </c>
      <c r="Q3" s="41">
        <f>COUNTIF(Vertices[PageRank],"&gt;= "&amp;P3)-COUNTIF(Vertices[PageRank],"&gt;="&amp;P4)</f>
        <v>10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214</v>
      </c>
      <c r="D4" s="33">
        <f t="shared" si="1"/>
        <v>0</v>
      </c>
      <c r="E4" s="3">
        <f>COUNTIF(Vertices[Degree],"&gt;= "&amp;D4)-COUNTIF(Vertices[Degree],"&gt;="&amp;D5)</f>
        <v>0</v>
      </c>
      <c r="F4" s="38">
        <f t="shared" si="2"/>
        <v>1.2916666666666667</v>
      </c>
      <c r="G4" s="39">
        <f>COUNTIF(Vertices[In-Degree],"&gt;= "&amp;F4)-COUNTIF(Vertices[In-Degree],"&gt;="&amp;F5)</f>
        <v>0</v>
      </c>
      <c r="H4" s="38">
        <f t="shared" si="3"/>
        <v>0.6666666666666666</v>
      </c>
      <c r="I4" s="39">
        <f>COUNTIF(Vertices[Out-Degree],"&gt;= "&amp;H4)-COUNTIF(Vertices[Out-Degree],"&gt;="&amp;H5)</f>
        <v>0</v>
      </c>
      <c r="J4" s="38">
        <f t="shared" si="4"/>
        <v>411.48634475</v>
      </c>
      <c r="K4" s="39">
        <f>COUNTIF(Vertices[Betweenness Centrality],"&gt;= "&amp;J4)-COUNTIF(Vertices[Betweenness Centrality],"&gt;="&amp;J5)</f>
        <v>12</v>
      </c>
      <c r="L4" s="38">
        <f t="shared" si="5"/>
        <v>0.041666666666666664</v>
      </c>
      <c r="M4" s="39">
        <f>COUNTIF(Vertices[Closeness Centrality],"&gt;= "&amp;L4)-COUNTIF(Vertices[Closeness Centrality],"&gt;="&amp;L5)</f>
        <v>0</v>
      </c>
      <c r="N4" s="38">
        <f t="shared" si="6"/>
        <v>0.0026013333333333335</v>
      </c>
      <c r="O4" s="39">
        <f>COUNTIF(Vertices[Eigenvector Centrality],"&gt;= "&amp;N4)-COUNTIF(Vertices[Eigenvector Centrality],"&gt;="&amp;N5)</f>
        <v>7</v>
      </c>
      <c r="P4" s="38">
        <f t="shared" si="7"/>
        <v>0.6928170000000001</v>
      </c>
      <c r="Q4" s="39">
        <f>COUNTIF(Vertices[PageRank],"&gt;= "&amp;P4)-COUNTIF(Vertices[PageRank],"&gt;="&amp;P5)</f>
        <v>27</v>
      </c>
      <c r="R4" s="38">
        <f t="shared" si="8"/>
        <v>0.041666666666666664</v>
      </c>
      <c r="S4" s="44">
        <f>COUNTIF(Vertices[Clustering Coefficient],"&gt;= "&amp;R4)-COUNTIF(Vertices[Clustering Coefficient],"&gt;="&amp;R5)</f>
        <v>5</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1.9375</v>
      </c>
      <c r="G5" s="41">
        <f>COUNTIF(Vertices[In-Degree],"&gt;= "&amp;F5)-COUNTIF(Vertices[In-Degree],"&gt;="&amp;F6)</f>
        <v>10</v>
      </c>
      <c r="H5" s="40">
        <f t="shared" si="3"/>
        <v>1</v>
      </c>
      <c r="I5" s="41">
        <f>COUNTIF(Vertices[Out-Degree],"&gt;= "&amp;H5)-COUNTIF(Vertices[Out-Degree],"&gt;="&amp;H6)</f>
        <v>138</v>
      </c>
      <c r="J5" s="40">
        <f t="shared" si="4"/>
        <v>617.229517125</v>
      </c>
      <c r="K5" s="41">
        <f>COUNTIF(Vertices[Betweenness Centrality],"&gt;= "&amp;J5)-COUNTIF(Vertices[Betweenness Centrality],"&gt;="&amp;J6)</f>
        <v>12</v>
      </c>
      <c r="L5" s="40">
        <f t="shared" si="5"/>
        <v>0.0625</v>
      </c>
      <c r="M5" s="41">
        <f>COUNTIF(Vertices[Closeness Centrality],"&gt;= "&amp;L5)-COUNTIF(Vertices[Closeness Centrality],"&gt;="&amp;L6)</f>
        <v>0</v>
      </c>
      <c r="N5" s="40">
        <f t="shared" si="6"/>
        <v>0.003902</v>
      </c>
      <c r="O5" s="41">
        <f>COUNTIF(Vertices[Eigenvector Centrality],"&gt;= "&amp;N5)-COUNTIF(Vertices[Eigenvector Centrality],"&gt;="&amp;N6)</f>
        <v>0</v>
      </c>
      <c r="P5" s="40">
        <f t="shared" si="7"/>
        <v>0.8792070000000002</v>
      </c>
      <c r="Q5" s="41">
        <f>COUNTIF(Vertices[PageRank],"&gt;= "&amp;P5)-COUNTIF(Vertices[PageRank],"&gt;="&amp;P6)</f>
        <v>22</v>
      </c>
      <c r="R5" s="40">
        <f t="shared" si="8"/>
        <v>0.0625</v>
      </c>
      <c r="S5" s="45">
        <f>COUNTIF(Vertices[Clustering Coefficient],"&gt;= "&amp;R5)-COUNTIF(Vertices[Clustering Coefficient],"&gt;="&amp;R6)</f>
        <v>6</v>
      </c>
      <c r="T5" s="40" t="e">
        <f ca="1" t="shared" si="9"/>
        <v>#REF!</v>
      </c>
      <c r="U5" s="41" t="e">
        <f ca="1" t="shared" si="0"/>
        <v>#REF!</v>
      </c>
    </row>
    <row r="6" spans="1:21" ht="15">
      <c r="A6" s="35" t="s">
        <v>148</v>
      </c>
      <c r="B6" s="35">
        <v>452</v>
      </c>
      <c r="D6" s="33">
        <f t="shared" si="1"/>
        <v>0</v>
      </c>
      <c r="E6" s="3">
        <f>COUNTIF(Vertices[Degree],"&gt;= "&amp;D6)-COUNTIF(Vertices[Degree],"&gt;="&amp;D7)</f>
        <v>0</v>
      </c>
      <c r="F6" s="38">
        <f t="shared" si="2"/>
        <v>2.5833333333333335</v>
      </c>
      <c r="G6" s="39">
        <f>COUNTIF(Vertices[In-Degree],"&gt;= "&amp;F6)-COUNTIF(Vertices[In-Degree],"&gt;="&amp;F7)</f>
        <v>7</v>
      </c>
      <c r="H6" s="38">
        <f t="shared" si="3"/>
        <v>1.3333333333333333</v>
      </c>
      <c r="I6" s="39">
        <f>COUNTIF(Vertices[Out-Degree],"&gt;= "&amp;H6)-COUNTIF(Vertices[Out-Degree],"&gt;="&amp;H7)</f>
        <v>0</v>
      </c>
      <c r="J6" s="38">
        <f t="shared" si="4"/>
        <v>822.9726895</v>
      </c>
      <c r="K6" s="39">
        <f>COUNTIF(Vertices[Betweenness Centrality],"&gt;= "&amp;J6)-COUNTIF(Vertices[Betweenness Centrality],"&gt;="&amp;J7)</f>
        <v>6</v>
      </c>
      <c r="L6" s="38">
        <f t="shared" si="5"/>
        <v>0.08333333333333333</v>
      </c>
      <c r="M6" s="39">
        <f>COUNTIF(Vertices[Closeness Centrality],"&gt;= "&amp;L6)-COUNTIF(Vertices[Closeness Centrality],"&gt;="&amp;L7)</f>
        <v>0</v>
      </c>
      <c r="N6" s="38">
        <f t="shared" si="6"/>
        <v>0.005202666666666667</v>
      </c>
      <c r="O6" s="39">
        <f>COUNTIF(Vertices[Eigenvector Centrality],"&gt;= "&amp;N6)-COUNTIF(Vertices[Eigenvector Centrality],"&gt;="&amp;N7)</f>
        <v>0</v>
      </c>
      <c r="P6" s="38">
        <f t="shared" si="7"/>
        <v>1.0655970000000001</v>
      </c>
      <c r="Q6" s="39">
        <f>COUNTIF(Vertices[PageRank],"&gt;= "&amp;P6)-COUNTIF(Vertices[PageRank],"&gt;="&amp;P7)</f>
        <v>9</v>
      </c>
      <c r="R6" s="38">
        <f t="shared" si="8"/>
        <v>0.08333333333333333</v>
      </c>
      <c r="S6" s="44">
        <f>COUNTIF(Vertices[Clustering Coefficient],"&gt;= "&amp;R6)-COUNTIF(Vertices[Clustering Coefficient],"&gt;="&amp;R7)</f>
        <v>7</v>
      </c>
      <c r="T6" s="38" t="e">
        <f ca="1" t="shared" si="9"/>
        <v>#REF!</v>
      </c>
      <c r="U6" s="39" t="e">
        <f ca="1" t="shared" si="0"/>
        <v>#REF!</v>
      </c>
    </row>
    <row r="7" spans="1:21" ht="15">
      <c r="A7" s="35" t="s">
        <v>149</v>
      </c>
      <c r="B7" s="35">
        <v>207</v>
      </c>
      <c r="D7" s="33">
        <f t="shared" si="1"/>
        <v>0</v>
      </c>
      <c r="E7" s="3">
        <f>COUNTIF(Vertices[Degree],"&gt;= "&amp;D7)-COUNTIF(Vertices[Degree],"&gt;="&amp;D8)</f>
        <v>0</v>
      </c>
      <c r="F7" s="40">
        <f t="shared" si="2"/>
        <v>3.229166666666667</v>
      </c>
      <c r="G7" s="41">
        <f>COUNTIF(Vertices[In-Degree],"&gt;= "&amp;F7)-COUNTIF(Vertices[In-Degree],"&gt;="&amp;F8)</f>
        <v>0</v>
      </c>
      <c r="H7" s="40">
        <f t="shared" si="3"/>
        <v>1.6666666666666665</v>
      </c>
      <c r="I7" s="41">
        <f>COUNTIF(Vertices[Out-Degree],"&gt;= "&amp;H7)-COUNTIF(Vertices[Out-Degree],"&gt;="&amp;H8)</f>
        <v>0</v>
      </c>
      <c r="J7" s="40">
        <f t="shared" si="4"/>
        <v>1028.715861875</v>
      </c>
      <c r="K7" s="41">
        <f>COUNTIF(Vertices[Betweenness Centrality],"&gt;= "&amp;J7)-COUNTIF(Vertices[Betweenness Centrality],"&gt;="&amp;J8)</f>
        <v>6</v>
      </c>
      <c r="L7" s="40">
        <f t="shared" si="5"/>
        <v>0.10416666666666666</v>
      </c>
      <c r="M7" s="41">
        <f>COUNTIF(Vertices[Closeness Centrality],"&gt;= "&amp;L7)-COUNTIF(Vertices[Closeness Centrality],"&gt;="&amp;L8)</f>
        <v>0</v>
      </c>
      <c r="N7" s="40">
        <f t="shared" si="6"/>
        <v>0.006503333333333334</v>
      </c>
      <c r="O7" s="41">
        <f>COUNTIF(Vertices[Eigenvector Centrality],"&gt;= "&amp;N7)-COUNTIF(Vertices[Eigenvector Centrality],"&gt;="&amp;N8)</f>
        <v>0</v>
      </c>
      <c r="P7" s="40">
        <f t="shared" si="7"/>
        <v>1.2519870000000002</v>
      </c>
      <c r="Q7" s="41">
        <f>COUNTIF(Vertices[PageRank],"&gt;= "&amp;P7)-COUNTIF(Vertices[PageRank],"&gt;="&amp;P8)</f>
        <v>10</v>
      </c>
      <c r="R7" s="40">
        <f t="shared" si="8"/>
        <v>0.10416666666666666</v>
      </c>
      <c r="S7" s="45">
        <f>COUNTIF(Vertices[Clustering Coefficient],"&gt;= "&amp;R7)-COUNTIF(Vertices[Clustering Coefficient],"&gt;="&amp;R8)</f>
        <v>2</v>
      </c>
      <c r="T7" s="40" t="e">
        <f ca="1" t="shared" si="9"/>
        <v>#REF!</v>
      </c>
      <c r="U7" s="41" t="e">
        <f ca="1" t="shared" si="0"/>
        <v>#REF!</v>
      </c>
    </row>
    <row r="8" spans="1:21" ht="15">
      <c r="A8" s="35" t="s">
        <v>150</v>
      </c>
      <c r="B8" s="35">
        <v>659</v>
      </c>
      <c r="D8" s="33">
        <f t="shared" si="1"/>
        <v>0</v>
      </c>
      <c r="E8" s="3">
        <f>COUNTIF(Vertices[Degree],"&gt;= "&amp;D8)-COUNTIF(Vertices[Degree],"&gt;="&amp;D9)</f>
        <v>0</v>
      </c>
      <c r="F8" s="38">
        <f t="shared" si="2"/>
        <v>3.8750000000000004</v>
      </c>
      <c r="G8" s="39">
        <f>COUNTIF(Vertices[In-Degree],"&gt;= "&amp;F8)-COUNTIF(Vertices[In-Degree],"&gt;="&amp;F9)</f>
        <v>3</v>
      </c>
      <c r="H8" s="38">
        <f t="shared" si="3"/>
        <v>1.9999999999999998</v>
      </c>
      <c r="I8" s="39">
        <f>COUNTIF(Vertices[Out-Degree],"&gt;= "&amp;H8)-COUNTIF(Vertices[Out-Degree],"&gt;="&amp;H9)</f>
        <v>22</v>
      </c>
      <c r="J8" s="38">
        <f t="shared" si="4"/>
        <v>1234.45903425</v>
      </c>
      <c r="K8" s="39">
        <f>COUNTIF(Vertices[Betweenness Centrality],"&gt;= "&amp;J8)-COUNTIF(Vertices[Betweenness Centrality],"&gt;="&amp;J9)</f>
        <v>2</v>
      </c>
      <c r="L8" s="38">
        <f t="shared" si="5"/>
        <v>0.12499999999999999</v>
      </c>
      <c r="M8" s="39">
        <f>COUNTIF(Vertices[Closeness Centrality],"&gt;= "&amp;L8)-COUNTIF(Vertices[Closeness Centrality],"&gt;="&amp;L9)</f>
        <v>0</v>
      </c>
      <c r="N8" s="38">
        <f t="shared" si="6"/>
        <v>0.007804000000000001</v>
      </c>
      <c r="O8" s="39">
        <f>COUNTIF(Vertices[Eigenvector Centrality],"&gt;= "&amp;N8)-COUNTIF(Vertices[Eigenvector Centrality],"&gt;="&amp;N9)</f>
        <v>0</v>
      </c>
      <c r="P8" s="38">
        <f t="shared" si="7"/>
        <v>1.4383770000000002</v>
      </c>
      <c r="Q8" s="39">
        <f>COUNTIF(Vertices[PageRank],"&gt;= "&amp;P8)-COUNTIF(Vertices[PageRank],"&gt;="&amp;P9)</f>
        <v>9</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4.520833333333334</v>
      </c>
      <c r="G9" s="41">
        <f>COUNTIF(Vertices[In-Degree],"&gt;= "&amp;F9)-COUNTIF(Vertices[In-Degree],"&gt;="&amp;F10)</f>
        <v>2</v>
      </c>
      <c r="H9" s="40">
        <f t="shared" si="3"/>
        <v>2.333333333333333</v>
      </c>
      <c r="I9" s="41">
        <f>COUNTIF(Vertices[Out-Degree],"&gt;= "&amp;H9)-COUNTIF(Vertices[Out-Degree],"&gt;="&amp;H10)</f>
        <v>0</v>
      </c>
      <c r="J9" s="40">
        <f t="shared" si="4"/>
        <v>1440.2022066250001</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0.009104666666666667</v>
      </c>
      <c r="O9" s="41">
        <f>COUNTIF(Vertices[Eigenvector Centrality],"&gt;= "&amp;N9)-COUNTIF(Vertices[Eigenvector Centrality],"&gt;="&amp;N10)</f>
        <v>0</v>
      </c>
      <c r="P9" s="40">
        <f t="shared" si="7"/>
        <v>1.6247670000000003</v>
      </c>
      <c r="Q9" s="41">
        <f>COUNTIF(Vertices[PageRank],"&gt;= "&amp;P9)-COUNTIF(Vertices[PageRank],"&gt;="&amp;P10)</f>
        <v>15</v>
      </c>
      <c r="R9" s="40">
        <f t="shared" si="8"/>
        <v>0.14583333333333331</v>
      </c>
      <c r="S9" s="45">
        <f>COUNTIF(Vertices[Clustering Coefficient],"&gt;= "&amp;R9)-COUNTIF(Vertices[Clustering Coefficient],"&gt;="&amp;R10)</f>
        <v>0</v>
      </c>
      <c r="T9" s="40" t="e">
        <f ca="1" t="shared" si="9"/>
        <v>#REF!</v>
      </c>
      <c r="U9" s="41" t="e">
        <f ca="1" t="shared" si="0"/>
        <v>#REF!</v>
      </c>
    </row>
    <row r="10" spans="1:21" ht="15">
      <c r="A10" s="35" t="s">
        <v>4424</v>
      </c>
      <c r="B10" s="35">
        <v>5</v>
      </c>
      <c r="D10" s="33">
        <f t="shared" si="1"/>
        <v>0</v>
      </c>
      <c r="E10" s="3">
        <f>COUNTIF(Vertices[Degree],"&gt;= "&amp;D10)-COUNTIF(Vertices[Degree],"&gt;="&amp;D11)</f>
        <v>0</v>
      </c>
      <c r="F10" s="38">
        <f t="shared" si="2"/>
        <v>5.166666666666667</v>
      </c>
      <c r="G10" s="39">
        <f>COUNTIF(Vertices[In-Degree],"&gt;= "&amp;F10)-COUNTIF(Vertices[In-Degree],"&gt;="&amp;F11)</f>
        <v>0</v>
      </c>
      <c r="H10" s="38">
        <f t="shared" si="3"/>
        <v>2.6666666666666665</v>
      </c>
      <c r="I10" s="39">
        <f>COUNTIF(Vertices[Out-Degree],"&gt;= "&amp;H10)-COUNTIF(Vertices[Out-Degree],"&gt;="&amp;H11)</f>
        <v>0</v>
      </c>
      <c r="J10" s="38">
        <f t="shared" si="4"/>
        <v>1645.9453790000002</v>
      </c>
      <c r="K10" s="39">
        <f>COUNTIF(Vertices[Betweenness Centrality],"&gt;= "&amp;J10)-COUNTIF(Vertices[Betweenness Centrality],"&gt;="&amp;J11)</f>
        <v>4</v>
      </c>
      <c r="L10" s="38">
        <f t="shared" si="5"/>
        <v>0.16666666666666666</v>
      </c>
      <c r="M10" s="39">
        <f>COUNTIF(Vertices[Closeness Centrality],"&gt;= "&amp;L10)-COUNTIF(Vertices[Closeness Centrality],"&gt;="&amp;L11)</f>
        <v>0</v>
      </c>
      <c r="N10" s="38">
        <f t="shared" si="6"/>
        <v>0.010405333333333334</v>
      </c>
      <c r="O10" s="39">
        <f>COUNTIF(Vertices[Eigenvector Centrality],"&gt;= "&amp;N10)-COUNTIF(Vertices[Eigenvector Centrality],"&gt;="&amp;N11)</f>
        <v>0</v>
      </c>
      <c r="P10" s="38">
        <f t="shared" si="7"/>
        <v>1.8111570000000003</v>
      </c>
      <c r="Q10" s="39">
        <f>COUNTIF(Vertices[PageRank],"&gt;= "&amp;P10)-COUNTIF(Vertices[PageRank],"&gt;="&amp;P11)</f>
        <v>4</v>
      </c>
      <c r="R10" s="38">
        <f t="shared" si="8"/>
        <v>0.16666666666666666</v>
      </c>
      <c r="S10" s="44">
        <f>COUNTIF(Vertices[Clustering Coefficient],"&gt;= "&amp;R10)-COUNTIF(Vertices[Clustering Coefficient],"&gt;="&amp;R11)</f>
        <v>9</v>
      </c>
      <c r="T10" s="38" t="e">
        <f ca="1" t="shared" si="9"/>
        <v>#REF!</v>
      </c>
      <c r="U10" s="39" t="e">
        <f ca="1" t="shared" si="0"/>
        <v>#REF!</v>
      </c>
    </row>
    <row r="11" spans="1:21" ht="15">
      <c r="A11" s="118"/>
      <c r="B11" s="118"/>
      <c r="D11" s="33">
        <f t="shared" si="1"/>
        <v>0</v>
      </c>
      <c r="E11" s="3">
        <f>COUNTIF(Vertices[Degree],"&gt;= "&amp;D11)-COUNTIF(Vertices[Degree],"&gt;="&amp;D12)</f>
        <v>0</v>
      </c>
      <c r="F11" s="40">
        <f t="shared" si="2"/>
        <v>5.8125</v>
      </c>
      <c r="G11" s="41">
        <f>COUNTIF(Vertices[In-Degree],"&gt;= "&amp;F11)-COUNTIF(Vertices[In-Degree],"&gt;="&amp;F12)</f>
        <v>6</v>
      </c>
      <c r="H11" s="40">
        <f t="shared" si="3"/>
        <v>3</v>
      </c>
      <c r="I11" s="41">
        <f>COUNTIF(Vertices[Out-Degree],"&gt;= "&amp;H11)-COUNTIF(Vertices[Out-Degree],"&gt;="&amp;H12)</f>
        <v>5</v>
      </c>
      <c r="J11" s="40">
        <f t="shared" si="4"/>
        <v>1851.6885513750003</v>
      </c>
      <c r="K11" s="41">
        <f>COUNTIF(Vertices[Betweenness Centrality],"&gt;= "&amp;J11)-COUNTIF(Vertices[Betweenness Centrality],"&gt;="&amp;J12)</f>
        <v>3</v>
      </c>
      <c r="L11" s="40">
        <f t="shared" si="5"/>
        <v>0.1875</v>
      </c>
      <c r="M11" s="41">
        <f>COUNTIF(Vertices[Closeness Centrality],"&gt;= "&amp;L11)-COUNTIF(Vertices[Closeness Centrality],"&gt;="&amp;L12)</f>
        <v>0</v>
      </c>
      <c r="N11" s="40">
        <f t="shared" si="6"/>
        <v>0.011706000000000001</v>
      </c>
      <c r="O11" s="41">
        <f>COUNTIF(Vertices[Eigenvector Centrality],"&gt;= "&amp;N11)-COUNTIF(Vertices[Eigenvector Centrality],"&gt;="&amp;N12)</f>
        <v>0</v>
      </c>
      <c r="P11" s="40">
        <f t="shared" si="7"/>
        <v>1.9975470000000004</v>
      </c>
      <c r="Q11" s="41">
        <f>COUNTIF(Vertices[PageRank],"&gt;= "&amp;P11)-COUNTIF(Vertices[PageRank],"&gt;="&amp;P12)</f>
        <v>5</v>
      </c>
      <c r="R11" s="40">
        <f t="shared" si="8"/>
        <v>0.1875</v>
      </c>
      <c r="S11" s="45">
        <f>COUNTIF(Vertices[Clustering Coefficient],"&gt;= "&amp;R11)-COUNTIF(Vertices[Clustering Coefficient],"&gt;="&amp;R12)</f>
        <v>4</v>
      </c>
      <c r="T11" s="40" t="e">
        <f ca="1" t="shared" si="9"/>
        <v>#REF!</v>
      </c>
      <c r="U11" s="41" t="e">
        <f ca="1" t="shared" si="0"/>
        <v>#REF!</v>
      </c>
    </row>
    <row r="12" spans="1:21" ht="15">
      <c r="A12" s="35" t="s">
        <v>187</v>
      </c>
      <c r="B12" s="35">
        <v>74</v>
      </c>
      <c r="D12" s="33">
        <f t="shared" si="1"/>
        <v>0</v>
      </c>
      <c r="E12" s="3">
        <f>COUNTIF(Vertices[Degree],"&gt;= "&amp;D12)-COUNTIF(Vertices[Degree],"&gt;="&amp;D13)</f>
        <v>0</v>
      </c>
      <c r="F12" s="38">
        <f t="shared" si="2"/>
        <v>6.458333333333333</v>
      </c>
      <c r="G12" s="39">
        <f>COUNTIF(Vertices[In-Degree],"&gt;= "&amp;F12)-COUNTIF(Vertices[In-Degree],"&gt;="&amp;F13)</f>
        <v>1</v>
      </c>
      <c r="H12" s="38">
        <f t="shared" si="3"/>
        <v>3.3333333333333335</v>
      </c>
      <c r="I12" s="39">
        <f>COUNTIF(Vertices[Out-Degree],"&gt;= "&amp;H12)-COUNTIF(Vertices[Out-Degree],"&gt;="&amp;H13)</f>
        <v>0</v>
      </c>
      <c r="J12" s="38">
        <f t="shared" si="4"/>
        <v>2057.4317237500004</v>
      </c>
      <c r="K12" s="39">
        <f>COUNTIF(Vertices[Betweenness Centrality],"&gt;= "&amp;J12)-COUNTIF(Vertices[Betweenness Centrality],"&gt;="&amp;J13)</f>
        <v>2</v>
      </c>
      <c r="L12" s="38">
        <f t="shared" si="5"/>
        <v>0.20833333333333334</v>
      </c>
      <c r="M12" s="39">
        <f>COUNTIF(Vertices[Closeness Centrality],"&gt;= "&amp;L12)-COUNTIF(Vertices[Closeness Centrality],"&gt;="&amp;L13)</f>
        <v>0</v>
      </c>
      <c r="N12" s="38">
        <f t="shared" si="6"/>
        <v>0.013006666666666668</v>
      </c>
      <c r="O12" s="39">
        <f>COUNTIF(Vertices[Eigenvector Centrality],"&gt;= "&amp;N12)-COUNTIF(Vertices[Eigenvector Centrality],"&gt;="&amp;N13)</f>
        <v>0</v>
      </c>
      <c r="P12" s="38">
        <f t="shared" si="7"/>
        <v>2.1839370000000002</v>
      </c>
      <c r="Q12" s="39">
        <f>COUNTIF(Vertices[PageRank],"&gt;= "&amp;P12)-COUNTIF(Vertices[PageRank],"&gt;="&amp;P13)</f>
        <v>2</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439</v>
      </c>
      <c r="B13" s="35">
        <v>335</v>
      </c>
      <c r="D13" s="33">
        <f t="shared" si="1"/>
        <v>0</v>
      </c>
      <c r="E13" s="3">
        <f>COUNTIF(Vertices[Degree],"&gt;= "&amp;D13)-COUNTIF(Vertices[Degree],"&gt;="&amp;D14)</f>
        <v>0</v>
      </c>
      <c r="F13" s="40">
        <f t="shared" si="2"/>
        <v>7.104166666666666</v>
      </c>
      <c r="G13" s="41">
        <f>COUNTIF(Vertices[In-Degree],"&gt;= "&amp;F13)-COUNTIF(Vertices[In-Degree],"&gt;="&amp;F14)</f>
        <v>0</v>
      </c>
      <c r="H13" s="40">
        <f t="shared" si="3"/>
        <v>3.666666666666667</v>
      </c>
      <c r="I13" s="41">
        <f>COUNTIF(Vertices[Out-Degree],"&gt;= "&amp;H13)-COUNTIF(Vertices[Out-Degree],"&gt;="&amp;H14)</f>
        <v>0</v>
      </c>
      <c r="J13" s="40">
        <f t="shared" si="4"/>
        <v>2263.1748961250005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0.014307333333333335</v>
      </c>
      <c r="O13" s="41">
        <f>COUNTIF(Vertices[Eigenvector Centrality],"&gt;= "&amp;N13)-COUNTIF(Vertices[Eigenvector Centrality],"&gt;="&amp;N14)</f>
        <v>0</v>
      </c>
      <c r="P13" s="40">
        <f t="shared" si="7"/>
        <v>2.370327</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440</v>
      </c>
      <c r="B14" s="35">
        <v>231</v>
      </c>
      <c r="D14" s="33">
        <f t="shared" si="1"/>
        <v>0</v>
      </c>
      <c r="E14" s="3">
        <f>COUNTIF(Vertices[Degree],"&gt;= "&amp;D14)-COUNTIF(Vertices[Degree],"&gt;="&amp;D15)</f>
        <v>0</v>
      </c>
      <c r="F14" s="38">
        <f t="shared" si="2"/>
        <v>7.749999999999999</v>
      </c>
      <c r="G14" s="39">
        <f>COUNTIF(Vertices[In-Degree],"&gt;= "&amp;F14)-COUNTIF(Vertices[In-Degree],"&gt;="&amp;F15)</f>
        <v>2</v>
      </c>
      <c r="H14" s="38">
        <f t="shared" si="3"/>
        <v>4</v>
      </c>
      <c r="I14" s="39">
        <f>COUNTIF(Vertices[Out-Degree],"&gt;= "&amp;H14)-COUNTIF(Vertices[Out-Degree],"&gt;="&amp;H15)</f>
        <v>3</v>
      </c>
      <c r="J14" s="38">
        <f t="shared" si="4"/>
        <v>2468.9180685000006</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0.015608000000000002</v>
      </c>
      <c r="O14" s="39">
        <f>COUNTIF(Vertices[Eigenvector Centrality],"&gt;= "&amp;N14)-COUNTIF(Vertices[Eigenvector Centrality],"&gt;="&amp;N15)</f>
        <v>0</v>
      </c>
      <c r="P14" s="38">
        <f t="shared" si="7"/>
        <v>2.556717</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441</v>
      </c>
      <c r="B15" s="35">
        <v>18</v>
      </c>
      <c r="D15" s="33">
        <f t="shared" si="1"/>
        <v>0</v>
      </c>
      <c r="E15" s="3">
        <f>COUNTIF(Vertices[Degree],"&gt;= "&amp;D15)-COUNTIF(Vertices[Degree],"&gt;="&amp;D16)</f>
        <v>0</v>
      </c>
      <c r="F15" s="40">
        <f t="shared" si="2"/>
        <v>8.395833333333332</v>
      </c>
      <c r="G15" s="41">
        <f>COUNTIF(Vertices[In-Degree],"&gt;= "&amp;F15)-COUNTIF(Vertices[In-Degree],"&gt;="&amp;F16)</f>
        <v>2</v>
      </c>
      <c r="H15" s="40">
        <f t="shared" si="3"/>
        <v>4.333333333333333</v>
      </c>
      <c r="I15" s="41">
        <f>COUNTIF(Vertices[Out-Degree],"&gt;= "&amp;H15)-COUNTIF(Vertices[Out-Degree],"&gt;="&amp;H16)</f>
        <v>0</v>
      </c>
      <c r="J15" s="40">
        <f t="shared" si="4"/>
        <v>2674.6612408750007</v>
      </c>
      <c r="K15" s="41">
        <f>COUNTIF(Vertices[Betweenness Centrality],"&gt;= "&amp;J15)-COUNTIF(Vertices[Betweenness Centrality],"&gt;="&amp;J16)</f>
        <v>1</v>
      </c>
      <c r="L15" s="40">
        <f t="shared" si="5"/>
        <v>0.2708333333333333</v>
      </c>
      <c r="M15" s="41">
        <f>COUNTIF(Vertices[Closeness Centrality],"&gt;= "&amp;L15)-COUNTIF(Vertices[Closeness Centrality],"&gt;="&amp;L16)</f>
        <v>0</v>
      </c>
      <c r="N15" s="40">
        <f t="shared" si="6"/>
        <v>0.01690866666666667</v>
      </c>
      <c r="O15" s="41">
        <f>COUNTIF(Vertices[Eigenvector Centrality],"&gt;= "&amp;N15)-COUNTIF(Vertices[Eigenvector Centrality],"&gt;="&amp;N16)</f>
        <v>0</v>
      </c>
      <c r="P15" s="40">
        <f t="shared" si="7"/>
        <v>2.7431069999999997</v>
      </c>
      <c r="Q15" s="41">
        <f>COUNTIF(Vertices[PageRank],"&gt;= "&amp;P15)-COUNTIF(Vertices[PageRank],"&gt;="&amp;P16)</f>
        <v>2</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442</v>
      </c>
      <c r="B16" s="35">
        <v>1</v>
      </c>
      <c r="D16" s="33">
        <f t="shared" si="1"/>
        <v>0</v>
      </c>
      <c r="E16" s="3">
        <f>COUNTIF(Vertices[Degree],"&gt;= "&amp;D16)-COUNTIF(Vertices[Degree],"&gt;="&amp;D17)</f>
        <v>0</v>
      </c>
      <c r="F16" s="38">
        <f t="shared" si="2"/>
        <v>9.041666666666666</v>
      </c>
      <c r="G16" s="39">
        <f>COUNTIF(Vertices[In-Degree],"&gt;= "&amp;F16)-COUNTIF(Vertices[In-Degree],"&gt;="&amp;F17)</f>
        <v>0</v>
      </c>
      <c r="H16" s="38">
        <f t="shared" si="3"/>
        <v>4.666666666666666</v>
      </c>
      <c r="I16" s="39">
        <f>COUNTIF(Vertices[Out-Degree],"&gt;= "&amp;H16)-COUNTIF(Vertices[Out-Degree],"&gt;="&amp;H17)</f>
        <v>0</v>
      </c>
      <c r="J16" s="38">
        <f t="shared" si="4"/>
        <v>2880.4044132500007</v>
      </c>
      <c r="K16" s="39">
        <f>COUNTIF(Vertices[Betweenness Centrality],"&gt;= "&amp;J16)-COUNTIF(Vertices[Betweenness Centrality],"&gt;="&amp;J17)</f>
        <v>1</v>
      </c>
      <c r="L16" s="38">
        <f t="shared" si="5"/>
        <v>0.29166666666666663</v>
      </c>
      <c r="M16" s="39">
        <f>COUNTIF(Vertices[Closeness Centrality],"&gt;= "&amp;L16)-COUNTIF(Vertices[Closeness Centrality],"&gt;="&amp;L17)</f>
        <v>0</v>
      </c>
      <c r="N16" s="38">
        <f t="shared" si="6"/>
        <v>0.018209333333333334</v>
      </c>
      <c r="O16" s="39">
        <f>COUNTIF(Vertices[Eigenvector Centrality],"&gt;= "&amp;N16)-COUNTIF(Vertices[Eigenvector Centrality],"&gt;="&amp;N17)</f>
        <v>0</v>
      </c>
      <c r="P16" s="38">
        <f t="shared" si="7"/>
        <v>2.9294969999999996</v>
      </c>
      <c r="Q16" s="39">
        <f>COUNTIF(Vertices[PageRank],"&gt;= "&amp;P16)-COUNTIF(Vertices[PageRank],"&gt;="&amp;P17)</f>
        <v>1</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9.6875</v>
      </c>
      <c r="G17" s="41">
        <f>COUNTIF(Vertices[In-Degree],"&gt;= "&amp;F17)-COUNTIF(Vertices[In-Degree],"&gt;="&amp;F18)</f>
        <v>3</v>
      </c>
      <c r="H17" s="40">
        <f t="shared" si="3"/>
        <v>4.999999999999999</v>
      </c>
      <c r="I17" s="41">
        <f>COUNTIF(Vertices[Out-Degree],"&gt;= "&amp;H17)-COUNTIF(Vertices[Out-Degree],"&gt;="&amp;H18)</f>
        <v>4</v>
      </c>
      <c r="J17" s="40">
        <f t="shared" si="4"/>
        <v>3086.147585625001</v>
      </c>
      <c r="K17" s="41">
        <f>COUNTIF(Vertices[Betweenness Centrality],"&gt;= "&amp;J17)-COUNTIF(Vertices[Betweenness Centrality],"&gt;="&amp;J18)</f>
        <v>0</v>
      </c>
      <c r="L17" s="40">
        <f t="shared" si="5"/>
        <v>0.31249999999999994</v>
      </c>
      <c r="M17" s="41">
        <f>COUNTIF(Vertices[Closeness Centrality],"&gt;= "&amp;L17)-COUNTIF(Vertices[Closeness Centrality],"&gt;="&amp;L18)</f>
        <v>2</v>
      </c>
      <c r="N17" s="40">
        <f t="shared" si="6"/>
        <v>0.01951</v>
      </c>
      <c r="O17" s="41">
        <f>COUNTIF(Vertices[Eigenvector Centrality],"&gt;= "&amp;N17)-COUNTIF(Vertices[Eigenvector Centrality],"&gt;="&amp;N18)</f>
        <v>0</v>
      </c>
      <c r="P17" s="40">
        <f t="shared" si="7"/>
        <v>3.1158869999999994</v>
      </c>
      <c r="Q17" s="41">
        <f>COUNTIF(Vertices[PageRank],"&gt;= "&amp;P17)-COUNTIF(Vertices[PageRank],"&gt;="&amp;P18)</f>
        <v>1</v>
      </c>
      <c r="R17" s="40">
        <f t="shared" si="8"/>
        <v>0.31249999999999994</v>
      </c>
      <c r="S17" s="45">
        <f>COUNTIF(Vertices[Clustering Coefficient],"&gt;= "&amp;R17)-COUNTIF(Vertices[Clustering Coefficient],"&gt;="&amp;R18)</f>
        <v>9</v>
      </c>
      <c r="T17" s="40" t="e">
        <f ca="1" t="shared" si="9"/>
        <v>#REF!</v>
      </c>
      <c r="U17" s="41" t="e">
        <f ca="1" t="shared" si="0"/>
        <v>#REF!</v>
      </c>
    </row>
    <row r="18" spans="1:21" ht="15">
      <c r="A18" s="35" t="s">
        <v>151</v>
      </c>
      <c r="B18" s="35">
        <v>79</v>
      </c>
      <c r="D18" s="33">
        <f t="shared" si="1"/>
        <v>0</v>
      </c>
      <c r="E18" s="3">
        <f>COUNTIF(Vertices[Degree],"&gt;= "&amp;D18)-COUNTIF(Vertices[Degree],"&gt;="&amp;D19)</f>
        <v>0</v>
      </c>
      <c r="F18" s="38">
        <f t="shared" si="2"/>
        <v>10.333333333333334</v>
      </c>
      <c r="G18" s="39">
        <f>COUNTIF(Vertices[In-Degree],"&gt;= "&amp;F18)-COUNTIF(Vertices[In-Degree],"&gt;="&amp;F19)</f>
        <v>0</v>
      </c>
      <c r="H18" s="38">
        <f t="shared" si="3"/>
        <v>5.333333333333332</v>
      </c>
      <c r="I18" s="39">
        <f>COUNTIF(Vertices[Out-Degree],"&gt;= "&amp;H18)-COUNTIF(Vertices[Out-Degree],"&gt;="&amp;H19)</f>
        <v>0</v>
      </c>
      <c r="J18" s="38">
        <f t="shared" si="4"/>
        <v>3291.890758000001</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0.020810666666666665</v>
      </c>
      <c r="O18" s="39">
        <f>COUNTIF(Vertices[Eigenvector Centrality],"&gt;= "&amp;N18)-COUNTIF(Vertices[Eigenvector Centrality],"&gt;="&amp;N19)</f>
        <v>0</v>
      </c>
      <c r="P18" s="38">
        <f t="shared" si="7"/>
        <v>3.3022769999999992</v>
      </c>
      <c r="Q18" s="39">
        <f>COUNTIF(Vertices[PageRank],"&gt;= "&amp;P18)-COUNTIF(Vertices[PageRank],"&gt;="&amp;P19)</f>
        <v>1</v>
      </c>
      <c r="R18" s="38">
        <f t="shared" si="8"/>
        <v>0.33333333333333326</v>
      </c>
      <c r="S18" s="44">
        <f>COUNTIF(Vertices[Clustering Coefficient],"&gt;= "&amp;R18)-COUNTIF(Vertices[Clustering Coefficient],"&gt;="&amp;R19)</f>
        <v>1</v>
      </c>
      <c r="T18" s="38" t="e">
        <f ca="1" t="shared" si="9"/>
        <v>#REF!</v>
      </c>
      <c r="U18" s="39" t="e">
        <f ca="1" t="shared" si="0"/>
        <v>#REF!</v>
      </c>
    </row>
    <row r="19" spans="1:21" ht="15">
      <c r="A19" s="118"/>
      <c r="B19" s="118"/>
      <c r="D19" s="33">
        <f t="shared" si="1"/>
        <v>0</v>
      </c>
      <c r="E19" s="3">
        <f>COUNTIF(Vertices[Degree],"&gt;= "&amp;D19)-COUNTIF(Vertices[Degree],"&gt;="&amp;D20)</f>
        <v>0</v>
      </c>
      <c r="F19" s="40">
        <f t="shared" si="2"/>
        <v>10.979166666666668</v>
      </c>
      <c r="G19" s="41">
        <f>COUNTIF(Vertices[In-Degree],"&gt;= "&amp;F19)-COUNTIF(Vertices[In-Degree],"&gt;="&amp;F20)</f>
        <v>1</v>
      </c>
      <c r="H19" s="40">
        <f t="shared" si="3"/>
        <v>5.666666666666665</v>
      </c>
      <c r="I19" s="41">
        <f>COUNTIF(Vertices[Out-Degree],"&gt;= "&amp;H19)-COUNTIF(Vertices[Out-Degree],"&gt;="&amp;H20)</f>
        <v>0</v>
      </c>
      <c r="J19" s="40">
        <f t="shared" si="4"/>
        <v>3497.633930375001</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0.02211133333333333</v>
      </c>
      <c r="O19" s="41">
        <f>COUNTIF(Vertices[Eigenvector Centrality],"&gt;= "&amp;N19)-COUNTIF(Vertices[Eigenvector Centrality],"&gt;="&amp;N20)</f>
        <v>0</v>
      </c>
      <c r="P19" s="40">
        <f t="shared" si="7"/>
        <v>3.488666999999999</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0.0368763557483731</v>
      </c>
      <c r="D20" s="33">
        <f t="shared" si="1"/>
        <v>0</v>
      </c>
      <c r="E20" s="3">
        <f>COUNTIF(Vertices[Degree],"&gt;= "&amp;D20)-COUNTIF(Vertices[Degree],"&gt;="&amp;D21)</f>
        <v>0</v>
      </c>
      <c r="F20" s="38">
        <f t="shared" si="2"/>
        <v>11.625000000000002</v>
      </c>
      <c r="G20" s="39">
        <f>COUNTIF(Vertices[In-Degree],"&gt;= "&amp;F20)-COUNTIF(Vertices[In-Degree],"&gt;="&amp;F21)</f>
        <v>0</v>
      </c>
      <c r="H20" s="38">
        <f t="shared" si="3"/>
        <v>5.999999999999998</v>
      </c>
      <c r="I20" s="39">
        <f>COUNTIF(Vertices[Out-Degree],"&gt;= "&amp;H20)-COUNTIF(Vertices[Out-Degree],"&gt;="&amp;H21)</f>
        <v>3</v>
      </c>
      <c r="J20" s="38">
        <f t="shared" si="4"/>
        <v>3703.377102750001</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0.023411999999999995</v>
      </c>
      <c r="O20" s="39">
        <f>COUNTIF(Vertices[Eigenvector Centrality],"&gt;= "&amp;N20)-COUNTIF(Vertices[Eigenvector Centrality],"&gt;="&amp;N21)</f>
        <v>0</v>
      </c>
      <c r="P20" s="38">
        <f t="shared" si="7"/>
        <v>3.675056999999999</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0.07112970711297072</v>
      </c>
      <c r="D21" s="33">
        <f t="shared" si="1"/>
        <v>0</v>
      </c>
      <c r="E21" s="3">
        <f>COUNTIF(Vertices[Degree],"&gt;= "&amp;D21)-COUNTIF(Vertices[Degree],"&gt;="&amp;D22)</f>
        <v>0</v>
      </c>
      <c r="F21" s="40">
        <f t="shared" si="2"/>
        <v>12.270833333333336</v>
      </c>
      <c r="G21" s="41">
        <f>COUNTIF(Vertices[In-Degree],"&gt;= "&amp;F21)-COUNTIF(Vertices[In-Degree],"&gt;="&amp;F22)</f>
        <v>0</v>
      </c>
      <c r="H21" s="40">
        <f t="shared" si="3"/>
        <v>6.333333333333331</v>
      </c>
      <c r="I21" s="41">
        <f>COUNTIF(Vertices[Out-Degree],"&gt;= "&amp;H21)-COUNTIF(Vertices[Out-Degree],"&gt;="&amp;H22)</f>
        <v>0</v>
      </c>
      <c r="J21" s="40">
        <f t="shared" si="4"/>
        <v>3909.120275125001</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0.02471266666666666</v>
      </c>
      <c r="O21" s="41">
        <f>COUNTIF(Vertices[Eigenvector Centrality],"&gt;= "&amp;N21)-COUNTIF(Vertices[Eigenvector Centrality],"&gt;="&amp;N22)</f>
        <v>0</v>
      </c>
      <c r="P21" s="40">
        <f t="shared" si="7"/>
        <v>3.8614469999999987</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12.91666666666667</v>
      </c>
      <c r="G22" s="39">
        <f>COUNTIF(Vertices[In-Degree],"&gt;= "&amp;F22)-COUNTIF(Vertices[In-Degree],"&gt;="&amp;F23)</f>
        <v>1</v>
      </c>
      <c r="H22" s="38">
        <f t="shared" si="3"/>
        <v>6.666666666666664</v>
      </c>
      <c r="I22" s="39">
        <f>COUNTIF(Vertices[Out-Degree],"&gt;= "&amp;H22)-COUNTIF(Vertices[Out-Degree],"&gt;="&amp;H23)</f>
        <v>0</v>
      </c>
      <c r="J22" s="38">
        <f t="shared" si="4"/>
        <v>4114.863447500001</v>
      </c>
      <c r="K22" s="39">
        <f>COUNTIF(Vertices[Betweenness Centrality],"&gt;= "&amp;J22)-COUNTIF(Vertices[Betweenness Centrality],"&gt;="&amp;J23)</f>
        <v>1</v>
      </c>
      <c r="L22" s="38">
        <f t="shared" si="5"/>
        <v>0.4166666666666665</v>
      </c>
      <c r="M22" s="39">
        <f>COUNTIF(Vertices[Closeness Centrality],"&gt;= "&amp;L22)-COUNTIF(Vertices[Closeness Centrality],"&gt;="&amp;L23)</f>
        <v>0</v>
      </c>
      <c r="N22" s="38">
        <f t="shared" si="6"/>
        <v>0.026013333333333326</v>
      </c>
      <c r="O22" s="39">
        <f>COUNTIF(Vertices[Eigenvector Centrality],"&gt;= "&amp;N22)-COUNTIF(Vertices[Eigenvector Centrality],"&gt;="&amp;N23)</f>
        <v>0</v>
      </c>
      <c r="P22" s="38">
        <f t="shared" si="7"/>
        <v>4.047836999999999</v>
      </c>
      <c r="Q22" s="39">
        <f>COUNTIF(Vertices[PageRank],"&gt;= "&amp;P22)-COUNTIF(Vertices[PageRank],"&gt;="&amp;P23)</f>
        <v>0</v>
      </c>
      <c r="R22" s="38">
        <f t="shared" si="8"/>
        <v>0.4166666666666665</v>
      </c>
      <c r="S22" s="44">
        <f>COUNTIF(Vertices[Clustering Coefficient],"&gt;= "&amp;R22)-COUNTIF(Vertices[Clustering Coefficient],"&gt;="&amp;R23)</f>
        <v>1</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13.562500000000004</v>
      </c>
      <c r="G23" s="41">
        <f>COUNTIF(Vertices[In-Degree],"&gt;= "&amp;F23)-COUNTIF(Vertices[In-Degree],"&gt;="&amp;F24)</f>
        <v>0</v>
      </c>
      <c r="H23" s="40">
        <f t="shared" si="3"/>
        <v>6.999999999999997</v>
      </c>
      <c r="I23" s="41">
        <f>COUNTIF(Vertices[Out-Degree],"&gt;= "&amp;H23)-COUNTIF(Vertices[Out-Degree],"&gt;="&amp;H24)</f>
        <v>0</v>
      </c>
      <c r="J23" s="40">
        <f t="shared" si="4"/>
        <v>4320.606619875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0.02731399999999999</v>
      </c>
      <c r="O23" s="41">
        <f>COUNTIF(Vertices[Eigenvector Centrality],"&gt;= "&amp;N23)-COUNTIF(Vertices[Eigenvector Centrality],"&gt;="&amp;N24)</f>
        <v>0</v>
      </c>
      <c r="P23" s="40">
        <f t="shared" si="7"/>
        <v>4.234226999999999</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14.208333333333337</v>
      </c>
      <c r="G24" s="39">
        <f>COUNTIF(Vertices[In-Degree],"&gt;= "&amp;F24)-COUNTIF(Vertices[In-Degree],"&gt;="&amp;F25)</f>
        <v>0</v>
      </c>
      <c r="H24" s="38">
        <f t="shared" si="3"/>
        <v>7.33333333333333</v>
      </c>
      <c r="I24" s="39">
        <f>COUNTIF(Vertices[Out-Degree],"&gt;= "&amp;H24)-COUNTIF(Vertices[Out-Degree],"&gt;="&amp;H25)</f>
        <v>0</v>
      </c>
      <c r="J24" s="38">
        <f t="shared" si="4"/>
        <v>4526.34979225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0.028614666666666656</v>
      </c>
      <c r="O24" s="39">
        <f>COUNTIF(Vertices[Eigenvector Centrality],"&gt;= "&amp;N24)-COUNTIF(Vertices[Eigenvector Centrality],"&gt;="&amp;N25)</f>
        <v>0</v>
      </c>
      <c r="P24" s="38">
        <f t="shared" si="7"/>
        <v>4.420616999999999</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183</v>
      </c>
      <c r="D25" s="33">
        <f t="shared" si="1"/>
        <v>0</v>
      </c>
      <c r="E25" s="3">
        <f>COUNTIF(Vertices[Degree],"&gt;= "&amp;D25)-COUNTIF(Vertices[Degree],"&gt;="&amp;D26)</f>
        <v>0</v>
      </c>
      <c r="F25" s="40">
        <f t="shared" si="2"/>
        <v>14.854166666666671</v>
      </c>
      <c r="G25" s="41">
        <f>COUNTIF(Vertices[In-Degree],"&gt;= "&amp;F25)-COUNTIF(Vertices[In-Degree],"&gt;="&amp;F26)</f>
        <v>2</v>
      </c>
      <c r="H25" s="40">
        <f t="shared" si="3"/>
        <v>7.666666666666663</v>
      </c>
      <c r="I25" s="41">
        <f>COUNTIF(Vertices[Out-Degree],"&gt;= "&amp;H25)-COUNTIF(Vertices[Out-Degree],"&gt;="&amp;H26)</f>
        <v>0</v>
      </c>
      <c r="J25" s="40">
        <f t="shared" si="4"/>
        <v>4732.092964625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0.02991533333333332</v>
      </c>
      <c r="O25" s="41">
        <f>COUNTIF(Vertices[Eigenvector Centrality],"&gt;= "&amp;N25)-COUNTIF(Vertices[Eigenvector Centrality],"&gt;="&amp;N26)</f>
        <v>0</v>
      </c>
      <c r="P25" s="40">
        <f t="shared" si="7"/>
        <v>4.607006999999999</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621</v>
      </c>
      <c r="D26" s="33">
        <f t="shared" si="1"/>
        <v>0</v>
      </c>
      <c r="E26" s="3">
        <f>COUNTIF(Vertices[Degree],"&gt;= "&amp;D26)-COUNTIF(Vertices[Degree],"&gt;="&amp;D28)</f>
        <v>0</v>
      </c>
      <c r="F26" s="38">
        <f t="shared" si="2"/>
        <v>15.500000000000005</v>
      </c>
      <c r="G26" s="39">
        <f>COUNTIF(Vertices[In-Degree],"&gt;= "&amp;F26)-COUNTIF(Vertices[In-Degree],"&gt;="&amp;F28)</f>
        <v>0</v>
      </c>
      <c r="H26" s="38">
        <f t="shared" si="3"/>
        <v>7.9999999999999964</v>
      </c>
      <c r="I26" s="39">
        <f>COUNTIF(Vertices[Out-Degree],"&gt;= "&amp;H26)-COUNTIF(Vertices[Out-Degree],"&gt;="&amp;H28)</f>
        <v>8</v>
      </c>
      <c r="J26" s="38">
        <f t="shared" si="4"/>
        <v>4937.836136999999</v>
      </c>
      <c r="K26" s="39">
        <f>COUNTIF(Vertices[Betweenness Centrality],"&gt;= "&amp;J26)-COUNTIF(Vertices[Betweenness Centrality],"&gt;="&amp;J28)</f>
        <v>0</v>
      </c>
      <c r="L26" s="38">
        <f t="shared" si="5"/>
        <v>0.4999999999999998</v>
      </c>
      <c r="M26" s="39">
        <f>COUNTIF(Vertices[Closeness Centrality],"&gt;= "&amp;L26)-COUNTIF(Vertices[Closeness Centrality],"&gt;="&amp;L28)</f>
        <v>1</v>
      </c>
      <c r="N26" s="38">
        <f t="shared" si="6"/>
        <v>0.031215999999999987</v>
      </c>
      <c r="O26" s="39">
        <f>COUNTIF(Vertices[Eigenvector Centrality],"&gt;= "&amp;N26)-COUNTIF(Vertices[Eigenvector Centrality],"&gt;="&amp;N28)</f>
        <v>0</v>
      </c>
      <c r="P26" s="38">
        <f t="shared" si="7"/>
        <v>4.793397</v>
      </c>
      <c r="Q26" s="39">
        <f>COUNTIF(Vertices[PageRank],"&gt;= "&amp;P26)-COUNTIF(Vertices[PageRank],"&gt;="&amp;P28)</f>
        <v>0</v>
      </c>
      <c r="R26" s="38">
        <f t="shared" si="8"/>
        <v>0.4999999999999998</v>
      </c>
      <c r="S26" s="44">
        <f>COUNTIF(Vertices[Clustering Coefficient],"&gt;= "&amp;R26)-COUNTIF(Vertices[Clustering Coefficient],"&gt;="&amp;R28)</f>
        <v>11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5"/>
      <c r="G27" s="66">
        <f>COUNTIF(Vertices[In-Degree],"&gt;= "&amp;F27)-COUNTIF(Vertices[In-Degree],"&gt;="&amp;F28)</f>
        <v>-14</v>
      </c>
      <c r="H27" s="65"/>
      <c r="I27" s="66">
        <f>COUNTIF(Vertices[Out-Degree],"&gt;= "&amp;H27)-COUNTIF(Vertices[Out-Degree],"&gt;="&amp;H28)</f>
        <v>-22</v>
      </c>
      <c r="J27" s="65"/>
      <c r="K27" s="66">
        <f>COUNTIF(Vertices[Betweenness Centrality],"&gt;= "&amp;J27)-COUNTIF(Vertices[Betweenness Centrality],"&gt;="&amp;J28)</f>
        <v>-4</v>
      </c>
      <c r="L27" s="65"/>
      <c r="M27" s="66">
        <f>COUNTIF(Vertices[Closeness Centrality],"&gt;= "&amp;L27)-COUNTIF(Vertices[Closeness Centrality],"&gt;="&amp;L28)</f>
        <v>-16</v>
      </c>
      <c r="N27" s="65"/>
      <c r="O27" s="66">
        <f>COUNTIF(Vertices[Eigenvector Centrality],"&gt;= "&amp;N27)-COUNTIF(Vertices[Eigenvector Centrality],"&gt;="&amp;N28)</f>
        <v>-22</v>
      </c>
      <c r="P27" s="65"/>
      <c r="Q27" s="66">
        <f>COUNTIF(Vertices[Eigenvector Centrality],"&gt;= "&amp;P27)-COUNTIF(Vertices[Eigenvector Centrality],"&gt;="&amp;P28)</f>
        <v>0</v>
      </c>
      <c r="R27" s="65"/>
      <c r="S27" s="67">
        <f>COUNTIF(Vertices[Clustering Coefficient],"&gt;= "&amp;R27)-COUNTIF(Vertices[Clustering Coefficient],"&gt;="&amp;R28)</f>
        <v>-14</v>
      </c>
      <c r="T27" s="65"/>
      <c r="U27" s="66">
        <f ca="1">COUNTIF(Vertices[Clustering Coefficient],"&gt;= "&amp;T27)-COUNTIF(Vertices[Clustering Coefficient],"&gt;="&amp;T28)</f>
        <v>0</v>
      </c>
    </row>
    <row r="28" spans="1:21" ht="15">
      <c r="A28" s="35" t="s">
        <v>156</v>
      </c>
      <c r="B28" s="35">
        <v>10</v>
      </c>
      <c r="D28" s="33">
        <f>D26+($D$50-$D$2)/BinDivisor</f>
        <v>0</v>
      </c>
      <c r="E28" s="3">
        <f>COUNTIF(Vertices[Degree],"&gt;= "&amp;D28)-COUNTIF(Vertices[Degree],"&gt;="&amp;D42)</f>
        <v>0</v>
      </c>
      <c r="F28" s="40">
        <f>F26+($F$50-$F$2)/BinDivisor</f>
        <v>16.14583333333334</v>
      </c>
      <c r="G28" s="41">
        <f>COUNTIF(Vertices[In-Degree],"&gt;= "&amp;F28)-COUNTIF(Vertices[In-Degree],"&gt;="&amp;F42)</f>
        <v>0</v>
      </c>
      <c r="H28" s="40">
        <f>H26+($H$50-$H$2)/BinDivisor</f>
        <v>8.33333333333333</v>
      </c>
      <c r="I28" s="41">
        <f>COUNTIF(Vertices[Out-Degree],"&gt;= "&amp;H28)-COUNTIF(Vertices[Out-Degree],"&gt;="&amp;H42)</f>
        <v>0</v>
      </c>
      <c r="J28" s="40">
        <f>J26+($J$50-$J$2)/BinDivisor</f>
        <v>5143.579309374999</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0.03251666666666665</v>
      </c>
      <c r="O28" s="41">
        <f>COUNTIF(Vertices[Eigenvector Centrality],"&gt;= "&amp;N28)-COUNTIF(Vertices[Eigenvector Centrality],"&gt;="&amp;N42)</f>
        <v>12</v>
      </c>
      <c r="P28" s="40">
        <f>P26+($P$50-$P$2)/BinDivisor</f>
        <v>4.979787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3.900066</v>
      </c>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118"/>
      <c r="B30" s="118"/>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1:21" ht="15">
      <c r="A31" s="35" t="s">
        <v>158</v>
      </c>
      <c r="B31" s="35">
        <v>0.010486595585976921</v>
      </c>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1:21" ht="15">
      <c r="A32" s="35" t="s">
        <v>4425</v>
      </c>
      <c r="B32" s="35">
        <v>0.510386</v>
      </c>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1:21" ht="15">
      <c r="A33" s="118"/>
      <c r="B33" s="118"/>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1:21" ht="15">
      <c r="A34" s="35" t="s">
        <v>4426</v>
      </c>
      <c r="B34" s="35" t="s">
        <v>4440</v>
      </c>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1:21" ht="15">
      <c r="A35" s="118"/>
      <c r="B35" s="118"/>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1:21" ht="15">
      <c r="A36" s="35" t="s">
        <v>4427</v>
      </c>
      <c r="B36" s="35" t="s">
        <v>5260</v>
      </c>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1:21" ht="15">
      <c r="A37" s="118"/>
      <c r="B37" s="118"/>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1:21" ht="15">
      <c r="A38" s="35" t="s">
        <v>4428</v>
      </c>
      <c r="B38" s="35" t="s">
        <v>5255</v>
      </c>
      <c r="D38" s="33"/>
      <c r="E38" s="3">
        <f>COUNTIF(Vertices[Degree],"&gt;= "&amp;D38)-COUNTIF(Vertices[Degree],"&gt;="&amp;D42)</f>
        <v>0</v>
      </c>
      <c r="F38" s="65"/>
      <c r="G38" s="66">
        <f>COUNTIF(Vertices[In-Degree],"&gt;= "&amp;F38)-COUNTIF(Vertices[In-Degree],"&gt;="&amp;F42)</f>
        <v>-14</v>
      </c>
      <c r="H38" s="65"/>
      <c r="I38" s="66">
        <f>COUNTIF(Vertices[Out-Degree],"&gt;= "&amp;H38)-COUNTIF(Vertices[Out-Degree],"&gt;="&amp;H42)</f>
        <v>-22</v>
      </c>
      <c r="J38" s="65"/>
      <c r="K38" s="66">
        <f>COUNTIF(Vertices[Betweenness Centrality],"&gt;= "&amp;J38)-COUNTIF(Vertices[Betweenness Centrality],"&gt;="&amp;J42)</f>
        <v>-4</v>
      </c>
      <c r="L38" s="65"/>
      <c r="M38" s="66">
        <f>COUNTIF(Vertices[Closeness Centrality],"&gt;= "&amp;L38)-COUNTIF(Vertices[Closeness Centrality],"&gt;="&amp;L42)</f>
        <v>-16</v>
      </c>
      <c r="N38" s="65"/>
      <c r="O38" s="66">
        <f>COUNTIF(Vertices[Eigenvector Centrality],"&gt;= "&amp;N38)-COUNTIF(Vertices[Eigenvector Centrality],"&gt;="&amp;N42)</f>
        <v>-10</v>
      </c>
      <c r="P38" s="65"/>
      <c r="Q38" s="66">
        <f>COUNTIF(Vertices[Eigenvector Centrality],"&gt;= "&amp;P38)-COUNTIF(Vertices[Eigenvector Centrality],"&gt;="&amp;P42)</f>
        <v>0</v>
      </c>
      <c r="R38" s="65"/>
      <c r="S38" s="67">
        <f>COUNTIF(Vertices[Clustering Coefficient],"&gt;= "&amp;R38)-COUNTIF(Vertices[Clustering Coefficient],"&gt;="&amp;R42)</f>
        <v>-14</v>
      </c>
      <c r="T38" s="65"/>
      <c r="U38" s="66">
        <f ca="1">COUNTIF(Vertices[Clustering Coefficient],"&gt;= "&amp;T38)-COUNTIF(Vertices[Clustering Coefficient],"&gt;="&amp;T42)</f>
        <v>0</v>
      </c>
    </row>
    <row r="39" spans="1:21" ht="15">
      <c r="A39" s="35" t="s">
        <v>4429</v>
      </c>
      <c r="B39" s="35" t="s">
        <v>5256</v>
      </c>
      <c r="D39" s="33"/>
      <c r="E39" s="3">
        <f>COUNTIF(Vertices[Degree],"&gt;= "&amp;D39)-COUNTIF(Vertices[Degree],"&gt;="&amp;D42)</f>
        <v>0</v>
      </c>
      <c r="F39" s="65"/>
      <c r="G39" s="66">
        <f>COUNTIF(Vertices[In-Degree],"&gt;= "&amp;F39)-COUNTIF(Vertices[In-Degree],"&gt;="&amp;F42)</f>
        <v>-14</v>
      </c>
      <c r="H39" s="65"/>
      <c r="I39" s="66">
        <f>COUNTIF(Vertices[Out-Degree],"&gt;= "&amp;H39)-COUNTIF(Vertices[Out-Degree],"&gt;="&amp;H42)</f>
        <v>-22</v>
      </c>
      <c r="J39" s="65"/>
      <c r="K39" s="66">
        <f>COUNTIF(Vertices[Betweenness Centrality],"&gt;= "&amp;J39)-COUNTIF(Vertices[Betweenness Centrality],"&gt;="&amp;J42)</f>
        <v>-4</v>
      </c>
      <c r="L39" s="65"/>
      <c r="M39" s="66">
        <f>COUNTIF(Vertices[Closeness Centrality],"&gt;= "&amp;L39)-COUNTIF(Vertices[Closeness Centrality],"&gt;="&amp;L42)</f>
        <v>-16</v>
      </c>
      <c r="N39" s="65"/>
      <c r="O39" s="66">
        <f>COUNTIF(Vertices[Eigenvector Centrality],"&gt;= "&amp;N39)-COUNTIF(Vertices[Eigenvector Centrality],"&gt;="&amp;N42)</f>
        <v>-10</v>
      </c>
      <c r="P39" s="65"/>
      <c r="Q39" s="66">
        <f>COUNTIF(Vertices[Eigenvector Centrality],"&gt;= "&amp;P39)-COUNTIF(Vertices[Eigenvector Centrality],"&gt;="&amp;P42)</f>
        <v>0</v>
      </c>
      <c r="R39" s="65"/>
      <c r="S39" s="67">
        <f>COUNTIF(Vertices[Clustering Coefficient],"&gt;= "&amp;R39)-COUNTIF(Vertices[Clustering Coefficient],"&gt;="&amp;R42)</f>
        <v>-14</v>
      </c>
      <c r="T39" s="65"/>
      <c r="U39" s="66">
        <f ca="1">COUNTIF(Vertices[Clustering Coefficient],"&gt;= "&amp;T39)-COUNTIF(Vertices[Clustering Coefficient],"&gt;="&amp;T42)</f>
        <v>0</v>
      </c>
    </row>
    <row r="40" spans="1:21" ht="409.6">
      <c r="A40" s="35" t="s">
        <v>4430</v>
      </c>
      <c r="B40" s="54" t="s">
        <v>5257</v>
      </c>
      <c r="D40" s="33"/>
      <c r="E40" s="3">
        <f>COUNTIF(Vertices[Degree],"&gt;= "&amp;D40)-COUNTIF(Vertices[Degree],"&gt;="&amp;D42)</f>
        <v>0</v>
      </c>
      <c r="F40" s="65"/>
      <c r="G40" s="66">
        <f>COUNTIF(Vertices[In-Degree],"&gt;= "&amp;F40)-COUNTIF(Vertices[In-Degree],"&gt;="&amp;F42)</f>
        <v>-14</v>
      </c>
      <c r="H40" s="65"/>
      <c r="I40" s="66">
        <f>COUNTIF(Vertices[Out-Degree],"&gt;= "&amp;H40)-COUNTIF(Vertices[Out-Degree],"&gt;="&amp;H42)</f>
        <v>-22</v>
      </c>
      <c r="J40" s="65"/>
      <c r="K40" s="66">
        <f>COUNTIF(Vertices[Betweenness Centrality],"&gt;= "&amp;J40)-COUNTIF(Vertices[Betweenness Centrality],"&gt;="&amp;J42)</f>
        <v>-4</v>
      </c>
      <c r="L40" s="65"/>
      <c r="M40" s="66">
        <f>COUNTIF(Vertices[Closeness Centrality],"&gt;= "&amp;L40)-COUNTIF(Vertices[Closeness Centrality],"&gt;="&amp;L42)</f>
        <v>-16</v>
      </c>
      <c r="N40" s="65"/>
      <c r="O40" s="66">
        <f>COUNTIF(Vertices[Eigenvector Centrality],"&gt;= "&amp;N40)-COUNTIF(Vertices[Eigenvector Centrality],"&gt;="&amp;N42)</f>
        <v>-10</v>
      </c>
      <c r="P40" s="65"/>
      <c r="Q40" s="66">
        <f>COUNTIF(Vertices[Eigenvector Centrality],"&gt;= "&amp;P40)-COUNTIF(Vertices[Eigenvector Centrality],"&gt;="&amp;P42)</f>
        <v>0</v>
      </c>
      <c r="R40" s="65"/>
      <c r="S40" s="67">
        <f>COUNTIF(Vertices[Clustering Coefficient],"&gt;= "&amp;R40)-COUNTIF(Vertices[Clustering Coefficient],"&gt;="&amp;R42)</f>
        <v>-14</v>
      </c>
      <c r="T40" s="65"/>
      <c r="U40" s="66">
        <f ca="1">COUNTIF(Vertices[Clustering Coefficient],"&gt;= "&amp;T40)-COUNTIF(Vertices[Clustering Coefficient],"&gt;="&amp;T42)</f>
        <v>0</v>
      </c>
    </row>
    <row r="41" spans="1:21" ht="15">
      <c r="A41" s="35" t="s">
        <v>4431</v>
      </c>
      <c r="B41" s="35" t="s">
        <v>5258</v>
      </c>
      <c r="D41" s="33"/>
      <c r="E41" s="3">
        <f>COUNTIF(Vertices[Degree],"&gt;= "&amp;D41)-COUNTIF(Vertices[Degree],"&gt;="&amp;D42)</f>
        <v>0</v>
      </c>
      <c r="F41" s="65"/>
      <c r="G41" s="66">
        <f>COUNTIF(Vertices[In-Degree],"&gt;= "&amp;F41)-COUNTIF(Vertices[In-Degree],"&gt;="&amp;F42)</f>
        <v>-14</v>
      </c>
      <c r="H41" s="65"/>
      <c r="I41" s="66">
        <f>COUNTIF(Vertices[Out-Degree],"&gt;= "&amp;H41)-COUNTIF(Vertices[Out-Degree],"&gt;="&amp;H42)</f>
        <v>-22</v>
      </c>
      <c r="J41" s="65"/>
      <c r="K41" s="66">
        <f>COUNTIF(Vertices[Betweenness Centrality],"&gt;= "&amp;J41)-COUNTIF(Vertices[Betweenness Centrality],"&gt;="&amp;J42)</f>
        <v>-4</v>
      </c>
      <c r="L41" s="65"/>
      <c r="M41" s="66">
        <f>COUNTIF(Vertices[Closeness Centrality],"&gt;= "&amp;L41)-COUNTIF(Vertices[Closeness Centrality],"&gt;="&amp;L42)</f>
        <v>-16</v>
      </c>
      <c r="N41" s="65"/>
      <c r="O41" s="66">
        <f>COUNTIF(Vertices[Eigenvector Centrality],"&gt;= "&amp;N41)-COUNTIF(Vertices[Eigenvector Centrality],"&gt;="&amp;N42)</f>
        <v>-10</v>
      </c>
      <c r="P41" s="65"/>
      <c r="Q41" s="66">
        <f>COUNTIF(Vertices[Eigenvector Centrality],"&gt;= "&amp;P41)-COUNTIF(Vertices[Eigenvector Centrality],"&gt;="&amp;P42)</f>
        <v>0</v>
      </c>
      <c r="R41" s="65"/>
      <c r="S41" s="67">
        <f>COUNTIF(Vertices[Clustering Coefficient],"&gt;= "&amp;R41)-COUNTIF(Vertices[Clustering Coefficient],"&gt;="&amp;R42)</f>
        <v>-14</v>
      </c>
      <c r="T41" s="65"/>
      <c r="U41" s="66">
        <f ca="1">COUNTIF(Vertices[Clustering Coefficient],"&gt;= "&amp;T41)-COUNTIF(Vertices[Clustering Coefficient],"&gt;="&amp;T42)</f>
        <v>0</v>
      </c>
    </row>
    <row r="42" spans="1:21" ht="15">
      <c r="A42" s="35" t="s">
        <v>4432</v>
      </c>
      <c r="B42" s="35" t="s">
        <v>5259</v>
      </c>
      <c r="D42" s="33">
        <f>D28+($D$50-$D$2)/BinDivisor</f>
        <v>0</v>
      </c>
      <c r="E42" s="3">
        <f>COUNTIF(Vertices[Degree],"&gt;= "&amp;D42)-COUNTIF(Vertices[Degree],"&gt;="&amp;D43)</f>
        <v>0</v>
      </c>
      <c r="F42" s="38">
        <f>F28+($F$50-$F$2)/BinDivisor</f>
        <v>16.79166666666667</v>
      </c>
      <c r="G42" s="39">
        <f>COUNTIF(Vertices[In-Degree],"&gt;= "&amp;F42)-COUNTIF(Vertices[In-Degree],"&gt;="&amp;F43)</f>
        <v>1</v>
      </c>
      <c r="H42" s="38">
        <f>H28+($H$50-$H$2)/BinDivisor</f>
        <v>8.666666666666664</v>
      </c>
      <c r="I42" s="39">
        <f>COUNTIF(Vertices[Out-Degree],"&gt;= "&amp;H42)-COUNTIF(Vertices[Out-Degree],"&gt;="&amp;H43)</f>
        <v>0</v>
      </c>
      <c r="J42" s="38">
        <f>J28+($J$50-$J$2)/BinDivisor</f>
        <v>5349.322481749999</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0.03381733333333332</v>
      </c>
      <c r="O42" s="39">
        <f>COUNTIF(Vertices[Eigenvector Centrality],"&gt;= "&amp;N42)-COUNTIF(Vertices[Eigenvector Centrality],"&gt;="&amp;N43)</f>
        <v>1</v>
      </c>
      <c r="P42" s="38">
        <f>P28+($P$50-$P$2)/BinDivisor</f>
        <v>5.166177</v>
      </c>
      <c r="Q42" s="39">
        <f>COUNTIF(Vertices[PageRank],"&gt;= "&amp;P42)-COUNTIF(Vertices[PageRank],"&gt;="&amp;P43)</f>
        <v>1</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4433</v>
      </c>
      <c r="B43" s="35" t="s">
        <v>2517</v>
      </c>
      <c r="D43" s="33">
        <f aca="true" t="shared" si="10" ref="D43:D49">D42+($D$50-$D$2)/BinDivisor</f>
        <v>0</v>
      </c>
      <c r="E43" s="3">
        <f>COUNTIF(Vertices[Degree],"&gt;= "&amp;D43)-COUNTIF(Vertices[Degree],"&gt;="&amp;D44)</f>
        <v>0</v>
      </c>
      <c r="F43" s="40">
        <f aca="true" t="shared" si="11" ref="F43:F49">F42+($F$50-$F$2)/BinDivisor</f>
        <v>17.437500000000004</v>
      </c>
      <c r="G43" s="41">
        <f>COUNTIF(Vertices[In-Degree],"&gt;= "&amp;F43)-COUNTIF(Vertices[In-Degree],"&gt;="&amp;F44)</f>
        <v>5</v>
      </c>
      <c r="H43" s="40">
        <f aca="true" t="shared" si="12" ref="H43:H49">H42+($H$50-$H$2)/BinDivisor</f>
        <v>8.999999999999998</v>
      </c>
      <c r="I43" s="41">
        <f>COUNTIF(Vertices[Out-Degree],"&gt;= "&amp;H43)-COUNTIF(Vertices[Out-Degree],"&gt;="&amp;H44)</f>
        <v>18</v>
      </c>
      <c r="J43" s="40">
        <f aca="true" t="shared" si="13" ref="J43:J49">J42+($J$50-$J$2)/BinDivisor</f>
        <v>5555.065654124998</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0.03511799999999998</v>
      </c>
      <c r="O43" s="41">
        <f>COUNTIF(Vertices[Eigenvector Centrality],"&gt;= "&amp;N43)-COUNTIF(Vertices[Eigenvector Centrality],"&gt;="&amp;N44)</f>
        <v>0</v>
      </c>
      <c r="P43" s="40">
        <f aca="true" t="shared" si="16" ref="P43:P49">P42+($P$50-$P$2)/BinDivisor</f>
        <v>5.3525670000000005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4434</v>
      </c>
      <c r="B44" s="35" t="s">
        <v>2517</v>
      </c>
      <c r="D44" s="33">
        <f t="shared" si="10"/>
        <v>0</v>
      </c>
      <c r="E44" s="3">
        <f>COUNTIF(Vertices[Degree],"&gt;= "&amp;D44)-COUNTIF(Vertices[Degree],"&gt;="&amp;D45)</f>
        <v>0</v>
      </c>
      <c r="F44" s="38">
        <f t="shared" si="11"/>
        <v>18.083333333333336</v>
      </c>
      <c r="G44" s="39">
        <f>COUNTIF(Vertices[In-Degree],"&gt;= "&amp;F44)-COUNTIF(Vertices[In-Degree],"&gt;="&amp;F45)</f>
        <v>0</v>
      </c>
      <c r="H44" s="38">
        <f t="shared" si="12"/>
        <v>9.333333333333332</v>
      </c>
      <c r="I44" s="39">
        <f>COUNTIF(Vertices[Out-Degree],"&gt;= "&amp;H44)-COUNTIF(Vertices[Out-Degree],"&gt;="&amp;H45)</f>
        <v>0</v>
      </c>
      <c r="J44" s="38">
        <f t="shared" si="13"/>
        <v>5760.808826499998</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0.03641866666666665</v>
      </c>
      <c r="O44" s="39">
        <f>COUNTIF(Vertices[Eigenvector Centrality],"&gt;= "&amp;N44)-COUNTIF(Vertices[Eigenvector Centrality],"&gt;="&amp;N45)</f>
        <v>0</v>
      </c>
      <c r="P44" s="38">
        <f t="shared" si="16"/>
        <v>5.538957000000001</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4435</v>
      </c>
      <c r="B45" s="35" t="s">
        <v>2517</v>
      </c>
      <c r="D45" s="33">
        <f t="shared" si="10"/>
        <v>0</v>
      </c>
      <c r="E45" s="3">
        <f>COUNTIF(Vertices[Degree],"&gt;= "&amp;D45)-COUNTIF(Vertices[Degree],"&gt;="&amp;D46)</f>
        <v>0</v>
      </c>
      <c r="F45" s="40">
        <f t="shared" si="11"/>
        <v>18.729166666666668</v>
      </c>
      <c r="G45" s="41">
        <f>COUNTIF(Vertices[In-Degree],"&gt;= "&amp;F45)-COUNTIF(Vertices[In-Degree],"&gt;="&amp;F46)</f>
        <v>4</v>
      </c>
      <c r="H45" s="40">
        <f t="shared" si="12"/>
        <v>9.666666666666666</v>
      </c>
      <c r="I45" s="41">
        <f>COUNTIF(Vertices[Out-Degree],"&gt;= "&amp;H45)-COUNTIF(Vertices[Out-Degree],"&gt;="&amp;H46)</f>
        <v>0</v>
      </c>
      <c r="J45" s="40">
        <f t="shared" si="13"/>
        <v>5966.5519988749975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0.03771933333333331</v>
      </c>
      <c r="O45" s="41">
        <f>COUNTIF(Vertices[Eigenvector Centrality],"&gt;= "&amp;N45)-COUNTIF(Vertices[Eigenvector Centrality],"&gt;="&amp;N46)</f>
        <v>0</v>
      </c>
      <c r="P45" s="40">
        <f t="shared" si="16"/>
        <v>5.725347000000001</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4436</v>
      </c>
      <c r="B46" s="35"/>
      <c r="D46" s="33">
        <f t="shared" si="10"/>
        <v>0</v>
      </c>
      <c r="E46" s="3">
        <f>COUNTIF(Vertices[Degree],"&gt;= "&amp;D46)-COUNTIF(Vertices[Degree],"&gt;="&amp;D47)</f>
        <v>0</v>
      </c>
      <c r="F46" s="38">
        <f t="shared" si="11"/>
        <v>19.375</v>
      </c>
      <c r="G46" s="39">
        <f>COUNTIF(Vertices[In-Degree],"&gt;= "&amp;F46)-COUNTIF(Vertices[In-Degree],"&gt;="&amp;F47)</f>
        <v>1</v>
      </c>
      <c r="H46" s="38">
        <f t="shared" si="12"/>
        <v>10</v>
      </c>
      <c r="I46" s="39">
        <f>COUNTIF(Vertices[Out-Degree],"&gt;= "&amp;H46)-COUNTIF(Vertices[Out-Degree],"&gt;="&amp;H47)</f>
        <v>0</v>
      </c>
      <c r="J46" s="38">
        <f t="shared" si="13"/>
        <v>6172.295171249997</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0.03901999999999998</v>
      </c>
      <c r="O46" s="39">
        <f>COUNTIF(Vertices[Eigenvector Centrality],"&gt;= "&amp;N46)-COUNTIF(Vertices[Eigenvector Centrality],"&gt;="&amp;N47)</f>
        <v>0</v>
      </c>
      <c r="P46" s="38">
        <f t="shared" si="16"/>
        <v>5.911737000000001</v>
      </c>
      <c r="Q46" s="39">
        <f>COUNTIF(Vertices[PageRank],"&gt;= "&amp;P46)-COUNTIF(Vertices[PageRank],"&gt;="&amp;P47)</f>
        <v>1</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20.020833333333332</v>
      </c>
      <c r="G47" s="41">
        <f>COUNTIF(Vertices[In-Degree],"&gt;= "&amp;F47)-COUNTIF(Vertices[In-Degree],"&gt;="&amp;F48)</f>
        <v>0</v>
      </c>
      <c r="H47" s="40">
        <f t="shared" si="12"/>
        <v>10.333333333333334</v>
      </c>
      <c r="I47" s="41">
        <f>COUNTIF(Vertices[Out-Degree],"&gt;= "&amp;H47)-COUNTIF(Vertices[Out-Degree],"&gt;="&amp;H48)</f>
        <v>0</v>
      </c>
      <c r="J47" s="40">
        <f t="shared" si="13"/>
        <v>6378.038343624997</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0.040320666666666644</v>
      </c>
      <c r="O47" s="41">
        <f>COUNTIF(Vertices[Eigenvector Centrality],"&gt;= "&amp;N47)-COUNTIF(Vertices[Eigenvector Centrality],"&gt;="&amp;N48)</f>
        <v>0</v>
      </c>
      <c r="P47" s="40">
        <f t="shared" si="16"/>
        <v>6.098127000000002</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4437</v>
      </c>
      <c r="B48" s="35" t="s">
        <v>32</v>
      </c>
      <c r="D48" s="33">
        <f t="shared" si="10"/>
        <v>0</v>
      </c>
      <c r="E48" s="3">
        <f>COUNTIF(Vertices[Degree],"&gt;= "&amp;D48)-COUNTIF(Vertices[Degree],"&gt;="&amp;D49)</f>
        <v>0</v>
      </c>
      <c r="F48" s="38">
        <f t="shared" si="11"/>
        <v>20.666666666666664</v>
      </c>
      <c r="G48" s="39">
        <f>COUNTIF(Vertices[In-Degree],"&gt;= "&amp;F48)-COUNTIF(Vertices[In-Degree],"&gt;="&amp;F49)</f>
        <v>0</v>
      </c>
      <c r="H48" s="38">
        <f t="shared" si="12"/>
        <v>10.666666666666668</v>
      </c>
      <c r="I48" s="39">
        <f>COUNTIF(Vertices[Out-Degree],"&gt;= "&amp;H48)-COUNTIF(Vertices[Out-Degree],"&gt;="&amp;H49)</f>
        <v>0</v>
      </c>
      <c r="J48" s="38">
        <f t="shared" si="13"/>
        <v>6583.781515999996</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0.04162133333333331</v>
      </c>
      <c r="O48" s="39">
        <f>COUNTIF(Vertices[Eigenvector Centrality],"&gt;= "&amp;N48)-COUNTIF(Vertices[Eigenvector Centrality],"&gt;="&amp;N49)</f>
        <v>0</v>
      </c>
      <c r="P48" s="38">
        <f t="shared" si="16"/>
        <v>6.284517000000002</v>
      </c>
      <c r="Q48" s="39">
        <f>COUNTIF(Vertices[PageRank],"&gt;= "&amp;P48)-COUNTIF(Vertices[PageRank],"&gt;="&amp;P49)</f>
        <v>0</v>
      </c>
      <c r="R48" s="38">
        <f t="shared" si="17"/>
        <v>0.6666666666666667</v>
      </c>
      <c r="S48" s="44">
        <f>COUNTIF(Vertices[Clustering Coefficient],"&gt;= "&amp;R48)-COUNTIF(Vertices[Clustering Coefficient],"&gt;="&amp;R49)</f>
        <v>12</v>
      </c>
      <c r="T48" s="38" t="e">
        <f ca="1" t="shared" si="18"/>
        <v>#REF!</v>
      </c>
      <c r="U48" s="39" t="e">
        <f ca="1" t="shared" si="0"/>
        <v>#REF!</v>
      </c>
    </row>
    <row r="49" spans="1:21" ht="15">
      <c r="A49" s="35" t="s">
        <v>4438</v>
      </c>
      <c r="B49" s="35"/>
      <c r="D49" s="33">
        <f t="shared" si="10"/>
        <v>0</v>
      </c>
      <c r="E49" s="3">
        <f>COUNTIF(Vertices[Degree],"&gt;= "&amp;D49)-COUNTIF(Vertices[Degree],"&gt;="&amp;#REF!)</f>
        <v>0</v>
      </c>
      <c r="F49" s="40">
        <f t="shared" si="11"/>
        <v>21.312499999999996</v>
      </c>
      <c r="G49" s="41">
        <f>COUNTIF(Vertices[In-Degree],"&gt;= "&amp;F49)-COUNTIF(Vertices[In-Degree],"&gt;="&amp;#REF!)</f>
        <v>3</v>
      </c>
      <c r="H49" s="40">
        <f t="shared" si="12"/>
        <v>11.000000000000002</v>
      </c>
      <c r="I49" s="41">
        <f>COUNTIF(Vertices[Out-Degree],"&gt;= "&amp;H49)-COUNTIF(Vertices[Out-Degree],"&gt;="&amp;#REF!)</f>
        <v>4</v>
      </c>
      <c r="J49" s="40">
        <f t="shared" si="13"/>
        <v>6789.524688374996</v>
      </c>
      <c r="K49" s="41">
        <f>COUNTIF(Vertices[Betweenness Centrality],"&gt;= "&amp;J49)-COUNTIF(Vertices[Betweenness Centrality],"&gt;="&amp;#REF!)</f>
        <v>4</v>
      </c>
      <c r="L49" s="40">
        <f t="shared" si="14"/>
        <v>0.6875000000000001</v>
      </c>
      <c r="M49" s="41">
        <f>COUNTIF(Vertices[Closeness Centrality],"&gt;= "&amp;L49)-COUNTIF(Vertices[Closeness Centrality],"&gt;="&amp;#REF!)</f>
        <v>16</v>
      </c>
      <c r="N49" s="40">
        <f t="shared" si="15"/>
        <v>0.042921999999999974</v>
      </c>
      <c r="O49" s="41">
        <f>COUNTIF(Vertices[Eigenvector Centrality],"&gt;= "&amp;N49)-COUNTIF(Vertices[Eigenvector Centrality],"&gt;="&amp;#REF!)</f>
        <v>9</v>
      </c>
      <c r="P49" s="40">
        <f t="shared" si="16"/>
        <v>6.470907000000002</v>
      </c>
      <c r="Q49" s="41">
        <f>COUNTIF(Vertices[PageRank],"&gt;= "&amp;P49)-COUNTIF(Vertices[PageRank],"&gt;="&amp;#REF!)</f>
        <v>2</v>
      </c>
      <c r="R49" s="40">
        <f t="shared" si="17"/>
        <v>0.6875000000000001</v>
      </c>
      <c r="S49" s="45">
        <f>COUNTIF(Vertices[Clustering Coefficient],"&gt;= "&amp;R49)-COUNTIF(Vertices[Clustering Coefficient],"&gt;="&amp;#REF!)</f>
        <v>2</v>
      </c>
      <c r="T49" s="40" t="e">
        <f ca="1" t="shared" si="18"/>
        <v>#REF!</v>
      </c>
      <c r="U49" s="41" t="e">
        <f ca="1">COUNTIF(INDIRECT(DynamicFilterSourceColumnRange),"&gt;= "&amp;T49)-COUNTIF(INDIRECT(DynamicFilterSourceColumnRange),"&gt;="&amp;#REF!)</f>
        <v>#REF!</v>
      </c>
    </row>
    <row r="50" spans="1:21" ht="15">
      <c r="A50" s="35" t="s">
        <v>4439</v>
      </c>
      <c r="B50" s="35"/>
      <c r="D50" s="33">
        <f>MAX(Vertices[Degree])</f>
        <v>0</v>
      </c>
      <c r="E50" s="3">
        <f>COUNTIF(Vertices[Degree],"&gt;= "&amp;D50)-COUNTIF(Vertices[Degree],"&gt;="&amp;#REF!)</f>
        <v>0</v>
      </c>
      <c r="F50" s="42">
        <f>MAX(Vertices[In-Degree])</f>
        <v>31</v>
      </c>
      <c r="G50" s="43">
        <f>COUNTIF(Vertices[In-Degree],"&gt;= "&amp;F50)-COUNTIF(Vertices[In-Degree],"&gt;="&amp;#REF!)</f>
        <v>1</v>
      </c>
      <c r="H50" s="42">
        <f>MAX(Vertices[Out-Degree])</f>
        <v>16</v>
      </c>
      <c r="I50" s="43">
        <f>COUNTIF(Vertices[Out-Degree],"&gt;= "&amp;H50)-COUNTIF(Vertices[Out-Degree],"&gt;="&amp;#REF!)</f>
        <v>1</v>
      </c>
      <c r="J50" s="42">
        <f>MAX(Vertices[Betweenness Centrality])</f>
        <v>9875.672274</v>
      </c>
      <c r="K50" s="43">
        <f>COUNTIF(Vertices[Betweenness Centrality],"&gt;= "&amp;J50)-COUNTIF(Vertices[Betweenness Centrality],"&gt;="&amp;#REF!)</f>
        <v>1</v>
      </c>
      <c r="L50" s="42">
        <f>MAX(Vertices[Closeness Centrality])</f>
        <v>1</v>
      </c>
      <c r="M50" s="43">
        <f>COUNTIF(Vertices[Closeness Centrality],"&gt;= "&amp;L50)-COUNTIF(Vertices[Closeness Centrality],"&gt;="&amp;#REF!)</f>
        <v>16</v>
      </c>
      <c r="N50" s="42">
        <f>MAX(Vertices[Eigenvector Centrality])</f>
        <v>0.062432</v>
      </c>
      <c r="O50" s="43">
        <f>COUNTIF(Vertices[Eigenvector Centrality],"&gt;= "&amp;N50)-COUNTIF(Vertices[Eigenvector Centrality],"&gt;="&amp;#REF!)</f>
        <v>1</v>
      </c>
      <c r="P50" s="42">
        <f>MAX(Vertices[PageRank])</f>
        <v>9.266757</v>
      </c>
      <c r="Q50" s="43">
        <f>COUNTIF(Vertices[PageRank],"&gt;= "&amp;P50)-COUNTIF(Vertices[PageRank],"&gt;="&amp;#REF!)</f>
        <v>1</v>
      </c>
      <c r="R50" s="42">
        <f>MAX(Vertices[Clustering Coefficient])</f>
        <v>1</v>
      </c>
      <c r="S50" s="46">
        <f>COUNTIF(Vertices[Clustering Coefficient],"&gt;= "&amp;R50)-COUNTIF(Vertices[Clustering Coefficient],"&gt;="&amp;#REF!)</f>
        <v>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31</v>
      </c>
    </row>
    <row r="82" spans="1:2" ht="15">
      <c r="A82" s="34" t="s">
        <v>90</v>
      </c>
      <c r="B82" s="48">
        <f>_xlfn.IFERROR(AVERAGE(Vertices[In-Degree]),NoMetricMessage)</f>
        <v>2.453271028037383</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16</v>
      </c>
    </row>
    <row r="96" spans="1:2" ht="15">
      <c r="A96" s="34" t="s">
        <v>96</v>
      </c>
      <c r="B96" s="48">
        <f>_xlfn.IFERROR(AVERAGE(Vertices[Out-Degree]),NoMetricMessage)</f>
        <v>2.453271028037383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9875.672274</v>
      </c>
    </row>
    <row r="110" spans="1:2" ht="15">
      <c r="A110" s="34" t="s">
        <v>102</v>
      </c>
      <c r="B110" s="48">
        <f>_xlfn.IFERROR(AVERAGE(Vertices[Betweenness Centrality]),NoMetricMessage)</f>
        <v>455.55140185046724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0.08145621028037386</v>
      </c>
    </row>
    <row r="125" spans="1:2" ht="15">
      <c r="A125" s="34" t="s">
        <v>109</v>
      </c>
      <c r="B125" s="48">
        <f>_xlfn.IFERROR(MEDIAN(Vertices[Closeness Centrality]),NoMetricMessage)</f>
        <v>0.001511</v>
      </c>
    </row>
    <row r="136" spans="1:2" ht="15">
      <c r="A136" s="34" t="s">
        <v>112</v>
      </c>
      <c r="B136" s="48">
        <f>IF(COUNT(Vertices[Eigenvector Centrality])&gt;0,N2,NoMetricMessage)</f>
        <v>0</v>
      </c>
    </row>
    <row r="137" spans="1:2" ht="15">
      <c r="A137" s="34" t="s">
        <v>113</v>
      </c>
      <c r="B137" s="48">
        <f>IF(COUNT(Vertices[Eigenvector Centrality])&gt;0,N50,NoMetricMessage)</f>
        <v>0.062432</v>
      </c>
    </row>
    <row r="138" spans="1:2" ht="15">
      <c r="A138" s="34" t="s">
        <v>114</v>
      </c>
      <c r="B138" s="48">
        <f>_xlfn.IFERROR(AVERAGE(Vertices[Eigenvector Centrality]),NoMetricMessage)</f>
        <v>0.00467291121495327</v>
      </c>
    </row>
    <row r="139" spans="1:2" ht="15">
      <c r="A139" s="34" t="s">
        <v>115</v>
      </c>
      <c r="B139" s="48">
        <f>_xlfn.IFERROR(MEDIAN(Vertices[Eigenvector Centrality]),NoMetricMessage)</f>
        <v>0.0001535</v>
      </c>
    </row>
    <row r="150" spans="1:2" ht="15">
      <c r="A150" s="34" t="s">
        <v>140</v>
      </c>
      <c r="B150" s="48">
        <f>IF(COUNT(Vertices[PageRank])&gt;0,P2,NoMetricMessage)</f>
        <v>0.320037</v>
      </c>
    </row>
    <row r="151" spans="1:2" ht="15">
      <c r="A151" s="34" t="s">
        <v>141</v>
      </c>
      <c r="B151" s="48">
        <f>IF(COUNT(Vertices[PageRank])&gt;0,P50,NoMetricMessage)</f>
        <v>9.266757</v>
      </c>
    </row>
    <row r="152" spans="1:2" ht="15">
      <c r="A152" s="34" t="s">
        <v>142</v>
      </c>
      <c r="B152" s="48">
        <f>_xlfn.IFERROR(AVERAGE(Vertices[PageRank]),NoMetricMessage)</f>
        <v>0.9999972757009351</v>
      </c>
    </row>
    <row r="153" spans="1:2" ht="15">
      <c r="A153" s="34" t="s">
        <v>143</v>
      </c>
      <c r="B153" s="48">
        <f>_xlfn.IFERROR(MEDIAN(Vertices[PageRank]),NoMetricMessage)</f>
        <v>0.701753</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0.10855118759635285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2511</v>
      </c>
    </row>
    <row r="6" spans="1:18" ht="409.6">
      <c r="A6">
        <v>0</v>
      </c>
      <c r="B6" s="1" t="s">
        <v>136</v>
      </c>
      <c r="C6">
        <v>1</v>
      </c>
      <c r="D6" t="s">
        <v>59</v>
      </c>
      <c r="E6" t="s">
        <v>59</v>
      </c>
      <c r="F6">
        <v>0</v>
      </c>
      <c r="H6" t="s">
        <v>71</v>
      </c>
      <c r="J6" t="s">
        <v>173</v>
      </c>
      <c r="K6" s="13" t="s">
        <v>2512</v>
      </c>
      <c r="R6" t="s">
        <v>129</v>
      </c>
    </row>
    <row r="7" spans="1:11" ht="409.6">
      <c r="A7">
        <v>2</v>
      </c>
      <c r="B7">
        <v>1</v>
      </c>
      <c r="C7">
        <v>0</v>
      </c>
      <c r="D7" t="s">
        <v>60</v>
      </c>
      <c r="E7" t="s">
        <v>60</v>
      </c>
      <c r="F7">
        <v>2</v>
      </c>
      <c r="H7" t="s">
        <v>72</v>
      </c>
      <c r="J7" t="s">
        <v>174</v>
      </c>
      <c r="K7" s="13" t="s">
        <v>2513</v>
      </c>
    </row>
    <row r="8" spans="1:11" ht="409.6">
      <c r="A8"/>
      <c r="B8">
        <v>2</v>
      </c>
      <c r="C8">
        <v>2</v>
      </c>
      <c r="D8" t="s">
        <v>61</v>
      </c>
      <c r="E8" t="s">
        <v>61</v>
      </c>
      <c r="H8" t="s">
        <v>73</v>
      </c>
      <c r="J8" t="s">
        <v>175</v>
      </c>
      <c r="K8" s="13" t="s">
        <v>2514</v>
      </c>
    </row>
    <row r="9" spans="1:11" ht="409.6">
      <c r="A9"/>
      <c r="B9">
        <v>3</v>
      </c>
      <c r="C9">
        <v>4</v>
      </c>
      <c r="D9" t="s">
        <v>62</v>
      </c>
      <c r="E9" t="s">
        <v>62</v>
      </c>
      <c r="H9" t="s">
        <v>74</v>
      </c>
      <c r="J9" t="s">
        <v>176</v>
      </c>
      <c r="K9" s="13" t="s">
        <v>2515</v>
      </c>
    </row>
    <row r="10" spans="1:11" ht="409.6">
      <c r="A10"/>
      <c r="B10">
        <v>4</v>
      </c>
      <c r="D10" t="s">
        <v>63</v>
      </c>
      <c r="E10" t="s">
        <v>63</v>
      </c>
      <c r="H10" t="s">
        <v>75</v>
      </c>
      <c r="J10" t="s">
        <v>177</v>
      </c>
      <c r="K10" s="13" t="s">
        <v>2516</v>
      </c>
    </row>
    <row r="11" spans="1:11" ht="409.6">
      <c r="A11"/>
      <c r="B11">
        <v>5</v>
      </c>
      <c r="D11" t="s">
        <v>46</v>
      </c>
      <c r="E11">
        <v>1</v>
      </c>
      <c r="H11" t="s">
        <v>76</v>
      </c>
      <c r="J11" t="s">
        <v>178</v>
      </c>
      <c r="K11" s="13" t="s">
        <v>5252</v>
      </c>
    </row>
    <row r="12" spans="1:11" ht="409.6">
      <c r="A12"/>
      <c r="B12"/>
      <c r="D12" t="s">
        <v>64</v>
      </c>
      <c r="E12">
        <v>2</v>
      </c>
      <c r="H12">
        <v>0</v>
      </c>
      <c r="J12" t="s">
        <v>179</v>
      </c>
      <c r="K12" s="13" t="s">
        <v>5253</v>
      </c>
    </row>
    <row r="13" spans="1:11" ht="409.6">
      <c r="A13"/>
      <c r="B13"/>
      <c r="D13">
        <v>1</v>
      </c>
      <c r="E13">
        <v>3</v>
      </c>
      <c r="H13">
        <v>1</v>
      </c>
      <c r="J13" t="s">
        <v>180</v>
      </c>
      <c r="K13" s="13" t="s">
        <v>5254</v>
      </c>
    </row>
    <row r="14" spans="4:11" ht="15">
      <c r="D14">
        <v>2</v>
      </c>
      <c r="E14">
        <v>4</v>
      </c>
      <c r="H14">
        <v>2</v>
      </c>
      <c r="J14" t="s">
        <v>181</v>
      </c>
      <c r="K14">
        <v>9</v>
      </c>
    </row>
    <row r="15" spans="4:11" ht="15">
      <c r="D15">
        <v>3</v>
      </c>
      <c r="E15">
        <v>5</v>
      </c>
      <c r="H15">
        <v>3</v>
      </c>
      <c r="J15" t="s">
        <v>183</v>
      </c>
      <c r="K15" t="s">
        <v>5250</v>
      </c>
    </row>
    <row r="16" spans="4:11" ht="409.6">
      <c r="D16">
        <v>4</v>
      </c>
      <c r="E16">
        <v>6</v>
      </c>
      <c r="H16">
        <v>4</v>
      </c>
      <c r="J16" t="s">
        <v>184</v>
      </c>
      <c r="K16" s="13" t="s">
        <v>5251</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F232F-D2B5-4085-AFA0-3E997B64161F}">
  <dimension ref="A1:G184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2555</v>
      </c>
      <c r="B1" s="13" t="s">
        <v>3154</v>
      </c>
      <c r="C1" s="13" t="s">
        <v>3158</v>
      </c>
      <c r="D1" s="13" t="s">
        <v>144</v>
      </c>
      <c r="E1" s="13" t="s">
        <v>3160</v>
      </c>
      <c r="F1" s="13" t="s">
        <v>3161</v>
      </c>
      <c r="G1" s="13" t="s">
        <v>3162</v>
      </c>
    </row>
    <row r="2" spans="1:7" ht="15">
      <c r="A2" s="83" t="s">
        <v>2556</v>
      </c>
      <c r="B2" s="83" t="s">
        <v>3155</v>
      </c>
      <c r="C2" s="113"/>
      <c r="D2" s="83"/>
      <c r="E2" s="83"/>
      <c r="F2" s="83"/>
      <c r="G2" s="83"/>
    </row>
    <row r="3" spans="1:7" ht="15">
      <c r="A3" s="84" t="s">
        <v>2557</v>
      </c>
      <c r="B3" s="83" t="s">
        <v>3156</v>
      </c>
      <c r="C3" s="113"/>
      <c r="D3" s="83"/>
      <c r="E3" s="83"/>
      <c r="F3" s="83"/>
      <c r="G3" s="83"/>
    </row>
    <row r="4" spans="1:7" ht="15">
      <c r="A4" s="84" t="s">
        <v>2558</v>
      </c>
      <c r="B4" s="83" t="s">
        <v>3157</v>
      </c>
      <c r="C4" s="113"/>
      <c r="D4" s="83"/>
      <c r="E4" s="83"/>
      <c r="F4" s="83"/>
      <c r="G4" s="83"/>
    </row>
    <row r="5" spans="1:7" ht="15">
      <c r="A5" s="84" t="s">
        <v>2559</v>
      </c>
      <c r="B5" s="83">
        <v>0</v>
      </c>
      <c r="C5" s="113">
        <v>0</v>
      </c>
      <c r="D5" s="83"/>
      <c r="E5" s="83"/>
      <c r="F5" s="83"/>
      <c r="G5" s="83"/>
    </row>
    <row r="6" spans="1:7" ht="15">
      <c r="A6" s="84" t="s">
        <v>2560</v>
      </c>
      <c r="B6" s="83">
        <v>0</v>
      </c>
      <c r="C6" s="113">
        <v>0</v>
      </c>
      <c r="D6" s="83"/>
      <c r="E6" s="83"/>
      <c r="F6" s="83"/>
      <c r="G6" s="83"/>
    </row>
    <row r="7" spans="1:7" ht="15">
      <c r="A7" s="84" t="s">
        <v>2561</v>
      </c>
      <c r="B7" s="83">
        <v>0</v>
      </c>
      <c r="C7" s="113">
        <v>0</v>
      </c>
      <c r="D7" s="83"/>
      <c r="E7" s="83"/>
      <c r="F7" s="83"/>
      <c r="G7" s="83"/>
    </row>
    <row r="8" spans="1:7" ht="15">
      <c r="A8" s="84" t="s">
        <v>2562</v>
      </c>
      <c r="B8" s="83">
        <v>11943</v>
      </c>
      <c r="C8" s="113">
        <v>1</v>
      </c>
      <c r="D8" s="83"/>
      <c r="E8" s="83"/>
      <c r="F8" s="83"/>
      <c r="G8" s="83"/>
    </row>
    <row r="9" spans="1:7" ht="15">
      <c r="A9" s="84" t="s">
        <v>2563</v>
      </c>
      <c r="B9" s="83">
        <v>11943</v>
      </c>
      <c r="C9" s="113">
        <v>1</v>
      </c>
      <c r="D9" s="83"/>
      <c r="E9" s="83"/>
      <c r="F9" s="83"/>
      <c r="G9" s="83"/>
    </row>
    <row r="10" spans="1:7" ht="15">
      <c r="A10" s="92" t="s">
        <v>2564</v>
      </c>
      <c r="B10" s="91">
        <v>419</v>
      </c>
      <c r="C10" s="114">
        <v>0</v>
      </c>
      <c r="D10" s="91" t="s">
        <v>3159</v>
      </c>
      <c r="E10" s="91" t="b">
        <v>0</v>
      </c>
      <c r="F10" s="91" t="b">
        <v>0</v>
      </c>
      <c r="G10" s="91" t="b">
        <v>0</v>
      </c>
    </row>
    <row r="11" spans="1:7" ht="15">
      <c r="A11" s="92" t="s">
        <v>2565</v>
      </c>
      <c r="B11" s="91">
        <v>232</v>
      </c>
      <c r="C11" s="114">
        <v>0.0050135051206642925</v>
      </c>
      <c r="D11" s="91" t="s">
        <v>3159</v>
      </c>
      <c r="E11" s="91" t="b">
        <v>0</v>
      </c>
      <c r="F11" s="91" t="b">
        <v>0</v>
      </c>
      <c r="G11" s="91" t="b">
        <v>0</v>
      </c>
    </row>
    <row r="12" spans="1:7" ht="15">
      <c r="A12" s="92" t="s">
        <v>2566</v>
      </c>
      <c r="B12" s="91">
        <v>230</v>
      </c>
      <c r="C12" s="114">
        <v>0.005043082743956359</v>
      </c>
      <c r="D12" s="91" t="s">
        <v>3159</v>
      </c>
      <c r="E12" s="91" t="b">
        <v>0</v>
      </c>
      <c r="F12" s="91" t="b">
        <v>0</v>
      </c>
      <c r="G12" s="91" t="b">
        <v>0</v>
      </c>
    </row>
    <row r="13" spans="1:7" ht="15">
      <c r="A13" s="92" t="s">
        <v>2567</v>
      </c>
      <c r="B13" s="91">
        <v>217</v>
      </c>
      <c r="C13" s="114">
        <v>0.00563226061982995</v>
      </c>
      <c r="D13" s="91" t="s">
        <v>3159</v>
      </c>
      <c r="E13" s="91" t="b">
        <v>0</v>
      </c>
      <c r="F13" s="91" t="b">
        <v>0</v>
      </c>
      <c r="G13" s="91" t="b">
        <v>0</v>
      </c>
    </row>
    <row r="14" spans="1:7" ht="15">
      <c r="A14" s="92" t="s">
        <v>2568</v>
      </c>
      <c r="B14" s="91">
        <v>212</v>
      </c>
      <c r="C14" s="114">
        <v>0.006855521801813972</v>
      </c>
      <c r="D14" s="91" t="s">
        <v>3159</v>
      </c>
      <c r="E14" s="91" t="b">
        <v>0</v>
      </c>
      <c r="F14" s="91" t="b">
        <v>0</v>
      </c>
      <c r="G14" s="91" t="b">
        <v>0</v>
      </c>
    </row>
    <row r="15" spans="1:7" ht="15">
      <c r="A15" s="92" t="s">
        <v>2569</v>
      </c>
      <c r="B15" s="91">
        <v>207</v>
      </c>
      <c r="C15" s="114">
        <v>0.005336064077814913</v>
      </c>
      <c r="D15" s="91" t="s">
        <v>3159</v>
      </c>
      <c r="E15" s="91" t="b">
        <v>0</v>
      </c>
      <c r="F15" s="91" t="b">
        <v>0</v>
      </c>
      <c r="G15" s="91" t="b">
        <v>0</v>
      </c>
    </row>
    <row r="16" spans="1:7" ht="15">
      <c r="A16" s="92" t="s">
        <v>2570</v>
      </c>
      <c r="B16" s="91">
        <v>205</v>
      </c>
      <c r="C16" s="114">
        <v>0.005357267103675161</v>
      </c>
      <c r="D16" s="91" t="s">
        <v>3159</v>
      </c>
      <c r="E16" s="91" t="b">
        <v>0</v>
      </c>
      <c r="F16" s="91" t="b">
        <v>0</v>
      </c>
      <c r="G16" s="91" t="b">
        <v>0</v>
      </c>
    </row>
    <row r="17" spans="1:7" ht="15">
      <c r="A17" s="92" t="s">
        <v>2571</v>
      </c>
      <c r="B17" s="91">
        <v>203</v>
      </c>
      <c r="C17" s="114">
        <v>0.005377756815300987</v>
      </c>
      <c r="D17" s="91" t="s">
        <v>3159</v>
      </c>
      <c r="E17" s="91" t="b">
        <v>0</v>
      </c>
      <c r="F17" s="91" t="b">
        <v>0</v>
      </c>
      <c r="G17" s="91" t="b">
        <v>0</v>
      </c>
    </row>
    <row r="18" spans="1:7" ht="15">
      <c r="A18" s="92" t="s">
        <v>2572</v>
      </c>
      <c r="B18" s="91">
        <v>174</v>
      </c>
      <c r="C18" s="114">
        <v>0.005590039629205642</v>
      </c>
      <c r="D18" s="91" t="s">
        <v>3159</v>
      </c>
      <c r="E18" s="91" t="b">
        <v>0</v>
      </c>
      <c r="F18" s="91" t="b">
        <v>0</v>
      </c>
      <c r="G18" s="91" t="b">
        <v>0</v>
      </c>
    </row>
    <row r="19" spans="1:7" ht="15">
      <c r="A19" s="92" t="s">
        <v>2573</v>
      </c>
      <c r="B19" s="91">
        <v>165</v>
      </c>
      <c r="C19" s="114">
        <v>0.005621251093783181</v>
      </c>
      <c r="D19" s="91" t="s">
        <v>3159</v>
      </c>
      <c r="E19" s="91" t="b">
        <v>0</v>
      </c>
      <c r="F19" s="91" t="b">
        <v>0</v>
      </c>
      <c r="G19" s="91" t="b">
        <v>0</v>
      </c>
    </row>
    <row r="20" spans="1:7" ht="15">
      <c r="A20" s="92" t="s">
        <v>2574</v>
      </c>
      <c r="B20" s="91">
        <v>152</v>
      </c>
      <c r="C20" s="114">
        <v>0.005634369202295578</v>
      </c>
      <c r="D20" s="91" t="s">
        <v>3159</v>
      </c>
      <c r="E20" s="91" t="b">
        <v>0</v>
      </c>
      <c r="F20" s="91" t="b">
        <v>0</v>
      </c>
      <c r="G20" s="91" t="b">
        <v>0</v>
      </c>
    </row>
    <row r="21" spans="1:7" ht="15">
      <c r="A21" s="92" t="s">
        <v>2575</v>
      </c>
      <c r="B21" s="91">
        <v>150</v>
      </c>
      <c r="C21" s="114">
        <v>0.005632863180689571</v>
      </c>
      <c r="D21" s="91" t="s">
        <v>3159</v>
      </c>
      <c r="E21" s="91" t="b">
        <v>0</v>
      </c>
      <c r="F21" s="91" t="b">
        <v>0</v>
      </c>
      <c r="G21" s="91" t="b">
        <v>0</v>
      </c>
    </row>
    <row r="22" spans="1:7" ht="15">
      <c r="A22" s="92" t="s">
        <v>2576</v>
      </c>
      <c r="B22" s="91">
        <v>147</v>
      </c>
      <c r="C22" s="114">
        <v>0.005739577023404353</v>
      </c>
      <c r="D22" s="91" t="s">
        <v>3159</v>
      </c>
      <c r="E22" s="91" t="b">
        <v>0</v>
      </c>
      <c r="F22" s="91" t="b">
        <v>0</v>
      </c>
      <c r="G22" s="91" t="b">
        <v>0</v>
      </c>
    </row>
    <row r="23" spans="1:7" ht="15">
      <c r="A23" s="92" t="s">
        <v>2577</v>
      </c>
      <c r="B23" s="91">
        <v>139</v>
      </c>
      <c r="C23" s="114">
        <v>0.007382771436957767</v>
      </c>
      <c r="D23" s="91" t="s">
        <v>3159</v>
      </c>
      <c r="E23" s="91" t="b">
        <v>0</v>
      </c>
      <c r="F23" s="91" t="b">
        <v>0</v>
      </c>
      <c r="G23" s="91" t="b">
        <v>0</v>
      </c>
    </row>
    <row r="24" spans="1:7" ht="15">
      <c r="A24" s="92" t="s">
        <v>2578</v>
      </c>
      <c r="B24" s="91">
        <v>135</v>
      </c>
      <c r="C24" s="114">
        <v>0.006645312784382633</v>
      </c>
      <c r="D24" s="91" t="s">
        <v>3159</v>
      </c>
      <c r="E24" s="91" t="b">
        <v>0</v>
      </c>
      <c r="F24" s="91" t="b">
        <v>0</v>
      </c>
      <c r="G24" s="91" t="b">
        <v>0</v>
      </c>
    </row>
    <row r="25" spans="1:7" ht="15">
      <c r="A25" s="92" t="s">
        <v>2579</v>
      </c>
      <c r="B25" s="91">
        <v>132</v>
      </c>
      <c r="C25" s="114">
        <v>0.005573778797338283</v>
      </c>
      <c r="D25" s="91" t="s">
        <v>3159</v>
      </c>
      <c r="E25" s="91" t="b">
        <v>0</v>
      </c>
      <c r="F25" s="91" t="b">
        <v>0</v>
      </c>
      <c r="G25" s="91" t="b">
        <v>0</v>
      </c>
    </row>
    <row r="26" spans="1:7" ht="15">
      <c r="A26" s="92" t="s">
        <v>2580</v>
      </c>
      <c r="B26" s="91">
        <v>129</v>
      </c>
      <c r="C26" s="114">
        <v>0.006756364390795632</v>
      </c>
      <c r="D26" s="91" t="s">
        <v>3159</v>
      </c>
      <c r="E26" s="91" t="b">
        <v>0</v>
      </c>
      <c r="F26" s="91" t="b">
        <v>0</v>
      </c>
      <c r="G26" s="91" t="b">
        <v>0</v>
      </c>
    </row>
    <row r="27" spans="1:7" ht="15">
      <c r="A27" s="92" t="s">
        <v>2581</v>
      </c>
      <c r="B27" s="91">
        <v>125</v>
      </c>
      <c r="C27" s="114">
        <v>0.005527188656968002</v>
      </c>
      <c r="D27" s="91" t="s">
        <v>3159</v>
      </c>
      <c r="E27" s="91" t="b">
        <v>0</v>
      </c>
      <c r="F27" s="91" t="b">
        <v>0</v>
      </c>
      <c r="G27" s="91" t="b">
        <v>0</v>
      </c>
    </row>
    <row r="28" spans="1:7" ht="15">
      <c r="A28" s="92" t="s">
        <v>2582</v>
      </c>
      <c r="B28" s="91">
        <v>119</v>
      </c>
      <c r="C28" s="114">
        <v>0.006739567166855598</v>
      </c>
      <c r="D28" s="91" t="s">
        <v>3159</v>
      </c>
      <c r="E28" s="91" t="b">
        <v>0</v>
      </c>
      <c r="F28" s="91" t="b">
        <v>0</v>
      </c>
      <c r="G28" s="91" t="b">
        <v>0</v>
      </c>
    </row>
    <row r="29" spans="1:7" ht="15">
      <c r="A29" s="92" t="s">
        <v>2583</v>
      </c>
      <c r="B29" s="91">
        <v>109</v>
      </c>
      <c r="C29" s="114">
        <v>0.005365474766649681</v>
      </c>
      <c r="D29" s="91" t="s">
        <v>3159</v>
      </c>
      <c r="E29" s="91" t="b">
        <v>0</v>
      </c>
      <c r="F29" s="91" t="b">
        <v>0</v>
      </c>
      <c r="G29" s="91" t="b">
        <v>0</v>
      </c>
    </row>
    <row r="30" spans="1:7" ht="15">
      <c r="A30" s="92" t="s">
        <v>2584</v>
      </c>
      <c r="B30" s="91">
        <v>106</v>
      </c>
      <c r="C30" s="114">
        <v>0.00532594820844795</v>
      </c>
      <c r="D30" s="91" t="s">
        <v>3159</v>
      </c>
      <c r="E30" s="91" t="b">
        <v>0</v>
      </c>
      <c r="F30" s="91" t="b">
        <v>0</v>
      </c>
      <c r="G30" s="91" t="b">
        <v>0</v>
      </c>
    </row>
    <row r="31" spans="1:7" ht="15">
      <c r="A31" s="92" t="s">
        <v>2585</v>
      </c>
      <c r="B31" s="91">
        <v>97</v>
      </c>
      <c r="C31" s="114">
        <v>0.005188375589554284</v>
      </c>
      <c r="D31" s="91" t="s">
        <v>3159</v>
      </c>
      <c r="E31" s="91" t="b">
        <v>0</v>
      </c>
      <c r="F31" s="91" t="b">
        <v>0</v>
      </c>
      <c r="G31" s="91" t="b">
        <v>0</v>
      </c>
    </row>
    <row r="32" spans="1:7" ht="15">
      <c r="A32" s="92" t="s">
        <v>2586</v>
      </c>
      <c r="B32" s="91">
        <v>96</v>
      </c>
      <c r="C32" s="114">
        <v>0.005171254868094762</v>
      </c>
      <c r="D32" s="91" t="s">
        <v>3159</v>
      </c>
      <c r="E32" s="91" t="b">
        <v>0</v>
      </c>
      <c r="F32" s="91" t="b">
        <v>0</v>
      </c>
      <c r="G32" s="91" t="b">
        <v>0</v>
      </c>
    </row>
    <row r="33" spans="1:7" ht="15">
      <c r="A33" s="92" t="s">
        <v>2587</v>
      </c>
      <c r="B33" s="91">
        <v>91</v>
      </c>
      <c r="C33" s="114">
        <v>0.005306763792081838</v>
      </c>
      <c r="D33" s="91" t="s">
        <v>3159</v>
      </c>
      <c r="E33" s="91" t="b">
        <v>0</v>
      </c>
      <c r="F33" s="91" t="b">
        <v>0</v>
      </c>
      <c r="G33" s="91" t="b">
        <v>0</v>
      </c>
    </row>
    <row r="34" spans="1:7" ht="15">
      <c r="A34" s="92" t="s">
        <v>2588</v>
      </c>
      <c r="B34" s="91">
        <v>90</v>
      </c>
      <c r="C34" s="114">
        <v>0.005060390253992201</v>
      </c>
      <c r="D34" s="91" t="s">
        <v>3159</v>
      </c>
      <c r="E34" s="91" t="b">
        <v>0</v>
      </c>
      <c r="F34" s="91" t="b">
        <v>0</v>
      </c>
      <c r="G34" s="91" t="b">
        <v>0</v>
      </c>
    </row>
    <row r="35" spans="1:7" ht="15">
      <c r="A35" s="92" t="s">
        <v>2589</v>
      </c>
      <c r="B35" s="91">
        <v>87</v>
      </c>
      <c r="C35" s="114">
        <v>0.005926696798833272</v>
      </c>
      <c r="D35" s="91" t="s">
        <v>3159</v>
      </c>
      <c r="E35" s="91" t="b">
        <v>0</v>
      </c>
      <c r="F35" s="91" t="b">
        <v>0</v>
      </c>
      <c r="G35" s="91" t="b">
        <v>0</v>
      </c>
    </row>
    <row r="36" spans="1:7" ht="15">
      <c r="A36" s="92" t="s">
        <v>2590</v>
      </c>
      <c r="B36" s="91">
        <v>80</v>
      </c>
      <c r="C36" s="114">
        <v>0.0055412355118701255</v>
      </c>
      <c r="D36" s="91" t="s">
        <v>3159</v>
      </c>
      <c r="E36" s="91" t="b">
        <v>0</v>
      </c>
      <c r="F36" s="91" t="b">
        <v>0</v>
      </c>
      <c r="G36" s="91" t="b">
        <v>0</v>
      </c>
    </row>
    <row r="37" spans="1:7" ht="15">
      <c r="A37" s="92" t="s">
        <v>2591</v>
      </c>
      <c r="B37" s="91">
        <v>78</v>
      </c>
      <c r="C37" s="114">
        <v>0.00563849413244629</v>
      </c>
      <c r="D37" s="91" t="s">
        <v>3159</v>
      </c>
      <c r="E37" s="91" t="b">
        <v>0</v>
      </c>
      <c r="F37" s="91" t="b">
        <v>0</v>
      </c>
      <c r="G37" s="91" t="b">
        <v>0</v>
      </c>
    </row>
    <row r="38" spans="1:7" ht="15">
      <c r="A38" s="92" t="s">
        <v>2592</v>
      </c>
      <c r="B38" s="91">
        <v>78</v>
      </c>
      <c r="C38" s="114">
        <v>0.0047937133654472695</v>
      </c>
      <c r="D38" s="91" t="s">
        <v>3159</v>
      </c>
      <c r="E38" s="91" t="b">
        <v>0</v>
      </c>
      <c r="F38" s="91" t="b">
        <v>0</v>
      </c>
      <c r="G38" s="91" t="b">
        <v>0</v>
      </c>
    </row>
    <row r="39" spans="1:7" ht="15">
      <c r="A39" s="92" t="s">
        <v>2593</v>
      </c>
      <c r="B39" s="91">
        <v>70</v>
      </c>
      <c r="C39" s="114">
        <v>0.004578966229515378</v>
      </c>
      <c r="D39" s="91" t="s">
        <v>3159</v>
      </c>
      <c r="E39" s="91" t="b">
        <v>0</v>
      </c>
      <c r="F39" s="91" t="b">
        <v>0</v>
      </c>
      <c r="G39" s="91" t="b">
        <v>0</v>
      </c>
    </row>
    <row r="40" spans="1:7" ht="15">
      <c r="A40" s="92" t="s">
        <v>2594</v>
      </c>
      <c r="B40" s="91">
        <v>70</v>
      </c>
      <c r="C40" s="114">
        <v>0.004578966229515378</v>
      </c>
      <c r="D40" s="91" t="s">
        <v>3159</v>
      </c>
      <c r="E40" s="91" t="b">
        <v>0</v>
      </c>
      <c r="F40" s="91" t="b">
        <v>0</v>
      </c>
      <c r="G40" s="91" t="b">
        <v>0</v>
      </c>
    </row>
    <row r="41" spans="1:7" ht="15">
      <c r="A41" s="92" t="s">
        <v>2595</v>
      </c>
      <c r="B41" s="91">
        <v>69</v>
      </c>
      <c r="C41" s="114">
        <v>0.004549846828603011</v>
      </c>
      <c r="D41" s="91" t="s">
        <v>3159</v>
      </c>
      <c r="E41" s="91" t="b">
        <v>0</v>
      </c>
      <c r="F41" s="91" t="b">
        <v>0</v>
      </c>
      <c r="G41" s="91" t="b">
        <v>0</v>
      </c>
    </row>
    <row r="42" spans="1:7" ht="15">
      <c r="A42" s="92" t="s">
        <v>2596</v>
      </c>
      <c r="B42" s="91">
        <v>69</v>
      </c>
      <c r="C42" s="114">
        <v>0.004549846828603011</v>
      </c>
      <c r="D42" s="91" t="s">
        <v>3159</v>
      </c>
      <c r="E42" s="91" t="b">
        <v>0</v>
      </c>
      <c r="F42" s="91" t="b">
        <v>0</v>
      </c>
      <c r="G42" s="91" t="b">
        <v>0</v>
      </c>
    </row>
    <row r="43" spans="1:7" ht="15">
      <c r="A43" s="92" t="s">
        <v>2597</v>
      </c>
      <c r="B43" s="91">
        <v>69</v>
      </c>
      <c r="C43" s="114">
        <v>0.004549846828603011</v>
      </c>
      <c r="D43" s="91" t="s">
        <v>3159</v>
      </c>
      <c r="E43" s="91" t="b">
        <v>0</v>
      </c>
      <c r="F43" s="91" t="b">
        <v>0</v>
      </c>
      <c r="G43" s="91" t="b">
        <v>0</v>
      </c>
    </row>
    <row r="44" spans="1:7" ht="15">
      <c r="A44" s="92" t="s">
        <v>2598</v>
      </c>
      <c r="B44" s="91">
        <v>69</v>
      </c>
      <c r="C44" s="114">
        <v>0.004549846828603011</v>
      </c>
      <c r="D44" s="91" t="s">
        <v>3159</v>
      </c>
      <c r="E44" s="91" t="b">
        <v>0</v>
      </c>
      <c r="F44" s="91" t="b">
        <v>0</v>
      </c>
      <c r="G44" s="91" t="b">
        <v>0</v>
      </c>
    </row>
    <row r="45" spans="1:7" ht="15">
      <c r="A45" s="92" t="s">
        <v>2599</v>
      </c>
      <c r="B45" s="91">
        <v>69</v>
      </c>
      <c r="C45" s="114">
        <v>0.004549846828603011</v>
      </c>
      <c r="D45" s="91" t="s">
        <v>3159</v>
      </c>
      <c r="E45" s="91" t="b">
        <v>0</v>
      </c>
      <c r="F45" s="91" t="b">
        <v>0</v>
      </c>
      <c r="G45" s="91" t="b">
        <v>0</v>
      </c>
    </row>
    <row r="46" spans="1:7" ht="15">
      <c r="A46" s="92" t="s">
        <v>2600</v>
      </c>
      <c r="B46" s="91">
        <v>69</v>
      </c>
      <c r="C46" s="114">
        <v>0.004549846828603011</v>
      </c>
      <c r="D46" s="91" t="s">
        <v>3159</v>
      </c>
      <c r="E46" s="91" t="b">
        <v>0</v>
      </c>
      <c r="F46" s="91" t="b">
        <v>0</v>
      </c>
      <c r="G46" s="91" t="b">
        <v>0</v>
      </c>
    </row>
    <row r="47" spans="1:7" ht="15">
      <c r="A47" s="92" t="s">
        <v>2601</v>
      </c>
      <c r="B47" s="91">
        <v>69</v>
      </c>
      <c r="C47" s="114">
        <v>0.004549846828603011</v>
      </c>
      <c r="D47" s="91" t="s">
        <v>3159</v>
      </c>
      <c r="E47" s="91" t="b">
        <v>0</v>
      </c>
      <c r="F47" s="91" t="b">
        <v>0</v>
      </c>
      <c r="G47" s="91" t="b">
        <v>0</v>
      </c>
    </row>
    <row r="48" spans="1:7" ht="15">
      <c r="A48" s="92" t="s">
        <v>2602</v>
      </c>
      <c r="B48" s="91">
        <v>69</v>
      </c>
      <c r="C48" s="114">
        <v>0.004549846828603011</v>
      </c>
      <c r="D48" s="91" t="s">
        <v>3159</v>
      </c>
      <c r="E48" s="91" t="b">
        <v>0</v>
      </c>
      <c r="F48" s="91" t="b">
        <v>0</v>
      </c>
      <c r="G48" s="91" t="b">
        <v>0</v>
      </c>
    </row>
    <row r="49" spans="1:7" ht="15">
      <c r="A49" s="92" t="s">
        <v>2603</v>
      </c>
      <c r="B49" s="91">
        <v>69</v>
      </c>
      <c r="C49" s="114">
        <v>0.004549846828603011</v>
      </c>
      <c r="D49" s="91" t="s">
        <v>3159</v>
      </c>
      <c r="E49" s="91" t="b">
        <v>0</v>
      </c>
      <c r="F49" s="91" t="b">
        <v>0</v>
      </c>
      <c r="G49" s="91" t="b">
        <v>0</v>
      </c>
    </row>
    <row r="50" spans="1:7" ht="15">
      <c r="A50" s="92" t="s">
        <v>2604</v>
      </c>
      <c r="B50" s="91">
        <v>69</v>
      </c>
      <c r="C50" s="114">
        <v>0.004549846828603011</v>
      </c>
      <c r="D50" s="91" t="s">
        <v>3159</v>
      </c>
      <c r="E50" s="91" t="b">
        <v>0</v>
      </c>
      <c r="F50" s="91" t="b">
        <v>0</v>
      </c>
      <c r="G50" s="91" t="b">
        <v>0</v>
      </c>
    </row>
    <row r="51" spans="1:7" ht="15">
      <c r="A51" s="92" t="s">
        <v>2605</v>
      </c>
      <c r="B51" s="91">
        <v>69</v>
      </c>
      <c r="C51" s="114">
        <v>0.004549846828603011</v>
      </c>
      <c r="D51" s="91" t="s">
        <v>3159</v>
      </c>
      <c r="E51" s="91" t="b">
        <v>0</v>
      </c>
      <c r="F51" s="91" t="b">
        <v>0</v>
      </c>
      <c r="G51" s="91" t="b">
        <v>0</v>
      </c>
    </row>
    <row r="52" spans="1:7" ht="15">
      <c r="A52" s="92" t="s">
        <v>2606</v>
      </c>
      <c r="B52" s="91">
        <v>69</v>
      </c>
      <c r="C52" s="114">
        <v>0.004549846828603011</v>
      </c>
      <c r="D52" s="91" t="s">
        <v>3159</v>
      </c>
      <c r="E52" s="91" t="b">
        <v>0</v>
      </c>
      <c r="F52" s="91" t="b">
        <v>0</v>
      </c>
      <c r="G52" s="91" t="b">
        <v>0</v>
      </c>
    </row>
    <row r="53" spans="1:7" ht="15">
      <c r="A53" s="92" t="s">
        <v>2607</v>
      </c>
      <c r="B53" s="91">
        <v>68</v>
      </c>
      <c r="C53" s="114">
        <v>0.0052845617227995625</v>
      </c>
      <c r="D53" s="91" t="s">
        <v>3159</v>
      </c>
      <c r="E53" s="91" t="b">
        <v>0</v>
      </c>
      <c r="F53" s="91" t="b">
        <v>0</v>
      </c>
      <c r="G53" s="91" t="b">
        <v>0</v>
      </c>
    </row>
    <row r="54" spans="1:7" ht="15">
      <c r="A54" s="92" t="s">
        <v>2608</v>
      </c>
      <c r="B54" s="91">
        <v>68</v>
      </c>
      <c r="C54" s="114">
        <v>0.004520197600815152</v>
      </c>
      <c r="D54" s="91" t="s">
        <v>3159</v>
      </c>
      <c r="E54" s="91" t="b">
        <v>0</v>
      </c>
      <c r="F54" s="91" t="b">
        <v>0</v>
      </c>
      <c r="G54" s="91" t="b">
        <v>0</v>
      </c>
    </row>
    <row r="55" spans="1:7" ht="15">
      <c r="A55" s="92" t="s">
        <v>2609</v>
      </c>
      <c r="B55" s="91">
        <v>66</v>
      </c>
      <c r="C55" s="114">
        <v>0.004771033496685322</v>
      </c>
      <c r="D55" s="91" t="s">
        <v>3159</v>
      </c>
      <c r="E55" s="91" t="b">
        <v>0</v>
      </c>
      <c r="F55" s="91" t="b">
        <v>0</v>
      </c>
      <c r="G55" s="91" t="b">
        <v>0</v>
      </c>
    </row>
    <row r="56" spans="1:7" ht="15">
      <c r="A56" s="92" t="s">
        <v>2610</v>
      </c>
      <c r="B56" s="91">
        <v>60</v>
      </c>
      <c r="C56" s="114">
        <v>0.004262943295871979</v>
      </c>
      <c r="D56" s="91" t="s">
        <v>3159</v>
      </c>
      <c r="E56" s="91" t="b">
        <v>0</v>
      </c>
      <c r="F56" s="91" t="b">
        <v>0</v>
      </c>
      <c r="G56" s="91" t="b">
        <v>0</v>
      </c>
    </row>
    <row r="57" spans="1:7" ht="15">
      <c r="A57" s="92" t="s">
        <v>2611</v>
      </c>
      <c r="B57" s="91">
        <v>57</v>
      </c>
      <c r="C57" s="114">
        <v>0.004156677822874311</v>
      </c>
      <c r="D57" s="91" t="s">
        <v>3159</v>
      </c>
      <c r="E57" s="91" t="b">
        <v>0</v>
      </c>
      <c r="F57" s="91" t="b">
        <v>0</v>
      </c>
      <c r="G57" s="91" t="b">
        <v>0</v>
      </c>
    </row>
    <row r="58" spans="1:7" ht="15">
      <c r="A58" s="92" t="s">
        <v>2612</v>
      </c>
      <c r="B58" s="91">
        <v>57</v>
      </c>
      <c r="C58" s="114">
        <v>0.004156677822874311</v>
      </c>
      <c r="D58" s="91" t="s">
        <v>3159</v>
      </c>
      <c r="E58" s="91" t="b">
        <v>0</v>
      </c>
      <c r="F58" s="91" t="b">
        <v>0</v>
      </c>
      <c r="G58" s="91" t="b">
        <v>0</v>
      </c>
    </row>
    <row r="59" spans="1:7" ht="15">
      <c r="A59" s="92" t="s">
        <v>2613</v>
      </c>
      <c r="B59" s="91">
        <v>55</v>
      </c>
      <c r="C59" s="114">
        <v>0.004082645062370608</v>
      </c>
      <c r="D59" s="91" t="s">
        <v>3159</v>
      </c>
      <c r="E59" s="91" t="b">
        <v>0</v>
      </c>
      <c r="F59" s="91" t="b">
        <v>0</v>
      </c>
      <c r="G59" s="91" t="b">
        <v>0</v>
      </c>
    </row>
    <row r="60" spans="1:7" ht="15">
      <c r="A60" s="92" t="s">
        <v>2614</v>
      </c>
      <c r="B60" s="91">
        <v>54</v>
      </c>
      <c r="C60" s="114">
        <v>0.004044637559742394</v>
      </c>
      <c r="D60" s="91" t="s">
        <v>3159</v>
      </c>
      <c r="E60" s="91" t="b">
        <v>0</v>
      </c>
      <c r="F60" s="91" t="b">
        <v>0</v>
      </c>
      <c r="G60" s="91" t="b">
        <v>0</v>
      </c>
    </row>
    <row r="61" spans="1:7" ht="15">
      <c r="A61" s="92" t="s">
        <v>2615</v>
      </c>
      <c r="B61" s="91">
        <v>53</v>
      </c>
      <c r="C61" s="114">
        <v>0.00400595304110874</v>
      </c>
      <c r="D61" s="91" t="s">
        <v>3159</v>
      </c>
      <c r="E61" s="91" t="b">
        <v>0</v>
      </c>
      <c r="F61" s="91" t="b">
        <v>0</v>
      </c>
      <c r="G61" s="91" t="b">
        <v>0</v>
      </c>
    </row>
    <row r="62" spans="1:7" ht="15">
      <c r="A62" s="92" t="s">
        <v>2616</v>
      </c>
      <c r="B62" s="91">
        <v>52</v>
      </c>
      <c r="C62" s="114">
        <v>0.003966578731080623</v>
      </c>
      <c r="D62" s="91" t="s">
        <v>3159</v>
      </c>
      <c r="E62" s="91" t="b">
        <v>0</v>
      </c>
      <c r="F62" s="91" t="b">
        <v>0</v>
      </c>
      <c r="G62" s="91" t="b">
        <v>0</v>
      </c>
    </row>
    <row r="63" spans="1:7" ht="15">
      <c r="A63" s="92" t="s">
        <v>586</v>
      </c>
      <c r="B63" s="91">
        <v>50</v>
      </c>
      <c r="C63" s="114">
        <v>0.0038857071491173252</v>
      </c>
      <c r="D63" s="91" t="s">
        <v>3159</v>
      </c>
      <c r="E63" s="91" t="b">
        <v>0</v>
      </c>
      <c r="F63" s="91" t="b">
        <v>0</v>
      </c>
      <c r="G63" s="91" t="b">
        <v>0</v>
      </c>
    </row>
    <row r="64" spans="1:7" ht="15">
      <c r="A64" s="92" t="s">
        <v>2617</v>
      </c>
      <c r="B64" s="91">
        <v>50</v>
      </c>
      <c r="C64" s="114">
        <v>0.0038857071491173252</v>
      </c>
      <c r="D64" s="91" t="s">
        <v>3159</v>
      </c>
      <c r="E64" s="91" t="b">
        <v>0</v>
      </c>
      <c r="F64" s="91" t="b">
        <v>0</v>
      </c>
      <c r="G64" s="91" t="b">
        <v>0</v>
      </c>
    </row>
    <row r="65" spans="1:7" ht="15">
      <c r="A65" s="92" t="s">
        <v>2618</v>
      </c>
      <c r="B65" s="91">
        <v>50</v>
      </c>
      <c r="C65" s="114">
        <v>0.0038857071491173252</v>
      </c>
      <c r="D65" s="91" t="s">
        <v>3159</v>
      </c>
      <c r="E65" s="91" t="b">
        <v>0</v>
      </c>
      <c r="F65" s="91" t="b">
        <v>0</v>
      </c>
      <c r="G65" s="91" t="b">
        <v>0</v>
      </c>
    </row>
    <row r="66" spans="1:7" ht="15">
      <c r="A66" s="92" t="s">
        <v>2619</v>
      </c>
      <c r="B66" s="91">
        <v>49</v>
      </c>
      <c r="C66" s="114">
        <v>0.0038441817511743522</v>
      </c>
      <c r="D66" s="91" t="s">
        <v>3159</v>
      </c>
      <c r="E66" s="91" t="b">
        <v>0</v>
      </c>
      <c r="F66" s="91" t="b">
        <v>0</v>
      </c>
      <c r="G66" s="91" t="b">
        <v>0</v>
      </c>
    </row>
    <row r="67" spans="1:7" ht="15">
      <c r="A67" s="92" t="s">
        <v>2620</v>
      </c>
      <c r="B67" s="91">
        <v>48</v>
      </c>
      <c r="C67" s="114">
        <v>0.003801910244810942</v>
      </c>
      <c r="D67" s="91" t="s">
        <v>3159</v>
      </c>
      <c r="E67" s="91" t="b">
        <v>0</v>
      </c>
      <c r="F67" s="91" t="b">
        <v>0</v>
      </c>
      <c r="G67" s="91" t="b">
        <v>0</v>
      </c>
    </row>
    <row r="68" spans="1:7" ht="15">
      <c r="A68" s="92" t="s">
        <v>2621</v>
      </c>
      <c r="B68" s="91">
        <v>48</v>
      </c>
      <c r="C68" s="114">
        <v>0.003801910244810942</v>
      </c>
      <c r="D68" s="91" t="s">
        <v>3159</v>
      </c>
      <c r="E68" s="91" t="b">
        <v>0</v>
      </c>
      <c r="F68" s="91" t="b">
        <v>0</v>
      </c>
      <c r="G68" s="91" t="b">
        <v>0</v>
      </c>
    </row>
    <row r="69" spans="1:7" ht="15">
      <c r="A69" s="92" t="s">
        <v>2622</v>
      </c>
      <c r="B69" s="91">
        <v>45</v>
      </c>
      <c r="C69" s="114">
        <v>0.003670460262086938</v>
      </c>
      <c r="D69" s="91" t="s">
        <v>3159</v>
      </c>
      <c r="E69" s="91" t="b">
        <v>0</v>
      </c>
      <c r="F69" s="91" t="b">
        <v>0</v>
      </c>
      <c r="G69" s="91" t="b">
        <v>0</v>
      </c>
    </row>
    <row r="70" spans="1:7" ht="15">
      <c r="A70" s="92" t="s">
        <v>2623</v>
      </c>
      <c r="B70" s="91">
        <v>45</v>
      </c>
      <c r="C70" s="114">
        <v>0.003670460262086938</v>
      </c>
      <c r="D70" s="91" t="s">
        <v>3159</v>
      </c>
      <c r="E70" s="91" t="b">
        <v>0</v>
      </c>
      <c r="F70" s="91" t="b">
        <v>0</v>
      </c>
      <c r="G70" s="91" t="b">
        <v>0</v>
      </c>
    </row>
    <row r="71" spans="1:7" ht="15">
      <c r="A71" s="92" t="s">
        <v>2624</v>
      </c>
      <c r="B71" s="91">
        <v>45</v>
      </c>
      <c r="C71" s="114">
        <v>0.003670460262086938</v>
      </c>
      <c r="D71" s="91" t="s">
        <v>3159</v>
      </c>
      <c r="E71" s="91" t="b">
        <v>0</v>
      </c>
      <c r="F71" s="91" t="b">
        <v>0</v>
      </c>
      <c r="G71" s="91" t="b">
        <v>0</v>
      </c>
    </row>
    <row r="72" spans="1:7" ht="15">
      <c r="A72" s="92" t="s">
        <v>2625</v>
      </c>
      <c r="B72" s="91">
        <v>45</v>
      </c>
      <c r="C72" s="114">
        <v>0.003670460262086938</v>
      </c>
      <c r="D72" s="91" t="s">
        <v>3159</v>
      </c>
      <c r="E72" s="91" t="b">
        <v>0</v>
      </c>
      <c r="F72" s="91" t="b">
        <v>0</v>
      </c>
      <c r="G72" s="91" t="b">
        <v>0</v>
      </c>
    </row>
    <row r="73" spans="1:7" ht="15">
      <c r="A73" s="92" t="s">
        <v>2626</v>
      </c>
      <c r="B73" s="91">
        <v>45</v>
      </c>
      <c r="C73" s="114">
        <v>0.003670460262086938</v>
      </c>
      <c r="D73" s="91" t="s">
        <v>3159</v>
      </c>
      <c r="E73" s="91" t="b">
        <v>0</v>
      </c>
      <c r="F73" s="91" t="b">
        <v>0</v>
      </c>
      <c r="G73" s="91" t="b">
        <v>0</v>
      </c>
    </row>
    <row r="74" spans="1:7" ht="15">
      <c r="A74" s="92" t="s">
        <v>2627</v>
      </c>
      <c r="B74" s="91">
        <v>45</v>
      </c>
      <c r="C74" s="114">
        <v>0.003670460262086938</v>
      </c>
      <c r="D74" s="91" t="s">
        <v>3159</v>
      </c>
      <c r="E74" s="91" t="b">
        <v>0</v>
      </c>
      <c r="F74" s="91" t="b">
        <v>0</v>
      </c>
      <c r="G74" s="91" t="b">
        <v>0</v>
      </c>
    </row>
    <row r="75" spans="1:7" ht="15">
      <c r="A75" s="92" t="s">
        <v>2628</v>
      </c>
      <c r="B75" s="91">
        <v>45</v>
      </c>
      <c r="C75" s="114">
        <v>0.003670460262086938</v>
      </c>
      <c r="D75" s="91" t="s">
        <v>3159</v>
      </c>
      <c r="E75" s="91" t="b">
        <v>0</v>
      </c>
      <c r="F75" s="91" t="b">
        <v>0</v>
      </c>
      <c r="G75" s="91" t="b">
        <v>0</v>
      </c>
    </row>
    <row r="76" spans="1:7" ht="15">
      <c r="A76" s="92" t="s">
        <v>2629</v>
      </c>
      <c r="B76" s="91">
        <v>44</v>
      </c>
      <c r="C76" s="114">
        <v>0.003993133254133406</v>
      </c>
      <c r="D76" s="91" t="s">
        <v>3159</v>
      </c>
      <c r="E76" s="91" t="b">
        <v>0</v>
      </c>
      <c r="F76" s="91" t="b">
        <v>0</v>
      </c>
      <c r="G76" s="91" t="b">
        <v>0</v>
      </c>
    </row>
    <row r="77" spans="1:7" ht="15">
      <c r="A77" s="92" t="s">
        <v>2630</v>
      </c>
      <c r="B77" s="91">
        <v>44</v>
      </c>
      <c r="C77" s="114">
        <v>0.0036250420240004</v>
      </c>
      <c r="D77" s="91" t="s">
        <v>3159</v>
      </c>
      <c r="E77" s="91" t="b">
        <v>0</v>
      </c>
      <c r="F77" s="91" t="b">
        <v>0</v>
      </c>
      <c r="G77" s="91" t="b">
        <v>0</v>
      </c>
    </row>
    <row r="78" spans="1:7" ht="15">
      <c r="A78" s="92" t="s">
        <v>2631</v>
      </c>
      <c r="B78" s="91">
        <v>44</v>
      </c>
      <c r="C78" s="114">
        <v>0.0036250420240004</v>
      </c>
      <c r="D78" s="91" t="s">
        <v>3159</v>
      </c>
      <c r="E78" s="91" t="b">
        <v>0</v>
      </c>
      <c r="F78" s="91" t="b">
        <v>0</v>
      </c>
      <c r="G78" s="91" t="b">
        <v>0</v>
      </c>
    </row>
    <row r="79" spans="1:7" ht="15">
      <c r="A79" s="92" t="s">
        <v>2632</v>
      </c>
      <c r="B79" s="91">
        <v>42</v>
      </c>
      <c r="C79" s="114">
        <v>0.0035316934989791738</v>
      </c>
      <c r="D79" s="91" t="s">
        <v>3159</v>
      </c>
      <c r="E79" s="91" t="b">
        <v>0</v>
      </c>
      <c r="F79" s="91" t="b">
        <v>0</v>
      </c>
      <c r="G79" s="91" t="b">
        <v>0</v>
      </c>
    </row>
    <row r="80" spans="1:7" ht="15">
      <c r="A80" s="92" t="s">
        <v>2633</v>
      </c>
      <c r="B80" s="91">
        <v>42</v>
      </c>
      <c r="C80" s="114">
        <v>0.0035316934989791738</v>
      </c>
      <c r="D80" s="91" t="s">
        <v>3159</v>
      </c>
      <c r="E80" s="91" t="b">
        <v>0</v>
      </c>
      <c r="F80" s="91" t="b">
        <v>0</v>
      </c>
      <c r="G80" s="91" t="b">
        <v>0</v>
      </c>
    </row>
    <row r="81" spans="1:7" ht="15">
      <c r="A81" s="92" t="s">
        <v>2634</v>
      </c>
      <c r="B81" s="91">
        <v>41</v>
      </c>
      <c r="C81" s="114">
        <v>0.004109836751776063</v>
      </c>
      <c r="D81" s="91" t="s">
        <v>3159</v>
      </c>
      <c r="E81" s="91" t="b">
        <v>0</v>
      </c>
      <c r="F81" s="91" t="b">
        <v>0</v>
      </c>
      <c r="G81" s="91" t="b">
        <v>0</v>
      </c>
    </row>
    <row r="82" spans="1:7" ht="15">
      <c r="A82" s="92" t="s">
        <v>2635</v>
      </c>
      <c r="B82" s="91">
        <v>40</v>
      </c>
      <c r="C82" s="114">
        <v>0.0034348620593883258</v>
      </c>
      <c r="D82" s="91" t="s">
        <v>3159</v>
      </c>
      <c r="E82" s="91" t="b">
        <v>0</v>
      </c>
      <c r="F82" s="91" t="b">
        <v>0</v>
      </c>
      <c r="G82" s="91" t="b">
        <v>0</v>
      </c>
    </row>
    <row r="83" spans="1:7" ht="15">
      <c r="A83" s="92" t="s">
        <v>2636</v>
      </c>
      <c r="B83" s="91">
        <v>40</v>
      </c>
      <c r="C83" s="114">
        <v>0.0034348620593883258</v>
      </c>
      <c r="D83" s="91" t="s">
        <v>3159</v>
      </c>
      <c r="E83" s="91" t="b">
        <v>0</v>
      </c>
      <c r="F83" s="91" t="b">
        <v>0</v>
      </c>
      <c r="G83" s="91" t="b">
        <v>0</v>
      </c>
    </row>
    <row r="84" spans="1:7" ht="15">
      <c r="A84" s="92" t="s">
        <v>2637</v>
      </c>
      <c r="B84" s="91">
        <v>39</v>
      </c>
      <c r="C84" s="114">
        <v>0.0033850864664690273</v>
      </c>
      <c r="D84" s="91" t="s">
        <v>3159</v>
      </c>
      <c r="E84" s="91" t="b">
        <v>0</v>
      </c>
      <c r="F84" s="91" t="b">
        <v>0</v>
      </c>
      <c r="G84" s="91" t="b">
        <v>0</v>
      </c>
    </row>
    <row r="85" spans="1:7" ht="15">
      <c r="A85" s="92" t="s">
        <v>2638</v>
      </c>
      <c r="B85" s="91">
        <v>38</v>
      </c>
      <c r="C85" s="114">
        <v>0.0033343734176161984</v>
      </c>
      <c r="D85" s="91" t="s">
        <v>3159</v>
      </c>
      <c r="E85" s="91" t="b">
        <v>0</v>
      </c>
      <c r="F85" s="91" t="b">
        <v>0</v>
      </c>
      <c r="G85" s="91" t="b">
        <v>0</v>
      </c>
    </row>
    <row r="86" spans="1:7" ht="15">
      <c r="A86" s="92" t="s">
        <v>2639</v>
      </c>
      <c r="B86" s="91">
        <v>38</v>
      </c>
      <c r="C86" s="114">
        <v>0.0033343734176161984</v>
      </c>
      <c r="D86" s="91" t="s">
        <v>3159</v>
      </c>
      <c r="E86" s="91" t="b">
        <v>0</v>
      </c>
      <c r="F86" s="91" t="b">
        <v>0</v>
      </c>
      <c r="G86" s="91" t="b">
        <v>0</v>
      </c>
    </row>
    <row r="87" spans="1:7" ht="15">
      <c r="A87" s="92" t="s">
        <v>2640</v>
      </c>
      <c r="B87" s="91">
        <v>38</v>
      </c>
      <c r="C87" s="114">
        <v>0.0033343734176161984</v>
      </c>
      <c r="D87" s="91" t="s">
        <v>3159</v>
      </c>
      <c r="E87" s="91" t="b">
        <v>0</v>
      </c>
      <c r="F87" s="91" t="b">
        <v>0</v>
      </c>
      <c r="G87" s="91" t="b">
        <v>0</v>
      </c>
    </row>
    <row r="88" spans="1:7" ht="15">
      <c r="A88" s="92" t="s">
        <v>2641</v>
      </c>
      <c r="B88" s="91">
        <v>38</v>
      </c>
      <c r="C88" s="114">
        <v>0.0033343734176161984</v>
      </c>
      <c r="D88" s="91" t="s">
        <v>3159</v>
      </c>
      <c r="E88" s="91" t="b">
        <v>0</v>
      </c>
      <c r="F88" s="91" t="b">
        <v>0</v>
      </c>
      <c r="G88" s="91" t="b">
        <v>0</v>
      </c>
    </row>
    <row r="89" spans="1:7" ht="15">
      <c r="A89" s="92" t="s">
        <v>2642</v>
      </c>
      <c r="B89" s="91">
        <v>38</v>
      </c>
      <c r="C89" s="114">
        <v>0.0033343734176161984</v>
      </c>
      <c r="D89" s="91" t="s">
        <v>3159</v>
      </c>
      <c r="E89" s="91" t="b">
        <v>0</v>
      </c>
      <c r="F89" s="91" t="b">
        <v>0</v>
      </c>
      <c r="G89" s="91" t="b">
        <v>0</v>
      </c>
    </row>
    <row r="90" spans="1:7" ht="15">
      <c r="A90" s="92" t="s">
        <v>2643</v>
      </c>
      <c r="B90" s="91">
        <v>35</v>
      </c>
      <c r="C90" s="114">
        <v>0.0031763559976061184</v>
      </c>
      <c r="D90" s="91" t="s">
        <v>3159</v>
      </c>
      <c r="E90" s="91" t="b">
        <v>0</v>
      </c>
      <c r="F90" s="91" t="b">
        <v>0</v>
      </c>
      <c r="G90" s="91" t="b">
        <v>0</v>
      </c>
    </row>
    <row r="91" spans="1:7" ht="15">
      <c r="A91" s="92" t="s">
        <v>2644</v>
      </c>
      <c r="B91" s="91">
        <v>35</v>
      </c>
      <c r="C91" s="114">
        <v>0.0031763559976061184</v>
      </c>
      <c r="D91" s="91" t="s">
        <v>3159</v>
      </c>
      <c r="E91" s="91" t="b">
        <v>0</v>
      </c>
      <c r="F91" s="91" t="b">
        <v>0</v>
      </c>
      <c r="G91" s="91" t="b">
        <v>0</v>
      </c>
    </row>
    <row r="92" spans="1:7" ht="15">
      <c r="A92" s="92" t="s">
        <v>2645</v>
      </c>
      <c r="B92" s="91">
        <v>35</v>
      </c>
      <c r="C92" s="114">
        <v>0.0031763559976061184</v>
      </c>
      <c r="D92" s="91" t="s">
        <v>3159</v>
      </c>
      <c r="E92" s="91" t="b">
        <v>0</v>
      </c>
      <c r="F92" s="91" t="b">
        <v>0</v>
      </c>
      <c r="G92" s="91" t="b">
        <v>0</v>
      </c>
    </row>
    <row r="93" spans="1:7" ht="15">
      <c r="A93" s="92" t="s">
        <v>2646</v>
      </c>
      <c r="B93" s="91">
        <v>34</v>
      </c>
      <c r="C93" s="114">
        <v>0.003121632458031765</v>
      </c>
      <c r="D93" s="91" t="s">
        <v>3159</v>
      </c>
      <c r="E93" s="91" t="b">
        <v>0</v>
      </c>
      <c r="F93" s="91" t="b">
        <v>0</v>
      </c>
      <c r="G93" s="91" t="b">
        <v>0</v>
      </c>
    </row>
    <row r="94" spans="1:7" ht="15">
      <c r="A94" s="92" t="s">
        <v>2647</v>
      </c>
      <c r="B94" s="91">
        <v>32</v>
      </c>
      <c r="C94" s="114">
        <v>0.003008926719586234</v>
      </c>
      <c r="D94" s="91" t="s">
        <v>3159</v>
      </c>
      <c r="E94" s="91" t="b">
        <v>0</v>
      </c>
      <c r="F94" s="91" t="b">
        <v>0</v>
      </c>
      <c r="G94" s="91" t="b">
        <v>0</v>
      </c>
    </row>
    <row r="95" spans="1:7" ht="15">
      <c r="A95" s="92" t="s">
        <v>2648</v>
      </c>
      <c r="B95" s="91">
        <v>31</v>
      </c>
      <c r="C95" s="114">
        <v>0.0029508772898226183</v>
      </c>
      <c r="D95" s="91" t="s">
        <v>3159</v>
      </c>
      <c r="E95" s="91" t="b">
        <v>0</v>
      </c>
      <c r="F95" s="91" t="b">
        <v>0</v>
      </c>
      <c r="G95" s="91" t="b">
        <v>0</v>
      </c>
    </row>
    <row r="96" spans="1:7" ht="15">
      <c r="A96" s="92" t="s">
        <v>2649</v>
      </c>
      <c r="B96" s="91">
        <v>30</v>
      </c>
      <c r="C96" s="114">
        <v>0.002891648404663215</v>
      </c>
      <c r="D96" s="91" t="s">
        <v>3159</v>
      </c>
      <c r="E96" s="91" t="b">
        <v>0</v>
      </c>
      <c r="F96" s="91" t="b">
        <v>0</v>
      </c>
      <c r="G96" s="91" t="b">
        <v>0</v>
      </c>
    </row>
    <row r="97" spans="1:7" ht="15">
      <c r="A97" s="92" t="s">
        <v>2650</v>
      </c>
      <c r="B97" s="91">
        <v>29</v>
      </c>
      <c r="C97" s="114">
        <v>0.0028312007345919895</v>
      </c>
      <c r="D97" s="91" t="s">
        <v>3159</v>
      </c>
      <c r="E97" s="91" t="b">
        <v>0</v>
      </c>
      <c r="F97" s="91" t="b">
        <v>0</v>
      </c>
      <c r="G97" s="91" t="b">
        <v>0</v>
      </c>
    </row>
    <row r="98" spans="1:7" ht="15">
      <c r="A98" s="92" t="s">
        <v>2651</v>
      </c>
      <c r="B98" s="91">
        <v>29</v>
      </c>
      <c r="C98" s="114">
        <v>0.0028312007345919895</v>
      </c>
      <c r="D98" s="91" t="s">
        <v>3159</v>
      </c>
      <c r="E98" s="91" t="b">
        <v>0</v>
      </c>
      <c r="F98" s="91" t="b">
        <v>0</v>
      </c>
      <c r="G98" s="91" t="b">
        <v>0</v>
      </c>
    </row>
    <row r="99" spans="1:7" ht="15">
      <c r="A99" s="92" t="s">
        <v>2652</v>
      </c>
      <c r="B99" s="91">
        <v>28</v>
      </c>
      <c r="C99" s="114">
        <v>0.002769492236151021</v>
      </c>
      <c r="D99" s="91" t="s">
        <v>3159</v>
      </c>
      <c r="E99" s="91" t="b">
        <v>0</v>
      </c>
      <c r="F99" s="91" t="b">
        <v>0</v>
      </c>
      <c r="G99" s="91" t="b">
        <v>0</v>
      </c>
    </row>
    <row r="100" spans="1:7" ht="15">
      <c r="A100" s="92" t="s">
        <v>2653</v>
      </c>
      <c r="B100" s="91">
        <v>27</v>
      </c>
      <c r="C100" s="114">
        <v>0.0027064778609256998</v>
      </c>
      <c r="D100" s="91" t="s">
        <v>3159</v>
      </c>
      <c r="E100" s="91" t="b">
        <v>0</v>
      </c>
      <c r="F100" s="91" t="b">
        <v>0</v>
      </c>
      <c r="G100" s="91" t="b">
        <v>0</v>
      </c>
    </row>
    <row r="101" spans="1:7" ht="15">
      <c r="A101" s="92" t="s">
        <v>2654</v>
      </c>
      <c r="B101" s="91">
        <v>27</v>
      </c>
      <c r="C101" s="114">
        <v>0.0027064778609256998</v>
      </c>
      <c r="D101" s="91" t="s">
        <v>3159</v>
      </c>
      <c r="E101" s="91" t="b">
        <v>0</v>
      </c>
      <c r="F101" s="91" t="b">
        <v>0</v>
      </c>
      <c r="G101" s="91" t="b">
        <v>0</v>
      </c>
    </row>
    <row r="102" spans="1:7" ht="15">
      <c r="A102" s="92" t="s">
        <v>2655</v>
      </c>
      <c r="B102" s="91">
        <v>26</v>
      </c>
      <c r="C102" s="114">
        <v>0.0026421092213705735</v>
      </c>
      <c r="D102" s="91" t="s">
        <v>3159</v>
      </c>
      <c r="E102" s="91" t="b">
        <v>0</v>
      </c>
      <c r="F102" s="91" t="b">
        <v>0</v>
      </c>
      <c r="G102" s="91" t="b">
        <v>0</v>
      </c>
    </row>
    <row r="103" spans="1:7" ht="15">
      <c r="A103" s="92" t="s">
        <v>2656</v>
      </c>
      <c r="B103" s="91">
        <v>26</v>
      </c>
      <c r="C103" s="114">
        <v>0.0026421092213705735</v>
      </c>
      <c r="D103" s="91" t="s">
        <v>3159</v>
      </c>
      <c r="E103" s="91" t="b">
        <v>0</v>
      </c>
      <c r="F103" s="91" t="b">
        <v>0</v>
      </c>
      <c r="G103" s="91" t="b">
        <v>0</v>
      </c>
    </row>
    <row r="104" spans="1:7" ht="15">
      <c r="A104" s="92" t="s">
        <v>2657</v>
      </c>
      <c r="B104" s="91">
        <v>26</v>
      </c>
      <c r="C104" s="114">
        <v>0.0026421092213705735</v>
      </c>
      <c r="D104" s="91" t="s">
        <v>3159</v>
      </c>
      <c r="E104" s="91" t="b">
        <v>0</v>
      </c>
      <c r="F104" s="91" t="b">
        <v>0</v>
      </c>
      <c r="G104" s="91" t="b">
        <v>0</v>
      </c>
    </row>
    <row r="105" spans="1:7" ht="15">
      <c r="A105" s="92" t="s">
        <v>2658</v>
      </c>
      <c r="B105" s="91">
        <v>26</v>
      </c>
      <c r="C105" s="114">
        <v>0.0026421092213705735</v>
      </c>
      <c r="D105" s="91" t="s">
        <v>3159</v>
      </c>
      <c r="E105" s="91" t="b">
        <v>0</v>
      </c>
      <c r="F105" s="91" t="b">
        <v>0</v>
      </c>
      <c r="G105" s="91" t="b">
        <v>0</v>
      </c>
    </row>
    <row r="106" spans="1:7" ht="15">
      <c r="A106" s="92" t="s">
        <v>2659</v>
      </c>
      <c r="B106" s="91">
        <v>25</v>
      </c>
      <c r="C106" s="114">
        <v>0.0025763342051646834</v>
      </c>
      <c r="D106" s="91" t="s">
        <v>3159</v>
      </c>
      <c r="E106" s="91" t="b">
        <v>0</v>
      </c>
      <c r="F106" s="91" t="b">
        <v>0</v>
      </c>
      <c r="G106" s="91" t="b">
        <v>0</v>
      </c>
    </row>
    <row r="107" spans="1:7" ht="15">
      <c r="A107" s="92" t="s">
        <v>2660</v>
      </c>
      <c r="B107" s="91">
        <v>25</v>
      </c>
      <c r="C107" s="114">
        <v>0.0025763342051646834</v>
      </c>
      <c r="D107" s="91" t="s">
        <v>3159</v>
      </c>
      <c r="E107" s="91" t="b">
        <v>0</v>
      </c>
      <c r="F107" s="91" t="b">
        <v>0</v>
      </c>
      <c r="G107" s="91" t="b">
        <v>0</v>
      </c>
    </row>
    <row r="108" spans="1:7" ht="15">
      <c r="A108" s="92" t="s">
        <v>2661</v>
      </c>
      <c r="B108" s="91">
        <v>25</v>
      </c>
      <c r="C108" s="114">
        <v>0.0026525382721984477</v>
      </c>
      <c r="D108" s="91" t="s">
        <v>3159</v>
      </c>
      <c r="E108" s="91" t="b">
        <v>0</v>
      </c>
      <c r="F108" s="91" t="b">
        <v>0</v>
      </c>
      <c r="G108" s="91" t="b">
        <v>0</v>
      </c>
    </row>
    <row r="109" spans="1:7" ht="15">
      <c r="A109" s="92" t="s">
        <v>2662</v>
      </c>
      <c r="B109" s="91">
        <v>25</v>
      </c>
      <c r="C109" s="114">
        <v>0.0025763342051646834</v>
      </c>
      <c r="D109" s="91" t="s">
        <v>3159</v>
      </c>
      <c r="E109" s="91" t="b">
        <v>0</v>
      </c>
      <c r="F109" s="91" t="b">
        <v>0</v>
      </c>
      <c r="G109" s="91" t="b">
        <v>0</v>
      </c>
    </row>
    <row r="110" spans="1:7" ht="15">
      <c r="A110" s="92" t="s">
        <v>2663</v>
      </c>
      <c r="B110" s="91">
        <v>25</v>
      </c>
      <c r="C110" s="114">
        <v>0.0025763342051646834</v>
      </c>
      <c r="D110" s="91" t="s">
        <v>3159</v>
      </c>
      <c r="E110" s="91" t="b">
        <v>0</v>
      </c>
      <c r="F110" s="91" t="b">
        <v>0</v>
      </c>
      <c r="G110" s="91" t="b">
        <v>0</v>
      </c>
    </row>
    <row r="111" spans="1:7" ht="15">
      <c r="A111" s="92" t="s">
        <v>2664</v>
      </c>
      <c r="B111" s="91">
        <v>25</v>
      </c>
      <c r="C111" s="114">
        <v>0.002827147352721941</v>
      </c>
      <c r="D111" s="91" t="s">
        <v>3159</v>
      </c>
      <c r="E111" s="91" t="b">
        <v>0</v>
      </c>
      <c r="F111" s="91" t="b">
        <v>0</v>
      </c>
      <c r="G111" s="91" t="b">
        <v>0</v>
      </c>
    </row>
    <row r="112" spans="1:7" ht="15">
      <c r="A112" s="92" t="s">
        <v>2665</v>
      </c>
      <c r="B112" s="91">
        <v>24</v>
      </c>
      <c r="C112" s="114">
        <v>0.002509096527787251</v>
      </c>
      <c r="D112" s="91" t="s">
        <v>3159</v>
      </c>
      <c r="E112" s="91" t="b">
        <v>0</v>
      </c>
      <c r="F112" s="91" t="b">
        <v>0</v>
      </c>
      <c r="G112" s="91" t="b">
        <v>0</v>
      </c>
    </row>
    <row r="113" spans="1:7" ht="15">
      <c r="A113" s="92" t="s">
        <v>2666</v>
      </c>
      <c r="B113" s="91">
        <v>24</v>
      </c>
      <c r="C113" s="114">
        <v>0.002509096527787251</v>
      </c>
      <c r="D113" s="91" t="s">
        <v>3159</v>
      </c>
      <c r="E113" s="91" t="b">
        <v>0</v>
      </c>
      <c r="F113" s="91" t="b">
        <v>0</v>
      </c>
      <c r="G113" s="91" t="b">
        <v>0</v>
      </c>
    </row>
    <row r="114" spans="1:7" ht="15">
      <c r="A114" s="92" t="s">
        <v>2667</v>
      </c>
      <c r="B114" s="91">
        <v>23</v>
      </c>
      <c r="C114" s="114">
        <v>0.002440335210422572</v>
      </c>
      <c r="D114" s="91" t="s">
        <v>3159</v>
      </c>
      <c r="E114" s="91" t="b">
        <v>0</v>
      </c>
      <c r="F114" s="91" t="b">
        <v>0</v>
      </c>
      <c r="G114" s="91" t="b">
        <v>0</v>
      </c>
    </row>
    <row r="115" spans="1:7" ht="15">
      <c r="A115" s="92" t="s">
        <v>2668</v>
      </c>
      <c r="B115" s="91">
        <v>22</v>
      </c>
      <c r="C115" s="114">
        <v>0.0023699839669334985</v>
      </c>
      <c r="D115" s="91" t="s">
        <v>3159</v>
      </c>
      <c r="E115" s="91" t="b">
        <v>0</v>
      </c>
      <c r="F115" s="91" t="b">
        <v>0</v>
      </c>
      <c r="G115" s="91" t="b">
        <v>0</v>
      </c>
    </row>
    <row r="116" spans="1:7" ht="15">
      <c r="A116" s="92" t="s">
        <v>2669</v>
      </c>
      <c r="B116" s="91">
        <v>22</v>
      </c>
      <c r="C116" s="114">
        <v>0.0023699839669334985</v>
      </c>
      <c r="D116" s="91" t="s">
        <v>3159</v>
      </c>
      <c r="E116" s="91" t="b">
        <v>0</v>
      </c>
      <c r="F116" s="91" t="b">
        <v>0</v>
      </c>
      <c r="G116" s="91" t="b">
        <v>0</v>
      </c>
    </row>
    <row r="117" spans="1:7" ht="15">
      <c r="A117" s="92" t="s">
        <v>2670</v>
      </c>
      <c r="B117" s="91">
        <v>22</v>
      </c>
      <c r="C117" s="114">
        <v>0.0023699839669334985</v>
      </c>
      <c r="D117" s="91" t="s">
        <v>3159</v>
      </c>
      <c r="E117" s="91" t="b">
        <v>0</v>
      </c>
      <c r="F117" s="91" t="b">
        <v>0</v>
      </c>
      <c r="G117" s="91" t="b">
        <v>0</v>
      </c>
    </row>
    <row r="118" spans="1:7" ht="15">
      <c r="A118" s="92" t="s">
        <v>2671</v>
      </c>
      <c r="B118" s="91">
        <v>22</v>
      </c>
      <c r="C118" s="114">
        <v>0.0023699839669334985</v>
      </c>
      <c r="D118" s="91" t="s">
        <v>3159</v>
      </c>
      <c r="E118" s="91" t="b">
        <v>0</v>
      </c>
      <c r="F118" s="91" t="b">
        <v>0</v>
      </c>
      <c r="G118" s="91" t="b">
        <v>0</v>
      </c>
    </row>
    <row r="119" spans="1:7" ht="15">
      <c r="A119" s="92" t="s">
        <v>2672</v>
      </c>
      <c r="B119" s="91">
        <v>22</v>
      </c>
      <c r="C119" s="114">
        <v>0.0023699839669334985</v>
      </c>
      <c r="D119" s="91" t="s">
        <v>3159</v>
      </c>
      <c r="E119" s="91" t="b">
        <v>0</v>
      </c>
      <c r="F119" s="91" t="b">
        <v>0</v>
      </c>
      <c r="G119" s="91" t="b">
        <v>0</v>
      </c>
    </row>
    <row r="120" spans="1:7" ht="15">
      <c r="A120" s="92" t="s">
        <v>2673</v>
      </c>
      <c r="B120" s="91">
        <v>22</v>
      </c>
      <c r="C120" s="114">
        <v>0.0023699839669334985</v>
      </c>
      <c r="D120" s="91" t="s">
        <v>3159</v>
      </c>
      <c r="E120" s="91" t="b">
        <v>0</v>
      </c>
      <c r="F120" s="91" t="b">
        <v>0</v>
      </c>
      <c r="G120" s="91" t="b">
        <v>0</v>
      </c>
    </row>
    <row r="121" spans="1:7" ht="15">
      <c r="A121" s="92" t="s">
        <v>2674</v>
      </c>
      <c r="B121" s="91">
        <v>22</v>
      </c>
      <c r="C121" s="114">
        <v>0.0023699839669334985</v>
      </c>
      <c r="D121" s="91" t="s">
        <v>3159</v>
      </c>
      <c r="E121" s="91" t="b">
        <v>0</v>
      </c>
      <c r="F121" s="91" t="b">
        <v>0</v>
      </c>
      <c r="G121" s="91" t="b">
        <v>0</v>
      </c>
    </row>
    <row r="122" spans="1:7" ht="15">
      <c r="A122" s="92" t="s">
        <v>2675</v>
      </c>
      <c r="B122" s="91">
        <v>22</v>
      </c>
      <c r="C122" s="114">
        <v>0.0023699839669334985</v>
      </c>
      <c r="D122" s="91" t="s">
        <v>3159</v>
      </c>
      <c r="E122" s="91" t="b">
        <v>0</v>
      </c>
      <c r="F122" s="91" t="b">
        <v>0</v>
      </c>
      <c r="G122" s="91" t="b">
        <v>0</v>
      </c>
    </row>
    <row r="123" spans="1:7" ht="15">
      <c r="A123" s="92" t="s">
        <v>436</v>
      </c>
      <c r="B123" s="91">
        <v>22</v>
      </c>
      <c r="C123" s="114">
        <v>0.0023699839669334985</v>
      </c>
      <c r="D123" s="91" t="s">
        <v>3159</v>
      </c>
      <c r="E123" s="91" t="b">
        <v>0</v>
      </c>
      <c r="F123" s="91" t="b">
        <v>0</v>
      </c>
      <c r="G123" s="91" t="b">
        <v>0</v>
      </c>
    </row>
    <row r="124" spans="1:7" ht="15">
      <c r="A124" s="92" t="s">
        <v>611</v>
      </c>
      <c r="B124" s="91">
        <v>22</v>
      </c>
      <c r="C124" s="114">
        <v>0.0023699839669334985</v>
      </c>
      <c r="D124" s="91" t="s">
        <v>3159</v>
      </c>
      <c r="E124" s="91" t="b">
        <v>0</v>
      </c>
      <c r="F124" s="91" t="b">
        <v>0</v>
      </c>
      <c r="G124" s="91" t="b">
        <v>0</v>
      </c>
    </row>
    <row r="125" spans="1:7" ht="15">
      <c r="A125" s="92" t="s">
        <v>2676</v>
      </c>
      <c r="B125" s="91">
        <v>22</v>
      </c>
      <c r="C125" s="114">
        <v>0.0023699839669334985</v>
      </c>
      <c r="D125" s="91" t="s">
        <v>3159</v>
      </c>
      <c r="E125" s="91" t="b">
        <v>0</v>
      </c>
      <c r="F125" s="91" t="b">
        <v>0</v>
      </c>
      <c r="G125" s="91" t="b">
        <v>0</v>
      </c>
    </row>
    <row r="126" spans="1:7" ht="15">
      <c r="A126" s="92" t="s">
        <v>2677</v>
      </c>
      <c r="B126" s="91">
        <v>22</v>
      </c>
      <c r="C126" s="114">
        <v>0.0023699839669334985</v>
      </c>
      <c r="D126" s="91" t="s">
        <v>3159</v>
      </c>
      <c r="E126" s="91" t="b">
        <v>0</v>
      </c>
      <c r="F126" s="91" t="b">
        <v>0</v>
      </c>
      <c r="G126" s="91" t="b">
        <v>0</v>
      </c>
    </row>
    <row r="127" spans="1:7" ht="15">
      <c r="A127" s="92" t="s">
        <v>2678</v>
      </c>
      <c r="B127" s="91">
        <v>22</v>
      </c>
      <c r="C127" s="114">
        <v>0.0023699839669334985</v>
      </c>
      <c r="D127" s="91" t="s">
        <v>3159</v>
      </c>
      <c r="E127" s="91" t="b">
        <v>0</v>
      </c>
      <c r="F127" s="91" t="b">
        <v>0</v>
      </c>
      <c r="G127" s="91" t="b">
        <v>0</v>
      </c>
    </row>
    <row r="128" spans="1:7" ht="15">
      <c r="A128" s="92" t="s">
        <v>2679</v>
      </c>
      <c r="B128" s="91">
        <v>22</v>
      </c>
      <c r="C128" s="114">
        <v>0.0023699839669334985</v>
      </c>
      <c r="D128" s="91" t="s">
        <v>3159</v>
      </c>
      <c r="E128" s="91" t="b">
        <v>0</v>
      </c>
      <c r="F128" s="91" t="b">
        <v>0</v>
      </c>
      <c r="G128" s="91" t="b">
        <v>0</v>
      </c>
    </row>
    <row r="129" spans="1:7" ht="15">
      <c r="A129" s="92" t="s">
        <v>2680</v>
      </c>
      <c r="B129" s="91">
        <v>21</v>
      </c>
      <c r="C129" s="114">
        <v>0.0022979704791986446</v>
      </c>
      <c r="D129" s="91" t="s">
        <v>3159</v>
      </c>
      <c r="E129" s="91" t="b">
        <v>0</v>
      </c>
      <c r="F129" s="91" t="b">
        <v>0</v>
      </c>
      <c r="G129" s="91" t="b">
        <v>0</v>
      </c>
    </row>
    <row r="130" spans="1:7" ht="15">
      <c r="A130" s="92" t="s">
        <v>2681</v>
      </c>
      <c r="B130" s="91">
        <v>21</v>
      </c>
      <c r="C130" s="114">
        <v>0.0022979704791986446</v>
      </c>
      <c r="D130" s="91" t="s">
        <v>3159</v>
      </c>
      <c r="E130" s="91" t="b">
        <v>0</v>
      </c>
      <c r="F130" s="91" t="b">
        <v>0</v>
      </c>
      <c r="G130" s="91" t="b">
        <v>0</v>
      </c>
    </row>
    <row r="131" spans="1:7" ht="15">
      <c r="A131" s="92" t="s">
        <v>2682</v>
      </c>
      <c r="B131" s="91">
        <v>21</v>
      </c>
      <c r="C131" s="114">
        <v>0.0022979704791986446</v>
      </c>
      <c r="D131" s="91" t="s">
        <v>3159</v>
      </c>
      <c r="E131" s="91" t="b">
        <v>0</v>
      </c>
      <c r="F131" s="91" t="b">
        <v>0</v>
      </c>
      <c r="G131" s="91" t="b">
        <v>0</v>
      </c>
    </row>
    <row r="132" spans="1:7" ht="15">
      <c r="A132" s="92" t="s">
        <v>2683</v>
      </c>
      <c r="B132" s="91">
        <v>21</v>
      </c>
      <c r="C132" s="114">
        <v>0.0022979704791986446</v>
      </c>
      <c r="D132" s="91" t="s">
        <v>3159</v>
      </c>
      <c r="E132" s="91" t="b">
        <v>0</v>
      </c>
      <c r="F132" s="91" t="b">
        <v>0</v>
      </c>
      <c r="G132" s="91" t="b">
        <v>0</v>
      </c>
    </row>
    <row r="133" spans="1:7" ht="15">
      <c r="A133" s="92" t="s">
        <v>2684</v>
      </c>
      <c r="B133" s="91">
        <v>21</v>
      </c>
      <c r="C133" s="114">
        <v>0.0022979704791986446</v>
      </c>
      <c r="D133" s="91" t="s">
        <v>3159</v>
      </c>
      <c r="E133" s="91" t="b">
        <v>0</v>
      </c>
      <c r="F133" s="91" t="b">
        <v>0</v>
      </c>
      <c r="G133" s="91" t="b">
        <v>0</v>
      </c>
    </row>
    <row r="134" spans="1:7" ht="15">
      <c r="A134" s="92" t="s">
        <v>2685</v>
      </c>
      <c r="B134" s="91">
        <v>21</v>
      </c>
      <c r="C134" s="114">
        <v>0.0022979704791986446</v>
      </c>
      <c r="D134" s="91" t="s">
        <v>3159</v>
      </c>
      <c r="E134" s="91" t="b">
        <v>0</v>
      </c>
      <c r="F134" s="91" t="b">
        <v>0</v>
      </c>
      <c r="G134" s="91" t="b">
        <v>0</v>
      </c>
    </row>
    <row r="135" spans="1:7" ht="15">
      <c r="A135" s="92" t="s">
        <v>2686</v>
      </c>
      <c r="B135" s="91">
        <v>21</v>
      </c>
      <c r="C135" s="114">
        <v>0.0022979704791986446</v>
      </c>
      <c r="D135" s="91" t="s">
        <v>3159</v>
      </c>
      <c r="E135" s="91" t="b">
        <v>0</v>
      </c>
      <c r="F135" s="91" t="b">
        <v>0</v>
      </c>
      <c r="G135" s="91" t="b">
        <v>0</v>
      </c>
    </row>
    <row r="136" spans="1:7" ht="15">
      <c r="A136" s="92" t="s">
        <v>2687</v>
      </c>
      <c r="B136" s="91">
        <v>21</v>
      </c>
      <c r="C136" s="114">
        <v>0.0022979704791986446</v>
      </c>
      <c r="D136" s="91" t="s">
        <v>3159</v>
      </c>
      <c r="E136" s="91" t="b">
        <v>0</v>
      </c>
      <c r="F136" s="91" t="b">
        <v>0</v>
      </c>
      <c r="G136" s="91" t="b">
        <v>0</v>
      </c>
    </row>
    <row r="137" spans="1:7" ht="15">
      <c r="A137" s="92" t="s">
        <v>2688</v>
      </c>
      <c r="B137" s="91">
        <v>21</v>
      </c>
      <c r="C137" s="114">
        <v>0.0022979704791986446</v>
      </c>
      <c r="D137" s="91" t="s">
        <v>3159</v>
      </c>
      <c r="E137" s="91" t="b">
        <v>0</v>
      </c>
      <c r="F137" s="91" t="b">
        <v>0</v>
      </c>
      <c r="G137" s="91" t="b">
        <v>0</v>
      </c>
    </row>
    <row r="138" spans="1:7" ht="15">
      <c r="A138" s="92" t="s">
        <v>432</v>
      </c>
      <c r="B138" s="91">
        <v>21</v>
      </c>
      <c r="C138" s="114">
        <v>0.0022979704791986446</v>
      </c>
      <c r="D138" s="91" t="s">
        <v>3159</v>
      </c>
      <c r="E138" s="91" t="b">
        <v>0</v>
      </c>
      <c r="F138" s="91" t="b">
        <v>0</v>
      </c>
      <c r="G138" s="91" t="b">
        <v>0</v>
      </c>
    </row>
    <row r="139" spans="1:7" ht="15">
      <c r="A139" s="92" t="s">
        <v>2689</v>
      </c>
      <c r="B139" s="91">
        <v>21</v>
      </c>
      <c r="C139" s="114">
        <v>0.0022979704791986446</v>
      </c>
      <c r="D139" s="91" t="s">
        <v>3159</v>
      </c>
      <c r="E139" s="91" t="b">
        <v>0</v>
      </c>
      <c r="F139" s="91" t="b">
        <v>0</v>
      </c>
      <c r="G139" s="91" t="b">
        <v>0</v>
      </c>
    </row>
    <row r="140" spans="1:7" ht="15">
      <c r="A140" s="92" t="s">
        <v>2690</v>
      </c>
      <c r="B140" s="91">
        <v>21</v>
      </c>
      <c r="C140" s="114">
        <v>0.0022979704791986446</v>
      </c>
      <c r="D140" s="91" t="s">
        <v>3159</v>
      </c>
      <c r="E140" s="91" t="b">
        <v>0</v>
      </c>
      <c r="F140" s="91" t="b">
        <v>0</v>
      </c>
      <c r="G140" s="91" t="b">
        <v>0</v>
      </c>
    </row>
    <row r="141" spans="1:7" ht="15">
      <c r="A141" s="92" t="s">
        <v>2691</v>
      </c>
      <c r="B141" s="91">
        <v>21</v>
      </c>
      <c r="C141" s="114">
        <v>0.0022979704791986446</v>
      </c>
      <c r="D141" s="91" t="s">
        <v>3159</v>
      </c>
      <c r="E141" s="91" t="b">
        <v>0</v>
      </c>
      <c r="F141" s="91" t="b">
        <v>0</v>
      </c>
      <c r="G141" s="91" t="b">
        <v>0</v>
      </c>
    </row>
    <row r="142" spans="1:7" ht="15">
      <c r="A142" s="92" t="s">
        <v>431</v>
      </c>
      <c r="B142" s="91">
        <v>21</v>
      </c>
      <c r="C142" s="114">
        <v>0.0022979704791986446</v>
      </c>
      <c r="D142" s="91" t="s">
        <v>3159</v>
      </c>
      <c r="E142" s="91" t="b">
        <v>0</v>
      </c>
      <c r="F142" s="91" t="b">
        <v>0</v>
      </c>
      <c r="G142" s="91" t="b">
        <v>0</v>
      </c>
    </row>
    <row r="143" spans="1:7" ht="15">
      <c r="A143" s="92" t="s">
        <v>381</v>
      </c>
      <c r="B143" s="91">
        <v>21</v>
      </c>
      <c r="C143" s="114">
        <v>0.0022979704791986446</v>
      </c>
      <c r="D143" s="91" t="s">
        <v>3159</v>
      </c>
      <c r="E143" s="91" t="b">
        <v>0</v>
      </c>
      <c r="F143" s="91" t="b">
        <v>0</v>
      </c>
      <c r="G143" s="91" t="b">
        <v>0</v>
      </c>
    </row>
    <row r="144" spans="1:7" ht="15">
      <c r="A144" s="92" t="s">
        <v>380</v>
      </c>
      <c r="B144" s="91">
        <v>21</v>
      </c>
      <c r="C144" s="114">
        <v>0.0022979704791986446</v>
      </c>
      <c r="D144" s="91" t="s">
        <v>3159</v>
      </c>
      <c r="E144" s="91" t="b">
        <v>0</v>
      </c>
      <c r="F144" s="91" t="b">
        <v>0</v>
      </c>
      <c r="G144" s="91" t="b">
        <v>0</v>
      </c>
    </row>
    <row r="145" spans="1:7" ht="15">
      <c r="A145" s="92" t="s">
        <v>383</v>
      </c>
      <c r="B145" s="91">
        <v>21</v>
      </c>
      <c r="C145" s="114">
        <v>0.0022979704791986446</v>
      </c>
      <c r="D145" s="91" t="s">
        <v>3159</v>
      </c>
      <c r="E145" s="91" t="b">
        <v>0</v>
      </c>
      <c r="F145" s="91" t="b">
        <v>0</v>
      </c>
      <c r="G145" s="91" t="b">
        <v>0</v>
      </c>
    </row>
    <row r="146" spans="1:7" ht="15">
      <c r="A146" s="92" t="s">
        <v>430</v>
      </c>
      <c r="B146" s="91">
        <v>21</v>
      </c>
      <c r="C146" s="114">
        <v>0.0022979704791986446</v>
      </c>
      <c r="D146" s="91" t="s">
        <v>3159</v>
      </c>
      <c r="E146" s="91" t="b">
        <v>0</v>
      </c>
      <c r="F146" s="91" t="b">
        <v>0</v>
      </c>
      <c r="G146" s="91" t="b">
        <v>0</v>
      </c>
    </row>
    <row r="147" spans="1:7" ht="15">
      <c r="A147" s="92" t="s">
        <v>385</v>
      </c>
      <c r="B147" s="91">
        <v>21</v>
      </c>
      <c r="C147" s="114">
        <v>0.0022979704791986446</v>
      </c>
      <c r="D147" s="91" t="s">
        <v>3159</v>
      </c>
      <c r="E147" s="91" t="b">
        <v>0</v>
      </c>
      <c r="F147" s="91" t="b">
        <v>0</v>
      </c>
      <c r="G147" s="91" t="b">
        <v>0</v>
      </c>
    </row>
    <row r="148" spans="1:7" ht="15">
      <c r="A148" s="92" t="s">
        <v>382</v>
      </c>
      <c r="B148" s="91">
        <v>21</v>
      </c>
      <c r="C148" s="114">
        <v>0.0022979704791986446</v>
      </c>
      <c r="D148" s="91" t="s">
        <v>3159</v>
      </c>
      <c r="E148" s="91" t="b">
        <v>0</v>
      </c>
      <c r="F148" s="91" t="b">
        <v>0</v>
      </c>
      <c r="G148" s="91" t="b">
        <v>0</v>
      </c>
    </row>
    <row r="149" spans="1:7" ht="15">
      <c r="A149" s="92" t="s">
        <v>2692</v>
      </c>
      <c r="B149" s="91">
        <v>20</v>
      </c>
      <c r="C149" s="114">
        <v>0.00222421553417898</v>
      </c>
      <c r="D149" s="91" t="s">
        <v>3159</v>
      </c>
      <c r="E149" s="91" t="b">
        <v>0</v>
      </c>
      <c r="F149" s="91" t="b">
        <v>0</v>
      </c>
      <c r="G149" s="91" t="b">
        <v>0</v>
      </c>
    </row>
    <row r="150" spans="1:7" ht="15">
      <c r="A150" s="92" t="s">
        <v>2693</v>
      </c>
      <c r="B150" s="91">
        <v>20</v>
      </c>
      <c r="C150" s="114">
        <v>0.00222421553417898</v>
      </c>
      <c r="D150" s="91" t="s">
        <v>3159</v>
      </c>
      <c r="E150" s="91" t="b">
        <v>0</v>
      </c>
      <c r="F150" s="91" t="b">
        <v>0</v>
      </c>
      <c r="G150" s="91" t="b">
        <v>0</v>
      </c>
    </row>
    <row r="151" spans="1:7" ht="15">
      <c r="A151" s="92" t="s">
        <v>2694</v>
      </c>
      <c r="B151" s="91">
        <v>20</v>
      </c>
      <c r="C151" s="114">
        <v>0.00222421553417898</v>
      </c>
      <c r="D151" s="91" t="s">
        <v>3159</v>
      </c>
      <c r="E151" s="91" t="b">
        <v>0</v>
      </c>
      <c r="F151" s="91" t="b">
        <v>0</v>
      </c>
      <c r="G151" s="91" t="b">
        <v>0</v>
      </c>
    </row>
    <row r="152" spans="1:7" ht="15">
      <c r="A152" s="92" t="s">
        <v>2695</v>
      </c>
      <c r="B152" s="91">
        <v>20</v>
      </c>
      <c r="C152" s="114">
        <v>0.00222421553417898</v>
      </c>
      <c r="D152" s="91" t="s">
        <v>3159</v>
      </c>
      <c r="E152" s="91" t="b">
        <v>0</v>
      </c>
      <c r="F152" s="91" t="b">
        <v>0</v>
      </c>
      <c r="G152" s="91" t="b">
        <v>0</v>
      </c>
    </row>
    <row r="153" spans="1:7" ht="15">
      <c r="A153" s="92" t="s">
        <v>2696</v>
      </c>
      <c r="B153" s="91">
        <v>20</v>
      </c>
      <c r="C153" s="114">
        <v>0.00222421553417898</v>
      </c>
      <c r="D153" s="91" t="s">
        <v>3159</v>
      </c>
      <c r="E153" s="91" t="b">
        <v>0</v>
      </c>
      <c r="F153" s="91" t="b">
        <v>0</v>
      </c>
      <c r="G153" s="91" t="b">
        <v>0</v>
      </c>
    </row>
    <row r="154" spans="1:7" ht="15">
      <c r="A154" s="92" t="s">
        <v>2697</v>
      </c>
      <c r="B154" s="91">
        <v>20</v>
      </c>
      <c r="C154" s="114">
        <v>0.00222421553417898</v>
      </c>
      <c r="D154" s="91" t="s">
        <v>3159</v>
      </c>
      <c r="E154" s="91" t="b">
        <v>0</v>
      </c>
      <c r="F154" s="91" t="b">
        <v>0</v>
      </c>
      <c r="G154" s="91" t="b">
        <v>0</v>
      </c>
    </row>
    <row r="155" spans="1:7" ht="15">
      <c r="A155" s="92" t="s">
        <v>2698</v>
      </c>
      <c r="B155" s="91">
        <v>19</v>
      </c>
      <c r="C155" s="114">
        <v>0.002148631988068675</v>
      </c>
      <c r="D155" s="91" t="s">
        <v>3159</v>
      </c>
      <c r="E155" s="91" t="b">
        <v>0</v>
      </c>
      <c r="F155" s="91" t="b">
        <v>0</v>
      </c>
      <c r="G155" s="91" t="b">
        <v>0</v>
      </c>
    </row>
    <row r="156" spans="1:7" ht="15">
      <c r="A156" s="92" t="s">
        <v>2699</v>
      </c>
      <c r="B156" s="91">
        <v>19</v>
      </c>
      <c r="C156" s="114">
        <v>0.002148631988068675</v>
      </c>
      <c r="D156" s="91" t="s">
        <v>3159</v>
      </c>
      <c r="E156" s="91" t="b">
        <v>0</v>
      </c>
      <c r="F156" s="91" t="b">
        <v>0</v>
      </c>
      <c r="G156" s="91" t="b">
        <v>0</v>
      </c>
    </row>
    <row r="157" spans="1:7" ht="15">
      <c r="A157" s="92" t="s">
        <v>2700</v>
      </c>
      <c r="B157" s="91">
        <v>19</v>
      </c>
      <c r="C157" s="114">
        <v>0.002148631988068675</v>
      </c>
      <c r="D157" s="91" t="s">
        <v>3159</v>
      </c>
      <c r="E157" s="91" t="b">
        <v>0</v>
      </c>
      <c r="F157" s="91" t="b">
        <v>0</v>
      </c>
      <c r="G157" s="91" t="b">
        <v>0</v>
      </c>
    </row>
    <row r="158" spans="1:7" ht="15">
      <c r="A158" s="92" t="s">
        <v>2701</v>
      </c>
      <c r="B158" s="91">
        <v>19</v>
      </c>
      <c r="C158" s="114">
        <v>0.002148631988068675</v>
      </c>
      <c r="D158" s="91" t="s">
        <v>3159</v>
      </c>
      <c r="E158" s="91" t="b">
        <v>0</v>
      </c>
      <c r="F158" s="91" t="b">
        <v>0</v>
      </c>
      <c r="G158" s="91" t="b">
        <v>0</v>
      </c>
    </row>
    <row r="159" spans="1:7" ht="15">
      <c r="A159" s="92" t="s">
        <v>2702</v>
      </c>
      <c r="B159" s="91">
        <v>19</v>
      </c>
      <c r="C159" s="114">
        <v>0.002148631988068675</v>
      </c>
      <c r="D159" s="91" t="s">
        <v>3159</v>
      </c>
      <c r="E159" s="91" t="b">
        <v>0</v>
      </c>
      <c r="F159" s="91" t="b">
        <v>0</v>
      </c>
      <c r="G159" s="91" t="b">
        <v>0</v>
      </c>
    </row>
    <row r="160" spans="1:7" ht="15">
      <c r="A160" s="92" t="s">
        <v>2703</v>
      </c>
      <c r="B160" s="91">
        <v>19</v>
      </c>
      <c r="C160" s="114">
        <v>0.002148631988068675</v>
      </c>
      <c r="D160" s="91" t="s">
        <v>3159</v>
      </c>
      <c r="E160" s="91" t="b">
        <v>0</v>
      </c>
      <c r="F160" s="91" t="b">
        <v>0</v>
      </c>
      <c r="G160" s="91" t="b">
        <v>0</v>
      </c>
    </row>
    <row r="161" spans="1:7" ht="15">
      <c r="A161" s="92" t="s">
        <v>2704</v>
      </c>
      <c r="B161" s="91">
        <v>19</v>
      </c>
      <c r="C161" s="114">
        <v>0.002148631988068675</v>
      </c>
      <c r="D161" s="91" t="s">
        <v>3159</v>
      </c>
      <c r="E161" s="91" t="b">
        <v>0</v>
      </c>
      <c r="F161" s="91" t="b">
        <v>0</v>
      </c>
      <c r="G161" s="91" t="b">
        <v>0</v>
      </c>
    </row>
    <row r="162" spans="1:7" ht="15">
      <c r="A162" s="92" t="s">
        <v>2705</v>
      </c>
      <c r="B162" s="91">
        <v>19</v>
      </c>
      <c r="C162" s="114">
        <v>0.002148631988068675</v>
      </c>
      <c r="D162" s="91" t="s">
        <v>3159</v>
      </c>
      <c r="E162" s="91" t="b">
        <v>0</v>
      </c>
      <c r="F162" s="91" t="b">
        <v>0</v>
      </c>
      <c r="G162" s="91" t="b">
        <v>0</v>
      </c>
    </row>
    <row r="163" spans="1:7" ht="15">
      <c r="A163" s="92" t="s">
        <v>2706</v>
      </c>
      <c r="B163" s="91">
        <v>19</v>
      </c>
      <c r="C163" s="114">
        <v>0.002148631988068675</v>
      </c>
      <c r="D163" s="91" t="s">
        <v>3159</v>
      </c>
      <c r="E163" s="91" t="b">
        <v>0</v>
      </c>
      <c r="F163" s="91" t="b">
        <v>0</v>
      </c>
      <c r="G163" s="91" t="b">
        <v>0</v>
      </c>
    </row>
    <row r="164" spans="1:7" ht="15">
      <c r="A164" s="92" t="s">
        <v>2707</v>
      </c>
      <c r="B164" s="91">
        <v>19</v>
      </c>
      <c r="C164" s="114">
        <v>0.002148631988068675</v>
      </c>
      <c r="D164" s="91" t="s">
        <v>3159</v>
      </c>
      <c r="E164" s="91" t="b">
        <v>0</v>
      </c>
      <c r="F164" s="91" t="b">
        <v>0</v>
      </c>
      <c r="G164" s="91" t="b">
        <v>0</v>
      </c>
    </row>
    <row r="165" spans="1:7" ht="15">
      <c r="A165" s="92" t="s">
        <v>2708</v>
      </c>
      <c r="B165" s="91">
        <v>19</v>
      </c>
      <c r="C165" s="114">
        <v>0.002148631988068675</v>
      </c>
      <c r="D165" s="91" t="s">
        <v>3159</v>
      </c>
      <c r="E165" s="91" t="b">
        <v>0</v>
      </c>
      <c r="F165" s="91" t="b">
        <v>0</v>
      </c>
      <c r="G165" s="91" t="b">
        <v>0</v>
      </c>
    </row>
    <row r="166" spans="1:7" ht="15">
      <c r="A166" s="92" t="s">
        <v>2709</v>
      </c>
      <c r="B166" s="91">
        <v>19</v>
      </c>
      <c r="C166" s="114">
        <v>0.002148631988068675</v>
      </c>
      <c r="D166" s="91" t="s">
        <v>3159</v>
      </c>
      <c r="E166" s="91" t="b">
        <v>0</v>
      </c>
      <c r="F166" s="91" t="b">
        <v>0</v>
      </c>
      <c r="G166" s="91" t="b">
        <v>0</v>
      </c>
    </row>
    <row r="167" spans="1:7" ht="15">
      <c r="A167" s="92" t="s">
        <v>2710</v>
      </c>
      <c r="B167" s="91">
        <v>19</v>
      </c>
      <c r="C167" s="114">
        <v>0.002148631988068675</v>
      </c>
      <c r="D167" s="91" t="s">
        <v>3159</v>
      </c>
      <c r="E167" s="91" t="b">
        <v>0</v>
      </c>
      <c r="F167" s="91" t="b">
        <v>0</v>
      </c>
      <c r="G167" s="91" t="b">
        <v>0</v>
      </c>
    </row>
    <row r="168" spans="1:7" ht="15">
      <c r="A168" s="92" t="s">
        <v>2711</v>
      </c>
      <c r="B168" s="91">
        <v>19</v>
      </c>
      <c r="C168" s="114">
        <v>0.002148631988068675</v>
      </c>
      <c r="D168" s="91" t="s">
        <v>3159</v>
      </c>
      <c r="E168" s="91" t="b">
        <v>0</v>
      </c>
      <c r="F168" s="91" t="b">
        <v>0</v>
      </c>
      <c r="G168" s="91" t="b">
        <v>0</v>
      </c>
    </row>
    <row r="169" spans="1:7" ht="15">
      <c r="A169" s="92" t="s">
        <v>2712</v>
      </c>
      <c r="B169" s="91">
        <v>19</v>
      </c>
      <c r="C169" s="114">
        <v>0.002148631988068675</v>
      </c>
      <c r="D169" s="91" t="s">
        <v>3159</v>
      </c>
      <c r="E169" s="91" t="b">
        <v>0</v>
      </c>
      <c r="F169" s="91" t="b">
        <v>0</v>
      </c>
      <c r="G169" s="91" t="b">
        <v>0</v>
      </c>
    </row>
    <row r="170" spans="1:7" ht="15">
      <c r="A170" s="92" t="s">
        <v>2713</v>
      </c>
      <c r="B170" s="91">
        <v>19</v>
      </c>
      <c r="C170" s="114">
        <v>0.002148631988068675</v>
      </c>
      <c r="D170" s="91" t="s">
        <v>3159</v>
      </c>
      <c r="E170" s="91" t="b">
        <v>0</v>
      </c>
      <c r="F170" s="91" t="b">
        <v>0</v>
      </c>
      <c r="G170" s="91" t="b">
        <v>0</v>
      </c>
    </row>
    <row r="171" spans="1:7" ht="15">
      <c r="A171" s="92" t="s">
        <v>2714</v>
      </c>
      <c r="B171" s="91">
        <v>19</v>
      </c>
      <c r="C171" s="114">
        <v>0.002148631988068675</v>
      </c>
      <c r="D171" s="91" t="s">
        <v>3159</v>
      </c>
      <c r="E171" s="91" t="b">
        <v>0</v>
      </c>
      <c r="F171" s="91" t="b">
        <v>0</v>
      </c>
      <c r="G171" s="91" t="b">
        <v>0</v>
      </c>
    </row>
    <row r="172" spans="1:7" ht="15">
      <c r="A172" s="92" t="s">
        <v>2715</v>
      </c>
      <c r="B172" s="91">
        <v>19</v>
      </c>
      <c r="C172" s="114">
        <v>0.002148631988068675</v>
      </c>
      <c r="D172" s="91" t="s">
        <v>3159</v>
      </c>
      <c r="E172" s="91" t="b">
        <v>0</v>
      </c>
      <c r="F172" s="91" t="b">
        <v>0</v>
      </c>
      <c r="G172" s="91" t="b">
        <v>0</v>
      </c>
    </row>
    <row r="173" spans="1:7" ht="15">
      <c r="A173" s="92" t="s">
        <v>435</v>
      </c>
      <c r="B173" s="91">
        <v>19</v>
      </c>
      <c r="C173" s="114">
        <v>0.002148631988068675</v>
      </c>
      <c r="D173" s="91" t="s">
        <v>3159</v>
      </c>
      <c r="E173" s="91" t="b">
        <v>0</v>
      </c>
      <c r="F173" s="91" t="b">
        <v>0</v>
      </c>
      <c r="G173" s="91" t="b">
        <v>0</v>
      </c>
    </row>
    <row r="174" spans="1:7" ht="15">
      <c r="A174" s="92" t="s">
        <v>2716</v>
      </c>
      <c r="B174" s="91">
        <v>19</v>
      </c>
      <c r="C174" s="114">
        <v>0.002148631988068675</v>
      </c>
      <c r="D174" s="91" t="s">
        <v>3159</v>
      </c>
      <c r="E174" s="91" t="b">
        <v>0</v>
      </c>
      <c r="F174" s="91" t="b">
        <v>0</v>
      </c>
      <c r="G174" s="91" t="b">
        <v>0</v>
      </c>
    </row>
    <row r="175" spans="1:7" ht="15">
      <c r="A175" s="92" t="s">
        <v>2717</v>
      </c>
      <c r="B175" s="91">
        <v>19</v>
      </c>
      <c r="C175" s="114">
        <v>0.002148631988068675</v>
      </c>
      <c r="D175" s="91" t="s">
        <v>3159</v>
      </c>
      <c r="E175" s="91" t="b">
        <v>0</v>
      </c>
      <c r="F175" s="91" t="b">
        <v>0</v>
      </c>
      <c r="G175" s="91" t="b">
        <v>0</v>
      </c>
    </row>
    <row r="176" spans="1:7" ht="15">
      <c r="A176" s="92" t="s">
        <v>2718</v>
      </c>
      <c r="B176" s="91">
        <v>19</v>
      </c>
      <c r="C176" s="114">
        <v>0.002148631988068675</v>
      </c>
      <c r="D176" s="91" t="s">
        <v>3159</v>
      </c>
      <c r="E176" s="91" t="b">
        <v>0</v>
      </c>
      <c r="F176" s="91" t="b">
        <v>0</v>
      </c>
      <c r="G176" s="91" t="b">
        <v>0</v>
      </c>
    </row>
    <row r="177" spans="1:7" ht="15">
      <c r="A177" s="92" t="s">
        <v>2719</v>
      </c>
      <c r="B177" s="91">
        <v>19</v>
      </c>
      <c r="C177" s="114">
        <v>0.002148631988068675</v>
      </c>
      <c r="D177" s="91" t="s">
        <v>3159</v>
      </c>
      <c r="E177" s="91" t="b">
        <v>0</v>
      </c>
      <c r="F177" s="91" t="b">
        <v>0</v>
      </c>
      <c r="G177" s="91" t="b">
        <v>0</v>
      </c>
    </row>
    <row r="178" spans="1:7" ht="15">
      <c r="A178" s="92" t="s">
        <v>2720</v>
      </c>
      <c r="B178" s="91">
        <v>19</v>
      </c>
      <c r="C178" s="114">
        <v>0.002467813363758816</v>
      </c>
      <c r="D178" s="91" t="s">
        <v>3159</v>
      </c>
      <c r="E178" s="91" t="b">
        <v>0</v>
      </c>
      <c r="F178" s="91" t="b">
        <v>0</v>
      </c>
      <c r="G178" s="91" t="b">
        <v>0</v>
      </c>
    </row>
    <row r="179" spans="1:7" ht="15">
      <c r="A179" s="92" t="s">
        <v>2721</v>
      </c>
      <c r="B179" s="91">
        <v>19</v>
      </c>
      <c r="C179" s="114">
        <v>0.002467813363758816</v>
      </c>
      <c r="D179" s="91" t="s">
        <v>3159</v>
      </c>
      <c r="E179" s="91" t="b">
        <v>0</v>
      </c>
      <c r="F179" s="91" t="b">
        <v>0</v>
      </c>
      <c r="G179" s="91" t="b">
        <v>0</v>
      </c>
    </row>
    <row r="180" spans="1:7" ht="15">
      <c r="A180" s="92" t="s">
        <v>2722</v>
      </c>
      <c r="B180" s="91">
        <v>18</v>
      </c>
      <c r="C180" s="114">
        <v>0.0020711235119136202</v>
      </c>
      <c r="D180" s="91" t="s">
        <v>3159</v>
      </c>
      <c r="E180" s="91" t="b">
        <v>0</v>
      </c>
      <c r="F180" s="91" t="b">
        <v>0</v>
      </c>
      <c r="G180" s="91" t="b">
        <v>0</v>
      </c>
    </row>
    <row r="181" spans="1:7" ht="15">
      <c r="A181" s="92" t="s">
        <v>2723</v>
      </c>
      <c r="B181" s="91">
        <v>18</v>
      </c>
      <c r="C181" s="114">
        <v>0.0020711235119136202</v>
      </c>
      <c r="D181" s="91" t="s">
        <v>3159</v>
      </c>
      <c r="E181" s="91" t="b">
        <v>0</v>
      </c>
      <c r="F181" s="91" t="b">
        <v>0</v>
      </c>
      <c r="G181" s="91" t="b">
        <v>0</v>
      </c>
    </row>
    <row r="182" spans="1:7" ht="15">
      <c r="A182" s="92" t="s">
        <v>2724</v>
      </c>
      <c r="B182" s="91">
        <v>17</v>
      </c>
      <c r="C182" s="114">
        <v>0.001991583057827977</v>
      </c>
      <c r="D182" s="91" t="s">
        <v>3159</v>
      </c>
      <c r="E182" s="91" t="b">
        <v>0</v>
      </c>
      <c r="F182" s="91" t="b">
        <v>0</v>
      </c>
      <c r="G182" s="91" t="b">
        <v>0</v>
      </c>
    </row>
    <row r="183" spans="1:7" ht="15">
      <c r="A183" s="92" t="s">
        <v>2725</v>
      </c>
      <c r="B183" s="91">
        <v>17</v>
      </c>
      <c r="C183" s="114">
        <v>0.001991583057827977</v>
      </c>
      <c r="D183" s="91" t="s">
        <v>3159</v>
      </c>
      <c r="E183" s="91" t="b">
        <v>0</v>
      </c>
      <c r="F183" s="91" t="b">
        <v>0</v>
      </c>
      <c r="G183" s="91" t="b">
        <v>0</v>
      </c>
    </row>
    <row r="184" spans="1:7" ht="15">
      <c r="A184" s="92" t="s">
        <v>2726</v>
      </c>
      <c r="B184" s="91">
        <v>17</v>
      </c>
      <c r="C184" s="114">
        <v>0.001991583057827977</v>
      </c>
      <c r="D184" s="91" t="s">
        <v>3159</v>
      </c>
      <c r="E184" s="91" t="b">
        <v>0</v>
      </c>
      <c r="F184" s="91" t="b">
        <v>0</v>
      </c>
      <c r="G184" s="91" t="b">
        <v>0</v>
      </c>
    </row>
    <row r="185" spans="1:7" ht="15">
      <c r="A185" s="92" t="s">
        <v>2727</v>
      </c>
      <c r="B185" s="91">
        <v>17</v>
      </c>
      <c r="C185" s="114">
        <v>0.001991583057827977</v>
      </c>
      <c r="D185" s="91" t="s">
        <v>3159</v>
      </c>
      <c r="E185" s="91" t="b">
        <v>0</v>
      </c>
      <c r="F185" s="91" t="b">
        <v>0</v>
      </c>
      <c r="G185" s="91" t="b">
        <v>0</v>
      </c>
    </row>
    <row r="186" spans="1:7" ht="15">
      <c r="A186" s="92" t="s">
        <v>2728</v>
      </c>
      <c r="B186" s="91">
        <v>17</v>
      </c>
      <c r="C186" s="114">
        <v>0.001991583057827977</v>
      </c>
      <c r="D186" s="91" t="s">
        <v>3159</v>
      </c>
      <c r="E186" s="91" t="b">
        <v>0</v>
      </c>
      <c r="F186" s="91" t="b">
        <v>0</v>
      </c>
      <c r="G186" s="91" t="b">
        <v>0</v>
      </c>
    </row>
    <row r="187" spans="1:7" ht="15">
      <c r="A187" s="92" t="s">
        <v>2729</v>
      </c>
      <c r="B187" s="91">
        <v>16</v>
      </c>
      <c r="C187" s="114">
        <v>0.0019879945956741514</v>
      </c>
      <c r="D187" s="91" t="s">
        <v>3159</v>
      </c>
      <c r="E187" s="91" t="b">
        <v>0</v>
      </c>
      <c r="F187" s="91" t="b">
        <v>0</v>
      </c>
      <c r="G187" s="91" t="b">
        <v>0</v>
      </c>
    </row>
    <row r="188" spans="1:7" ht="15">
      <c r="A188" s="92" t="s">
        <v>2730</v>
      </c>
      <c r="B188" s="91">
        <v>16</v>
      </c>
      <c r="C188" s="114">
        <v>0.0019098909633809705</v>
      </c>
      <c r="D188" s="91" t="s">
        <v>3159</v>
      </c>
      <c r="E188" s="91" t="b">
        <v>0</v>
      </c>
      <c r="F188" s="91" t="b">
        <v>0</v>
      </c>
      <c r="G188" s="91" t="b">
        <v>0</v>
      </c>
    </row>
    <row r="189" spans="1:7" ht="15">
      <c r="A189" s="92" t="s">
        <v>2731</v>
      </c>
      <c r="B189" s="91">
        <v>16</v>
      </c>
      <c r="C189" s="114">
        <v>0.0019098909633809705</v>
      </c>
      <c r="D189" s="91" t="s">
        <v>3159</v>
      </c>
      <c r="E189" s="91" t="b">
        <v>0</v>
      </c>
      <c r="F189" s="91" t="b">
        <v>0</v>
      </c>
      <c r="G189" s="91" t="b">
        <v>0</v>
      </c>
    </row>
    <row r="190" spans="1:7" ht="15">
      <c r="A190" s="92" t="s">
        <v>2732</v>
      </c>
      <c r="B190" s="91">
        <v>15</v>
      </c>
      <c r="C190" s="114">
        <v>0.0018259125806952198</v>
      </c>
      <c r="D190" s="91" t="s">
        <v>3159</v>
      </c>
      <c r="E190" s="91" t="b">
        <v>0</v>
      </c>
      <c r="F190" s="91" t="b">
        <v>0</v>
      </c>
      <c r="G190" s="91" t="b">
        <v>0</v>
      </c>
    </row>
    <row r="191" spans="1:7" ht="15">
      <c r="A191" s="92" t="s">
        <v>2733</v>
      </c>
      <c r="B191" s="91">
        <v>14</v>
      </c>
      <c r="C191" s="114">
        <v>0.0017394952712148821</v>
      </c>
      <c r="D191" s="91" t="s">
        <v>3159</v>
      </c>
      <c r="E191" s="91" t="b">
        <v>0</v>
      </c>
      <c r="F191" s="91" t="b">
        <v>0</v>
      </c>
      <c r="G191" s="91" t="b">
        <v>0</v>
      </c>
    </row>
    <row r="192" spans="1:7" ht="15">
      <c r="A192" s="92" t="s">
        <v>2734</v>
      </c>
      <c r="B192" s="91">
        <v>14</v>
      </c>
      <c r="C192" s="114">
        <v>0.0017394952712148821</v>
      </c>
      <c r="D192" s="91" t="s">
        <v>3159</v>
      </c>
      <c r="E192" s="91" t="b">
        <v>0</v>
      </c>
      <c r="F192" s="91" t="b">
        <v>0</v>
      </c>
      <c r="G192" s="91" t="b">
        <v>0</v>
      </c>
    </row>
    <row r="193" spans="1:7" ht="15">
      <c r="A193" s="92" t="s">
        <v>2735</v>
      </c>
      <c r="B193" s="91">
        <v>14</v>
      </c>
      <c r="C193" s="114">
        <v>0.002094244424354254</v>
      </c>
      <c r="D193" s="91" t="s">
        <v>3159</v>
      </c>
      <c r="E193" s="91" t="b">
        <v>0</v>
      </c>
      <c r="F193" s="91" t="b">
        <v>0</v>
      </c>
      <c r="G193" s="91" t="b">
        <v>0</v>
      </c>
    </row>
    <row r="194" spans="1:7" ht="15">
      <c r="A194" s="92" t="s">
        <v>2736</v>
      </c>
      <c r="B194" s="91">
        <v>14</v>
      </c>
      <c r="C194" s="114">
        <v>0.0017394952712148821</v>
      </c>
      <c r="D194" s="91" t="s">
        <v>3159</v>
      </c>
      <c r="E194" s="91" t="b">
        <v>0</v>
      </c>
      <c r="F194" s="91" t="b">
        <v>0</v>
      </c>
      <c r="G194" s="91" t="b">
        <v>0</v>
      </c>
    </row>
    <row r="195" spans="1:7" ht="15">
      <c r="A195" s="92" t="s">
        <v>2737</v>
      </c>
      <c r="B195" s="91">
        <v>14</v>
      </c>
      <c r="C195" s="114">
        <v>0.0017394952712148821</v>
      </c>
      <c r="D195" s="91" t="s">
        <v>3159</v>
      </c>
      <c r="E195" s="91" t="b">
        <v>0</v>
      </c>
      <c r="F195" s="91" t="b">
        <v>0</v>
      </c>
      <c r="G195" s="91" t="b">
        <v>0</v>
      </c>
    </row>
    <row r="196" spans="1:7" ht="15">
      <c r="A196" s="92" t="s">
        <v>2738</v>
      </c>
      <c r="B196" s="91">
        <v>14</v>
      </c>
      <c r="C196" s="114">
        <v>0.0017394952712148821</v>
      </c>
      <c r="D196" s="91" t="s">
        <v>3159</v>
      </c>
      <c r="E196" s="91" t="b">
        <v>0</v>
      </c>
      <c r="F196" s="91" t="b">
        <v>0</v>
      </c>
      <c r="G196" s="91" t="b">
        <v>0</v>
      </c>
    </row>
    <row r="197" spans="1:7" ht="15">
      <c r="A197" s="92" t="s">
        <v>2739</v>
      </c>
      <c r="B197" s="91">
        <v>13</v>
      </c>
      <c r="C197" s="114">
        <v>0.0016504645386004177</v>
      </c>
      <c r="D197" s="91" t="s">
        <v>3159</v>
      </c>
      <c r="E197" s="91" t="b">
        <v>0</v>
      </c>
      <c r="F197" s="91" t="b">
        <v>0</v>
      </c>
      <c r="G197" s="91" t="b">
        <v>0</v>
      </c>
    </row>
    <row r="198" spans="1:7" ht="15">
      <c r="A198" s="92" t="s">
        <v>2740</v>
      </c>
      <c r="B198" s="91">
        <v>13</v>
      </c>
      <c r="C198" s="114">
        <v>0.0016504645386004177</v>
      </c>
      <c r="D198" s="91" t="s">
        <v>3159</v>
      </c>
      <c r="E198" s="91" t="b">
        <v>0</v>
      </c>
      <c r="F198" s="91" t="b">
        <v>0</v>
      </c>
      <c r="G198" s="91" t="b">
        <v>0</v>
      </c>
    </row>
    <row r="199" spans="1:7" ht="15">
      <c r="A199" s="92" t="s">
        <v>2741</v>
      </c>
      <c r="B199" s="91">
        <v>13</v>
      </c>
      <c r="C199" s="114">
        <v>0.0016504645386004177</v>
      </c>
      <c r="D199" s="91" t="s">
        <v>3159</v>
      </c>
      <c r="E199" s="91" t="b">
        <v>0</v>
      </c>
      <c r="F199" s="91" t="b">
        <v>0</v>
      </c>
      <c r="G199" s="91" t="b">
        <v>0</v>
      </c>
    </row>
    <row r="200" spans="1:7" ht="15">
      <c r="A200" s="92" t="s">
        <v>2742</v>
      </c>
      <c r="B200" s="91">
        <v>13</v>
      </c>
      <c r="C200" s="114">
        <v>0.0016504645386004177</v>
      </c>
      <c r="D200" s="91" t="s">
        <v>3159</v>
      </c>
      <c r="E200" s="91" t="b">
        <v>0</v>
      </c>
      <c r="F200" s="91" t="b">
        <v>0</v>
      </c>
      <c r="G200" s="91" t="b">
        <v>0</v>
      </c>
    </row>
    <row r="201" spans="1:7" ht="15">
      <c r="A201" s="92" t="s">
        <v>2743</v>
      </c>
      <c r="B201" s="91">
        <v>13</v>
      </c>
      <c r="C201" s="114">
        <v>0.0016504645386004177</v>
      </c>
      <c r="D201" s="91" t="s">
        <v>3159</v>
      </c>
      <c r="E201" s="91" t="b">
        <v>0</v>
      </c>
      <c r="F201" s="91" t="b">
        <v>0</v>
      </c>
      <c r="G201" s="91" t="b">
        <v>0</v>
      </c>
    </row>
    <row r="202" spans="1:7" ht="15">
      <c r="A202" s="92" t="s">
        <v>2744</v>
      </c>
      <c r="B202" s="91">
        <v>13</v>
      </c>
      <c r="C202" s="114">
        <v>0.0016504645386004177</v>
      </c>
      <c r="D202" s="91" t="s">
        <v>3159</v>
      </c>
      <c r="E202" s="91" t="b">
        <v>0</v>
      </c>
      <c r="F202" s="91" t="b">
        <v>0</v>
      </c>
      <c r="G202" s="91" t="b">
        <v>0</v>
      </c>
    </row>
    <row r="203" spans="1:7" ht="15">
      <c r="A203" s="92" t="s">
        <v>2745</v>
      </c>
      <c r="B203" s="91">
        <v>13</v>
      </c>
      <c r="C203" s="114">
        <v>0.0016504645386004177</v>
      </c>
      <c r="D203" s="91" t="s">
        <v>3159</v>
      </c>
      <c r="E203" s="91" t="b">
        <v>0</v>
      </c>
      <c r="F203" s="91" t="b">
        <v>0</v>
      </c>
      <c r="G203" s="91" t="b">
        <v>0</v>
      </c>
    </row>
    <row r="204" spans="1:7" ht="15">
      <c r="A204" s="92" t="s">
        <v>2746</v>
      </c>
      <c r="B204" s="91">
        <v>13</v>
      </c>
      <c r="C204" s="114">
        <v>0.0016504645386004177</v>
      </c>
      <c r="D204" s="91" t="s">
        <v>3159</v>
      </c>
      <c r="E204" s="91" t="b">
        <v>0</v>
      </c>
      <c r="F204" s="91" t="b">
        <v>0</v>
      </c>
      <c r="G204" s="91" t="b">
        <v>0</v>
      </c>
    </row>
    <row r="205" spans="1:7" ht="15">
      <c r="A205" s="92" t="s">
        <v>2747</v>
      </c>
      <c r="B205" s="91">
        <v>13</v>
      </c>
      <c r="C205" s="114">
        <v>0.0016504645386004177</v>
      </c>
      <c r="D205" s="91" t="s">
        <v>3159</v>
      </c>
      <c r="E205" s="91" t="b">
        <v>0</v>
      </c>
      <c r="F205" s="91" t="b">
        <v>0</v>
      </c>
      <c r="G205" s="91" t="b">
        <v>0</v>
      </c>
    </row>
    <row r="206" spans="1:7" ht="15">
      <c r="A206" s="92" t="s">
        <v>2748</v>
      </c>
      <c r="B206" s="91">
        <v>13</v>
      </c>
      <c r="C206" s="114">
        <v>0.0019446555369003788</v>
      </c>
      <c r="D206" s="91" t="s">
        <v>3159</v>
      </c>
      <c r="E206" s="91" t="b">
        <v>0</v>
      </c>
      <c r="F206" s="91" t="b">
        <v>0</v>
      </c>
      <c r="G206" s="91" t="b">
        <v>0</v>
      </c>
    </row>
    <row r="207" spans="1:7" ht="15">
      <c r="A207" s="92" t="s">
        <v>2749</v>
      </c>
      <c r="B207" s="91">
        <v>12</v>
      </c>
      <c r="C207" s="114">
        <v>0.0015586189665845157</v>
      </c>
      <c r="D207" s="91" t="s">
        <v>3159</v>
      </c>
      <c r="E207" s="91" t="b">
        <v>0</v>
      </c>
      <c r="F207" s="91" t="b">
        <v>0</v>
      </c>
      <c r="G207" s="91" t="b">
        <v>0</v>
      </c>
    </row>
    <row r="208" spans="1:7" ht="15">
      <c r="A208" s="92" t="s">
        <v>2750</v>
      </c>
      <c r="B208" s="91">
        <v>12</v>
      </c>
      <c r="C208" s="114">
        <v>0.0015586189665845157</v>
      </c>
      <c r="D208" s="91" t="s">
        <v>3159</v>
      </c>
      <c r="E208" s="91" t="b">
        <v>0</v>
      </c>
      <c r="F208" s="91" t="b">
        <v>0</v>
      </c>
      <c r="G208" s="91" t="b">
        <v>0</v>
      </c>
    </row>
    <row r="209" spans="1:7" ht="15">
      <c r="A209" s="92" t="s">
        <v>2751</v>
      </c>
      <c r="B209" s="91">
        <v>12</v>
      </c>
      <c r="C209" s="114">
        <v>0.0015586189665845157</v>
      </c>
      <c r="D209" s="91" t="s">
        <v>3159</v>
      </c>
      <c r="E209" s="91" t="b">
        <v>0</v>
      </c>
      <c r="F209" s="91" t="b">
        <v>0</v>
      </c>
      <c r="G209" s="91" t="b">
        <v>0</v>
      </c>
    </row>
    <row r="210" spans="1:7" ht="15">
      <c r="A210" s="92" t="s">
        <v>2752</v>
      </c>
      <c r="B210" s="91">
        <v>11</v>
      </c>
      <c r="C210" s="114">
        <v>0.0014637234609333983</v>
      </c>
      <c r="D210" s="91" t="s">
        <v>3159</v>
      </c>
      <c r="E210" s="91" t="b">
        <v>0</v>
      </c>
      <c r="F210" s="91" t="b">
        <v>0</v>
      </c>
      <c r="G210" s="91" t="b">
        <v>0</v>
      </c>
    </row>
    <row r="211" spans="1:7" ht="15">
      <c r="A211" s="92" t="s">
        <v>2753</v>
      </c>
      <c r="B211" s="91">
        <v>11</v>
      </c>
      <c r="C211" s="114">
        <v>0.0014637234609333983</v>
      </c>
      <c r="D211" s="91" t="s">
        <v>3159</v>
      </c>
      <c r="E211" s="91" t="b">
        <v>0</v>
      </c>
      <c r="F211" s="91" t="b">
        <v>0</v>
      </c>
      <c r="G211" s="91" t="b">
        <v>0</v>
      </c>
    </row>
    <row r="212" spans="1:7" ht="15">
      <c r="A212" s="92" t="s">
        <v>2754</v>
      </c>
      <c r="B212" s="91">
        <v>11</v>
      </c>
      <c r="C212" s="114">
        <v>0.0014637234609333983</v>
      </c>
      <c r="D212" s="91" t="s">
        <v>3159</v>
      </c>
      <c r="E212" s="91" t="b">
        <v>0</v>
      </c>
      <c r="F212" s="91" t="b">
        <v>0</v>
      </c>
      <c r="G212" s="91" t="b">
        <v>0</v>
      </c>
    </row>
    <row r="213" spans="1:7" ht="15">
      <c r="A213" s="92" t="s">
        <v>2755</v>
      </c>
      <c r="B213" s="91">
        <v>11</v>
      </c>
      <c r="C213" s="114">
        <v>0.0014637234609333983</v>
      </c>
      <c r="D213" s="91" t="s">
        <v>3159</v>
      </c>
      <c r="E213" s="91" t="b">
        <v>0</v>
      </c>
      <c r="F213" s="91" t="b">
        <v>0</v>
      </c>
      <c r="G213" s="91" t="b">
        <v>0</v>
      </c>
    </row>
    <row r="214" spans="1:7" ht="15">
      <c r="A214" s="92" t="s">
        <v>2756</v>
      </c>
      <c r="B214" s="91">
        <v>11</v>
      </c>
      <c r="C214" s="114">
        <v>0.0014637234609333983</v>
      </c>
      <c r="D214" s="91" t="s">
        <v>3159</v>
      </c>
      <c r="E214" s="91" t="b">
        <v>0</v>
      </c>
      <c r="F214" s="91" t="b">
        <v>0</v>
      </c>
      <c r="G214" s="91" t="b">
        <v>0</v>
      </c>
    </row>
    <row r="215" spans="1:7" ht="15">
      <c r="A215" s="92" t="s">
        <v>2757</v>
      </c>
      <c r="B215" s="91">
        <v>11</v>
      </c>
      <c r="C215" s="114">
        <v>0.0014637234609333983</v>
      </c>
      <c r="D215" s="91" t="s">
        <v>3159</v>
      </c>
      <c r="E215" s="91" t="b">
        <v>0</v>
      </c>
      <c r="F215" s="91" t="b">
        <v>0</v>
      </c>
      <c r="G215" s="91" t="b">
        <v>0</v>
      </c>
    </row>
    <row r="216" spans="1:7" ht="15">
      <c r="A216" s="92" t="s">
        <v>438</v>
      </c>
      <c r="B216" s="91">
        <v>11</v>
      </c>
      <c r="C216" s="114">
        <v>0.0014637234609333983</v>
      </c>
      <c r="D216" s="91" t="s">
        <v>3159</v>
      </c>
      <c r="E216" s="91" t="b">
        <v>0</v>
      </c>
      <c r="F216" s="91" t="b">
        <v>0</v>
      </c>
      <c r="G216" s="91" t="b">
        <v>0</v>
      </c>
    </row>
    <row r="217" spans="1:7" ht="15">
      <c r="A217" s="92" t="s">
        <v>420</v>
      </c>
      <c r="B217" s="91">
        <v>11</v>
      </c>
      <c r="C217" s="114">
        <v>0.0014637234609333983</v>
      </c>
      <c r="D217" s="91" t="s">
        <v>3159</v>
      </c>
      <c r="E217" s="91" t="b">
        <v>0</v>
      </c>
      <c r="F217" s="91" t="b">
        <v>0</v>
      </c>
      <c r="G217" s="91" t="b">
        <v>0</v>
      </c>
    </row>
    <row r="218" spans="1:7" ht="15">
      <c r="A218" s="92" t="s">
        <v>2758</v>
      </c>
      <c r="B218" s="91">
        <v>11</v>
      </c>
      <c r="C218" s="114">
        <v>0.0015020500212650884</v>
      </c>
      <c r="D218" s="91" t="s">
        <v>3159</v>
      </c>
      <c r="E218" s="91" t="b">
        <v>0</v>
      </c>
      <c r="F218" s="91" t="b">
        <v>0</v>
      </c>
      <c r="G218" s="91" t="b">
        <v>0</v>
      </c>
    </row>
    <row r="219" spans="1:7" ht="15">
      <c r="A219" s="92" t="s">
        <v>2759</v>
      </c>
      <c r="B219" s="91">
        <v>11</v>
      </c>
      <c r="C219" s="114">
        <v>0.0014637234609333983</v>
      </c>
      <c r="D219" s="91" t="s">
        <v>3159</v>
      </c>
      <c r="E219" s="91" t="b">
        <v>0</v>
      </c>
      <c r="F219" s="91" t="b">
        <v>0</v>
      </c>
      <c r="G219" s="91" t="b">
        <v>0</v>
      </c>
    </row>
    <row r="220" spans="1:7" ht="15">
      <c r="A220" s="92" t="s">
        <v>2760</v>
      </c>
      <c r="B220" s="91">
        <v>11</v>
      </c>
      <c r="C220" s="114">
        <v>0.0014637234609333983</v>
      </c>
      <c r="D220" s="91" t="s">
        <v>3159</v>
      </c>
      <c r="E220" s="91" t="b">
        <v>0</v>
      </c>
      <c r="F220" s="91" t="b">
        <v>0</v>
      </c>
      <c r="G220" s="91" t="b">
        <v>0</v>
      </c>
    </row>
    <row r="221" spans="1:7" ht="15">
      <c r="A221" s="92" t="s">
        <v>2761</v>
      </c>
      <c r="B221" s="91">
        <v>11</v>
      </c>
      <c r="C221" s="114">
        <v>0.0014637234609333983</v>
      </c>
      <c r="D221" s="91" t="s">
        <v>3159</v>
      </c>
      <c r="E221" s="91" t="b">
        <v>0</v>
      </c>
      <c r="F221" s="91" t="b">
        <v>0</v>
      </c>
      <c r="G221" s="91" t="b">
        <v>0</v>
      </c>
    </row>
    <row r="222" spans="1:7" ht="15">
      <c r="A222" s="92" t="s">
        <v>2762</v>
      </c>
      <c r="B222" s="91">
        <v>11</v>
      </c>
      <c r="C222" s="114">
        <v>0.0014637234609333983</v>
      </c>
      <c r="D222" s="91" t="s">
        <v>3159</v>
      </c>
      <c r="E222" s="91" t="b">
        <v>0</v>
      </c>
      <c r="F222" s="91" t="b">
        <v>0</v>
      </c>
      <c r="G222" s="91" t="b">
        <v>0</v>
      </c>
    </row>
    <row r="223" spans="1:7" ht="15">
      <c r="A223" s="92" t="s">
        <v>2763</v>
      </c>
      <c r="B223" s="91">
        <v>11</v>
      </c>
      <c r="C223" s="114">
        <v>0.0014637234609333983</v>
      </c>
      <c r="D223" s="91" t="s">
        <v>3159</v>
      </c>
      <c r="E223" s="91" t="b">
        <v>0</v>
      </c>
      <c r="F223" s="91" t="b">
        <v>0</v>
      </c>
      <c r="G223" s="91" t="b">
        <v>0</v>
      </c>
    </row>
    <row r="224" spans="1:7" ht="15">
      <c r="A224" s="92" t="s">
        <v>2764</v>
      </c>
      <c r="B224" s="91">
        <v>11</v>
      </c>
      <c r="C224" s="114">
        <v>0.0014637234609333983</v>
      </c>
      <c r="D224" s="91" t="s">
        <v>3159</v>
      </c>
      <c r="E224" s="91" t="b">
        <v>0</v>
      </c>
      <c r="F224" s="91" t="b">
        <v>0</v>
      </c>
      <c r="G224" s="91" t="b">
        <v>0</v>
      </c>
    </row>
    <row r="225" spans="1:7" ht="15">
      <c r="A225" s="92" t="s">
        <v>2765</v>
      </c>
      <c r="B225" s="91">
        <v>11</v>
      </c>
      <c r="C225" s="114">
        <v>0.0014637234609333983</v>
      </c>
      <c r="D225" s="91" t="s">
        <v>3159</v>
      </c>
      <c r="E225" s="91" t="b">
        <v>0</v>
      </c>
      <c r="F225" s="91" t="b">
        <v>0</v>
      </c>
      <c r="G225" s="91" t="b">
        <v>0</v>
      </c>
    </row>
    <row r="226" spans="1:7" ht="15">
      <c r="A226" s="92" t="s">
        <v>2766</v>
      </c>
      <c r="B226" s="91">
        <v>11</v>
      </c>
      <c r="C226" s="114">
        <v>0.0014637234609333983</v>
      </c>
      <c r="D226" s="91" t="s">
        <v>3159</v>
      </c>
      <c r="E226" s="91" t="b">
        <v>0</v>
      </c>
      <c r="F226" s="91" t="b">
        <v>0</v>
      </c>
      <c r="G226" s="91" t="b">
        <v>0</v>
      </c>
    </row>
    <row r="227" spans="1:7" ht="15">
      <c r="A227" s="92" t="s">
        <v>2767</v>
      </c>
      <c r="B227" s="91">
        <v>11</v>
      </c>
      <c r="C227" s="114">
        <v>0.0014637234609333983</v>
      </c>
      <c r="D227" s="91" t="s">
        <v>3159</v>
      </c>
      <c r="E227" s="91" t="b">
        <v>0</v>
      </c>
      <c r="F227" s="91" t="b">
        <v>0</v>
      </c>
      <c r="G227" s="91" t="b">
        <v>0</v>
      </c>
    </row>
    <row r="228" spans="1:7" ht="15">
      <c r="A228" s="92" t="s">
        <v>2768</v>
      </c>
      <c r="B228" s="91">
        <v>11</v>
      </c>
      <c r="C228" s="114">
        <v>0.001707465530169122</v>
      </c>
      <c r="D228" s="91" t="s">
        <v>3159</v>
      </c>
      <c r="E228" s="91" t="b">
        <v>0</v>
      </c>
      <c r="F228" s="91" t="b">
        <v>0</v>
      </c>
      <c r="G228" s="91" t="b">
        <v>0</v>
      </c>
    </row>
    <row r="229" spans="1:7" ht="15">
      <c r="A229" s="92" t="s">
        <v>2769</v>
      </c>
      <c r="B229" s="91">
        <v>10</v>
      </c>
      <c r="C229" s="114">
        <v>0.0013655000193318985</v>
      </c>
      <c r="D229" s="91" t="s">
        <v>3159</v>
      </c>
      <c r="E229" s="91" t="b">
        <v>0</v>
      </c>
      <c r="F229" s="91" t="b">
        <v>0</v>
      </c>
      <c r="G229" s="91" t="b">
        <v>0</v>
      </c>
    </row>
    <row r="230" spans="1:7" ht="15">
      <c r="A230" s="92" t="s">
        <v>2770</v>
      </c>
      <c r="B230" s="91">
        <v>10</v>
      </c>
      <c r="C230" s="114">
        <v>0.0013655000193318985</v>
      </c>
      <c r="D230" s="91" t="s">
        <v>3159</v>
      </c>
      <c r="E230" s="91" t="b">
        <v>0</v>
      </c>
      <c r="F230" s="91" t="b">
        <v>0</v>
      </c>
      <c r="G230" s="91" t="b">
        <v>0</v>
      </c>
    </row>
    <row r="231" spans="1:7" ht="15">
      <c r="A231" s="92" t="s">
        <v>2771</v>
      </c>
      <c r="B231" s="91">
        <v>10</v>
      </c>
      <c r="C231" s="114">
        <v>0.0013655000193318985</v>
      </c>
      <c r="D231" s="91" t="s">
        <v>3159</v>
      </c>
      <c r="E231" s="91" t="b">
        <v>0</v>
      </c>
      <c r="F231" s="91" t="b">
        <v>0</v>
      </c>
      <c r="G231" s="91" t="b">
        <v>0</v>
      </c>
    </row>
    <row r="232" spans="1:7" ht="15">
      <c r="A232" s="92" t="s">
        <v>2772</v>
      </c>
      <c r="B232" s="91">
        <v>10</v>
      </c>
      <c r="C232" s="114">
        <v>0.0013655000193318985</v>
      </c>
      <c r="D232" s="91" t="s">
        <v>3159</v>
      </c>
      <c r="E232" s="91" t="b">
        <v>0</v>
      </c>
      <c r="F232" s="91" t="b">
        <v>0</v>
      </c>
      <c r="G232" s="91" t="b">
        <v>0</v>
      </c>
    </row>
    <row r="233" spans="1:7" ht="15">
      <c r="A233" s="92" t="s">
        <v>2773</v>
      </c>
      <c r="B233" s="91">
        <v>10</v>
      </c>
      <c r="C233" s="114">
        <v>0.0013655000193318985</v>
      </c>
      <c r="D233" s="91" t="s">
        <v>3159</v>
      </c>
      <c r="E233" s="91" t="b">
        <v>0</v>
      </c>
      <c r="F233" s="91" t="b">
        <v>0</v>
      </c>
      <c r="G233" s="91" t="b">
        <v>0</v>
      </c>
    </row>
    <row r="234" spans="1:7" ht="15">
      <c r="A234" s="92" t="s">
        <v>2774</v>
      </c>
      <c r="B234" s="91">
        <v>10</v>
      </c>
      <c r="C234" s="114">
        <v>0.0013655000193318985</v>
      </c>
      <c r="D234" s="91" t="s">
        <v>3159</v>
      </c>
      <c r="E234" s="91" t="b">
        <v>0</v>
      </c>
      <c r="F234" s="91" t="b">
        <v>0</v>
      </c>
      <c r="G234" s="91" t="b">
        <v>0</v>
      </c>
    </row>
    <row r="235" spans="1:7" ht="15">
      <c r="A235" s="92" t="s">
        <v>2775</v>
      </c>
      <c r="B235" s="91">
        <v>10</v>
      </c>
      <c r="C235" s="114">
        <v>0.0013655000193318985</v>
      </c>
      <c r="D235" s="91" t="s">
        <v>3159</v>
      </c>
      <c r="E235" s="91" t="b">
        <v>0</v>
      </c>
      <c r="F235" s="91" t="b">
        <v>0</v>
      </c>
      <c r="G235" s="91" t="b">
        <v>0</v>
      </c>
    </row>
    <row r="236" spans="1:7" ht="15">
      <c r="A236" s="92" t="s">
        <v>2776</v>
      </c>
      <c r="B236" s="91">
        <v>10</v>
      </c>
      <c r="C236" s="114">
        <v>0.0015522413910628381</v>
      </c>
      <c r="D236" s="91" t="s">
        <v>3159</v>
      </c>
      <c r="E236" s="91" t="b">
        <v>0</v>
      </c>
      <c r="F236" s="91" t="b">
        <v>0</v>
      </c>
      <c r="G236" s="91" t="b">
        <v>0</v>
      </c>
    </row>
    <row r="237" spans="1:7" ht="15">
      <c r="A237" s="92" t="s">
        <v>2777</v>
      </c>
      <c r="B237" s="91">
        <v>10</v>
      </c>
      <c r="C237" s="114">
        <v>0.0013655000193318985</v>
      </c>
      <c r="D237" s="91" t="s">
        <v>3159</v>
      </c>
      <c r="E237" s="91" t="b">
        <v>0</v>
      </c>
      <c r="F237" s="91" t="b">
        <v>0</v>
      </c>
      <c r="G237" s="91" t="b">
        <v>0</v>
      </c>
    </row>
    <row r="238" spans="1:7" ht="15">
      <c r="A238" s="92" t="s">
        <v>2778</v>
      </c>
      <c r="B238" s="91">
        <v>9</v>
      </c>
      <c r="C238" s="114">
        <v>0.0012636147829749775</v>
      </c>
      <c r="D238" s="91" t="s">
        <v>3159</v>
      </c>
      <c r="E238" s="91" t="b">
        <v>0</v>
      </c>
      <c r="F238" s="91" t="b">
        <v>0</v>
      </c>
      <c r="G238" s="91" t="b">
        <v>0</v>
      </c>
    </row>
    <row r="239" spans="1:7" ht="15">
      <c r="A239" s="92" t="s">
        <v>2779</v>
      </c>
      <c r="B239" s="91">
        <v>9</v>
      </c>
      <c r="C239" s="114">
        <v>0.0013970172519565543</v>
      </c>
      <c r="D239" s="91" t="s">
        <v>3159</v>
      </c>
      <c r="E239" s="91" t="b">
        <v>0</v>
      </c>
      <c r="F239" s="91" t="b">
        <v>0</v>
      </c>
      <c r="G239" s="91" t="b">
        <v>0</v>
      </c>
    </row>
    <row r="240" spans="1:7" ht="15">
      <c r="A240" s="92" t="s">
        <v>2780</v>
      </c>
      <c r="B240" s="91">
        <v>9</v>
      </c>
      <c r="C240" s="114">
        <v>0.0012636147829749775</v>
      </c>
      <c r="D240" s="91" t="s">
        <v>3159</v>
      </c>
      <c r="E240" s="91" t="b">
        <v>0</v>
      </c>
      <c r="F240" s="91" t="b">
        <v>0</v>
      </c>
      <c r="G240" s="91" t="b">
        <v>0</v>
      </c>
    </row>
    <row r="241" spans="1:7" ht="15">
      <c r="A241" s="92" t="s">
        <v>2781</v>
      </c>
      <c r="B241" s="91">
        <v>9</v>
      </c>
      <c r="C241" s="114">
        <v>0.0012636147829749775</v>
      </c>
      <c r="D241" s="91" t="s">
        <v>3159</v>
      </c>
      <c r="E241" s="91" t="b">
        <v>0</v>
      </c>
      <c r="F241" s="91" t="b">
        <v>0</v>
      </c>
      <c r="G241" s="91" t="b">
        <v>0</v>
      </c>
    </row>
    <row r="242" spans="1:7" ht="15">
      <c r="A242" s="92" t="s">
        <v>2782</v>
      </c>
      <c r="B242" s="91">
        <v>9</v>
      </c>
      <c r="C242" s="114">
        <v>0.0012636147829749775</v>
      </c>
      <c r="D242" s="91" t="s">
        <v>3159</v>
      </c>
      <c r="E242" s="91" t="b">
        <v>0</v>
      </c>
      <c r="F242" s="91" t="b">
        <v>0</v>
      </c>
      <c r="G242" s="91" t="b">
        <v>0</v>
      </c>
    </row>
    <row r="243" spans="1:7" ht="15">
      <c r="A243" s="92" t="s">
        <v>2783</v>
      </c>
      <c r="B243" s="91">
        <v>9</v>
      </c>
      <c r="C243" s="114">
        <v>0.0012636147829749775</v>
      </c>
      <c r="D243" s="91" t="s">
        <v>3159</v>
      </c>
      <c r="E243" s="91" t="b">
        <v>0</v>
      </c>
      <c r="F243" s="91" t="b">
        <v>0</v>
      </c>
      <c r="G243" s="91" t="b">
        <v>0</v>
      </c>
    </row>
    <row r="244" spans="1:7" ht="15">
      <c r="A244" s="92" t="s">
        <v>2784</v>
      </c>
      <c r="B244" s="91">
        <v>9</v>
      </c>
      <c r="C244" s="114">
        <v>0.0012636147829749775</v>
      </c>
      <c r="D244" s="91" t="s">
        <v>3159</v>
      </c>
      <c r="E244" s="91" t="b">
        <v>0</v>
      </c>
      <c r="F244" s="91" t="b">
        <v>0</v>
      </c>
      <c r="G244" s="91" t="b">
        <v>0</v>
      </c>
    </row>
    <row r="245" spans="1:7" ht="15">
      <c r="A245" s="92" t="s">
        <v>2785</v>
      </c>
      <c r="B245" s="91">
        <v>9</v>
      </c>
      <c r="C245" s="114">
        <v>0.0012636147829749775</v>
      </c>
      <c r="D245" s="91" t="s">
        <v>3159</v>
      </c>
      <c r="E245" s="91" t="b">
        <v>0</v>
      </c>
      <c r="F245" s="91" t="b">
        <v>0</v>
      </c>
      <c r="G245" s="91" t="b">
        <v>0</v>
      </c>
    </row>
    <row r="246" spans="1:7" ht="15">
      <c r="A246" s="92" t="s">
        <v>2786</v>
      </c>
      <c r="B246" s="91">
        <v>9</v>
      </c>
      <c r="C246" s="114">
        <v>0.0012636147829749775</v>
      </c>
      <c r="D246" s="91" t="s">
        <v>3159</v>
      </c>
      <c r="E246" s="91" t="b">
        <v>0</v>
      </c>
      <c r="F246" s="91" t="b">
        <v>0</v>
      </c>
      <c r="G246" s="91" t="b">
        <v>0</v>
      </c>
    </row>
    <row r="247" spans="1:7" ht="15">
      <c r="A247" s="92" t="s">
        <v>2787</v>
      </c>
      <c r="B247" s="91">
        <v>9</v>
      </c>
      <c r="C247" s="114">
        <v>0.0012636147829749775</v>
      </c>
      <c r="D247" s="91" t="s">
        <v>3159</v>
      </c>
      <c r="E247" s="91" t="b">
        <v>0</v>
      </c>
      <c r="F247" s="91" t="b">
        <v>0</v>
      </c>
      <c r="G247" s="91" t="b">
        <v>0</v>
      </c>
    </row>
    <row r="248" spans="1:7" ht="15">
      <c r="A248" s="92" t="s">
        <v>2788</v>
      </c>
      <c r="B248" s="91">
        <v>9</v>
      </c>
      <c r="C248" s="114">
        <v>0.0012636147829749775</v>
      </c>
      <c r="D248" s="91" t="s">
        <v>3159</v>
      </c>
      <c r="E248" s="91" t="b">
        <v>0</v>
      </c>
      <c r="F248" s="91" t="b">
        <v>0</v>
      </c>
      <c r="G248" s="91" t="b">
        <v>0</v>
      </c>
    </row>
    <row r="249" spans="1:7" ht="15">
      <c r="A249" s="92" t="s">
        <v>2789</v>
      </c>
      <c r="B249" s="91">
        <v>9</v>
      </c>
      <c r="C249" s="114">
        <v>0.0012636147829749775</v>
      </c>
      <c r="D249" s="91" t="s">
        <v>3159</v>
      </c>
      <c r="E249" s="91" t="b">
        <v>0</v>
      </c>
      <c r="F249" s="91" t="b">
        <v>0</v>
      </c>
      <c r="G249" s="91" t="b">
        <v>0</v>
      </c>
    </row>
    <row r="250" spans="1:7" ht="15">
      <c r="A250" s="92" t="s">
        <v>2790</v>
      </c>
      <c r="B250" s="91">
        <v>9</v>
      </c>
      <c r="C250" s="114">
        <v>0.0012636147829749775</v>
      </c>
      <c r="D250" s="91" t="s">
        <v>3159</v>
      </c>
      <c r="E250" s="91" t="b">
        <v>0</v>
      </c>
      <c r="F250" s="91" t="b">
        <v>0</v>
      </c>
      <c r="G250" s="91" t="b">
        <v>0</v>
      </c>
    </row>
    <row r="251" spans="1:7" ht="15">
      <c r="A251" s="92" t="s">
        <v>2791</v>
      </c>
      <c r="B251" s="91">
        <v>9</v>
      </c>
      <c r="C251" s="114">
        <v>0.0012636147829749775</v>
      </c>
      <c r="D251" s="91" t="s">
        <v>3159</v>
      </c>
      <c r="E251" s="91" t="b">
        <v>0</v>
      </c>
      <c r="F251" s="91" t="b">
        <v>0</v>
      </c>
      <c r="G251" s="91" t="b">
        <v>0</v>
      </c>
    </row>
    <row r="252" spans="1:7" ht="15">
      <c r="A252" s="92" t="s">
        <v>2792</v>
      </c>
      <c r="B252" s="91">
        <v>9</v>
      </c>
      <c r="C252" s="114">
        <v>0.0012636147829749775</v>
      </c>
      <c r="D252" s="91" t="s">
        <v>3159</v>
      </c>
      <c r="E252" s="91" t="b">
        <v>0</v>
      </c>
      <c r="F252" s="91" t="b">
        <v>0</v>
      </c>
      <c r="G252" s="91" t="b">
        <v>0</v>
      </c>
    </row>
    <row r="253" spans="1:7" ht="15">
      <c r="A253" s="92" t="s">
        <v>2793</v>
      </c>
      <c r="B253" s="91">
        <v>9</v>
      </c>
      <c r="C253" s="114">
        <v>0.0012636147829749775</v>
      </c>
      <c r="D253" s="91" t="s">
        <v>3159</v>
      </c>
      <c r="E253" s="91" t="b">
        <v>0</v>
      </c>
      <c r="F253" s="91" t="b">
        <v>0</v>
      </c>
      <c r="G253" s="91" t="b">
        <v>0</v>
      </c>
    </row>
    <row r="254" spans="1:7" ht="15">
      <c r="A254" s="92" t="s">
        <v>2794</v>
      </c>
      <c r="B254" s="91">
        <v>9</v>
      </c>
      <c r="C254" s="114">
        <v>0.0012636147829749775</v>
      </c>
      <c r="D254" s="91" t="s">
        <v>3159</v>
      </c>
      <c r="E254" s="91" t="b">
        <v>0</v>
      </c>
      <c r="F254" s="91" t="b">
        <v>0</v>
      </c>
      <c r="G254" s="91" t="b">
        <v>0</v>
      </c>
    </row>
    <row r="255" spans="1:7" ht="15">
      <c r="A255" s="92" t="s">
        <v>2795</v>
      </c>
      <c r="B255" s="91">
        <v>9</v>
      </c>
      <c r="C255" s="114">
        <v>0.0012636147829749775</v>
      </c>
      <c r="D255" s="91" t="s">
        <v>3159</v>
      </c>
      <c r="E255" s="91" t="b">
        <v>0</v>
      </c>
      <c r="F255" s="91" t="b">
        <v>0</v>
      </c>
      <c r="G255" s="91" t="b">
        <v>0</v>
      </c>
    </row>
    <row r="256" spans="1:7" ht="15">
      <c r="A256" s="92" t="s">
        <v>2796</v>
      </c>
      <c r="B256" s="91">
        <v>9</v>
      </c>
      <c r="C256" s="114">
        <v>0.0012636147829749775</v>
      </c>
      <c r="D256" s="91" t="s">
        <v>3159</v>
      </c>
      <c r="E256" s="91" t="b">
        <v>0</v>
      </c>
      <c r="F256" s="91" t="b">
        <v>0</v>
      </c>
      <c r="G256" s="91" t="b">
        <v>0</v>
      </c>
    </row>
    <row r="257" spans="1:7" ht="15">
      <c r="A257" s="92" t="s">
        <v>2797</v>
      </c>
      <c r="B257" s="91">
        <v>9</v>
      </c>
      <c r="C257" s="114">
        <v>0.0012636147829749775</v>
      </c>
      <c r="D257" s="91" t="s">
        <v>3159</v>
      </c>
      <c r="E257" s="91" t="b">
        <v>0</v>
      </c>
      <c r="F257" s="91" t="b">
        <v>0</v>
      </c>
      <c r="G257" s="91" t="b">
        <v>0</v>
      </c>
    </row>
    <row r="258" spans="1:7" ht="15">
      <c r="A258" s="92" t="s">
        <v>2798</v>
      </c>
      <c r="B258" s="91">
        <v>9</v>
      </c>
      <c r="C258" s="114">
        <v>0.0012636147829749775</v>
      </c>
      <c r="D258" s="91" t="s">
        <v>3159</v>
      </c>
      <c r="E258" s="91" t="b">
        <v>0</v>
      </c>
      <c r="F258" s="91" t="b">
        <v>0</v>
      </c>
      <c r="G258" s="91" t="b">
        <v>0</v>
      </c>
    </row>
    <row r="259" spans="1:7" ht="15">
      <c r="A259" s="92" t="s">
        <v>2799</v>
      </c>
      <c r="B259" s="91">
        <v>9</v>
      </c>
      <c r="C259" s="114">
        <v>0.0012636147829749775</v>
      </c>
      <c r="D259" s="91" t="s">
        <v>3159</v>
      </c>
      <c r="E259" s="91" t="b">
        <v>0</v>
      </c>
      <c r="F259" s="91" t="b">
        <v>0</v>
      </c>
      <c r="G259" s="91" t="b">
        <v>0</v>
      </c>
    </row>
    <row r="260" spans="1:7" ht="15">
      <c r="A260" s="92" t="s">
        <v>2800</v>
      </c>
      <c r="B260" s="91">
        <v>9</v>
      </c>
      <c r="C260" s="114">
        <v>0.0012636147829749775</v>
      </c>
      <c r="D260" s="91" t="s">
        <v>3159</v>
      </c>
      <c r="E260" s="91" t="b">
        <v>0</v>
      </c>
      <c r="F260" s="91" t="b">
        <v>0</v>
      </c>
      <c r="G260" s="91" t="b">
        <v>0</v>
      </c>
    </row>
    <row r="261" spans="1:7" ht="15">
      <c r="A261" s="92" t="s">
        <v>2801</v>
      </c>
      <c r="B261" s="91">
        <v>9</v>
      </c>
      <c r="C261" s="114">
        <v>0.0012636147829749775</v>
      </c>
      <c r="D261" s="91" t="s">
        <v>3159</v>
      </c>
      <c r="E261" s="91" t="b">
        <v>0</v>
      </c>
      <c r="F261" s="91" t="b">
        <v>0</v>
      </c>
      <c r="G261" s="91" t="b">
        <v>0</v>
      </c>
    </row>
    <row r="262" spans="1:7" ht="15">
      <c r="A262" s="92" t="s">
        <v>2802</v>
      </c>
      <c r="B262" s="91">
        <v>9</v>
      </c>
      <c r="C262" s="114">
        <v>0.0012636147829749775</v>
      </c>
      <c r="D262" s="91" t="s">
        <v>3159</v>
      </c>
      <c r="E262" s="91" t="b">
        <v>0</v>
      </c>
      <c r="F262" s="91" t="b">
        <v>0</v>
      </c>
      <c r="G262" s="91" t="b">
        <v>0</v>
      </c>
    </row>
    <row r="263" spans="1:7" ht="15">
      <c r="A263" s="92" t="s">
        <v>2803</v>
      </c>
      <c r="B263" s="91">
        <v>8</v>
      </c>
      <c r="C263" s="114">
        <v>0.001157659283484412</v>
      </c>
      <c r="D263" s="91" t="s">
        <v>3159</v>
      </c>
      <c r="E263" s="91" t="b">
        <v>0</v>
      </c>
      <c r="F263" s="91" t="b">
        <v>0</v>
      </c>
      <c r="G263" s="91" t="b">
        <v>0</v>
      </c>
    </row>
    <row r="264" spans="1:7" ht="15">
      <c r="A264" s="92" t="s">
        <v>2804</v>
      </c>
      <c r="B264" s="91">
        <v>8</v>
      </c>
      <c r="C264" s="114">
        <v>0.001157659283484412</v>
      </c>
      <c r="D264" s="91" t="s">
        <v>3159</v>
      </c>
      <c r="E264" s="91" t="b">
        <v>0</v>
      </c>
      <c r="F264" s="91" t="b">
        <v>0</v>
      </c>
      <c r="G264" s="91" t="b">
        <v>0</v>
      </c>
    </row>
    <row r="265" spans="1:7" ht="15">
      <c r="A265" s="92" t="s">
        <v>2805</v>
      </c>
      <c r="B265" s="91">
        <v>8</v>
      </c>
      <c r="C265" s="114">
        <v>0.001157659283484412</v>
      </c>
      <c r="D265" s="91" t="s">
        <v>3159</v>
      </c>
      <c r="E265" s="91" t="b">
        <v>0</v>
      </c>
      <c r="F265" s="91" t="b">
        <v>0</v>
      </c>
      <c r="G265" s="91" t="b">
        <v>0</v>
      </c>
    </row>
    <row r="266" spans="1:7" ht="15">
      <c r="A266" s="92" t="s">
        <v>2806</v>
      </c>
      <c r="B266" s="91">
        <v>8</v>
      </c>
      <c r="C266" s="114">
        <v>0.001157659283484412</v>
      </c>
      <c r="D266" s="91" t="s">
        <v>3159</v>
      </c>
      <c r="E266" s="91" t="b">
        <v>0</v>
      </c>
      <c r="F266" s="91" t="b">
        <v>0</v>
      </c>
      <c r="G266" s="91" t="b">
        <v>0</v>
      </c>
    </row>
    <row r="267" spans="1:7" ht="15">
      <c r="A267" s="92" t="s">
        <v>2807</v>
      </c>
      <c r="B267" s="91">
        <v>8</v>
      </c>
      <c r="C267" s="114">
        <v>0.001157659283484412</v>
      </c>
      <c r="D267" s="91" t="s">
        <v>3159</v>
      </c>
      <c r="E267" s="91" t="b">
        <v>0</v>
      </c>
      <c r="F267" s="91" t="b">
        <v>0</v>
      </c>
      <c r="G267" s="91" t="b">
        <v>0</v>
      </c>
    </row>
    <row r="268" spans="1:7" ht="15">
      <c r="A268" s="92" t="s">
        <v>2808</v>
      </c>
      <c r="B268" s="91">
        <v>8</v>
      </c>
      <c r="C268" s="114">
        <v>0.001157659283484412</v>
      </c>
      <c r="D268" s="91" t="s">
        <v>3159</v>
      </c>
      <c r="E268" s="91" t="b">
        <v>0</v>
      </c>
      <c r="F268" s="91" t="b">
        <v>0</v>
      </c>
      <c r="G268" s="91" t="b">
        <v>0</v>
      </c>
    </row>
    <row r="269" spans="1:7" ht="15">
      <c r="A269" s="92" t="s">
        <v>2809</v>
      </c>
      <c r="B269" s="91">
        <v>8</v>
      </c>
      <c r="C269" s="114">
        <v>0.001157659283484412</v>
      </c>
      <c r="D269" s="91" t="s">
        <v>3159</v>
      </c>
      <c r="E269" s="91" t="b">
        <v>0</v>
      </c>
      <c r="F269" s="91" t="b">
        <v>0</v>
      </c>
      <c r="G269" s="91" t="b">
        <v>0</v>
      </c>
    </row>
    <row r="270" spans="1:7" ht="15">
      <c r="A270" s="92" t="s">
        <v>2810</v>
      </c>
      <c r="B270" s="91">
        <v>8</v>
      </c>
      <c r="C270" s="114">
        <v>0.001157659283484412</v>
      </c>
      <c r="D270" s="91" t="s">
        <v>3159</v>
      </c>
      <c r="E270" s="91" t="b">
        <v>0</v>
      </c>
      <c r="F270" s="91" t="b">
        <v>0</v>
      </c>
      <c r="G270" s="91" t="b">
        <v>0</v>
      </c>
    </row>
    <row r="271" spans="1:7" ht="15">
      <c r="A271" s="92" t="s">
        <v>2811</v>
      </c>
      <c r="B271" s="91">
        <v>8</v>
      </c>
      <c r="C271" s="114">
        <v>0.001157659283484412</v>
      </c>
      <c r="D271" s="91" t="s">
        <v>3159</v>
      </c>
      <c r="E271" s="91" t="b">
        <v>0</v>
      </c>
      <c r="F271" s="91" t="b">
        <v>0</v>
      </c>
      <c r="G271" s="91" t="b">
        <v>0</v>
      </c>
    </row>
    <row r="272" spans="1:7" ht="15">
      <c r="A272" s="92" t="s">
        <v>2812</v>
      </c>
      <c r="B272" s="91">
        <v>8</v>
      </c>
      <c r="C272" s="114">
        <v>0.001157659283484412</v>
      </c>
      <c r="D272" s="91" t="s">
        <v>3159</v>
      </c>
      <c r="E272" s="91" t="b">
        <v>0</v>
      </c>
      <c r="F272" s="91" t="b">
        <v>0</v>
      </c>
      <c r="G272" s="91" t="b">
        <v>0</v>
      </c>
    </row>
    <row r="273" spans="1:7" ht="15">
      <c r="A273" s="92" t="s">
        <v>2813</v>
      </c>
      <c r="B273" s="91">
        <v>8</v>
      </c>
      <c r="C273" s="114">
        <v>0.001157659283484412</v>
      </c>
      <c r="D273" s="91" t="s">
        <v>3159</v>
      </c>
      <c r="E273" s="91" t="b">
        <v>0</v>
      </c>
      <c r="F273" s="91" t="b">
        <v>0</v>
      </c>
      <c r="G273" s="91" t="b">
        <v>0</v>
      </c>
    </row>
    <row r="274" spans="1:7" ht="15">
      <c r="A274" s="92" t="s">
        <v>2814</v>
      </c>
      <c r="B274" s="91">
        <v>8</v>
      </c>
      <c r="C274" s="114">
        <v>0.001157659283484412</v>
      </c>
      <c r="D274" s="91" t="s">
        <v>3159</v>
      </c>
      <c r="E274" s="91" t="b">
        <v>0</v>
      </c>
      <c r="F274" s="91" t="b">
        <v>0</v>
      </c>
      <c r="G274" s="91" t="b">
        <v>0</v>
      </c>
    </row>
    <row r="275" spans="1:7" ht="15">
      <c r="A275" s="92" t="s">
        <v>2815</v>
      </c>
      <c r="B275" s="91">
        <v>8</v>
      </c>
      <c r="C275" s="114">
        <v>0.001157659283484412</v>
      </c>
      <c r="D275" s="91" t="s">
        <v>3159</v>
      </c>
      <c r="E275" s="91" t="b">
        <v>0</v>
      </c>
      <c r="F275" s="91" t="b">
        <v>0</v>
      </c>
      <c r="G275" s="91" t="b">
        <v>0</v>
      </c>
    </row>
    <row r="276" spans="1:7" ht="15">
      <c r="A276" s="92" t="s">
        <v>437</v>
      </c>
      <c r="B276" s="91">
        <v>8</v>
      </c>
      <c r="C276" s="114">
        <v>0.001157659283484412</v>
      </c>
      <c r="D276" s="91" t="s">
        <v>3159</v>
      </c>
      <c r="E276" s="91" t="b">
        <v>0</v>
      </c>
      <c r="F276" s="91" t="b">
        <v>0</v>
      </c>
      <c r="G276" s="91" t="b">
        <v>0</v>
      </c>
    </row>
    <row r="277" spans="1:7" ht="15">
      <c r="A277" s="92" t="s">
        <v>2816</v>
      </c>
      <c r="B277" s="91">
        <v>8</v>
      </c>
      <c r="C277" s="114">
        <v>0.001157659283484412</v>
      </c>
      <c r="D277" s="91" t="s">
        <v>3159</v>
      </c>
      <c r="E277" s="91" t="b">
        <v>0</v>
      </c>
      <c r="F277" s="91" t="b">
        <v>0</v>
      </c>
      <c r="G277" s="91" t="b">
        <v>0</v>
      </c>
    </row>
    <row r="278" spans="1:7" ht="15">
      <c r="A278" s="92" t="s">
        <v>2817</v>
      </c>
      <c r="B278" s="91">
        <v>8</v>
      </c>
      <c r="C278" s="114">
        <v>0.001157659283484412</v>
      </c>
      <c r="D278" s="91" t="s">
        <v>3159</v>
      </c>
      <c r="E278" s="91" t="b">
        <v>0</v>
      </c>
      <c r="F278" s="91" t="b">
        <v>0</v>
      </c>
      <c r="G278" s="91" t="b">
        <v>0</v>
      </c>
    </row>
    <row r="279" spans="1:7" ht="15">
      <c r="A279" s="92" t="s">
        <v>2818</v>
      </c>
      <c r="B279" s="91">
        <v>8</v>
      </c>
      <c r="C279" s="114">
        <v>0.001157659283484412</v>
      </c>
      <c r="D279" s="91" t="s">
        <v>3159</v>
      </c>
      <c r="E279" s="91" t="b">
        <v>0</v>
      </c>
      <c r="F279" s="91" t="b">
        <v>0</v>
      </c>
      <c r="G279" s="91" t="b">
        <v>0</v>
      </c>
    </row>
    <row r="280" spans="1:7" ht="15">
      <c r="A280" s="92" t="s">
        <v>2819</v>
      </c>
      <c r="B280" s="91">
        <v>8</v>
      </c>
      <c r="C280" s="114">
        <v>0.001157659283484412</v>
      </c>
      <c r="D280" s="91" t="s">
        <v>3159</v>
      </c>
      <c r="E280" s="91" t="b">
        <v>0</v>
      </c>
      <c r="F280" s="91" t="b">
        <v>0</v>
      </c>
      <c r="G280" s="91" t="b">
        <v>0</v>
      </c>
    </row>
    <row r="281" spans="1:7" ht="15">
      <c r="A281" s="92" t="s">
        <v>2820</v>
      </c>
      <c r="B281" s="91">
        <v>8</v>
      </c>
      <c r="C281" s="114">
        <v>0.001157659283484412</v>
      </c>
      <c r="D281" s="91" t="s">
        <v>3159</v>
      </c>
      <c r="E281" s="91" t="b">
        <v>0</v>
      </c>
      <c r="F281" s="91" t="b">
        <v>0</v>
      </c>
      <c r="G281" s="91" t="b">
        <v>0</v>
      </c>
    </row>
    <row r="282" spans="1:7" ht="15">
      <c r="A282" s="92" t="s">
        <v>2821</v>
      </c>
      <c r="B282" s="91">
        <v>8</v>
      </c>
      <c r="C282" s="114">
        <v>0.001157659283484412</v>
      </c>
      <c r="D282" s="91" t="s">
        <v>3159</v>
      </c>
      <c r="E282" s="91" t="b">
        <v>0</v>
      </c>
      <c r="F282" s="91" t="b">
        <v>0</v>
      </c>
      <c r="G282" s="91" t="b">
        <v>0</v>
      </c>
    </row>
    <row r="283" spans="1:7" ht="15">
      <c r="A283" s="92" t="s">
        <v>2822</v>
      </c>
      <c r="B283" s="91">
        <v>8</v>
      </c>
      <c r="C283" s="114">
        <v>0.001157659283484412</v>
      </c>
      <c r="D283" s="91" t="s">
        <v>3159</v>
      </c>
      <c r="E283" s="91" t="b">
        <v>0</v>
      </c>
      <c r="F283" s="91" t="b">
        <v>0</v>
      </c>
      <c r="G283" s="91" t="b">
        <v>0</v>
      </c>
    </row>
    <row r="284" spans="1:7" ht="15">
      <c r="A284" s="92" t="s">
        <v>2823</v>
      </c>
      <c r="B284" s="91">
        <v>8</v>
      </c>
      <c r="C284" s="114">
        <v>0.001157659283484412</v>
      </c>
      <c r="D284" s="91" t="s">
        <v>3159</v>
      </c>
      <c r="E284" s="91" t="b">
        <v>0</v>
      </c>
      <c r="F284" s="91" t="b">
        <v>0</v>
      </c>
      <c r="G284" s="91" t="b">
        <v>0</v>
      </c>
    </row>
    <row r="285" spans="1:7" ht="15">
      <c r="A285" s="92" t="s">
        <v>2824</v>
      </c>
      <c r="B285" s="91">
        <v>8</v>
      </c>
      <c r="C285" s="114">
        <v>0.001157659283484412</v>
      </c>
      <c r="D285" s="91" t="s">
        <v>3159</v>
      </c>
      <c r="E285" s="91" t="b">
        <v>0</v>
      </c>
      <c r="F285" s="91" t="b">
        <v>0</v>
      </c>
      <c r="G285" s="91" t="b">
        <v>0</v>
      </c>
    </row>
    <row r="286" spans="1:7" ht="15">
      <c r="A286" s="92" t="s">
        <v>2825</v>
      </c>
      <c r="B286" s="91">
        <v>8</v>
      </c>
      <c r="C286" s="114">
        <v>0.001157659283484412</v>
      </c>
      <c r="D286" s="91" t="s">
        <v>3159</v>
      </c>
      <c r="E286" s="91" t="b">
        <v>0</v>
      </c>
      <c r="F286" s="91" t="b">
        <v>0</v>
      </c>
      <c r="G286" s="91" t="b">
        <v>0</v>
      </c>
    </row>
    <row r="287" spans="1:7" ht="15">
      <c r="A287" s="92" t="s">
        <v>2826</v>
      </c>
      <c r="B287" s="91">
        <v>8</v>
      </c>
      <c r="C287" s="114">
        <v>0.001157659283484412</v>
      </c>
      <c r="D287" s="91" t="s">
        <v>3159</v>
      </c>
      <c r="E287" s="91" t="b">
        <v>0</v>
      </c>
      <c r="F287" s="91" t="b">
        <v>0</v>
      </c>
      <c r="G287" s="91" t="b">
        <v>0</v>
      </c>
    </row>
    <row r="288" spans="1:7" ht="15">
      <c r="A288" s="92" t="s">
        <v>2827</v>
      </c>
      <c r="B288" s="91">
        <v>8</v>
      </c>
      <c r="C288" s="114">
        <v>0.001157659283484412</v>
      </c>
      <c r="D288" s="91" t="s">
        <v>3159</v>
      </c>
      <c r="E288" s="91" t="b">
        <v>0</v>
      </c>
      <c r="F288" s="91" t="b">
        <v>0</v>
      </c>
      <c r="G288" s="91" t="b">
        <v>0</v>
      </c>
    </row>
    <row r="289" spans="1:7" ht="15">
      <c r="A289" s="92" t="s">
        <v>2828</v>
      </c>
      <c r="B289" s="91">
        <v>8</v>
      </c>
      <c r="C289" s="114">
        <v>0.001157659283484412</v>
      </c>
      <c r="D289" s="91" t="s">
        <v>3159</v>
      </c>
      <c r="E289" s="91" t="b">
        <v>0</v>
      </c>
      <c r="F289" s="91" t="b">
        <v>0</v>
      </c>
      <c r="G289" s="91" t="b">
        <v>0</v>
      </c>
    </row>
    <row r="290" spans="1:7" ht="15">
      <c r="A290" s="92" t="s">
        <v>2829</v>
      </c>
      <c r="B290" s="91">
        <v>8</v>
      </c>
      <c r="C290" s="114">
        <v>0.001157659283484412</v>
      </c>
      <c r="D290" s="91" t="s">
        <v>3159</v>
      </c>
      <c r="E290" s="91" t="b">
        <v>0</v>
      </c>
      <c r="F290" s="91" t="b">
        <v>0</v>
      </c>
      <c r="G290" s="91" t="b">
        <v>0</v>
      </c>
    </row>
    <row r="291" spans="1:7" ht="15">
      <c r="A291" s="92" t="s">
        <v>2830</v>
      </c>
      <c r="B291" s="91">
        <v>8</v>
      </c>
      <c r="C291" s="114">
        <v>0.001157659283484412</v>
      </c>
      <c r="D291" s="91" t="s">
        <v>3159</v>
      </c>
      <c r="E291" s="91" t="b">
        <v>0</v>
      </c>
      <c r="F291" s="91" t="b">
        <v>0</v>
      </c>
      <c r="G291" s="91" t="b">
        <v>0</v>
      </c>
    </row>
    <row r="292" spans="1:7" ht="15">
      <c r="A292" s="92" t="s">
        <v>2831</v>
      </c>
      <c r="B292" s="91">
        <v>8</v>
      </c>
      <c r="C292" s="114">
        <v>0.001157659283484412</v>
      </c>
      <c r="D292" s="91" t="s">
        <v>3159</v>
      </c>
      <c r="E292" s="91" t="b">
        <v>0</v>
      </c>
      <c r="F292" s="91" t="b">
        <v>0</v>
      </c>
      <c r="G292" s="91" t="b">
        <v>0</v>
      </c>
    </row>
    <row r="293" spans="1:7" ht="15">
      <c r="A293" s="92" t="s">
        <v>2832</v>
      </c>
      <c r="B293" s="91">
        <v>8</v>
      </c>
      <c r="C293" s="114">
        <v>0.001157659283484412</v>
      </c>
      <c r="D293" s="91" t="s">
        <v>3159</v>
      </c>
      <c r="E293" s="91" t="b">
        <v>0</v>
      </c>
      <c r="F293" s="91" t="b">
        <v>0</v>
      </c>
      <c r="G293" s="91" t="b">
        <v>0</v>
      </c>
    </row>
    <row r="294" spans="1:7" ht="15">
      <c r="A294" s="92" t="s">
        <v>2833</v>
      </c>
      <c r="B294" s="91">
        <v>8</v>
      </c>
      <c r="C294" s="114">
        <v>0.001157659283484412</v>
      </c>
      <c r="D294" s="91" t="s">
        <v>3159</v>
      </c>
      <c r="E294" s="91" t="b">
        <v>0</v>
      </c>
      <c r="F294" s="91" t="b">
        <v>0</v>
      </c>
      <c r="G294" s="91" t="b">
        <v>0</v>
      </c>
    </row>
    <row r="295" spans="1:7" ht="15">
      <c r="A295" s="92" t="s">
        <v>2834</v>
      </c>
      <c r="B295" s="91">
        <v>8</v>
      </c>
      <c r="C295" s="114">
        <v>0.001157659283484412</v>
      </c>
      <c r="D295" s="91" t="s">
        <v>3159</v>
      </c>
      <c r="E295" s="91" t="b">
        <v>0</v>
      </c>
      <c r="F295" s="91" t="b">
        <v>0</v>
      </c>
      <c r="G295" s="91" t="b">
        <v>0</v>
      </c>
    </row>
    <row r="296" spans="1:7" ht="15">
      <c r="A296" s="92" t="s">
        <v>2835</v>
      </c>
      <c r="B296" s="91">
        <v>8</v>
      </c>
      <c r="C296" s="114">
        <v>0.001157659283484412</v>
      </c>
      <c r="D296" s="91" t="s">
        <v>3159</v>
      </c>
      <c r="E296" s="91" t="b">
        <v>0</v>
      </c>
      <c r="F296" s="91" t="b">
        <v>0</v>
      </c>
      <c r="G296" s="91" t="b">
        <v>0</v>
      </c>
    </row>
    <row r="297" spans="1:7" ht="15">
      <c r="A297" s="92" t="s">
        <v>2836</v>
      </c>
      <c r="B297" s="91">
        <v>8</v>
      </c>
      <c r="C297" s="114">
        <v>0.001157659283484412</v>
      </c>
      <c r="D297" s="91" t="s">
        <v>3159</v>
      </c>
      <c r="E297" s="91" t="b">
        <v>0</v>
      </c>
      <c r="F297" s="91" t="b">
        <v>0</v>
      </c>
      <c r="G297" s="91" t="b">
        <v>0</v>
      </c>
    </row>
    <row r="298" spans="1:7" ht="15">
      <c r="A298" s="92" t="s">
        <v>2837</v>
      </c>
      <c r="B298" s="91">
        <v>8</v>
      </c>
      <c r="C298" s="114">
        <v>0.001157659283484412</v>
      </c>
      <c r="D298" s="91" t="s">
        <v>3159</v>
      </c>
      <c r="E298" s="91" t="b">
        <v>0</v>
      </c>
      <c r="F298" s="91" t="b">
        <v>0</v>
      </c>
      <c r="G298" s="91" t="b">
        <v>0</v>
      </c>
    </row>
    <row r="299" spans="1:7" ht="15">
      <c r="A299" s="92" t="s">
        <v>2838</v>
      </c>
      <c r="B299" s="91">
        <v>8</v>
      </c>
      <c r="C299" s="114">
        <v>0.001157659283484412</v>
      </c>
      <c r="D299" s="91" t="s">
        <v>3159</v>
      </c>
      <c r="E299" s="91" t="b">
        <v>0</v>
      </c>
      <c r="F299" s="91" t="b">
        <v>0</v>
      </c>
      <c r="G299" s="91" t="b">
        <v>0</v>
      </c>
    </row>
    <row r="300" spans="1:7" ht="15">
      <c r="A300" s="92" t="s">
        <v>2839</v>
      </c>
      <c r="B300" s="91">
        <v>8</v>
      </c>
      <c r="C300" s="114">
        <v>0.001157659283484412</v>
      </c>
      <c r="D300" s="91" t="s">
        <v>3159</v>
      </c>
      <c r="E300" s="91" t="b">
        <v>0</v>
      </c>
      <c r="F300" s="91" t="b">
        <v>0</v>
      </c>
      <c r="G300" s="91" t="b">
        <v>0</v>
      </c>
    </row>
    <row r="301" spans="1:7" ht="15">
      <c r="A301" s="92" t="s">
        <v>2840</v>
      </c>
      <c r="B301" s="91">
        <v>8</v>
      </c>
      <c r="C301" s="114">
        <v>0.001157659283484412</v>
      </c>
      <c r="D301" s="91" t="s">
        <v>3159</v>
      </c>
      <c r="E301" s="91" t="b">
        <v>0</v>
      </c>
      <c r="F301" s="91" t="b">
        <v>0</v>
      </c>
      <c r="G301" s="91" t="b">
        <v>0</v>
      </c>
    </row>
    <row r="302" spans="1:7" ht="15">
      <c r="A302" s="92" t="s">
        <v>2841</v>
      </c>
      <c r="B302" s="91">
        <v>8</v>
      </c>
      <c r="C302" s="114">
        <v>0.001157659283484412</v>
      </c>
      <c r="D302" s="91" t="s">
        <v>3159</v>
      </c>
      <c r="E302" s="91" t="b">
        <v>0</v>
      </c>
      <c r="F302" s="91" t="b">
        <v>0</v>
      </c>
      <c r="G302" s="91" t="b">
        <v>0</v>
      </c>
    </row>
    <row r="303" spans="1:7" ht="15">
      <c r="A303" s="92" t="s">
        <v>2842</v>
      </c>
      <c r="B303" s="91">
        <v>8</v>
      </c>
      <c r="C303" s="114">
        <v>0.001157659283484412</v>
      </c>
      <c r="D303" s="91" t="s">
        <v>3159</v>
      </c>
      <c r="E303" s="91" t="b">
        <v>0</v>
      </c>
      <c r="F303" s="91" t="b">
        <v>0</v>
      </c>
      <c r="G303" s="91" t="b">
        <v>0</v>
      </c>
    </row>
    <row r="304" spans="1:7" ht="15">
      <c r="A304" s="92" t="s">
        <v>2843</v>
      </c>
      <c r="B304" s="91">
        <v>8</v>
      </c>
      <c r="C304" s="114">
        <v>0.001157659283484412</v>
      </c>
      <c r="D304" s="91" t="s">
        <v>3159</v>
      </c>
      <c r="E304" s="91" t="b">
        <v>0</v>
      </c>
      <c r="F304" s="91" t="b">
        <v>0</v>
      </c>
      <c r="G304" s="91" t="b">
        <v>0</v>
      </c>
    </row>
    <row r="305" spans="1:7" ht="15">
      <c r="A305" s="92" t="s">
        <v>2844</v>
      </c>
      <c r="B305" s="91">
        <v>8</v>
      </c>
      <c r="C305" s="114">
        <v>0.001157659283484412</v>
      </c>
      <c r="D305" s="91" t="s">
        <v>3159</v>
      </c>
      <c r="E305" s="91" t="b">
        <v>0</v>
      </c>
      <c r="F305" s="91" t="b">
        <v>0</v>
      </c>
      <c r="G305" s="91" t="b">
        <v>0</v>
      </c>
    </row>
    <row r="306" spans="1:7" ht="15">
      <c r="A306" s="92" t="s">
        <v>2845</v>
      </c>
      <c r="B306" s="91">
        <v>8</v>
      </c>
      <c r="C306" s="114">
        <v>0.001157659283484412</v>
      </c>
      <c r="D306" s="91" t="s">
        <v>3159</v>
      </c>
      <c r="E306" s="91" t="b">
        <v>0</v>
      </c>
      <c r="F306" s="91" t="b">
        <v>0</v>
      </c>
      <c r="G306" s="91" t="b">
        <v>0</v>
      </c>
    </row>
    <row r="307" spans="1:7" ht="15">
      <c r="A307" s="92" t="s">
        <v>2846</v>
      </c>
      <c r="B307" s="91">
        <v>8</v>
      </c>
      <c r="C307" s="114">
        <v>0.0013603730852783389</v>
      </c>
      <c r="D307" s="91" t="s">
        <v>3159</v>
      </c>
      <c r="E307" s="91" t="b">
        <v>0</v>
      </c>
      <c r="F307" s="91" t="b">
        <v>0</v>
      </c>
      <c r="G307" s="91" t="b">
        <v>0</v>
      </c>
    </row>
    <row r="308" spans="1:7" ht="15">
      <c r="A308" s="92" t="s">
        <v>2847</v>
      </c>
      <c r="B308" s="91">
        <v>7</v>
      </c>
      <c r="C308" s="114">
        <v>0.001047122212177127</v>
      </c>
      <c r="D308" s="91" t="s">
        <v>3159</v>
      </c>
      <c r="E308" s="91" t="b">
        <v>0</v>
      </c>
      <c r="F308" s="91" t="b">
        <v>0</v>
      </c>
      <c r="G308" s="91" t="b">
        <v>0</v>
      </c>
    </row>
    <row r="309" spans="1:7" ht="15">
      <c r="A309" s="92" t="s">
        <v>2848</v>
      </c>
      <c r="B309" s="91">
        <v>7</v>
      </c>
      <c r="C309" s="114">
        <v>0.001047122212177127</v>
      </c>
      <c r="D309" s="91" t="s">
        <v>3159</v>
      </c>
      <c r="E309" s="91" t="b">
        <v>0</v>
      </c>
      <c r="F309" s="91" t="b">
        <v>0</v>
      </c>
      <c r="G309" s="91" t="b">
        <v>0</v>
      </c>
    </row>
    <row r="310" spans="1:7" ht="15">
      <c r="A310" s="92" t="s">
        <v>2849</v>
      </c>
      <c r="B310" s="91">
        <v>7</v>
      </c>
      <c r="C310" s="114">
        <v>0.001047122212177127</v>
      </c>
      <c r="D310" s="91" t="s">
        <v>3159</v>
      </c>
      <c r="E310" s="91" t="b">
        <v>0</v>
      </c>
      <c r="F310" s="91" t="b">
        <v>0</v>
      </c>
      <c r="G310" s="91" t="b">
        <v>0</v>
      </c>
    </row>
    <row r="311" spans="1:7" ht="15">
      <c r="A311" s="92" t="s">
        <v>2850</v>
      </c>
      <c r="B311" s="91">
        <v>7</v>
      </c>
      <c r="C311" s="114">
        <v>0.001047122212177127</v>
      </c>
      <c r="D311" s="91" t="s">
        <v>3159</v>
      </c>
      <c r="E311" s="91" t="b">
        <v>0</v>
      </c>
      <c r="F311" s="91" t="b">
        <v>0</v>
      </c>
      <c r="G311" s="91" t="b">
        <v>0</v>
      </c>
    </row>
    <row r="312" spans="1:7" ht="15">
      <c r="A312" s="92" t="s">
        <v>2851</v>
      </c>
      <c r="B312" s="91">
        <v>7</v>
      </c>
      <c r="C312" s="114">
        <v>0.001047122212177127</v>
      </c>
      <c r="D312" s="91" t="s">
        <v>3159</v>
      </c>
      <c r="E312" s="91" t="b">
        <v>0</v>
      </c>
      <c r="F312" s="91" t="b">
        <v>0</v>
      </c>
      <c r="G312" s="91" t="b">
        <v>0</v>
      </c>
    </row>
    <row r="313" spans="1:7" ht="15">
      <c r="A313" s="92" t="s">
        <v>2852</v>
      </c>
      <c r="B313" s="91">
        <v>7</v>
      </c>
      <c r="C313" s="114">
        <v>0.001047122212177127</v>
      </c>
      <c r="D313" s="91" t="s">
        <v>3159</v>
      </c>
      <c r="E313" s="91" t="b">
        <v>0</v>
      </c>
      <c r="F313" s="91" t="b">
        <v>0</v>
      </c>
      <c r="G313" s="91" t="b">
        <v>0</v>
      </c>
    </row>
    <row r="314" spans="1:7" ht="15">
      <c r="A314" s="92" t="s">
        <v>2853</v>
      </c>
      <c r="B314" s="91">
        <v>7</v>
      </c>
      <c r="C314" s="114">
        <v>0.001047122212177127</v>
      </c>
      <c r="D314" s="91" t="s">
        <v>3159</v>
      </c>
      <c r="E314" s="91" t="b">
        <v>0</v>
      </c>
      <c r="F314" s="91" t="b">
        <v>0</v>
      </c>
      <c r="G314" s="91" t="b">
        <v>0</v>
      </c>
    </row>
    <row r="315" spans="1:7" ht="15">
      <c r="A315" s="92" t="s">
        <v>2854</v>
      </c>
      <c r="B315" s="91">
        <v>7</v>
      </c>
      <c r="C315" s="114">
        <v>0.001047122212177127</v>
      </c>
      <c r="D315" s="91" t="s">
        <v>3159</v>
      </c>
      <c r="E315" s="91" t="b">
        <v>0</v>
      </c>
      <c r="F315" s="91" t="b">
        <v>0</v>
      </c>
      <c r="G315" s="91" t="b">
        <v>0</v>
      </c>
    </row>
    <row r="316" spans="1:7" ht="15">
      <c r="A316" s="92" t="s">
        <v>409</v>
      </c>
      <c r="B316" s="91">
        <v>7</v>
      </c>
      <c r="C316" s="114">
        <v>0.001047122212177127</v>
      </c>
      <c r="D316" s="91" t="s">
        <v>3159</v>
      </c>
      <c r="E316" s="91" t="b">
        <v>0</v>
      </c>
      <c r="F316" s="91" t="b">
        <v>0</v>
      </c>
      <c r="G316" s="91" t="b">
        <v>0</v>
      </c>
    </row>
    <row r="317" spans="1:7" ht="15">
      <c r="A317" s="92" t="s">
        <v>2855</v>
      </c>
      <c r="B317" s="91">
        <v>7</v>
      </c>
      <c r="C317" s="114">
        <v>0.001047122212177127</v>
      </c>
      <c r="D317" s="91" t="s">
        <v>3159</v>
      </c>
      <c r="E317" s="91" t="b">
        <v>0</v>
      </c>
      <c r="F317" s="91" t="b">
        <v>0</v>
      </c>
      <c r="G317" s="91" t="b">
        <v>0</v>
      </c>
    </row>
    <row r="318" spans="1:7" ht="15">
      <c r="A318" s="92" t="s">
        <v>2856</v>
      </c>
      <c r="B318" s="91">
        <v>7</v>
      </c>
      <c r="C318" s="114">
        <v>0.001047122212177127</v>
      </c>
      <c r="D318" s="91" t="s">
        <v>3159</v>
      </c>
      <c r="E318" s="91" t="b">
        <v>0</v>
      </c>
      <c r="F318" s="91" t="b">
        <v>0</v>
      </c>
      <c r="G318" s="91" t="b">
        <v>0</v>
      </c>
    </row>
    <row r="319" spans="1:7" ht="15">
      <c r="A319" s="92" t="s">
        <v>2857</v>
      </c>
      <c r="B319" s="91">
        <v>7</v>
      </c>
      <c r="C319" s="114">
        <v>0.001047122212177127</v>
      </c>
      <c r="D319" s="91" t="s">
        <v>3159</v>
      </c>
      <c r="E319" s="91" t="b">
        <v>0</v>
      </c>
      <c r="F319" s="91" t="b">
        <v>0</v>
      </c>
      <c r="G319" s="91" t="b">
        <v>0</v>
      </c>
    </row>
    <row r="320" spans="1:7" ht="15">
      <c r="A320" s="92" t="s">
        <v>2858</v>
      </c>
      <c r="B320" s="91">
        <v>7</v>
      </c>
      <c r="C320" s="114">
        <v>0.001047122212177127</v>
      </c>
      <c r="D320" s="91" t="s">
        <v>3159</v>
      </c>
      <c r="E320" s="91" t="b">
        <v>0</v>
      </c>
      <c r="F320" s="91" t="b">
        <v>0</v>
      </c>
      <c r="G320" s="91" t="b">
        <v>0</v>
      </c>
    </row>
    <row r="321" spans="1:7" ht="15">
      <c r="A321" s="92" t="s">
        <v>2859</v>
      </c>
      <c r="B321" s="91">
        <v>7</v>
      </c>
      <c r="C321" s="114">
        <v>0.001047122212177127</v>
      </c>
      <c r="D321" s="91" t="s">
        <v>3159</v>
      </c>
      <c r="E321" s="91" t="b">
        <v>0</v>
      </c>
      <c r="F321" s="91" t="b">
        <v>0</v>
      </c>
      <c r="G321" s="91" t="b">
        <v>0</v>
      </c>
    </row>
    <row r="322" spans="1:7" ht="15">
      <c r="A322" s="92" t="s">
        <v>2860</v>
      </c>
      <c r="B322" s="91">
        <v>7</v>
      </c>
      <c r="C322" s="114">
        <v>0.001047122212177127</v>
      </c>
      <c r="D322" s="91" t="s">
        <v>3159</v>
      </c>
      <c r="E322" s="91" t="b">
        <v>0</v>
      </c>
      <c r="F322" s="91" t="b">
        <v>0</v>
      </c>
      <c r="G322" s="91" t="b">
        <v>0</v>
      </c>
    </row>
    <row r="323" spans="1:7" ht="15">
      <c r="A323" s="92" t="s">
        <v>2861</v>
      </c>
      <c r="B323" s="91">
        <v>7</v>
      </c>
      <c r="C323" s="114">
        <v>0.001047122212177127</v>
      </c>
      <c r="D323" s="91" t="s">
        <v>3159</v>
      </c>
      <c r="E323" s="91" t="b">
        <v>0</v>
      </c>
      <c r="F323" s="91" t="b">
        <v>0</v>
      </c>
      <c r="G323" s="91" t="b">
        <v>0</v>
      </c>
    </row>
    <row r="324" spans="1:7" ht="15">
      <c r="A324" s="92" t="s">
        <v>2862</v>
      </c>
      <c r="B324" s="91">
        <v>7</v>
      </c>
      <c r="C324" s="114">
        <v>0.001047122212177127</v>
      </c>
      <c r="D324" s="91" t="s">
        <v>3159</v>
      </c>
      <c r="E324" s="91" t="b">
        <v>0</v>
      </c>
      <c r="F324" s="91" t="b">
        <v>0</v>
      </c>
      <c r="G324" s="91" t="b">
        <v>0</v>
      </c>
    </row>
    <row r="325" spans="1:7" ht="15">
      <c r="A325" s="92" t="s">
        <v>2863</v>
      </c>
      <c r="B325" s="91">
        <v>7</v>
      </c>
      <c r="C325" s="114">
        <v>0.001047122212177127</v>
      </c>
      <c r="D325" s="91" t="s">
        <v>3159</v>
      </c>
      <c r="E325" s="91" t="b">
        <v>0</v>
      </c>
      <c r="F325" s="91" t="b">
        <v>0</v>
      </c>
      <c r="G325" s="91" t="b">
        <v>0</v>
      </c>
    </row>
    <row r="326" spans="1:7" ht="15">
      <c r="A326" s="92" t="s">
        <v>2864</v>
      </c>
      <c r="B326" s="91">
        <v>7</v>
      </c>
      <c r="C326" s="114">
        <v>0.001047122212177127</v>
      </c>
      <c r="D326" s="91" t="s">
        <v>3159</v>
      </c>
      <c r="E326" s="91" t="b">
        <v>0</v>
      </c>
      <c r="F326" s="91" t="b">
        <v>0</v>
      </c>
      <c r="G326" s="91" t="b">
        <v>0</v>
      </c>
    </row>
    <row r="327" spans="1:7" ht="15">
      <c r="A327" s="92" t="s">
        <v>2865</v>
      </c>
      <c r="B327" s="91">
        <v>7</v>
      </c>
      <c r="C327" s="114">
        <v>0.001047122212177127</v>
      </c>
      <c r="D327" s="91" t="s">
        <v>3159</v>
      </c>
      <c r="E327" s="91" t="b">
        <v>0</v>
      </c>
      <c r="F327" s="91" t="b">
        <v>0</v>
      </c>
      <c r="G327" s="91" t="b">
        <v>0</v>
      </c>
    </row>
    <row r="328" spans="1:7" ht="15">
      <c r="A328" s="92" t="s">
        <v>2866</v>
      </c>
      <c r="B328" s="91">
        <v>7</v>
      </c>
      <c r="C328" s="114">
        <v>0.001047122212177127</v>
      </c>
      <c r="D328" s="91" t="s">
        <v>3159</v>
      </c>
      <c r="E328" s="91" t="b">
        <v>0</v>
      </c>
      <c r="F328" s="91" t="b">
        <v>0</v>
      </c>
      <c r="G328" s="91" t="b">
        <v>0</v>
      </c>
    </row>
    <row r="329" spans="1:7" ht="15">
      <c r="A329" s="92" t="s">
        <v>2867</v>
      </c>
      <c r="B329" s="91">
        <v>7</v>
      </c>
      <c r="C329" s="114">
        <v>0.001047122212177127</v>
      </c>
      <c r="D329" s="91" t="s">
        <v>3159</v>
      </c>
      <c r="E329" s="91" t="b">
        <v>0</v>
      </c>
      <c r="F329" s="91" t="b">
        <v>0</v>
      </c>
      <c r="G329" s="91" t="b">
        <v>0</v>
      </c>
    </row>
    <row r="330" spans="1:7" ht="15">
      <c r="A330" s="92" t="s">
        <v>2868</v>
      </c>
      <c r="B330" s="91">
        <v>7</v>
      </c>
      <c r="C330" s="114">
        <v>0.001047122212177127</v>
      </c>
      <c r="D330" s="91" t="s">
        <v>3159</v>
      </c>
      <c r="E330" s="91" t="b">
        <v>0</v>
      </c>
      <c r="F330" s="91" t="b">
        <v>0</v>
      </c>
      <c r="G330" s="91" t="b">
        <v>0</v>
      </c>
    </row>
    <row r="331" spans="1:7" ht="15">
      <c r="A331" s="92" t="s">
        <v>2869</v>
      </c>
      <c r="B331" s="91">
        <v>7</v>
      </c>
      <c r="C331" s="114">
        <v>0.001047122212177127</v>
      </c>
      <c r="D331" s="91" t="s">
        <v>3159</v>
      </c>
      <c r="E331" s="91" t="b">
        <v>0</v>
      </c>
      <c r="F331" s="91" t="b">
        <v>0</v>
      </c>
      <c r="G331" s="91" t="b">
        <v>0</v>
      </c>
    </row>
    <row r="332" spans="1:7" ht="15">
      <c r="A332" s="92" t="s">
        <v>2870</v>
      </c>
      <c r="B332" s="91">
        <v>7</v>
      </c>
      <c r="C332" s="114">
        <v>0.001047122212177127</v>
      </c>
      <c r="D332" s="91" t="s">
        <v>3159</v>
      </c>
      <c r="E332" s="91" t="b">
        <v>0</v>
      </c>
      <c r="F332" s="91" t="b">
        <v>0</v>
      </c>
      <c r="G332" s="91" t="b">
        <v>0</v>
      </c>
    </row>
    <row r="333" spans="1:7" ht="15">
      <c r="A333" s="92" t="s">
        <v>2871</v>
      </c>
      <c r="B333" s="91">
        <v>7</v>
      </c>
      <c r="C333" s="114">
        <v>0.001047122212177127</v>
      </c>
      <c r="D333" s="91" t="s">
        <v>3159</v>
      </c>
      <c r="E333" s="91" t="b">
        <v>0</v>
      </c>
      <c r="F333" s="91" t="b">
        <v>0</v>
      </c>
      <c r="G333" s="91" t="b">
        <v>0</v>
      </c>
    </row>
    <row r="334" spans="1:7" ht="15">
      <c r="A334" s="92" t="s">
        <v>2872</v>
      </c>
      <c r="B334" s="91">
        <v>7</v>
      </c>
      <c r="C334" s="114">
        <v>0.001047122212177127</v>
      </c>
      <c r="D334" s="91" t="s">
        <v>3159</v>
      </c>
      <c r="E334" s="91" t="b">
        <v>0</v>
      </c>
      <c r="F334" s="91" t="b">
        <v>0</v>
      </c>
      <c r="G334" s="91" t="b">
        <v>0</v>
      </c>
    </row>
    <row r="335" spans="1:7" ht="15">
      <c r="A335" s="92" t="s">
        <v>2873</v>
      </c>
      <c r="B335" s="91">
        <v>7</v>
      </c>
      <c r="C335" s="114">
        <v>0.001047122212177127</v>
      </c>
      <c r="D335" s="91" t="s">
        <v>3159</v>
      </c>
      <c r="E335" s="91" t="b">
        <v>0</v>
      </c>
      <c r="F335" s="91" t="b">
        <v>0</v>
      </c>
      <c r="G335" s="91" t="b">
        <v>0</v>
      </c>
    </row>
    <row r="336" spans="1:7" ht="15">
      <c r="A336" s="92" t="s">
        <v>2874</v>
      </c>
      <c r="B336" s="91">
        <v>7</v>
      </c>
      <c r="C336" s="114">
        <v>0.001047122212177127</v>
      </c>
      <c r="D336" s="91" t="s">
        <v>3159</v>
      </c>
      <c r="E336" s="91" t="b">
        <v>0</v>
      </c>
      <c r="F336" s="91" t="b">
        <v>0</v>
      </c>
      <c r="G336" s="91" t="b">
        <v>0</v>
      </c>
    </row>
    <row r="337" spans="1:7" ht="15">
      <c r="A337" s="92" t="s">
        <v>2875</v>
      </c>
      <c r="B337" s="91">
        <v>7</v>
      </c>
      <c r="C337" s="114">
        <v>0.001047122212177127</v>
      </c>
      <c r="D337" s="91" t="s">
        <v>3159</v>
      </c>
      <c r="E337" s="91" t="b">
        <v>0</v>
      </c>
      <c r="F337" s="91" t="b">
        <v>0</v>
      </c>
      <c r="G337" s="91" t="b">
        <v>0</v>
      </c>
    </row>
    <row r="338" spans="1:7" ht="15">
      <c r="A338" s="92" t="s">
        <v>2876</v>
      </c>
      <c r="B338" s="91">
        <v>7</v>
      </c>
      <c r="C338" s="114">
        <v>0.001047122212177127</v>
      </c>
      <c r="D338" s="91" t="s">
        <v>3159</v>
      </c>
      <c r="E338" s="91" t="b">
        <v>0</v>
      </c>
      <c r="F338" s="91" t="b">
        <v>0</v>
      </c>
      <c r="G338" s="91" t="b">
        <v>0</v>
      </c>
    </row>
    <row r="339" spans="1:7" ht="15">
      <c r="A339" s="92" t="s">
        <v>2877</v>
      </c>
      <c r="B339" s="91">
        <v>7</v>
      </c>
      <c r="C339" s="114">
        <v>0.001047122212177127</v>
      </c>
      <c r="D339" s="91" t="s">
        <v>3159</v>
      </c>
      <c r="E339" s="91" t="b">
        <v>0</v>
      </c>
      <c r="F339" s="91" t="b">
        <v>0</v>
      </c>
      <c r="G339" s="91" t="b">
        <v>0</v>
      </c>
    </row>
    <row r="340" spans="1:7" ht="15">
      <c r="A340" s="92" t="s">
        <v>2878</v>
      </c>
      <c r="B340" s="91">
        <v>7</v>
      </c>
      <c r="C340" s="114">
        <v>0.001047122212177127</v>
      </c>
      <c r="D340" s="91" t="s">
        <v>3159</v>
      </c>
      <c r="E340" s="91" t="b">
        <v>0</v>
      </c>
      <c r="F340" s="91" t="b">
        <v>0</v>
      </c>
      <c r="G340" s="91" t="b">
        <v>0</v>
      </c>
    </row>
    <row r="341" spans="1:7" ht="15">
      <c r="A341" s="92" t="s">
        <v>2879</v>
      </c>
      <c r="B341" s="91">
        <v>7</v>
      </c>
      <c r="C341" s="114">
        <v>0.001047122212177127</v>
      </c>
      <c r="D341" s="91" t="s">
        <v>3159</v>
      </c>
      <c r="E341" s="91" t="b">
        <v>0</v>
      </c>
      <c r="F341" s="91" t="b">
        <v>0</v>
      </c>
      <c r="G341" s="91" t="b">
        <v>0</v>
      </c>
    </row>
    <row r="342" spans="1:7" ht="15">
      <c r="A342" s="92" t="s">
        <v>2880</v>
      </c>
      <c r="B342" s="91">
        <v>7</v>
      </c>
      <c r="C342" s="114">
        <v>0.001047122212177127</v>
      </c>
      <c r="D342" s="91" t="s">
        <v>3159</v>
      </c>
      <c r="E342" s="91" t="b">
        <v>0</v>
      </c>
      <c r="F342" s="91" t="b">
        <v>0</v>
      </c>
      <c r="G342" s="91" t="b">
        <v>0</v>
      </c>
    </row>
    <row r="343" spans="1:7" ht="15">
      <c r="A343" s="92" t="s">
        <v>2881</v>
      </c>
      <c r="B343" s="91">
        <v>7</v>
      </c>
      <c r="C343" s="114">
        <v>0.001047122212177127</v>
      </c>
      <c r="D343" s="91" t="s">
        <v>3159</v>
      </c>
      <c r="E343" s="91" t="b">
        <v>0</v>
      </c>
      <c r="F343" s="91" t="b">
        <v>0</v>
      </c>
      <c r="G343" s="91" t="b">
        <v>0</v>
      </c>
    </row>
    <row r="344" spans="1:7" ht="15">
      <c r="A344" s="92" t="s">
        <v>2882</v>
      </c>
      <c r="B344" s="91">
        <v>7</v>
      </c>
      <c r="C344" s="114">
        <v>0.001047122212177127</v>
      </c>
      <c r="D344" s="91" t="s">
        <v>3159</v>
      </c>
      <c r="E344" s="91" t="b">
        <v>0</v>
      </c>
      <c r="F344" s="91" t="b">
        <v>0</v>
      </c>
      <c r="G344" s="91" t="b">
        <v>0</v>
      </c>
    </row>
    <row r="345" spans="1:7" ht="15">
      <c r="A345" s="92" t="s">
        <v>2883</v>
      </c>
      <c r="B345" s="91">
        <v>7</v>
      </c>
      <c r="C345" s="114">
        <v>0.001047122212177127</v>
      </c>
      <c r="D345" s="91" t="s">
        <v>3159</v>
      </c>
      <c r="E345" s="91" t="b">
        <v>0</v>
      </c>
      <c r="F345" s="91" t="b">
        <v>0</v>
      </c>
      <c r="G345" s="91" t="b">
        <v>0</v>
      </c>
    </row>
    <row r="346" spans="1:7" ht="15">
      <c r="A346" s="92" t="s">
        <v>2884</v>
      </c>
      <c r="B346" s="91">
        <v>7</v>
      </c>
      <c r="C346" s="114">
        <v>0.001047122212177127</v>
      </c>
      <c r="D346" s="91" t="s">
        <v>3159</v>
      </c>
      <c r="E346" s="91" t="b">
        <v>0</v>
      </c>
      <c r="F346" s="91" t="b">
        <v>0</v>
      </c>
      <c r="G346" s="91" t="b">
        <v>0</v>
      </c>
    </row>
    <row r="347" spans="1:7" ht="15">
      <c r="A347" s="92" t="s">
        <v>2885</v>
      </c>
      <c r="B347" s="91">
        <v>7</v>
      </c>
      <c r="C347" s="114">
        <v>0.001047122212177127</v>
      </c>
      <c r="D347" s="91" t="s">
        <v>3159</v>
      </c>
      <c r="E347" s="91" t="b">
        <v>0</v>
      </c>
      <c r="F347" s="91" t="b">
        <v>0</v>
      </c>
      <c r="G347" s="91" t="b">
        <v>0</v>
      </c>
    </row>
    <row r="348" spans="1:7" ht="15">
      <c r="A348" s="92" t="s">
        <v>2886</v>
      </c>
      <c r="B348" s="91">
        <v>7</v>
      </c>
      <c r="C348" s="114">
        <v>0.001047122212177127</v>
      </c>
      <c r="D348" s="91" t="s">
        <v>3159</v>
      </c>
      <c r="E348" s="91" t="b">
        <v>0</v>
      </c>
      <c r="F348" s="91" t="b">
        <v>0</v>
      </c>
      <c r="G348" s="91" t="b">
        <v>0</v>
      </c>
    </row>
    <row r="349" spans="1:7" ht="15">
      <c r="A349" s="92" t="s">
        <v>2887</v>
      </c>
      <c r="B349" s="91">
        <v>7</v>
      </c>
      <c r="C349" s="114">
        <v>0.001047122212177127</v>
      </c>
      <c r="D349" s="91" t="s">
        <v>3159</v>
      </c>
      <c r="E349" s="91" t="b">
        <v>0</v>
      </c>
      <c r="F349" s="91" t="b">
        <v>0</v>
      </c>
      <c r="G349" s="91" t="b">
        <v>0</v>
      </c>
    </row>
    <row r="350" spans="1:7" ht="15">
      <c r="A350" s="92" t="s">
        <v>2888</v>
      </c>
      <c r="B350" s="91">
        <v>7</v>
      </c>
      <c r="C350" s="114">
        <v>0.001047122212177127</v>
      </c>
      <c r="D350" s="91" t="s">
        <v>3159</v>
      </c>
      <c r="E350" s="91" t="b">
        <v>0</v>
      </c>
      <c r="F350" s="91" t="b">
        <v>0</v>
      </c>
      <c r="G350" s="91" t="b">
        <v>0</v>
      </c>
    </row>
    <row r="351" spans="1:7" ht="15">
      <c r="A351" s="92" t="s">
        <v>2889</v>
      </c>
      <c r="B351" s="91">
        <v>7</v>
      </c>
      <c r="C351" s="114">
        <v>0.001047122212177127</v>
      </c>
      <c r="D351" s="91" t="s">
        <v>3159</v>
      </c>
      <c r="E351" s="91" t="b">
        <v>0</v>
      </c>
      <c r="F351" s="91" t="b">
        <v>0</v>
      </c>
      <c r="G351" s="91" t="b">
        <v>0</v>
      </c>
    </row>
    <row r="352" spans="1:7" ht="15">
      <c r="A352" s="92" t="s">
        <v>2890</v>
      </c>
      <c r="B352" s="91">
        <v>7</v>
      </c>
      <c r="C352" s="114">
        <v>0.001047122212177127</v>
      </c>
      <c r="D352" s="91" t="s">
        <v>3159</v>
      </c>
      <c r="E352" s="91" t="b">
        <v>0</v>
      </c>
      <c r="F352" s="91" t="b">
        <v>0</v>
      </c>
      <c r="G352" s="91" t="b">
        <v>0</v>
      </c>
    </row>
    <row r="353" spans="1:7" ht="15">
      <c r="A353" s="92" t="s">
        <v>2891</v>
      </c>
      <c r="B353" s="91">
        <v>7</v>
      </c>
      <c r="C353" s="114">
        <v>0.001047122212177127</v>
      </c>
      <c r="D353" s="91" t="s">
        <v>3159</v>
      </c>
      <c r="E353" s="91" t="b">
        <v>0</v>
      </c>
      <c r="F353" s="91" t="b">
        <v>0</v>
      </c>
      <c r="G353" s="91" t="b">
        <v>0</v>
      </c>
    </row>
    <row r="354" spans="1:7" ht="15">
      <c r="A354" s="92" t="s">
        <v>2892</v>
      </c>
      <c r="B354" s="91">
        <v>7</v>
      </c>
      <c r="C354" s="114">
        <v>0.001047122212177127</v>
      </c>
      <c r="D354" s="91" t="s">
        <v>3159</v>
      </c>
      <c r="E354" s="91" t="b">
        <v>0</v>
      </c>
      <c r="F354" s="91" t="b">
        <v>0</v>
      </c>
      <c r="G354" s="91" t="b">
        <v>0</v>
      </c>
    </row>
    <row r="355" spans="1:7" ht="15">
      <c r="A355" s="92" t="s">
        <v>2893</v>
      </c>
      <c r="B355" s="91">
        <v>7</v>
      </c>
      <c r="C355" s="114">
        <v>0.001047122212177127</v>
      </c>
      <c r="D355" s="91" t="s">
        <v>3159</v>
      </c>
      <c r="E355" s="91" t="b">
        <v>0</v>
      </c>
      <c r="F355" s="91" t="b">
        <v>0</v>
      </c>
      <c r="G355" s="91" t="b">
        <v>0</v>
      </c>
    </row>
    <row r="356" spans="1:7" ht="15">
      <c r="A356" s="92" t="s">
        <v>2894</v>
      </c>
      <c r="B356" s="91">
        <v>7</v>
      </c>
      <c r="C356" s="114">
        <v>0.001047122212177127</v>
      </c>
      <c r="D356" s="91" t="s">
        <v>3159</v>
      </c>
      <c r="E356" s="91" t="b">
        <v>0</v>
      </c>
      <c r="F356" s="91" t="b">
        <v>0</v>
      </c>
      <c r="G356" s="91" t="b">
        <v>0</v>
      </c>
    </row>
    <row r="357" spans="1:7" ht="15">
      <c r="A357" s="92" t="s">
        <v>2895</v>
      </c>
      <c r="B357" s="91">
        <v>6</v>
      </c>
      <c r="C357" s="114">
        <v>0.0009313448346377029</v>
      </c>
      <c r="D357" s="91" t="s">
        <v>3159</v>
      </c>
      <c r="E357" s="91" t="b">
        <v>0</v>
      </c>
      <c r="F357" s="91" t="b">
        <v>0</v>
      </c>
      <c r="G357" s="91" t="b">
        <v>0</v>
      </c>
    </row>
    <row r="358" spans="1:7" ht="15">
      <c r="A358" s="92" t="s">
        <v>2896</v>
      </c>
      <c r="B358" s="91">
        <v>6</v>
      </c>
      <c r="C358" s="114">
        <v>0.0009313448346377029</v>
      </c>
      <c r="D358" s="91" t="s">
        <v>3159</v>
      </c>
      <c r="E358" s="91" t="b">
        <v>0</v>
      </c>
      <c r="F358" s="91" t="b">
        <v>0</v>
      </c>
      <c r="G358" s="91" t="b">
        <v>0</v>
      </c>
    </row>
    <row r="359" spans="1:7" ht="15">
      <c r="A359" s="92" t="s">
        <v>2897</v>
      </c>
      <c r="B359" s="91">
        <v>6</v>
      </c>
      <c r="C359" s="114">
        <v>0.0009313448346377029</v>
      </c>
      <c r="D359" s="91" t="s">
        <v>3159</v>
      </c>
      <c r="E359" s="91" t="b">
        <v>0</v>
      </c>
      <c r="F359" s="91" t="b">
        <v>0</v>
      </c>
      <c r="G359" s="91" t="b">
        <v>0</v>
      </c>
    </row>
    <row r="360" spans="1:7" ht="15">
      <c r="A360" s="92" t="s">
        <v>2898</v>
      </c>
      <c r="B360" s="91">
        <v>6</v>
      </c>
      <c r="C360" s="114">
        <v>0.0009313448346377029</v>
      </c>
      <c r="D360" s="91" t="s">
        <v>3159</v>
      </c>
      <c r="E360" s="91" t="b">
        <v>0</v>
      </c>
      <c r="F360" s="91" t="b">
        <v>0</v>
      </c>
      <c r="G360" s="91" t="b">
        <v>0</v>
      </c>
    </row>
    <row r="361" spans="1:7" ht="15">
      <c r="A361" s="92" t="s">
        <v>2899</v>
      </c>
      <c r="B361" s="91">
        <v>6</v>
      </c>
      <c r="C361" s="114">
        <v>0.0009313448346377029</v>
      </c>
      <c r="D361" s="91" t="s">
        <v>3159</v>
      </c>
      <c r="E361" s="91" t="b">
        <v>0</v>
      </c>
      <c r="F361" s="91" t="b">
        <v>0</v>
      </c>
      <c r="G361" s="91" t="b">
        <v>0</v>
      </c>
    </row>
    <row r="362" spans="1:7" ht="15">
      <c r="A362" s="92" t="s">
        <v>2900</v>
      </c>
      <c r="B362" s="91">
        <v>6</v>
      </c>
      <c r="C362" s="114">
        <v>0.0009313448346377029</v>
      </c>
      <c r="D362" s="91" t="s">
        <v>3159</v>
      </c>
      <c r="E362" s="91" t="b">
        <v>0</v>
      </c>
      <c r="F362" s="91" t="b">
        <v>0</v>
      </c>
      <c r="G362" s="91" t="b">
        <v>0</v>
      </c>
    </row>
    <row r="363" spans="1:7" ht="15">
      <c r="A363" s="92" t="s">
        <v>2901</v>
      </c>
      <c r="B363" s="91">
        <v>6</v>
      </c>
      <c r="C363" s="114">
        <v>0.0009313448346377029</v>
      </c>
      <c r="D363" s="91" t="s">
        <v>3159</v>
      </c>
      <c r="E363" s="91" t="b">
        <v>0</v>
      </c>
      <c r="F363" s="91" t="b">
        <v>0</v>
      </c>
      <c r="G363" s="91" t="b">
        <v>0</v>
      </c>
    </row>
    <row r="364" spans="1:7" ht="15">
      <c r="A364" s="92" t="s">
        <v>2902</v>
      </c>
      <c r="B364" s="91">
        <v>6</v>
      </c>
      <c r="C364" s="114">
        <v>0.0009313448346377029</v>
      </c>
      <c r="D364" s="91" t="s">
        <v>3159</v>
      </c>
      <c r="E364" s="91" t="b">
        <v>0</v>
      </c>
      <c r="F364" s="91" t="b">
        <v>0</v>
      </c>
      <c r="G364" s="91" t="b">
        <v>0</v>
      </c>
    </row>
    <row r="365" spans="1:7" ht="15">
      <c r="A365" s="92" t="s">
        <v>2903</v>
      </c>
      <c r="B365" s="91">
        <v>6</v>
      </c>
      <c r="C365" s="114">
        <v>0.0009313448346377029</v>
      </c>
      <c r="D365" s="91" t="s">
        <v>3159</v>
      </c>
      <c r="E365" s="91" t="b">
        <v>0</v>
      </c>
      <c r="F365" s="91" t="b">
        <v>0</v>
      </c>
      <c r="G365" s="91" t="b">
        <v>0</v>
      </c>
    </row>
    <row r="366" spans="1:7" ht="15">
      <c r="A366" s="92" t="s">
        <v>2904</v>
      </c>
      <c r="B366" s="91">
        <v>6</v>
      </c>
      <c r="C366" s="114">
        <v>0.0009313448346377029</v>
      </c>
      <c r="D366" s="91" t="s">
        <v>3159</v>
      </c>
      <c r="E366" s="91" t="b">
        <v>0</v>
      </c>
      <c r="F366" s="91" t="b">
        <v>0</v>
      </c>
      <c r="G366" s="91" t="b">
        <v>0</v>
      </c>
    </row>
    <row r="367" spans="1:7" ht="15">
      <c r="A367" s="92" t="s">
        <v>2905</v>
      </c>
      <c r="B367" s="91">
        <v>6</v>
      </c>
      <c r="C367" s="114">
        <v>0.0009313448346377029</v>
      </c>
      <c r="D367" s="91" t="s">
        <v>3159</v>
      </c>
      <c r="E367" s="91" t="b">
        <v>0</v>
      </c>
      <c r="F367" s="91" t="b">
        <v>0</v>
      </c>
      <c r="G367" s="91" t="b">
        <v>0</v>
      </c>
    </row>
    <row r="368" spans="1:7" ht="15">
      <c r="A368" s="92" t="s">
        <v>2906</v>
      </c>
      <c r="B368" s="91">
        <v>6</v>
      </c>
      <c r="C368" s="114">
        <v>0.0009313448346377029</v>
      </c>
      <c r="D368" s="91" t="s">
        <v>3159</v>
      </c>
      <c r="E368" s="91" t="b">
        <v>0</v>
      </c>
      <c r="F368" s="91" t="b">
        <v>0</v>
      </c>
      <c r="G368" s="91" t="b">
        <v>0</v>
      </c>
    </row>
    <row r="369" spans="1:7" ht="15">
      <c r="A369" s="92" t="s">
        <v>2907</v>
      </c>
      <c r="B369" s="91">
        <v>6</v>
      </c>
      <c r="C369" s="114">
        <v>0.0009313448346377029</v>
      </c>
      <c r="D369" s="91" t="s">
        <v>3159</v>
      </c>
      <c r="E369" s="91" t="b">
        <v>0</v>
      </c>
      <c r="F369" s="91" t="b">
        <v>0</v>
      </c>
      <c r="G369" s="91" t="b">
        <v>0</v>
      </c>
    </row>
    <row r="370" spans="1:7" ht="15">
      <c r="A370" s="92" t="s">
        <v>2908</v>
      </c>
      <c r="B370" s="91">
        <v>6</v>
      </c>
      <c r="C370" s="114">
        <v>0.0009313448346377029</v>
      </c>
      <c r="D370" s="91" t="s">
        <v>3159</v>
      </c>
      <c r="E370" s="91" t="b">
        <v>0</v>
      </c>
      <c r="F370" s="91" t="b">
        <v>0</v>
      </c>
      <c r="G370" s="91" t="b">
        <v>0</v>
      </c>
    </row>
    <row r="371" spans="1:7" ht="15">
      <c r="A371" s="92" t="s">
        <v>2909</v>
      </c>
      <c r="B371" s="91">
        <v>6</v>
      </c>
      <c r="C371" s="114">
        <v>0.0009313448346377029</v>
      </c>
      <c r="D371" s="91" t="s">
        <v>3159</v>
      </c>
      <c r="E371" s="91" t="b">
        <v>0</v>
      </c>
      <c r="F371" s="91" t="b">
        <v>0</v>
      </c>
      <c r="G371" s="91" t="b">
        <v>0</v>
      </c>
    </row>
    <row r="372" spans="1:7" ht="15">
      <c r="A372" s="92" t="s">
        <v>2910</v>
      </c>
      <c r="B372" s="91">
        <v>6</v>
      </c>
      <c r="C372" s="114">
        <v>0.0009313448346377029</v>
      </c>
      <c r="D372" s="91" t="s">
        <v>3159</v>
      </c>
      <c r="E372" s="91" t="b">
        <v>0</v>
      </c>
      <c r="F372" s="91" t="b">
        <v>0</v>
      </c>
      <c r="G372" s="91" t="b">
        <v>0</v>
      </c>
    </row>
    <row r="373" spans="1:7" ht="15">
      <c r="A373" s="92" t="s">
        <v>2911</v>
      </c>
      <c r="B373" s="91">
        <v>6</v>
      </c>
      <c r="C373" s="114">
        <v>0.0009313448346377029</v>
      </c>
      <c r="D373" s="91" t="s">
        <v>3159</v>
      </c>
      <c r="E373" s="91" t="b">
        <v>0</v>
      </c>
      <c r="F373" s="91" t="b">
        <v>0</v>
      </c>
      <c r="G373" s="91" t="b">
        <v>0</v>
      </c>
    </row>
    <row r="374" spans="1:7" ht="15">
      <c r="A374" s="92" t="s">
        <v>2912</v>
      </c>
      <c r="B374" s="91">
        <v>6</v>
      </c>
      <c r="C374" s="114">
        <v>0.0009313448346377029</v>
      </c>
      <c r="D374" s="91" t="s">
        <v>3159</v>
      </c>
      <c r="E374" s="91" t="b">
        <v>0</v>
      </c>
      <c r="F374" s="91" t="b">
        <v>0</v>
      </c>
      <c r="G374" s="91" t="b">
        <v>0</v>
      </c>
    </row>
    <row r="375" spans="1:7" ht="15">
      <c r="A375" s="92" t="s">
        <v>2913</v>
      </c>
      <c r="B375" s="91">
        <v>6</v>
      </c>
      <c r="C375" s="114">
        <v>0.0009313448346377029</v>
      </c>
      <c r="D375" s="91" t="s">
        <v>3159</v>
      </c>
      <c r="E375" s="91" t="b">
        <v>0</v>
      </c>
      <c r="F375" s="91" t="b">
        <v>0</v>
      </c>
      <c r="G375" s="91" t="b">
        <v>0</v>
      </c>
    </row>
    <row r="376" spans="1:7" ht="15">
      <c r="A376" s="92" t="s">
        <v>2914</v>
      </c>
      <c r="B376" s="91">
        <v>6</v>
      </c>
      <c r="C376" s="114">
        <v>0.0009313448346377029</v>
      </c>
      <c r="D376" s="91" t="s">
        <v>3159</v>
      </c>
      <c r="E376" s="91" t="b">
        <v>0</v>
      </c>
      <c r="F376" s="91" t="b">
        <v>0</v>
      </c>
      <c r="G376" s="91" t="b">
        <v>0</v>
      </c>
    </row>
    <row r="377" spans="1:7" ht="15">
      <c r="A377" s="92" t="s">
        <v>2915</v>
      </c>
      <c r="B377" s="91">
        <v>6</v>
      </c>
      <c r="C377" s="114">
        <v>0.0009313448346377029</v>
      </c>
      <c r="D377" s="91" t="s">
        <v>3159</v>
      </c>
      <c r="E377" s="91" t="b">
        <v>0</v>
      </c>
      <c r="F377" s="91" t="b">
        <v>0</v>
      </c>
      <c r="G377" s="91" t="b">
        <v>0</v>
      </c>
    </row>
    <row r="378" spans="1:7" ht="15">
      <c r="A378" s="92" t="s">
        <v>2916</v>
      </c>
      <c r="B378" s="91">
        <v>6</v>
      </c>
      <c r="C378" s="114">
        <v>0.0009313448346377029</v>
      </c>
      <c r="D378" s="91" t="s">
        <v>3159</v>
      </c>
      <c r="E378" s="91" t="b">
        <v>0</v>
      </c>
      <c r="F378" s="91" t="b">
        <v>0</v>
      </c>
      <c r="G378" s="91" t="b">
        <v>0</v>
      </c>
    </row>
    <row r="379" spans="1:7" ht="15">
      <c r="A379" s="92" t="s">
        <v>2917</v>
      </c>
      <c r="B379" s="91">
        <v>6</v>
      </c>
      <c r="C379" s="114">
        <v>0.0009313448346377029</v>
      </c>
      <c r="D379" s="91" t="s">
        <v>3159</v>
      </c>
      <c r="E379" s="91" t="b">
        <v>0</v>
      </c>
      <c r="F379" s="91" t="b">
        <v>0</v>
      </c>
      <c r="G379" s="91" t="b">
        <v>0</v>
      </c>
    </row>
    <row r="380" spans="1:7" ht="15">
      <c r="A380" s="92" t="s">
        <v>2918</v>
      </c>
      <c r="B380" s="91">
        <v>6</v>
      </c>
      <c r="C380" s="114">
        <v>0.0009313448346377029</v>
      </c>
      <c r="D380" s="91" t="s">
        <v>3159</v>
      </c>
      <c r="E380" s="91" t="b">
        <v>0</v>
      </c>
      <c r="F380" s="91" t="b">
        <v>0</v>
      </c>
      <c r="G380" s="91" t="b">
        <v>0</v>
      </c>
    </row>
    <row r="381" spans="1:7" ht="15">
      <c r="A381" s="92" t="s">
        <v>2919</v>
      </c>
      <c r="B381" s="91">
        <v>6</v>
      </c>
      <c r="C381" s="114">
        <v>0.0009313448346377029</v>
      </c>
      <c r="D381" s="91" t="s">
        <v>3159</v>
      </c>
      <c r="E381" s="91" t="b">
        <v>0</v>
      </c>
      <c r="F381" s="91" t="b">
        <v>0</v>
      </c>
      <c r="G381" s="91" t="b">
        <v>0</v>
      </c>
    </row>
    <row r="382" spans="1:7" ht="15">
      <c r="A382" s="92" t="s">
        <v>2920</v>
      </c>
      <c r="B382" s="91">
        <v>6</v>
      </c>
      <c r="C382" s="114">
        <v>0.0009313448346377029</v>
      </c>
      <c r="D382" s="91" t="s">
        <v>3159</v>
      </c>
      <c r="E382" s="91" t="b">
        <v>0</v>
      </c>
      <c r="F382" s="91" t="b">
        <v>0</v>
      </c>
      <c r="G382" s="91" t="b">
        <v>0</v>
      </c>
    </row>
    <row r="383" spans="1:7" ht="15">
      <c r="A383" s="92" t="s">
        <v>2921</v>
      </c>
      <c r="B383" s="91">
        <v>6</v>
      </c>
      <c r="C383" s="114">
        <v>0.0009313448346377029</v>
      </c>
      <c r="D383" s="91" t="s">
        <v>3159</v>
      </c>
      <c r="E383" s="91" t="b">
        <v>0</v>
      </c>
      <c r="F383" s="91" t="b">
        <v>0</v>
      </c>
      <c r="G383" s="91" t="b">
        <v>0</v>
      </c>
    </row>
    <row r="384" spans="1:7" ht="15">
      <c r="A384" s="92" t="s">
        <v>2922</v>
      </c>
      <c r="B384" s="91">
        <v>6</v>
      </c>
      <c r="C384" s="114">
        <v>0.0009313448346377029</v>
      </c>
      <c r="D384" s="91" t="s">
        <v>3159</v>
      </c>
      <c r="E384" s="91" t="b">
        <v>0</v>
      </c>
      <c r="F384" s="91" t="b">
        <v>0</v>
      </c>
      <c r="G384" s="91" t="b">
        <v>0</v>
      </c>
    </row>
    <row r="385" spans="1:7" ht="15">
      <c r="A385" s="92" t="s">
        <v>2923</v>
      </c>
      <c r="B385" s="91">
        <v>6</v>
      </c>
      <c r="C385" s="114">
        <v>0.0009313448346377029</v>
      </c>
      <c r="D385" s="91" t="s">
        <v>3159</v>
      </c>
      <c r="E385" s="91" t="b">
        <v>0</v>
      </c>
      <c r="F385" s="91" t="b">
        <v>0</v>
      </c>
      <c r="G385" s="91" t="b">
        <v>0</v>
      </c>
    </row>
    <row r="386" spans="1:7" ht="15">
      <c r="A386" s="92" t="s">
        <v>2924</v>
      </c>
      <c r="B386" s="91">
        <v>6</v>
      </c>
      <c r="C386" s="114">
        <v>0.0009313448346377029</v>
      </c>
      <c r="D386" s="91" t="s">
        <v>3159</v>
      </c>
      <c r="E386" s="91" t="b">
        <v>0</v>
      </c>
      <c r="F386" s="91" t="b">
        <v>0</v>
      </c>
      <c r="G386" s="91" t="b">
        <v>0</v>
      </c>
    </row>
    <row r="387" spans="1:7" ht="15">
      <c r="A387" s="92" t="s">
        <v>2925</v>
      </c>
      <c r="B387" s="91">
        <v>6</v>
      </c>
      <c r="C387" s="114">
        <v>0.0009313448346377029</v>
      </c>
      <c r="D387" s="91" t="s">
        <v>3159</v>
      </c>
      <c r="E387" s="91" t="b">
        <v>0</v>
      </c>
      <c r="F387" s="91" t="b">
        <v>0</v>
      </c>
      <c r="G387" s="91" t="b">
        <v>0</v>
      </c>
    </row>
    <row r="388" spans="1:7" ht="15">
      <c r="A388" s="92" t="s">
        <v>2926</v>
      </c>
      <c r="B388" s="91">
        <v>6</v>
      </c>
      <c r="C388" s="114">
        <v>0.0009313448346377029</v>
      </c>
      <c r="D388" s="91" t="s">
        <v>3159</v>
      </c>
      <c r="E388" s="91" t="b">
        <v>0</v>
      </c>
      <c r="F388" s="91" t="b">
        <v>0</v>
      </c>
      <c r="G388" s="91" t="b">
        <v>0</v>
      </c>
    </row>
    <row r="389" spans="1:7" ht="15">
      <c r="A389" s="92" t="s">
        <v>2927</v>
      </c>
      <c r="B389" s="91">
        <v>6</v>
      </c>
      <c r="C389" s="114">
        <v>0.0009313448346377029</v>
      </c>
      <c r="D389" s="91" t="s">
        <v>3159</v>
      </c>
      <c r="E389" s="91" t="b">
        <v>0</v>
      </c>
      <c r="F389" s="91" t="b">
        <v>0</v>
      </c>
      <c r="G389" s="91" t="b">
        <v>0</v>
      </c>
    </row>
    <row r="390" spans="1:7" ht="15">
      <c r="A390" s="92" t="s">
        <v>2928</v>
      </c>
      <c r="B390" s="91">
        <v>6</v>
      </c>
      <c r="C390" s="114">
        <v>0.0009313448346377029</v>
      </c>
      <c r="D390" s="91" t="s">
        <v>3159</v>
      </c>
      <c r="E390" s="91" t="b">
        <v>0</v>
      </c>
      <c r="F390" s="91" t="b">
        <v>0</v>
      </c>
      <c r="G390" s="91" t="b">
        <v>0</v>
      </c>
    </row>
    <row r="391" spans="1:7" ht="15">
      <c r="A391" s="92" t="s">
        <v>2929</v>
      </c>
      <c r="B391" s="91">
        <v>6</v>
      </c>
      <c r="C391" s="114">
        <v>0.0009313448346377029</v>
      </c>
      <c r="D391" s="91" t="s">
        <v>3159</v>
      </c>
      <c r="E391" s="91" t="b">
        <v>0</v>
      </c>
      <c r="F391" s="91" t="b">
        <v>0</v>
      </c>
      <c r="G391" s="91" t="b">
        <v>0</v>
      </c>
    </row>
    <row r="392" spans="1:7" ht="15">
      <c r="A392" s="92" t="s">
        <v>2930</v>
      </c>
      <c r="B392" s="91">
        <v>6</v>
      </c>
      <c r="C392" s="114">
        <v>0.0009313448346377029</v>
      </c>
      <c r="D392" s="91" t="s">
        <v>3159</v>
      </c>
      <c r="E392" s="91" t="b">
        <v>0</v>
      </c>
      <c r="F392" s="91" t="b">
        <v>0</v>
      </c>
      <c r="G392" s="91" t="b">
        <v>0</v>
      </c>
    </row>
    <row r="393" spans="1:7" ht="15">
      <c r="A393" s="92" t="s">
        <v>2931</v>
      </c>
      <c r="B393" s="91">
        <v>6</v>
      </c>
      <c r="C393" s="114">
        <v>0.0009313448346377029</v>
      </c>
      <c r="D393" s="91" t="s">
        <v>3159</v>
      </c>
      <c r="E393" s="91" t="b">
        <v>0</v>
      </c>
      <c r="F393" s="91" t="b">
        <v>0</v>
      </c>
      <c r="G393" s="91" t="b">
        <v>0</v>
      </c>
    </row>
    <row r="394" spans="1:7" ht="15">
      <c r="A394" s="92" t="s">
        <v>2932</v>
      </c>
      <c r="B394" s="91">
        <v>6</v>
      </c>
      <c r="C394" s="114">
        <v>0.001172315165304199</v>
      </c>
      <c r="D394" s="91" t="s">
        <v>3159</v>
      </c>
      <c r="E394" s="91" t="b">
        <v>0</v>
      </c>
      <c r="F394" s="91" t="b">
        <v>0</v>
      </c>
      <c r="G394" s="91" t="b">
        <v>0</v>
      </c>
    </row>
    <row r="395" spans="1:7" ht="15">
      <c r="A395" s="92" t="s">
        <v>2933</v>
      </c>
      <c r="B395" s="91">
        <v>6</v>
      </c>
      <c r="C395" s="114">
        <v>0.0009313448346377029</v>
      </c>
      <c r="D395" s="91" t="s">
        <v>3159</v>
      </c>
      <c r="E395" s="91" t="b">
        <v>0</v>
      </c>
      <c r="F395" s="91" t="b">
        <v>0</v>
      </c>
      <c r="G395" s="91" t="b">
        <v>0</v>
      </c>
    </row>
    <row r="396" spans="1:7" ht="15">
      <c r="A396" s="92" t="s">
        <v>2934</v>
      </c>
      <c r="B396" s="91">
        <v>6</v>
      </c>
      <c r="C396" s="114">
        <v>0.0009313448346377029</v>
      </c>
      <c r="D396" s="91" t="s">
        <v>3159</v>
      </c>
      <c r="E396" s="91" t="b">
        <v>0</v>
      </c>
      <c r="F396" s="91" t="b">
        <v>0</v>
      </c>
      <c r="G396" s="91" t="b">
        <v>0</v>
      </c>
    </row>
    <row r="397" spans="1:7" ht="15">
      <c r="A397" s="92" t="s">
        <v>2935</v>
      </c>
      <c r="B397" s="91">
        <v>5</v>
      </c>
      <c r="C397" s="114">
        <v>0.0008094461357871533</v>
      </c>
      <c r="D397" s="91" t="s">
        <v>3159</v>
      </c>
      <c r="E397" s="91" t="b">
        <v>0</v>
      </c>
      <c r="F397" s="91" t="b">
        <v>0</v>
      </c>
      <c r="G397" s="91" t="b">
        <v>0</v>
      </c>
    </row>
    <row r="398" spans="1:7" ht="15">
      <c r="A398" s="92" t="s">
        <v>2936</v>
      </c>
      <c r="B398" s="91">
        <v>5</v>
      </c>
      <c r="C398" s="114">
        <v>0.0008094461357871533</v>
      </c>
      <c r="D398" s="91" t="s">
        <v>3159</v>
      </c>
      <c r="E398" s="91" t="b">
        <v>0</v>
      </c>
      <c r="F398" s="91" t="b">
        <v>0</v>
      </c>
      <c r="G398" s="91" t="b">
        <v>0</v>
      </c>
    </row>
    <row r="399" spans="1:7" ht="15">
      <c r="A399" s="92" t="s">
        <v>2937</v>
      </c>
      <c r="B399" s="91">
        <v>5</v>
      </c>
      <c r="C399" s="114">
        <v>0.0008094461357871533</v>
      </c>
      <c r="D399" s="91" t="s">
        <v>3159</v>
      </c>
      <c r="E399" s="91" t="b">
        <v>0</v>
      </c>
      <c r="F399" s="91" t="b">
        <v>0</v>
      </c>
      <c r="G399" s="91" t="b">
        <v>0</v>
      </c>
    </row>
    <row r="400" spans="1:7" ht="15">
      <c r="A400" s="92" t="s">
        <v>2938</v>
      </c>
      <c r="B400" s="91">
        <v>5</v>
      </c>
      <c r="C400" s="114">
        <v>0.0008094461357871533</v>
      </c>
      <c r="D400" s="91" t="s">
        <v>3159</v>
      </c>
      <c r="E400" s="91" t="b">
        <v>0</v>
      </c>
      <c r="F400" s="91" t="b">
        <v>0</v>
      </c>
      <c r="G400" s="91" t="b">
        <v>0</v>
      </c>
    </row>
    <row r="401" spans="1:7" ht="15">
      <c r="A401" s="92" t="s">
        <v>2939</v>
      </c>
      <c r="B401" s="91">
        <v>5</v>
      </c>
      <c r="C401" s="114">
        <v>0.0008094461357871533</v>
      </c>
      <c r="D401" s="91" t="s">
        <v>3159</v>
      </c>
      <c r="E401" s="91" t="b">
        <v>0</v>
      </c>
      <c r="F401" s="91" t="b">
        <v>0</v>
      </c>
      <c r="G401" s="91" t="b">
        <v>0</v>
      </c>
    </row>
    <row r="402" spans="1:7" ht="15">
      <c r="A402" s="92" t="s">
        <v>2940</v>
      </c>
      <c r="B402" s="91">
        <v>5</v>
      </c>
      <c r="C402" s="114">
        <v>0.0008094461357871533</v>
      </c>
      <c r="D402" s="91" t="s">
        <v>3159</v>
      </c>
      <c r="E402" s="91" t="b">
        <v>0</v>
      </c>
      <c r="F402" s="91" t="b">
        <v>0</v>
      </c>
      <c r="G402" s="91" t="b">
        <v>0</v>
      </c>
    </row>
    <row r="403" spans="1:7" ht="15">
      <c r="A403" s="92" t="s">
        <v>2941</v>
      </c>
      <c r="B403" s="91">
        <v>5</v>
      </c>
      <c r="C403" s="114">
        <v>0.0008094461357871533</v>
      </c>
      <c r="D403" s="91" t="s">
        <v>3159</v>
      </c>
      <c r="E403" s="91" t="b">
        <v>0</v>
      </c>
      <c r="F403" s="91" t="b">
        <v>0</v>
      </c>
      <c r="G403" s="91" t="b">
        <v>0</v>
      </c>
    </row>
    <row r="404" spans="1:7" ht="15">
      <c r="A404" s="92" t="s">
        <v>2942</v>
      </c>
      <c r="B404" s="91">
        <v>5</v>
      </c>
      <c r="C404" s="114">
        <v>0.0008094461357871533</v>
      </c>
      <c r="D404" s="91" t="s">
        <v>3159</v>
      </c>
      <c r="E404" s="91" t="b">
        <v>0</v>
      </c>
      <c r="F404" s="91" t="b">
        <v>0</v>
      </c>
      <c r="G404" s="91" t="b">
        <v>0</v>
      </c>
    </row>
    <row r="405" spans="1:7" ht="15">
      <c r="A405" s="92" t="s">
        <v>2943</v>
      </c>
      <c r="B405" s="91">
        <v>5</v>
      </c>
      <c r="C405" s="114">
        <v>0.0008094461357871533</v>
      </c>
      <c r="D405" s="91" t="s">
        <v>3159</v>
      </c>
      <c r="E405" s="91" t="b">
        <v>0</v>
      </c>
      <c r="F405" s="91" t="b">
        <v>0</v>
      </c>
      <c r="G405" s="91" t="b">
        <v>0</v>
      </c>
    </row>
    <row r="406" spans="1:7" ht="15">
      <c r="A406" s="92" t="s">
        <v>2944</v>
      </c>
      <c r="B406" s="91">
        <v>5</v>
      </c>
      <c r="C406" s="114">
        <v>0.0008094461357871533</v>
      </c>
      <c r="D406" s="91" t="s">
        <v>3159</v>
      </c>
      <c r="E406" s="91" t="b">
        <v>0</v>
      </c>
      <c r="F406" s="91" t="b">
        <v>0</v>
      </c>
      <c r="G406" s="91" t="b">
        <v>0</v>
      </c>
    </row>
    <row r="407" spans="1:7" ht="15">
      <c r="A407" s="92" t="s">
        <v>2945</v>
      </c>
      <c r="B407" s="91">
        <v>5</v>
      </c>
      <c r="C407" s="114">
        <v>0.0008094461357871533</v>
      </c>
      <c r="D407" s="91" t="s">
        <v>3159</v>
      </c>
      <c r="E407" s="91" t="b">
        <v>0</v>
      </c>
      <c r="F407" s="91" t="b">
        <v>0</v>
      </c>
      <c r="G407" s="91" t="b">
        <v>0</v>
      </c>
    </row>
    <row r="408" spans="1:7" ht="15">
      <c r="A408" s="92" t="s">
        <v>2946</v>
      </c>
      <c r="B408" s="91">
        <v>5</v>
      </c>
      <c r="C408" s="114">
        <v>0.0008094461357871533</v>
      </c>
      <c r="D408" s="91" t="s">
        <v>3159</v>
      </c>
      <c r="E408" s="91" t="b">
        <v>0</v>
      </c>
      <c r="F408" s="91" t="b">
        <v>0</v>
      </c>
      <c r="G408" s="91" t="b">
        <v>0</v>
      </c>
    </row>
    <row r="409" spans="1:7" ht="15">
      <c r="A409" s="92" t="s">
        <v>2947</v>
      </c>
      <c r="B409" s="91">
        <v>5</v>
      </c>
      <c r="C409" s="114">
        <v>0.0008094461357871533</v>
      </c>
      <c r="D409" s="91" t="s">
        <v>3159</v>
      </c>
      <c r="E409" s="91" t="b">
        <v>0</v>
      </c>
      <c r="F409" s="91" t="b">
        <v>0</v>
      </c>
      <c r="G409" s="91" t="b">
        <v>0</v>
      </c>
    </row>
    <row r="410" spans="1:7" ht="15">
      <c r="A410" s="92" t="s">
        <v>2948</v>
      </c>
      <c r="B410" s="91">
        <v>5</v>
      </c>
      <c r="C410" s="114">
        <v>0.0008094461357871533</v>
      </c>
      <c r="D410" s="91" t="s">
        <v>3159</v>
      </c>
      <c r="E410" s="91" t="b">
        <v>0</v>
      </c>
      <c r="F410" s="91" t="b">
        <v>0</v>
      </c>
      <c r="G410" s="91" t="b">
        <v>0</v>
      </c>
    </row>
    <row r="411" spans="1:7" ht="15">
      <c r="A411" s="92" t="s">
        <v>2949</v>
      </c>
      <c r="B411" s="91">
        <v>5</v>
      </c>
      <c r="C411" s="114">
        <v>0.0008094461357871533</v>
      </c>
      <c r="D411" s="91" t="s">
        <v>3159</v>
      </c>
      <c r="E411" s="91" t="b">
        <v>0</v>
      </c>
      <c r="F411" s="91" t="b">
        <v>0</v>
      </c>
      <c r="G411" s="91" t="b">
        <v>0</v>
      </c>
    </row>
    <row r="412" spans="1:7" ht="15">
      <c r="A412" s="92" t="s">
        <v>2950</v>
      </c>
      <c r="B412" s="91">
        <v>5</v>
      </c>
      <c r="C412" s="114">
        <v>0.0008094461357871533</v>
      </c>
      <c r="D412" s="91" t="s">
        <v>3159</v>
      </c>
      <c r="E412" s="91" t="b">
        <v>0</v>
      </c>
      <c r="F412" s="91" t="b">
        <v>0</v>
      </c>
      <c r="G412" s="91" t="b">
        <v>0</v>
      </c>
    </row>
    <row r="413" spans="1:7" ht="15">
      <c r="A413" s="92" t="s">
        <v>2951</v>
      </c>
      <c r="B413" s="91">
        <v>5</v>
      </c>
      <c r="C413" s="114">
        <v>0.0008094461357871533</v>
      </c>
      <c r="D413" s="91" t="s">
        <v>3159</v>
      </c>
      <c r="E413" s="91" t="b">
        <v>0</v>
      </c>
      <c r="F413" s="91" t="b">
        <v>0</v>
      </c>
      <c r="G413" s="91" t="b">
        <v>0</v>
      </c>
    </row>
    <row r="414" spans="1:7" ht="15">
      <c r="A414" s="92" t="s">
        <v>2952</v>
      </c>
      <c r="B414" s="91">
        <v>5</v>
      </c>
      <c r="C414" s="114">
        <v>0.0008094461357871533</v>
      </c>
      <c r="D414" s="91" t="s">
        <v>3159</v>
      </c>
      <c r="E414" s="91" t="b">
        <v>0</v>
      </c>
      <c r="F414" s="91" t="b">
        <v>0</v>
      </c>
      <c r="G414" s="91" t="b">
        <v>0</v>
      </c>
    </row>
    <row r="415" spans="1:7" ht="15">
      <c r="A415" s="92" t="s">
        <v>2953</v>
      </c>
      <c r="B415" s="91">
        <v>5</v>
      </c>
      <c r="C415" s="114">
        <v>0.0008094461357871533</v>
      </c>
      <c r="D415" s="91" t="s">
        <v>3159</v>
      </c>
      <c r="E415" s="91" t="b">
        <v>0</v>
      </c>
      <c r="F415" s="91" t="b">
        <v>0</v>
      </c>
      <c r="G415" s="91" t="b">
        <v>0</v>
      </c>
    </row>
    <row r="416" spans="1:7" ht="15">
      <c r="A416" s="92" t="s">
        <v>2954</v>
      </c>
      <c r="B416" s="91">
        <v>5</v>
      </c>
      <c r="C416" s="114">
        <v>0.0008094461357871533</v>
      </c>
      <c r="D416" s="91" t="s">
        <v>3159</v>
      </c>
      <c r="E416" s="91" t="b">
        <v>0</v>
      </c>
      <c r="F416" s="91" t="b">
        <v>0</v>
      </c>
      <c r="G416" s="91" t="b">
        <v>0</v>
      </c>
    </row>
    <row r="417" spans="1:7" ht="15">
      <c r="A417" s="92" t="s">
        <v>2955</v>
      </c>
      <c r="B417" s="91">
        <v>5</v>
      </c>
      <c r="C417" s="114">
        <v>0.0008094461357871533</v>
      </c>
      <c r="D417" s="91" t="s">
        <v>3159</v>
      </c>
      <c r="E417" s="91" t="b">
        <v>0</v>
      </c>
      <c r="F417" s="91" t="b">
        <v>0</v>
      </c>
      <c r="G417" s="91" t="b">
        <v>0</v>
      </c>
    </row>
    <row r="418" spans="1:7" ht="15">
      <c r="A418" s="92" t="s">
        <v>2956</v>
      </c>
      <c r="B418" s="91">
        <v>5</v>
      </c>
      <c r="C418" s="114">
        <v>0.0008094461357871533</v>
      </c>
      <c r="D418" s="91" t="s">
        <v>3159</v>
      </c>
      <c r="E418" s="91" t="b">
        <v>0</v>
      </c>
      <c r="F418" s="91" t="b">
        <v>0</v>
      </c>
      <c r="G418" s="91" t="b">
        <v>0</v>
      </c>
    </row>
    <row r="419" spans="1:7" ht="15">
      <c r="A419" s="92" t="s">
        <v>2957</v>
      </c>
      <c r="B419" s="91">
        <v>5</v>
      </c>
      <c r="C419" s="114">
        <v>0.0008094461357871533</v>
      </c>
      <c r="D419" s="91" t="s">
        <v>3159</v>
      </c>
      <c r="E419" s="91" t="b">
        <v>0</v>
      </c>
      <c r="F419" s="91" t="b">
        <v>0</v>
      </c>
      <c r="G419" s="91" t="b">
        <v>0</v>
      </c>
    </row>
    <row r="420" spans="1:7" ht="15">
      <c r="A420" s="92" t="s">
        <v>2958</v>
      </c>
      <c r="B420" s="91">
        <v>5</v>
      </c>
      <c r="C420" s="114">
        <v>0.0008094461357871533</v>
      </c>
      <c r="D420" s="91" t="s">
        <v>3159</v>
      </c>
      <c r="E420" s="91" t="b">
        <v>0</v>
      </c>
      <c r="F420" s="91" t="b">
        <v>0</v>
      </c>
      <c r="G420" s="91" t="b">
        <v>0</v>
      </c>
    </row>
    <row r="421" spans="1:7" ht="15">
      <c r="A421" s="92" t="s">
        <v>2959</v>
      </c>
      <c r="B421" s="91">
        <v>5</v>
      </c>
      <c r="C421" s="114">
        <v>0.0008094461357871533</v>
      </c>
      <c r="D421" s="91" t="s">
        <v>3159</v>
      </c>
      <c r="E421" s="91" t="b">
        <v>0</v>
      </c>
      <c r="F421" s="91" t="b">
        <v>0</v>
      </c>
      <c r="G421" s="91" t="b">
        <v>0</v>
      </c>
    </row>
    <row r="422" spans="1:7" ht="15">
      <c r="A422" s="92" t="s">
        <v>2960</v>
      </c>
      <c r="B422" s="91">
        <v>5</v>
      </c>
      <c r="C422" s="114">
        <v>0.0008094461357871533</v>
      </c>
      <c r="D422" s="91" t="s">
        <v>3159</v>
      </c>
      <c r="E422" s="91" t="b">
        <v>0</v>
      </c>
      <c r="F422" s="91" t="b">
        <v>0</v>
      </c>
      <c r="G422" s="91" t="b">
        <v>0</v>
      </c>
    </row>
    <row r="423" spans="1:7" ht="15">
      <c r="A423" s="92" t="s">
        <v>2961</v>
      </c>
      <c r="B423" s="91">
        <v>5</v>
      </c>
      <c r="C423" s="114">
        <v>0.0008094461357871533</v>
      </c>
      <c r="D423" s="91" t="s">
        <v>3159</v>
      </c>
      <c r="E423" s="91" t="b">
        <v>0</v>
      </c>
      <c r="F423" s="91" t="b">
        <v>0</v>
      </c>
      <c r="G423" s="91" t="b">
        <v>0</v>
      </c>
    </row>
    <row r="424" spans="1:7" ht="15">
      <c r="A424" s="92" t="s">
        <v>2962</v>
      </c>
      <c r="B424" s="91">
        <v>5</v>
      </c>
      <c r="C424" s="114">
        <v>0.0008094461357871533</v>
      </c>
      <c r="D424" s="91" t="s">
        <v>3159</v>
      </c>
      <c r="E424" s="91" t="b">
        <v>0</v>
      </c>
      <c r="F424" s="91" t="b">
        <v>0</v>
      </c>
      <c r="G424" s="91" t="b">
        <v>0</v>
      </c>
    </row>
    <row r="425" spans="1:7" ht="15">
      <c r="A425" s="92" t="s">
        <v>2963</v>
      </c>
      <c r="B425" s="91">
        <v>5</v>
      </c>
      <c r="C425" s="114">
        <v>0.0008094461357871533</v>
      </c>
      <c r="D425" s="91" t="s">
        <v>3159</v>
      </c>
      <c r="E425" s="91" t="b">
        <v>0</v>
      </c>
      <c r="F425" s="91" t="b">
        <v>0</v>
      </c>
      <c r="G425" s="91" t="b">
        <v>0</v>
      </c>
    </row>
    <row r="426" spans="1:7" ht="15">
      <c r="A426" s="92" t="s">
        <v>2964</v>
      </c>
      <c r="B426" s="91">
        <v>4</v>
      </c>
      <c r="C426" s="114">
        <v>0.0006801865426391694</v>
      </c>
      <c r="D426" s="91" t="s">
        <v>3159</v>
      </c>
      <c r="E426" s="91" t="b">
        <v>0</v>
      </c>
      <c r="F426" s="91" t="b">
        <v>0</v>
      </c>
      <c r="G426" s="91" t="b">
        <v>0</v>
      </c>
    </row>
    <row r="427" spans="1:7" ht="15">
      <c r="A427" s="92" t="s">
        <v>2965</v>
      </c>
      <c r="B427" s="91">
        <v>4</v>
      </c>
      <c r="C427" s="114">
        <v>0.0006801865426391694</v>
      </c>
      <c r="D427" s="91" t="s">
        <v>3159</v>
      </c>
      <c r="E427" s="91" t="b">
        <v>0</v>
      </c>
      <c r="F427" s="91" t="b">
        <v>0</v>
      </c>
      <c r="G427" s="91" t="b">
        <v>0</v>
      </c>
    </row>
    <row r="428" spans="1:7" ht="15">
      <c r="A428" s="92" t="s">
        <v>2966</v>
      </c>
      <c r="B428" s="91">
        <v>4</v>
      </c>
      <c r="C428" s="114">
        <v>0.0006801865426391694</v>
      </c>
      <c r="D428" s="91" t="s">
        <v>3159</v>
      </c>
      <c r="E428" s="91" t="b">
        <v>0</v>
      </c>
      <c r="F428" s="91" t="b">
        <v>0</v>
      </c>
      <c r="G428" s="91" t="b">
        <v>0</v>
      </c>
    </row>
    <row r="429" spans="1:7" ht="15">
      <c r="A429" s="92" t="s">
        <v>2967</v>
      </c>
      <c r="B429" s="91">
        <v>4</v>
      </c>
      <c r="C429" s="114">
        <v>0.0006801865426391694</v>
      </c>
      <c r="D429" s="91" t="s">
        <v>3159</v>
      </c>
      <c r="E429" s="91" t="b">
        <v>0</v>
      </c>
      <c r="F429" s="91" t="b">
        <v>0</v>
      </c>
      <c r="G429" s="91" t="b">
        <v>0</v>
      </c>
    </row>
    <row r="430" spans="1:7" ht="15">
      <c r="A430" s="92" t="s">
        <v>2968</v>
      </c>
      <c r="B430" s="91">
        <v>4</v>
      </c>
      <c r="C430" s="114">
        <v>0.0006801865426391694</v>
      </c>
      <c r="D430" s="91" t="s">
        <v>3159</v>
      </c>
      <c r="E430" s="91" t="b">
        <v>0</v>
      </c>
      <c r="F430" s="91" t="b">
        <v>0</v>
      </c>
      <c r="G430" s="91" t="b">
        <v>0</v>
      </c>
    </row>
    <row r="431" spans="1:7" ht="15">
      <c r="A431" s="92" t="s">
        <v>2969</v>
      </c>
      <c r="B431" s="91">
        <v>4</v>
      </c>
      <c r="C431" s="114">
        <v>0.0006801865426391694</v>
      </c>
      <c r="D431" s="91" t="s">
        <v>3159</v>
      </c>
      <c r="E431" s="91" t="b">
        <v>0</v>
      </c>
      <c r="F431" s="91" t="b">
        <v>0</v>
      </c>
      <c r="G431" s="91" t="b">
        <v>0</v>
      </c>
    </row>
    <row r="432" spans="1:7" ht="15">
      <c r="A432" s="92" t="s">
        <v>2970</v>
      </c>
      <c r="B432" s="91">
        <v>4</v>
      </c>
      <c r="C432" s="114">
        <v>0.0006801865426391694</v>
      </c>
      <c r="D432" s="91" t="s">
        <v>3159</v>
      </c>
      <c r="E432" s="91" t="b">
        <v>0</v>
      </c>
      <c r="F432" s="91" t="b">
        <v>0</v>
      </c>
      <c r="G432" s="91" t="b">
        <v>0</v>
      </c>
    </row>
    <row r="433" spans="1:7" ht="15">
      <c r="A433" s="92" t="s">
        <v>2971</v>
      </c>
      <c r="B433" s="91">
        <v>4</v>
      </c>
      <c r="C433" s="114">
        <v>0.0006801865426391694</v>
      </c>
      <c r="D433" s="91" t="s">
        <v>3159</v>
      </c>
      <c r="E433" s="91" t="b">
        <v>0</v>
      </c>
      <c r="F433" s="91" t="b">
        <v>0</v>
      </c>
      <c r="G433" s="91" t="b">
        <v>0</v>
      </c>
    </row>
    <row r="434" spans="1:7" ht="15">
      <c r="A434" s="92" t="s">
        <v>2972</v>
      </c>
      <c r="B434" s="91">
        <v>4</v>
      </c>
      <c r="C434" s="114">
        <v>0.0006801865426391694</v>
      </c>
      <c r="D434" s="91" t="s">
        <v>3159</v>
      </c>
      <c r="E434" s="91" t="b">
        <v>0</v>
      </c>
      <c r="F434" s="91" t="b">
        <v>0</v>
      </c>
      <c r="G434" s="91" t="b">
        <v>0</v>
      </c>
    </row>
    <row r="435" spans="1:7" ht="15">
      <c r="A435" s="92" t="s">
        <v>2973</v>
      </c>
      <c r="B435" s="91">
        <v>4</v>
      </c>
      <c r="C435" s="114">
        <v>0.0006801865426391694</v>
      </c>
      <c r="D435" s="91" t="s">
        <v>3159</v>
      </c>
      <c r="E435" s="91" t="b">
        <v>0</v>
      </c>
      <c r="F435" s="91" t="b">
        <v>0</v>
      </c>
      <c r="G435" s="91" t="b">
        <v>0</v>
      </c>
    </row>
    <row r="436" spans="1:7" ht="15">
      <c r="A436" s="92" t="s">
        <v>2974</v>
      </c>
      <c r="B436" s="91">
        <v>4</v>
      </c>
      <c r="C436" s="114">
        <v>0.0006801865426391694</v>
      </c>
      <c r="D436" s="91" t="s">
        <v>3159</v>
      </c>
      <c r="E436" s="91" t="b">
        <v>0</v>
      </c>
      <c r="F436" s="91" t="b">
        <v>0</v>
      </c>
      <c r="G436" s="91" t="b">
        <v>0</v>
      </c>
    </row>
    <row r="437" spans="1:7" ht="15">
      <c r="A437" s="92" t="s">
        <v>2975</v>
      </c>
      <c r="B437" s="91">
        <v>4</v>
      </c>
      <c r="C437" s="114">
        <v>0.0006801865426391694</v>
      </c>
      <c r="D437" s="91" t="s">
        <v>3159</v>
      </c>
      <c r="E437" s="91" t="b">
        <v>0</v>
      </c>
      <c r="F437" s="91" t="b">
        <v>0</v>
      </c>
      <c r="G437" s="91" t="b">
        <v>0</v>
      </c>
    </row>
    <row r="438" spans="1:7" ht="15">
      <c r="A438" s="92" t="s">
        <v>2976</v>
      </c>
      <c r="B438" s="91">
        <v>4</v>
      </c>
      <c r="C438" s="114">
        <v>0.0006801865426391694</v>
      </c>
      <c r="D438" s="91" t="s">
        <v>3159</v>
      </c>
      <c r="E438" s="91" t="b">
        <v>0</v>
      </c>
      <c r="F438" s="91" t="b">
        <v>0</v>
      </c>
      <c r="G438" s="91" t="b">
        <v>0</v>
      </c>
    </row>
    <row r="439" spans="1:7" ht="15">
      <c r="A439" s="92" t="s">
        <v>2977</v>
      </c>
      <c r="B439" s="91">
        <v>4</v>
      </c>
      <c r="C439" s="114">
        <v>0.0006801865426391694</v>
      </c>
      <c r="D439" s="91" t="s">
        <v>3159</v>
      </c>
      <c r="E439" s="91" t="b">
        <v>0</v>
      </c>
      <c r="F439" s="91" t="b">
        <v>0</v>
      </c>
      <c r="G439" s="91" t="b">
        <v>0</v>
      </c>
    </row>
    <row r="440" spans="1:7" ht="15">
      <c r="A440" s="92" t="s">
        <v>2978</v>
      </c>
      <c r="B440" s="91">
        <v>4</v>
      </c>
      <c r="C440" s="114">
        <v>0.0006801865426391694</v>
      </c>
      <c r="D440" s="91" t="s">
        <v>3159</v>
      </c>
      <c r="E440" s="91" t="b">
        <v>0</v>
      </c>
      <c r="F440" s="91" t="b">
        <v>0</v>
      </c>
      <c r="G440" s="91" t="b">
        <v>0</v>
      </c>
    </row>
    <row r="441" spans="1:7" ht="15">
      <c r="A441" s="92" t="s">
        <v>2979</v>
      </c>
      <c r="B441" s="91">
        <v>4</v>
      </c>
      <c r="C441" s="114">
        <v>0.0006801865426391694</v>
      </c>
      <c r="D441" s="91" t="s">
        <v>3159</v>
      </c>
      <c r="E441" s="91" t="b">
        <v>0</v>
      </c>
      <c r="F441" s="91" t="b">
        <v>0</v>
      </c>
      <c r="G441" s="91" t="b">
        <v>0</v>
      </c>
    </row>
    <row r="442" spans="1:7" ht="15">
      <c r="A442" s="92" t="s">
        <v>2980</v>
      </c>
      <c r="B442" s="91">
        <v>4</v>
      </c>
      <c r="C442" s="114">
        <v>0.0006801865426391694</v>
      </c>
      <c r="D442" s="91" t="s">
        <v>3159</v>
      </c>
      <c r="E442" s="91" t="b">
        <v>0</v>
      </c>
      <c r="F442" s="91" t="b">
        <v>0</v>
      </c>
      <c r="G442" s="91" t="b">
        <v>0</v>
      </c>
    </row>
    <row r="443" spans="1:7" ht="15">
      <c r="A443" s="92" t="s">
        <v>2981</v>
      </c>
      <c r="B443" s="91">
        <v>4</v>
      </c>
      <c r="C443" s="114">
        <v>0.0006801865426391694</v>
      </c>
      <c r="D443" s="91" t="s">
        <v>3159</v>
      </c>
      <c r="E443" s="91" t="b">
        <v>0</v>
      </c>
      <c r="F443" s="91" t="b">
        <v>0</v>
      </c>
      <c r="G443" s="91" t="b">
        <v>0</v>
      </c>
    </row>
    <row r="444" spans="1:7" ht="15">
      <c r="A444" s="92" t="s">
        <v>2982</v>
      </c>
      <c r="B444" s="91">
        <v>4</v>
      </c>
      <c r="C444" s="114">
        <v>0.0006801865426391694</v>
      </c>
      <c r="D444" s="91" t="s">
        <v>3159</v>
      </c>
      <c r="E444" s="91" t="b">
        <v>0</v>
      </c>
      <c r="F444" s="91" t="b">
        <v>0</v>
      </c>
      <c r="G444" s="91" t="b">
        <v>0</v>
      </c>
    </row>
    <row r="445" spans="1:7" ht="15">
      <c r="A445" s="92" t="s">
        <v>2983</v>
      </c>
      <c r="B445" s="91">
        <v>4</v>
      </c>
      <c r="C445" s="114">
        <v>0.0006801865426391694</v>
      </c>
      <c r="D445" s="91" t="s">
        <v>3159</v>
      </c>
      <c r="E445" s="91" t="b">
        <v>0</v>
      </c>
      <c r="F445" s="91" t="b">
        <v>0</v>
      </c>
      <c r="G445" s="91" t="b">
        <v>0</v>
      </c>
    </row>
    <row r="446" spans="1:7" ht="15">
      <c r="A446" s="92" t="s">
        <v>2984</v>
      </c>
      <c r="B446" s="91">
        <v>4</v>
      </c>
      <c r="C446" s="114">
        <v>0.0006801865426391694</v>
      </c>
      <c r="D446" s="91" t="s">
        <v>3159</v>
      </c>
      <c r="E446" s="91" t="b">
        <v>0</v>
      </c>
      <c r="F446" s="91" t="b">
        <v>0</v>
      </c>
      <c r="G446" s="91" t="b">
        <v>0</v>
      </c>
    </row>
    <row r="447" spans="1:7" ht="15">
      <c r="A447" s="92" t="s">
        <v>2985</v>
      </c>
      <c r="B447" s="91">
        <v>4</v>
      </c>
      <c r="C447" s="114">
        <v>0.0006801865426391694</v>
      </c>
      <c r="D447" s="91" t="s">
        <v>3159</v>
      </c>
      <c r="E447" s="91" t="b">
        <v>0</v>
      </c>
      <c r="F447" s="91" t="b">
        <v>0</v>
      </c>
      <c r="G447" s="91" t="b">
        <v>0</v>
      </c>
    </row>
    <row r="448" spans="1:7" ht="15">
      <c r="A448" s="92" t="s">
        <v>2986</v>
      </c>
      <c r="B448" s="91">
        <v>4</v>
      </c>
      <c r="C448" s="114">
        <v>0.0006801865426391694</v>
      </c>
      <c r="D448" s="91" t="s">
        <v>3159</v>
      </c>
      <c r="E448" s="91" t="b">
        <v>0</v>
      </c>
      <c r="F448" s="91" t="b">
        <v>0</v>
      </c>
      <c r="G448" s="91" t="b">
        <v>0</v>
      </c>
    </row>
    <row r="449" spans="1:7" ht="15">
      <c r="A449" s="92" t="s">
        <v>2987</v>
      </c>
      <c r="B449" s="91">
        <v>4</v>
      </c>
      <c r="C449" s="114">
        <v>0.0006801865426391694</v>
      </c>
      <c r="D449" s="91" t="s">
        <v>3159</v>
      </c>
      <c r="E449" s="91" t="b">
        <v>0</v>
      </c>
      <c r="F449" s="91" t="b">
        <v>0</v>
      </c>
      <c r="G449" s="91" t="b">
        <v>0</v>
      </c>
    </row>
    <row r="450" spans="1:7" ht="15">
      <c r="A450" s="92" t="s">
        <v>2988</v>
      </c>
      <c r="B450" s="91">
        <v>4</v>
      </c>
      <c r="C450" s="114">
        <v>0.0006801865426391694</v>
      </c>
      <c r="D450" s="91" t="s">
        <v>3159</v>
      </c>
      <c r="E450" s="91" t="b">
        <v>0</v>
      </c>
      <c r="F450" s="91" t="b">
        <v>0</v>
      </c>
      <c r="G450" s="91" t="b">
        <v>0</v>
      </c>
    </row>
    <row r="451" spans="1:7" ht="15">
      <c r="A451" s="92" t="s">
        <v>2989</v>
      </c>
      <c r="B451" s="91">
        <v>4</v>
      </c>
      <c r="C451" s="114">
        <v>0.0007815434435361328</v>
      </c>
      <c r="D451" s="91" t="s">
        <v>3159</v>
      </c>
      <c r="E451" s="91" t="b">
        <v>0</v>
      </c>
      <c r="F451" s="91" t="b">
        <v>0</v>
      </c>
      <c r="G451" s="91" t="b">
        <v>0</v>
      </c>
    </row>
    <row r="452" spans="1:7" ht="15">
      <c r="A452" s="92" t="s">
        <v>2990</v>
      </c>
      <c r="B452" s="91">
        <v>4</v>
      </c>
      <c r="C452" s="114">
        <v>0.0006801865426391694</v>
      </c>
      <c r="D452" s="91" t="s">
        <v>3159</v>
      </c>
      <c r="E452" s="91" t="b">
        <v>0</v>
      </c>
      <c r="F452" s="91" t="b">
        <v>0</v>
      </c>
      <c r="G452" s="91" t="b">
        <v>0</v>
      </c>
    </row>
    <row r="453" spans="1:7" ht="15">
      <c r="A453" s="92" t="s">
        <v>2991</v>
      </c>
      <c r="B453" s="91">
        <v>4</v>
      </c>
      <c r="C453" s="114">
        <v>0.0006801865426391694</v>
      </c>
      <c r="D453" s="91" t="s">
        <v>3159</v>
      </c>
      <c r="E453" s="91" t="b">
        <v>0</v>
      </c>
      <c r="F453" s="91" t="b">
        <v>0</v>
      </c>
      <c r="G453" s="91" t="b">
        <v>0</v>
      </c>
    </row>
    <row r="454" spans="1:7" ht="15">
      <c r="A454" s="92" t="s">
        <v>2992</v>
      </c>
      <c r="B454" s="91">
        <v>4</v>
      </c>
      <c r="C454" s="114">
        <v>0.0006801865426391694</v>
      </c>
      <c r="D454" s="91" t="s">
        <v>3159</v>
      </c>
      <c r="E454" s="91" t="b">
        <v>0</v>
      </c>
      <c r="F454" s="91" t="b">
        <v>0</v>
      </c>
      <c r="G454" s="91" t="b">
        <v>0</v>
      </c>
    </row>
    <row r="455" spans="1:7" ht="15">
      <c r="A455" s="92" t="s">
        <v>2993</v>
      </c>
      <c r="B455" s="91">
        <v>4</v>
      </c>
      <c r="C455" s="114">
        <v>0.0006801865426391694</v>
      </c>
      <c r="D455" s="91" t="s">
        <v>3159</v>
      </c>
      <c r="E455" s="91" t="b">
        <v>0</v>
      </c>
      <c r="F455" s="91" t="b">
        <v>0</v>
      </c>
      <c r="G455" s="91" t="b">
        <v>0</v>
      </c>
    </row>
    <row r="456" spans="1:7" ht="15">
      <c r="A456" s="92" t="s">
        <v>2994</v>
      </c>
      <c r="B456" s="91">
        <v>4</v>
      </c>
      <c r="C456" s="114">
        <v>0.0006801865426391694</v>
      </c>
      <c r="D456" s="91" t="s">
        <v>3159</v>
      </c>
      <c r="E456" s="91" t="b">
        <v>0</v>
      </c>
      <c r="F456" s="91" t="b">
        <v>0</v>
      </c>
      <c r="G456" s="91" t="b">
        <v>0</v>
      </c>
    </row>
    <row r="457" spans="1:7" ht="15">
      <c r="A457" s="92" t="s">
        <v>2995</v>
      </c>
      <c r="B457" s="91">
        <v>4</v>
      </c>
      <c r="C457" s="114">
        <v>0.0006801865426391694</v>
      </c>
      <c r="D457" s="91" t="s">
        <v>3159</v>
      </c>
      <c r="E457" s="91" t="b">
        <v>0</v>
      </c>
      <c r="F457" s="91" t="b">
        <v>0</v>
      </c>
      <c r="G457" s="91" t="b">
        <v>0</v>
      </c>
    </row>
    <row r="458" spans="1:7" ht="15">
      <c r="A458" s="92" t="s">
        <v>2996</v>
      </c>
      <c r="B458" s="91">
        <v>4</v>
      </c>
      <c r="C458" s="114">
        <v>0.0006801865426391694</v>
      </c>
      <c r="D458" s="91" t="s">
        <v>3159</v>
      </c>
      <c r="E458" s="91" t="b">
        <v>0</v>
      </c>
      <c r="F458" s="91" t="b">
        <v>0</v>
      </c>
      <c r="G458" s="91" t="b">
        <v>0</v>
      </c>
    </row>
    <row r="459" spans="1:7" ht="15">
      <c r="A459" s="92" t="s">
        <v>2997</v>
      </c>
      <c r="B459" s="91">
        <v>4</v>
      </c>
      <c r="C459" s="114">
        <v>0.0006801865426391694</v>
      </c>
      <c r="D459" s="91" t="s">
        <v>3159</v>
      </c>
      <c r="E459" s="91" t="b">
        <v>0</v>
      </c>
      <c r="F459" s="91" t="b">
        <v>0</v>
      </c>
      <c r="G459" s="91" t="b">
        <v>0</v>
      </c>
    </row>
    <row r="460" spans="1:7" ht="15">
      <c r="A460" s="92" t="s">
        <v>2998</v>
      </c>
      <c r="B460" s="91">
        <v>4</v>
      </c>
      <c r="C460" s="114">
        <v>0.0006801865426391694</v>
      </c>
      <c r="D460" s="91" t="s">
        <v>3159</v>
      </c>
      <c r="E460" s="91" t="b">
        <v>0</v>
      </c>
      <c r="F460" s="91" t="b">
        <v>0</v>
      </c>
      <c r="G460" s="91" t="b">
        <v>0</v>
      </c>
    </row>
    <row r="461" spans="1:7" ht="15">
      <c r="A461" s="92" t="s">
        <v>2999</v>
      </c>
      <c r="B461" s="91">
        <v>4</v>
      </c>
      <c r="C461" s="114">
        <v>0.0006801865426391694</v>
      </c>
      <c r="D461" s="91" t="s">
        <v>3159</v>
      </c>
      <c r="E461" s="91" t="b">
        <v>0</v>
      </c>
      <c r="F461" s="91" t="b">
        <v>0</v>
      </c>
      <c r="G461" s="91" t="b">
        <v>0</v>
      </c>
    </row>
    <row r="462" spans="1:7" ht="15">
      <c r="A462" s="92" t="s">
        <v>3000</v>
      </c>
      <c r="B462" s="91">
        <v>4</v>
      </c>
      <c r="C462" s="114">
        <v>0.0006801865426391694</v>
      </c>
      <c r="D462" s="91" t="s">
        <v>3159</v>
      </c>
      <c r="E462" s="91" t="b">
        <v>0</v>
      </c>
      <c r="F462" s="91" t="b">
        <v>0</v>
      </c>
      <c r="G462" s="91" t="b">
        <v>0</v>
      </c>
    </row>
    <row r="463" spans="1:7" ht="15">
      <c r="A463" s="92" t="s">
        <v>3001</v>
      </c>
      <c r="B463" s="91">
        <v>4</v>
      </c>
      <c r="C463" s="114">
        <v>0.0006801865426391694</v>
      </c>
      <c r="D463" s="91" t="s">
        <v>3159</v>
      </c>
      <c r="E463" s="91" t="b">
        <v>0</v>
      </c>
      <c r="F463" s="91" t="b">
        <v>0</v>
      </c>
      <c r="G463" s="91" t="b">
        <v>0</v>
      </c>
    </row>
    <row r="464" spans="1:7" ht="15">
      <c r="A464" s="92" t="s">
        <v>3002</v>
      </c>
      <c r="B464" s="91">
        <v>4</v>
      </c>
      <c r="C464" s="114">
        <v>0.0006801865426391694</v>
      </c>
      <c r="D464" s="91" t="s">
        <v>3159</v>
      </c>
      <c r="E464" s="91" t="b">
        <v>0</v>
      </c>
      <c r="F464" s="91" t="b">
        <v>0</v>
      </c>
      <c r="G464" s="91" t="b">
        <v>0</v>
      </c>
    </row>
    <row r="465" spans="1:7" ht="15">
      <c r="A465" s="92" t="s">
        <v>3003</v>
      </c>
      <c r="B465" s="91">
        <v>4</v>
      </c>
      <c r="C465" s="114">
        <v>0.0006801865426391694</v>
      </c>
      <c r="D465" s="91" t="s">
        <v>3159</v>
      </c>
      <c r="E465" s="91" t="b">
        <v>0</v>
      </c>
      <c r="F465" s="91" t="b">
        <v>0</v>
      </c>
      <c r="G465" s="91" t="b">
        <v>0</v>
      </c>
    </row>
    <row r="466" spans="1:7" ht="15">
      <c r="A466" s="92" t="s">
        <v>3004</v>
      </c>
      <c r="B466" s="91">
        <v>4</v>
      </c>
      <c r="C466" s="114">
        <v>0.0006801865426391694</v>
      </c>
      <c r="D466" s="91" t="s">
        <v>3159</v>
      </c>
      <c r="E466" s="91" t="b">
        <v>0</v>
      </c>
      <c r="F466" s="91" t="b">
        <v>0</v>
      </c>
      <c r="G466" s="91" t="b">
        <v>0</v>
      </c>
    </row>
    <row r="467" spans="1:7" ht="15">
      <c r="A467" s="92" t="s">
        <v>3005</v>
      </c>
      <c r="B467" s="91">
        <v>4</v>
      </c>
      <c r="C467" s="114">
        <v>0.0006801865426391694</v>
      </c>
      <c r="D467" s="91" t="s">
        <v>3159</v>
      </c>
      <c r="E467" s="91" t="b">
        <v>0</v>
      </c>
      <c r="F467" s="91" t="b">
        <v>0</v>
      </c>
      <c r="G467" s="91" t="b">
        <v>0</v>
      </c>
    </row>
    <row r="468" spans="1:7" ht="15">
      <c r="A468" s="92" t="s">
        <v>3006</v>
      </c>
      <c r="B468" s="91">
        <v>4</v>
      </c>
      <c r="C468" s="114">
        <v>0.0006801865426391694</v>
      </c>
      <c r="D468" s="91" t="s">
        <v>3159</v>
      </c>
      <c r="E468" s="91" t="b">
        <v>0</v>
      </c>
      <c r="F468" s="91" t="b">
        <v>0</v>
      </c>
      <c r="G468" s="91" t="b">
        <v>0</v>
      </c>
    </row>
    <row r="469" spans="1:7" ht="15">
      <c r="A469" s="92" t="s">
        <v>3007</v>
      </c>
      <c r="B469" s="91">
        <v>4</v>
      </c>
      <c r="C469" s="114">
        <v>0.0006801865426391694</v>
      </c>
      <c r="D469" s="91" t="s">
        <v>3159</v>
      </c>
      <c r="E469" s="91" t="b">
        <v>0</v>
      </c>
      <c r="F469" s="91" t="b">
        <v>0</v>
      </c>
      <c r="G469" s="91" t="b">
        <v>0</v>
      </c>
    </row>
    <row r="470" spans="1:7" ht="15">
      <c r="A470" s="92" t="s">
        <v>3008</v>
      </c>
      <c r="B470" s="91">
        <v>4</v>
      </c>
      <c r="C470" s="114">
        <v>0.0006801865426391694</v>
      </c>
      <c r="D470" s="91" t="s">
        <v>3159</v>
      </c>
      <c r="E470" s="91" t="b">
        <v>0</v>
      </c>
      <c r="F470" s="91" t="b">
        <v>0</v>
      </c>
      <c r="G470" s="91" t="b">
        <v>0</v>
      </c>
    </row>
    <row r="471" spans="1:7" ht="15">
      <c r="A471" s="92" t="s">
        <v>3009</v>
      </c>
      <c r="B471" s="91">
        <v>4</v>
      </c>
      <c r="C471" s="114">
        <v>0.0006801865426391694</v>
      </c>
      <c r="D471" s="91" t="s">
        <v>3159</v>
      </c>
      <c r="E471" s="91" t="b">
        <v>0</v>
      </c>
      <c r="F471" s="91" t="b">
        <v>0</v>
      </c>
      <c r="G471" s="91" t="b">
        <v>0</v>
      </c>
    </row>
    <row r="472" spans="1:7" ht="15">
      <c r="A472" s="92" t="s">
        <v>3010</v>
      </c>
      <c r="B472" s="91">
        <v>4</v>
      </c>
      <c r="C472" s="114">
        <v>0.0006801865426391694</v>
      </c>
      <c r="D472" s="91" t="s">
        <v>3159</v>
      </c>
      <c r="E472" s="91" t="b">
        <v>0</v>
      </c>
      <c r="F472" s="91" t="b">
        <v>0</v>
      </c>
      <c r="G472" s="91" t="b">
        <v>0</v>
      </c>
    </row>
    <row r="473" spans="1:7" ht="15">
      <c r="A473" s="92" t="s">
        <v>3011</v>
      </c>
      <c r="B473" s="91">
        <v>4</v>
      </c>
      <c r="C473" s="114">
        <v>0.0006801865426391694</v>
      </c>
      <c r="D473" s="91" t="s">
        <v>3159</v>
      </c>
      <c r="E473" s="91" t="b">
        <v>0</v>
      </c>
      <c r="F473" s="91" t="b">
        <v>0</v>
      </c>
      <c r="G473" s="91" t="b">
        <v>0</v>
      </c>
    </row>
    <row r="474" spans="1:7" ht="15">
      <c r="A474" s="92" t="s">
        <v>3012</v>
      </c>
      <c r="B474" s="91">
        <v>4</v>
      </c>
      <c r="C474" s="114">
        <v>0.0006801865426391694</v>
      </c>
      <c r="D474" s="91" t="s">
        <v>3159</v>
      </c>
      <c r="E474" s="91" t="b">
        <v>0</v>
      </c>
      <c r="F474" s="91" t="b">
        <v>0</v>
      </c>
      <c r="G474" s="91" t="b">
        <v>0</v>
      </c>
    </row>
    <row r="475" spans="1:7" ht="15">
      <c r="A475" s="92" t="s">
        <v>3013</v>
      </c>
      <c r="B475" s="91">
        <v>4</v>
      </c>
      <c r="C475" s="114">
        <v>0.0006801865426391694</v>
      </c>
      <c r="D475" s="91" t="s">
        <v>3159</v>
      </c>
      <c r="E475" s="91" t="b">
        <v>0</v>
      </c>
      <c r="F475" s="91" t="b">
        <v>0</v>
      </c>
      <c r="G475" s="91" t="b">
        <v>0</v>
      </c>
    </row>
    <row r="476" spans="1:7" ht="15">
      <c r="A476" s="92" t="s">
        <v>3014</v>
      </c>
      <c r="B476" s="91">
        <v>4</v>
      </c>
      <c r="C476" s="114">
        <v>0.0007815434435361328</v>
      </c>
      <c r="D476" s="91" t="s">
        <v>3159</v>
      </c>
      <c r="E476" s="91" t="b">
        <v>0</v>
      </c>
      <c r="F476" s="91" t="b">
        <v>0</v>
      </c>
      <c r="G476" s="91" t="b">
        <v>0</v>
      </c>
    </row>
    <row r="477" spans="1:7" ht="15">
      <c r="A477" s="92" t="s">
        <v>3015</v>
      </c>
      <c r="B477" s="91">
        <v>3</v>
      </c>
      <c r="C477" s="114">
        <v>0.000541690092991574</v>
      </c>
      <c r="D477" s="91" t="s">
        <v>3159</v>
      </c>
      <c r="E477" s="91" t="b">
        <v>0</v>
      </c>
      <c r="F477" s="91" t="b">
        <v>0</v>
      </c>
      <c r="G477" s="91" t="b">
        <v>0</v>
      </c>
    </row>
    <row r="478" spans="1:7" ht="15">
      <c r="A478" s="92" t="s">
        <v>3016</v>
      </c>
      <c r="B478" s="91">
        <v>3</v>
      </c>
      <c r="C478" s="114">
        <v>0.000541690092991574</v>
      </c>
      <c r="D478" s="91" t="s">
        <v>3159</v>
      </c>
      <c r="E478" s="91" t="b">
        <v>0</v>
      </c>
      <c r="F478" s="91" t="b">
        <v>0</v>
      </c>
      <c r="G478" s="91" t="b">
        <v>0</v>
      </c>
    </row>
    <row r="479" spans="1:7" ht="15">
      <c r="A479" s="92" t="s">
        <v>3017</v>
      </c>
      <c r="B479" s="91">
        <v>3</v>
      </c>
      <c r="C479" s="114">
        <v>0.000541690092991574</v>
      </c>
      <c r="D479" s="91" t="s">
        <v>3159</v>
      </c>
      <c r="E479" s="91" t="b">
        <v>0</v>
      </c>
      <c r="F479" s="91" t="b">
        <v>0</v>
      </c>
      <c r="G479" s="91" t="b">
        <v>0</v>
      </c>
    </row>
    <row r="480" spans="1:7" ht="15">
      <c r="A480" s="92" t="s">
        <v>3018</v>
      </c>
      <c r="B480" s="91">
        <v>3</v>
      </c>
      <c r="C480" s="114">
        <v>0.000541690092991574</v>
      </c>
      <c r="D480" s="91" t="s">
        <v>3159</v>
      </c>
      <c r="E480" s="91" t="b">
        <v>0</v>
      </c>
      <c r="F480" s="91" t="b">
        <v>0</v>
      </c>
      <c r="G480" s="91" t="b">
        <v>0</v>
      </c>
    </row>
    <row r="481" spans="1:7" ht="15">
      <c r="A481" s="92" t="s">
        <v>3019</v>
      </c>
      <c r="B481" s="91">
        <v>3</v>
      </c>
      <c r="C481" s="114">
        <v>0.000541690092991574</v>
      </c>
      <c r="D481" s="91" t="s">
        <v>3159</v>
      </c>
      <c r="E481" s="91" t="b">
        <v>0</v>
      </c>
      <c r="F481" s="91" t="b">
        <v>0</v>
      </c>
      <c r="G481" s="91" t="b">
        <v>0</v>
      </c>
    </row>
    <row r="482" spans="1:7" ht="15">
      <c r="A482" s="92" t="s">
        <v>417</v>
      </c>
      <c r="B482" s="91">
        <v>3</v>
      </c>
      <c r="C482" s="114">
        <v>0.000541690092991574</v>
      </c>
      <c r="D482" s="91" t="s">
        <v>3159</v>
      </c>
      <c r="E482" s="91" t="b">
        <v>0</v>
      </c>
      <c r="F482" s="91" t="b">
        <v>0</v>
      </c>
      <c r="G482" s="91" t="b">
        <v>0</v>
      </c>
    </row>
    <row r="483" spans="1:7" ht="15">
      <c r="A483" s="92" t="s">
        <v>3020</v>
      </c>
      <c r="B483" s="91">
        <v>3</v>
      </c>
      <c r="C483" s="114">
        <v>0.000541690092991574</v>
      </c>
      <c r="D483" s="91" t="s">
        <v>3159</v>
      </c>
      <c r="E483" s="91" t="b">
        <v>0</v>
      </c>
      <c r="F483" s="91" t="b">
        <v>0</v>
      </c>
      <c r="G483" s="91" t="b">
        <v>0</v>
      </c>
    </row>
    <row r="484" spans="1:7" ht="15">
      <c r="A484" s="92" t="s">
        <v>3021</v>
      </c>
      <c r="B484" s="91">
        <v>3</v>
      </c>
      <c r="C484" s="114">
        <v>0.000541690092991574</v>
      </c>
      <c r="D484" s="91" t="s">
        <v>3159</v>
      </c>
      <c r="E484" s="91" t="b">
        <v>0</v>
      </c>
      <c r="F484" s="91" t="b">
        <v>0</v>
      </c>
      <c r="G484" s="91" t="b">
        <v>0</v>
      </c>
    </row>
    <row r="485" spans="1:7" ht="15">
      <c r="A485" s="92" t="s">
        <v>3022</v>
      </c>
      <c r="B485" s="91">
        <v>3</v>
      </c>
      <c r="C485" s="114">
        <v>0.000541690092991574</v>
      </c>
      <c r="D485" s="91" t="s">
        <v>3159</v>
      </c>
      <c r="E485" s="91" t="b">
        <v>0</v>
      </c>
      <c r="F485" s="91" t="b">
        <v>0</v>
      </c>
      <c r="G485" s="91" t="b">
        <v>0</v>
      </c>
    </row>
    <row r="486" spans="1:7" ht="15">
      <c r="A486" s="92" t="s">
        <v>394</v>
      </c>
      <c r="B486" s="91">
        <v>3</v>
      </c>
      <c r="C486" s="114">
        <v>0.000541690092991574</v>
      </c>
      <c r="D486" s="91" t="s">
        <v>3159</v>
      </c>
      <c r="E486" s="91" t="b">
        <v>0</v>
      </c>
      <c r="F486" s="91" t="b">
        <v>0</v>
      </c>
      <c r="G486" s="91" t="b">
        <v>0</v>
      </c>
    </row>
    <row r="487" spans="1:7" ht="15">
      <c r="A487" s="92" t="s">
        <v>415</v>
      </c>
      <c r="B487" s="91">
        <v>3</v>
      </c>
      <c r="C487" s="114">
        <v>0.000541690092991574</v>
      </c>
      <c r="D487" s="91" t="s">
        <v>3159</v>
      </c>
      <c r="E487" s="91" t="b">
        <v>0</v>
      </c>
      <c r="F487" s="91" t="b">
        <v>0</v>
      </c>
      <c r="G487" s="91" t="b">
        <v>0</v>
      </c>
    </row>
    <row r="488" spans="1:7" ht="15">
      <c r="A488" s="92" t="s">
        <v>3023</v>
      </c>
      <c r="B488" s="91">
        <v>3</v>
      </c>
      <c r="C488" s="114">
        <v>0.000541690092991574</v>
      </c>
      <c r="D488" s="91" t="s">
        <v>3159</v>
      </c>
      <c r="E488" s="91" t="b">
        <v>0</v>
      </c>
      <c r="F488" s="91" t="b">
        <v>0</v>
      </c>
      <c r="G488" s="91" t="b">
        <v>0</v>
      </c>
    </row>
    <row r="489" spans="1:7" ht="15">
      <c r="A489" s="92" t="s">
        <v>3024</v>
      </c>
      <c r="B489" s="91">
        <v>3</v>
      </c>
      <c r="C489" s="114">
        <v>0.000541690092991574</v>
      </c>
      <c r="D489" s="91" t="s">
        <v>3159</v>
      </c>
      <c r="E489" s="91" t="b">
        <v>0</v>
      </c>
      <c r="F489" s="91" t="b">
        <v>0</v>
      </c>
      <c r="G489" s="91" t="b">
        <v>0</v>
      </c>
    </row>
    <row r="490" spans="1:7" ht="15">
      <c r="A490" s="92" t="s">
        <v>3025</v>
      </c>
      <c r="B490" s="91">
        <v>3</v>
      </c>
      <c r="C490" s="114">
        <v>0.000541690092991574</v>
      </c>
      <c r="D490" s="91" t="s">
        <v>3159</v>
      </c>
      <c r="E490" s="91" t="b">
        <v>0</v>
      </c>
      <c r="F490" s="91" t="b">
        <v>0</v>
      </c>
      <c r="G490" s="91" t="b">
        <v>0</v>
      </c>
    </row>
    <row r="491" spans="1:7" ht="15">
      <c r="A491" s="92" t="s">
        <v>3026</v>
      </c>
      <c r="B491" s="91">
        <v>3</v>
      </c>
      <c r="C491" s="114">
        <v>0.000541690092991574</v>
      </c>
      <c r="D491" s="91" t="s">
        <v>3159</v>
      </c>
      <c r="E491" s="91" t="b">
        <v>0</v>
      </c>
      <c r="F491" s="91" t="b">
        <v>0</v>
      </c>
      <c r="G491" s="91" t="b">
        <v>0</v>
      </c>
    </row>
    <row r="492" spans="1:7" ht="15">
      <c r="A492" s="92" t="s">
        <v>3027</v>
      </c>
      <c r="B492" s="91">
        <v>3</v>
      </c>
      <c r="C492" s="114">
        <v>0.000541690092991574</v>
      </c>
      <c r="D492" s="91" t="s">
        <v>3159</v>
      </c>
      <c r="E492" s="91" t="b">
        <v>0</v>
      </c>
      <c r="F492" s="91" t="b">
        <v>0</v>
      </c>
      <c r="G492" s="91" t="b">
        <v>0</v>
      </c>
    </row>
    <row r="493" spans="1:7" ht="15">
      <c r="A493" s="92" t="s">
        <v>3028</v>
      </c>
      <c r="B493" s="91">
        <v>3</v>
      </c>
      <c r="C493" s="114">
        <v>0.000541690092991574</v>
      </c>
      <c r="D493" s="91" t="s">
        <v>3159</v>
      </c>
      <c r="E493" s="91" t="b">
        <v>0</v>
      </c>
      <c r="F493" s="91" t="b">
        <v>0</v>
      </c>
      <c r="G493" s="91" t="b">
        <v>0</v>
      </c>
    </row>
    <row r="494" spans="1:7" ht="15">
      <c r="A494" s="92" t="s">
        <v>3029</v>
      </c>
      <c r="B494" s="91">
        <v>3</v>
      </c>
      <c r="C494" s="114">
        <v>0.000541690092991574</v>
      </c>
      <c r="D494" s="91" t="s">
        <v>3159</v>
      </c>
      <c r="E494" s="91" t="b">
        <v>0</v>
      </c>
      <c r="F494" s="91" t="b">
        <v>0</v>
      </c>
      <c r="G494" s="91" t="b">
        <v>0</v>
      </c>
    </row>
    <row r="495" spans="1:7" ht="15">
      <c r="A495" s="92" t="s">
        <v>3030</v>
      </c>
      <c r="B495" s="91">
        <v>3</v>
      </c>
      <c r="C495" s="114">
        <v>0.000541690092991574</v>
      </c>
      <c r="D495" s="91" t="s">
        <v>3159</v>
      </c>
      <c r="E495" s="91" t="b">
        <v>0</v>
      </c>
      <c r="F495" s="91" t="b">
        <v>0</v>
      </c>
      <c r="G495" s="91" t="b">
        <v>0</v>
      </c>
    </row>
    <row r="496" spans="1:7" ht="15">
      <c r="A496" s="92" t="s">
        <v>3031</v>
      </c>
      <c r="B496" s="91">
        <v>3</v>
      </c>
      <c r="C496" s="114">
        <v>0.000541690092991574</v>
      </c>
      <c r="D496" s="91" t="s">
        <v>3159</v>
      </c>
      <c r="E496" s="91" t="b">
        <v>0</v>
      </c>
      <c r="F496" s="91" t="b">
        <v>0</v>
      </c>
      <c r="G496" s="91" t="b">
        <v>0</v>
      </c>
    </row>
    <row r="497" spans="1:7" ht="15">
      <c r="A497" s="92" t="s">
        <v>3032</v>
      </c>
      <c r="B497" s="91">
        <v>3</v>
      </c>
      <c r="C497" s="114">
        <v>0.000541690092991574</v>
      </c>
      <c r="D497" s="91" t="s">
        <v>3159</v>
      </c>
      <c r="E497" s="91" t="b">
        <v>0</v>
      </c>
      <c r="F497" s="91" t="b">
        <v>0</v>
      </c>
      <c r="G497" s="91" t="b">
        <v>0</v>
      </c>
    </row>
    <row r="498" spans="1:7" ht="15">
      <c r="A498" s="92" t="s">
        <v>3033</v>
      </c>
      <c r="B498" s="91">
        <v>3</v>
      </c>
      <c r="C498" s="114">
        <v>0.000541690092991574</v>
      </c>
      <c r="D498" s="91" t="s">
        <v>3159</v>
      </c>
      <c r="E498" s="91" t="b">
        <v>0</v>
      </c>
      <c r="F498" s="91" t="b">
        <v>0</v>
      </c>
      <c r="G498" s="91" t="b">
        <v>0</v>
      </c>
    </row>
    <row r="499" spans="1:7" ht="15">
      <c r="A499" s="92" t="s">
        <v>3034</v>
      </c>
      <c r="B499" s="91">
        <v>3</v>
      </c>
      <c r="C499" s="114">
        <v>0.000541690092991574</v>
      </c>
      <c r="D499" s="91" t="s">
        <v>3159</v>
      </c>
      <c r="E499" s="91" t="b">
        <v>0</v>
      </c>
      <c r="F499" s="91" t="b">
        <v>0</v>
      </c>
      <c r="G499" s="91" t="b">
        <v>0</v>
      </c>
    </row>
    <row r="500" spans="1:7" ht="15">
      <c r="A500" s="92" t="s">
        <v>3035</v>
      </c>
      <c r="B500" s="91">
        <v>3</v>
      </c>
      <c r="C500" s="114">
        <v>0.000541690092991574</v>
      </c>
      <c r="D500" s="91" t="s">
        <v>3159</v>
      </c>
      <c r="E500" s="91" t="b">
        <v>0</v>
      </c>
      <c r="F500" s="91" t="b">
        <v>0</v>
      </c>
      <c r="G500" s="91" t="b">
        <v>0</v>
      </c>
    </row>
    <row r="501" spans="1:7" ht="15">
      <c r="A501" s="92" t="s">
        <v>3036</v>
      </c>
      <c r="B501" s="91">
        <v>3</v>
      </c>
      <c r="C501" s="114">
        <v>0.000541690092991574</v>
      </c>
      <c r="D501" s="91" t="s">
        <v>3159</v>
      </c>
      <c r="E501" s="91" t="b">
        <v>0</v>
      </c>
      <c r="F501" s="91" t="b">
        <v>0</v>
      </c>
      <c r="G501" s="91" t="b">
        <v>0</v>
      </c>
    </row>
    <row r="502" spans="1:7" ht="15">
      <c r="A502" s="92" t="s">
        <v>3037</v>
      </c>
      <c r="B502" s="91">
        <v>3</v>
      </c>
      <c r="C502" s="114">
        <v>0.000541690092991574</v>
      </c>
      <c r="D502" s="91" t="s">
        <v>3159</v>
      </c>
      <c r="E502" s="91" t="b">
        <v>0</v>
      </c>
      <c r="F502" s="91" t="b">
        <v>0</v>
      </c>
      <c r="G502" s="91" t="b">
        <v>0</v>
      </c>
    </row>
    <row r="503" spans="1:7" ht="15">
      <c r="A503" s="92" t="s">
        <v>3038</v>
      </c>
      <c r="B503" s="91">
        <v>3</v>
      </c>
      <c r="C503" s="114">
        <v>0.000541690092991574</v>
      </c>
      <c r="D503" s="91" t="s">
        <v>3159</v>
      </c>
      <c r="E503" s="91" t="b">
        <v>0</v>
      </c>
      <c r="F503" s="91" t="b">
        <v>0</v>
      </c>
      <c r="G503" s="91" t="b">
        <v>0</v>
      </c>
    </row>
    <row r="504" spans="1:7" ht="15">
      <c r="A504" s="92" t="s">
        <v>3039</v>
      </c>
      <c r="B504" s="91">
        <v>3</v>
      </c>
      <c r="C504" s="114">
        <v>0.000541690092991574</v>
      </c>
      <c r="D504" s="91" t="s">
        <v>3159</v>
      </c>
      <c r="E504" s="91" t="b">
        <v>0</v>
      </c>
      <c r="F504" s="91" t="b">
        <v>0</v>
      </c>
      <c r="G504" s="91" t="b">
        <v>0</v>
      </c>
    </row>
    <row r="505" spans="1:7" ht="15">
      <c r="A505" s="92" t="s">
        <v>3040</v>
      </c>
      <c r="B505" s="91">
        <v>3</v>
      </c>
      <c r="C505" s="114">
        <v>0.000541690092991574</v>
      </c>
      <c r="D505" s="91" t="s">
        <v>3159</v>
      </c>
      <c r="E505" s="91" t="b">
        <v>0</v>
      </c>
      <c r="F505" s="91" t="b">
        <v>0</v>
      </c>
      <c r="G505" s="91" t="b">
        <v>0</v>
      </c>
    </row>
    <row r="506" spans="1:7" ht="15">
      <c r="A506" s="92" t="s">
        <v>3041</v>
      </c>
      <c r="B506" s="91">
        <v>3</v>
      </c>
      <c r="C506" s="114">
        <v>0.000541690092991574</v>
      </c>
      <c r="D506" s="91" t="s">
        <v>3159</v>
      </c>
      <c r="E506" s="91" t="b">
        <v>0</v>
      </c>
      <c r="F506" s="91" t="b">
        <v>0</v>
      </c>
      <c r="G506" s="91" t="b">
        <v>0</v>
      </c>
    </row>
    <row r="507" spans="1:7" ht="15">
      <c r="A507" s="92" t="s">
        <v>3042</v>
      </c>
      <c r="B507" s="91">
        <v>3</v>
      </c>
      <c r="C507" s="114">
        <v>0.000541690092991574</v>
      </c>
      <c r="D507" s="91" t="s">
        <v>3159</v>
      </c>
      <c r="E507" s="91" t="b">
        <v>0</v>
      </c>
      <c r="F507" s="91" t="b">
        <v>0</v>
      </c>
      <c r="G507" s="91" t="b">
        <v>0</v>
      </c>
    </row>
    <row r="508" spans="1:7" ht="15">
      <c r="A508" s="92" t="s">
        <v>3043</v>
      </c>
      <c r="B508" s="91">
        <v>3</v>
      </c>
      <c r="C508" s="114">
        <v>0.000541690092991574</v>
      </c>
      <c r="D508" s="91" t="s">
        <v>3159</v>
      </c>
      <c r="E508" s="91" t="b">
        <v>0</v>
      </c>
      <c r="F508" s="91" t="b">
        <v>0</v>
      </c>
      <c r="G508" s="91" t="b">
        <v>0</v>
      </c>
    </row>
    <row r="509" spans="1:7" ht="15">
      <c r="A509" s="92" t="s">
        <v>3044</v>
      </c>
      <c r="B509" s="91">
        <v>3</v>
      </c>
      <c r="C509" s="114">
        <v>0.000541690092991574</v>
      </c>
      <c r="D509" s="91" t="s">
        <v>3159</v>
      </c>
      <c r="E509" s="91" t="b">
        <v>0</v>
      </c>
      <c r="F509" s="91" t="b">
        <v>0</v>
      </c>
      <c r="G509" s="91" t="b">
        <v>0</v>
      </c>
    </row>
    <row r="510" spans="1:7" ht="15">
      <c r="A510" s="92" t="s">
        <v>3045</v>
      </c>
      <c r="B510" s="91">
        <v>3</v>
      </c>
      <c r="C510" s="114">
        <v>0.000541690092991574</v>
      </c>
      <c r="D510" s="91" t="s">
        <v>3159</v>
      </c>
      <c r="E510" s="91" t="b">
        <v>0</v>
      </c>
      <c r="F510" s="91" t="b">
        <v>0</v>
      </c>
      <c r="G510" s="91" t="b">
        <v>0</v>
      </c>
    </row>
    <row r="511" spans="1:7" ht="15">
      <c r="A511" s="92" t="s">
        <v>3046</v>
      </c>
      <c r="B511" s="91">
        <v>3</v>
      </c>
      <c r="C511" s="114">
        <v>0.000541690092991574</v>
      </c>
      <c r="D511" s="91" t="s">
        <v>3159</v>
      </c>
      <c r="E511" s="91" t="b">
        <v>0</v>
      </c>
      <c r="F511" s="91" t="b">
        <v>0</v>
      </c>
      <c r="G511" s="91" t="b">
        <v>0</v>
      </c>
    </row>
    <row r="512" spans="1:7" ht="15">
      <c r="A512" s="92" t="s">
        <v>3047</v>
      </c>
      <c r="B512" s="91">
        <v>3</v>
      </c>
      <c r="C512" s="114">
        <v>0.000541690092991574</v>
      </c>
      <c r="D512" s="91" t="s">
        <v>3159</v>
      </c>
      <c r="E512" s="91" t="b">
        <v>0</v>
      </c>
      <c r="F512" s="91" t="b">
        <v>0</v>
      </c>
      <c r="G512" s="91" t="b">
        <v>0</v>
      </c>
    </row>
    <row r="513" spans="1:7" ht="15">
      <c r="A513" s="92" t="s">
        <v>3048</v>
      </c>
      <c r="B513" s="91">
        <v>3</v>
      </c>
      <c r="C513" s="114">
        <v>0.000541690092991574</v>
      </c>
      <c r="D513" s="91" t="s">
        <v>3159</v>
      </c>
      <c r="E513" s="91" t="b">
        <v>0</v>
      </c>
      <c r="F513" s="91" t="b">
        <v>0</v>
      </c>
      <c r="G513" s="91" t="b">
        <v>0</v>
      </c>
    </row>
    <row r="514" spans="1:7" ht="15">
      <c r="A514" s="92" t="s">
        <v>3049</v>
      </c>
      <c r="B514" s="91">
        <v>3</v>
      </c>
      <c r="C514" s="114">
        <v>0.000541690092991574</v>
      </c>
      <c r="D514" s="91" t="s">
        <v>3159</v>
      </c>
      <c r="E514" s="91" t="b">
        <v>0</v>
      </c>
      <c r="F514" s="91" t="b">
        <v>0</v>
      </c>
      <c r="G514" s="91" t="b">
        <v>0</v>
      </c>
    </row>
    <row r="515" spans="1:7" ht="15">
      <c r="A515" s="92" t="s">
        <v>3050</v>
      </c>
      <c r="B515" s="91">
        <v>3</v>
      </c>
      <c r="C515" s="114">
        <v>0.000541690092991574</v>
      </c>
      <c r="D515" s="91" t="s">
        <v>3159</v>
      </c>
      <c r="E515" s="91" t="b">
        <v>0</v>
      </c>
      <c r="F515" s="91" t="b">
        <v>0</v>
      </c>
      <c r="G515" s="91" t="b">
        <v>0</v>
      </c>
    </row>
    <row r="516" spans="1:7" ht="15">
      <c r="A516" s="92" t="s">
        <v>3051</v>
      </c>
      <c r="B516" s="91">
        <v>3</v>
      </c>
      <c r="C516" s="114">
        <v>0.000541690092991574</v>
      </c>
      <c r="D516" s="91" t="s">
        <v>3159</v>
      </c>
      <c r="E516" s="91" t="b">
        <v>0</v>
      </c>
      <c r="F516" s="91" t="b">
        <v>0</v>
      </c>
      <c r="G516" s="91" t="b">
        <v>0</v>
      </c>
    </row>
    <row r="517" spans="1:7" ht="15">
      <c r="A517" s="92" t="s">
        <v>3052</v>
      </c>
      <c r="B517" s="91">
        <v>3</v>
      </c>
      <c r="C517" s="114">
        <v>0.000541690092991574</v>
      </c>
      <c r="D517" s="91" t="s">
        <v>3159</v>
      </c>
      <c r="E517" s="91" t="b">
        <v>0</v>
      </c>
      <c r="F517" s="91" t="b">
        <v>0</v>
      </c>
      <c r="G517" s="91" t="b">
        <v>0</v>
      </c>
    </row>
    <row r="518" spans="1:7" ht="15">
      <c r="A518" s="92" t="s">
        <v>3053</v>
      </c>
      <c r="B518" s="91">
        <v>3</v>
      </c>
      <c r="C518" s="114">
        <v>0.000541690092991574</v>
      </c>
      <c r="D518" s="91" t="s">
        <v>3159</v>
      </c>
      <c r="E518" s="91" t="b">
        <v>0</v>
      </c>
      <c r="F518" s="91" t="b">
        <v>0</v>
      </c>
      <c r="G518" s="91" t="b">
        <v>0</v>
      </c>
    </row>
    <row r="519" spans="1:7" ht="15">
      <c r="A519" s="92" t="s">
        <v>3054</v>
      </c>
      <c r="B519" s="91">
        <v>3</v>
      </c>
      <c r="C519" s="114">
        <v>0.000541690092991574</v>
      </c>
      <c r="D519" s="91" t="s">
        <v>3159</v>
      </c>
      <c r="E519" s="91" t="b">
        <v>0</v>
      </c>
      <c r="F519" s="91" t="b">
        <v>0</v>
      </c>
      <c r="G519" s="91" t="b">
        <v>0</v>
      </c>
    </row>
    <row r="520" spans="1:7" ht="15">
      <c r="A520" s="92" t="s">
        <v>3055</v>
      </c>
      <c r="B520" s="91">
        <v>3</v>
      </c>
      <c r="C520" s="114">
        <v>0.000541690092991574</v>
      </c>
      <c r="D520" s="91" t="s">
        <v>3159</v>
      </c>
      <c r="E520" s="91" t="b">
        <v>0</v>
      </c>
      <c r="F520" s="91" t="b">
        <v>0</v>
      </c>
      <c r="G520" s="91" t="b">
        <v>0</v>
      </c>
    </row>
    <row r="521" spans="1:7" ht="15">
      <c r="A521" s="92" t="s">
        <v>3056</v>
      </c>
      <c r="B521" s="91">
        <v>3</v>
      </c>
      <c r="C521" s="114">
        <v>0.000541690092991574</v>
      </c>
      <c r="D521" s="91" t="s">
        <v>3159</v>
      </c>
      <c r="E521" s="91" t="b">
        <v>0</v>
      </c>
      <c r="F521" s="91" t="b">
        <v>0</v>
      </c>
      <c r="G521" s="91" t="b">
        <v>0</v>
      </c>
    </row>
    <row r="522" spans="1:7" ht="15">
      <c r="A522" s="92" t="s">
        <v>3057</v>
      </c>
      <c r="B522" s="91">
        <v>3</v>
      </c>
      <c r="C522" s="114">
        <v>0.000541690092991574</v>
      </c>
      <c r="D522" s="91" t="s">
        <v>3159</v>
      </c>
      <c r="E522" s="91" t="b">
        <v>0</v>
      </c>
      <c r="F522" s="91" t="b">
        <v>0</v>
      </c>
      <c r="G522" s="91" t="b">
        <v>0</v>
      </c>
    </row>
    <row r="523" spans="1:7" ht="15">
      <c r="A523" s="92" t="s">
        <v>3058</v>
      </c>
      <c r="B523" s="91">
        <v>3</v>
      </c>
      <c r="C523" s="114">
        <v>0.000541690092991574</v>
      </c>
      <c r="D523" s="91" t="s">
        <v>3159</v>
      </c>
      <c r="E523" s="91" t="b">
        <v>0</v>
      </c>
      <c r="F523" s="91" t="b">
        <v>0</v>
      </c>
      <c r="G523" s="91" t="b">
        <v>0</v>
      </c>
    </row>
    <row r="524" spans="1:7" ht="15">
      <c r="A524" s="92" t="s">
        <v>3059</v>
      </c>
      <c r="B524" s="91">
        <v>3</v>
      </c>
      <c r="C524" s="114">
        <v>0.000541690092991574</v>
      </c>
      <c r="D524" s="91" t="s">
        <v>3159</v>
      </c>
      <c r="E524" s="91" t="b">
        <v>0</v>
      </c>
      <c r="F524" s="91" t="b">
        <v>0</v>
      </c>
      <c r="G524" s="91" t="b">
        <v>0</v>
      </c>
    </row>
    <row r="525" spans="1:7" ht="15">
      <c r="A525" s="92" t="s">
        <v>3060</v>
      </c>
      <c r="B525" s="91">
        <v>3</v>
      </c>
      <c r="C525" s="114">
        <v>0.000541690092991574</v>
      </c>
      <c r="D525" s="91" t="s">
        <v>3159</v>
      </c>
      <c r="E525" s="91" t="b">
        <v>0</v>
      </c>
      <c r="F525" s="91" t="b">
        <v>0</v>
      </c>
      <c r="G525" s="91" t="b">
        <v>0</v>
      </c>
    </row>
    <row r="526" spans="1:7" ht="15">
      <c r="A526" s="92" t="s">
        <v>3061</v>
      </c>
      <c r="B526" s="91">
        <v>3</v>
      </c>
      <c r="C526" s="114">
        <v>0.000541690092991574</v>
      </c>
      <c r="D526" s="91" t="s">
        <v>3159</v>
      </c>
      <c r="E526" s="91" t="b">
        <v>0</v>
      </c>
      <c r="F526" s="91" t="b">
        <v>0</v>
      </c>
      <c r="G526" s="91" t="b">
        <v>0</v>
      </c>
    </row>
    <row r="527" spans="1:7" ht="15">
      <c r="A527" s="92" t="s">
        <v>3062</v>
      </c>
      <c r="B527" s="91">
        <v>3</v>
      </c>
      <c r="C527" s="114">
        <v>0.000541690092991574</v>
      </c>
      <c r="D527" s="91" t="s">
        <v>3159</v>
      </c>
      <c r="E527" s="91" t="b">
        <v>0</v>
      </c>
      <c r="F527" s="91" t="b">
        <v>0</v>
      </c>
      <c r="G527" s="91" t="b">
        <v>0</v>
      </c>
    </row>
    <row r="528" spans="1:7" ht="15">
      <c r="A528" s="92" t="s">
        <v>3063</v>
      </c>
      <c r="B528" s="91">
        <v>3</v>
      </c>
      <c r="C528" s="114">
        <v>0.000541690092991574</v>
      </c>
      <c r="D528" s="91" t="s">
        <v>3159</v>
      </c>
      <c r="E528" s="91" t="b">
        <v>0</v>
      </c>
      <c r="F528" s="91" t="b">
        <v>0</v>
      </c>
      <c r="G528" s="91" t="b">
        <v>0</v>
      </c>
    </row>
    <row r="529" spans="1:7" ht="15">
      <c r="A529" s="92" t="s">
        <v>3064</v>
      </c>
      <c r="B529" s="91">
        <v>3</v>
      </c>
      <c r="C529" s="114">
        <v>0.000541690092991574</v>
      </c>
      <c r="D529" s="91" t="s">
        <v>3159</v>
      </c>
      <c r="E529" s="91" t="b">
        <v>0</v>
      </c>
      <c r="F529" s="91" t="b">
        <v>0</v>
      </c>
      <c r="G529" s="91" t="b">
        <v>0</v>
      </c>
    </row>
    <row r="530" spans="1:7" ht="15">
      <c r="A530" s="92" t="s">
        <v>3065</v>
      </c>
      <c r="B530" s="91">
        <v>3</v>
      </c>
      <c r="C530" s="114">
        <v>0.000541690092991574</v>
      </c>
      <c r="D530" s="91" t="s">
        <v>3159</v>
      </c>
      <c r="E530" s="91" t="b">
        <v>0</v>
      </c>
      <c r="F530" s="91" t="b">
        <v>0</v>
      </c>
      <c r="G530" s="91" t="b">
        <v>0</v>
      </c>
    </row>
    <row r="531" spans="1:7" ht="15">
      <c r="A531" s="92" t="s">
        <v>3066</v>
      </c>
      <c r="B531" s="91">
        <v>3</v>
      </c>
      <c r="C531" s="114">
        <v>0.000541690092991574</v>
      </c>
      <c r="D531" s="91" t="s">
        <v>3159</v>
      </c>
      <c r="E531" s="91" t="b">
        <v>0</v>
      </c>
      <c r="F531" s="91" t="b">
        <v>0</v>
      </c>
      <c r="G531" s="91" t="b">
        <v>0</v>
      </c>
    </row>
    <row r="532" spans="1:7" ht="15">
      <c r="A532" s="92" t="s">
        <v>3067</v>
      </c>
      <c r="B532" s="91">
        <v>3</v>
      </c>
      <c r="C532" s="114">
        <v>0.000541690092991574</v>
      </c>
      <c r="D532" s="91" t="s">
        <v>3159</v>
      </c>
      <c r="E532" s="91" t="b">
        <v>0</v>
      </c>
      <c r="F532" s="91" t="b">
        <v>0</v>
      </c>
      <c r="G532" s="91" t="b">
        <v>0</v>
      </c>
    </row>
    <row r="533" spans="1:7" ht="15">
      <c r="A533" s="92" t="s">
        <v>3068</v>
      </c>
      <c r="B533" s="91">
        <v>3</v>
      </c>
      <c r="C533" s="114">
        <v>0.000541690092991574</v>
      </c>
      <c r="D533" s="91" t="s">
        <v>3159</v>
      </c>
      <c r="E533" s="91" t="b">
        <v>0</v>
      </c>
      <c r="F533" s="91" t="b">
        <v>0</v>
      </c>
      <c r="G533" s="91" t="b">
        <v>0</v>
      </c>
    </row>
    <row r="534" spans="1:7" ht="15">
      <c r="A534" s="92" t="s">
        <v>3069</v>
      </c>
      <c r="B534" s="91">
        <v>3</v>
      </c>
      <c r="C534" s="114">
        <v>0.000541690092991574</v>
      </c>
      <c r="D534" s="91" t="s">
        <v>3159</v>
      </c>
      <c r="E534" s="91" t="b">
        <v>0</v>
      </c>
      <c r="F534" s="91" t="b">
        <v>0</v>
      </c>
      <c r="G534" s="91" t="b">
        <v>0</v>
      </c>
    </row>
    <row r="535" spans="1:7" ht="15">
      <c r="A535" s="92" t="s">
        <v>3070</v>
      </c>
      <c r="B535" s="91">
        <v>3</v>
      </c>
      <c r="C535" s="114">
        <v>0.000541690092991574</v>
      </c>
      <c r="D535" s="91" t="s">
        <v>3159</v>
      </c>
      <c r="E535" s="91" t="b">
        <v>0</v>
      </c>
      <c r="F535" s="91" t="b">
        <v>0</v>
      </c>
      <c r="G535" s="91" t="b">
        <v>0</v>
      </c>
    </row>
    <row r="536" spans="1:7" ht="15">
      <c r="A536" s="92" t="s">
        <v>3071</v>
      </c>
      <c r="B536" s="91">
        <v>3</v>
      </c>
      <c r="C536" s="114">
        <v>0.000541690092991574</v>
      </c>
      <c r="D536" s="91" t="s">
        <v>3159</v>
      </c>
      <c r="E536" s="91" t="b">
        <v>0</v>
      </c>
      <c r="F536" s="91" t="b">
        <v>0</v>
      </c>
      <c r="G536" s="91" t="b">
        <v>0</v>
      </c>
    </row>
    <row r="537" spans="1:7" ht="15">
      <c r="A537" s="92" t="s">
        <v>3072</v>
      </c>
      <c r="B537" s="91">
        <v>3</v>
      </c>
      <c r="C537" s="114">
        <v>0.000541690092991574</v>
      </c>
      <c r="D537" s="91" t="s">
        <v>3159</v>
      </c>
      <c r="E537" s="91" t="b">
        <v>0</v>
      </c>
      <c r="F537" s="91" t="b">
        <v>0</v>
      </c>
      <c r="G537" s="91" t="b">
        <v>0</v>
      </c>
    </row>
    <row r="538" spans="1:7" ht="15">
      <c r="A538" s="92" t="s">
        <v>3073</v>
      </c>
      <c r="B538" s="91">
        <v>2</v>
      </c>
      <c r="C538" s="114">
        <v>0.0003907717217680664</v>
      </c>
      <c r="D538" s="91" t="s">
        <v>3159</v>
      </c>
      <c r="E538" s="91" t="b">
        <v>0</v>
      </c>
      <c r="F538" s="91" t="b">
        <v>0</v>
      </c>
      <c r="G538" s="91" t="b">
        <v>0</v>
      </c>
    </row>
    <row r="539" spans="1:7" ht="15">
      <c r="A539" s="92" t="s">
        <v>3074</v>
      </c>
      <c r="B539" s="91">
        <v>2</v>
      </c>
      <c r="C539" s="114">
        <v>0.0003907717217680664</v>
      </c>
      <c r="D539" s="91" t="s">
        <v>3159</v>
      </c>
      <c r="E539" s="91" t="b">
        <v>0</v>
      </c>
      <c r="F539" s="91" t="b">
        <v>0</v>
      </c>
      <c r="G539" s="91" t="b">
        <v>0</v>
      </c>
    </row>
    <row r="540" spans="1:7" ht="15">
      <c r="A540" s="92" t="s">
        <v>3075</v>
      </c>
      <c r="B540" s="91">
        <v>2</v>
      </c>
      <c r="C540" s="114">
        <v>0.0003907717217680664</v>
      </c>
      <c r="D540" s="91" t="s">
        <v>3159</v>
      </c>
      <c r="E540" s="91" t="b">
        <v>0</v>
      </c>
      <c r="F540" s="91" t="b">
        <v>0</v>
      </c>
      <c r="G540" s="91" t="b">
        <v>0</v>
      </c>
    </row>
    <row r="541" spans="1:7" ht="15">
      <c r="A541" s="92" t="s">
        <v>3076</v>
      </c>
      <c r="B541" s="91">
        <v>2</v>
      </c>
      <c r="C541" s="114">
        <v>0.0003907717217680664</v>
      </c>
      <c r="D541" s="91" t="s">
        <v>3159</v>
      </c>
      <c r="E541" s="91" t="b">
        <v>0</v>
      </c>
      <c r="F541" s="91" t="b">
        <v>0</v>
      </c>
      <c r="G541" s="91" t="b">
        <v>0</v>
      </c>
    </row>
    <row r="542" spans="1:7" ht="15">
      <c r="A542" s="92" t="s">
        <v>3077</v>
      </c>
      <c r="B542" s="91">
        <v>2</v>
      </c>
      <c r="C542" s="114">
        <v>0.0003907717217680664</v>
      </c>
      <c r="D542" s="91" t="s">
        <v>3159</v>
      </c>
      <c r="E542" s="91" t="b">
        <v>0</v>
      </c>
      <c r="F542" s="91" t="b">
        <v>0</v>
      </c>
      <c r="G542" s="91" t="b">
        <v>0</v>
      </c>
    </row>
    <row r="543" spans="1:7" ht="15">
      <c r="A543" s="92" t="s">
        <v>3078</v>
      </c>
      <c r="B543" s="91">
        <v>2</v>
      </c>
      <c r="C543" s="114">
        <v>0.000441450172216548</v>
      </c>
      <c r="D543" s="91" t="s">
        <v>3159</v>
      </c>
      <c r="E543" s="91" t="b">
        <v>0</v>
      </c>
      <c r="F543" s="91" t="b">
        <v>0</v>
      </c>
      <c r="G543" s="91" t="b">
        <v>0</v>
      </c>
    </row>
    <row r="544" spans="1:7" ht="15">
      <c r="A544" s="92" t="s">
        <v>3079</v>
      </c>
      <c r="B544" s="91">
        <v>2</v>
      </c>
      <c r="C544" s="114">
        <v>0.0003907717217680664</v>
      </c>
      <c r="D544" s="91" t="s">
        <v>3159</v>
      </c>
      <c r="E544" s="91" t="b">
        <v>0</v>
      </c>
      <c r="F544" s="91" t="b">
        <v>0</v>
      </c>
      <c r="G544" s="91" t="b">
        <v>0</v>
      </c>
    </row>
    <row r="545" spans="1:7" ht="15">
      <c r="A545" s="92" t="s">
        <v>3080</v>
      </c>
      <c r="B545" s="91">
        <v>2</v>
      </c>
      <c r="C545" s="114">
        <v>0.0003907717217680664</v>
      </c>
      <c r="D545" s="91" t="s">
        <v>3159</v>
      </c>
      <c r="E545" s="91" t="b">
        <v>0</v>
      </c>
      <c r="F545" s="91" t="b">
        <v>0</v>
      </c>
      <c r="G545" s="91" t="b">
        <v>0</v>
      </c>
    </row>
    <row r="546" spans="1:7" ht="15">
      <c r="A546" s="92" t="s">
        <v>3081</v>
      </c>
      <c r="B546" s="91">
        <v>2</v>
      </c>
      <c r="C546" s="114">
        <v>0.0003907717217680664</v>
      </c>
      <c r="D546" s="91" t="s">
        <v>3159</v>
      </c>
      <c r="E546" s="91" t="b">
        <v>0</v>
      </c>
      <c r="F546" s="91" t="b">
        <v>0</v>
      </c>
      <c r="G546" s="91" t="b">
        <v>0</v>
      </c>
    </row>
    <row r="547" spans="1:7" ht="15">
      <c r="A547" s="92" t="s">
        <v>3082</v>
      </c>
      <c r="B547" s="91">
        <v>2</v>
      </c>
      <c r="C547" s="114">
        <v>0.0003907717217680664</v>
      </c>
      <c r="D547" s="91" t="s">
        <v>3159</v>
      </c>
      <c r="E547" s="91" t="b">
        <v>0</v>
      </c>
      <c r="F547" s="91" t="b">
        <v>0</v>
      </c>
      <c r="G547" s="91" t="b">
        <v>0</v>
      </c>
    </row>
    <row r="548" spans="1:7" ht="15">
      <c r="A548" s="92" t="s">
        <v>3083</v>
      </c>
      <c r="B548" s="91">
        <v>2</v>
      </c>
      <c r="C548" s="114">
        <v>0.0003907717217680664</v>
      </c>
      <c r="D548" s="91" t="s">
        <v>3159</v>
      </c>
      <c r="E548" s="91" t="b">
        <v>0</v>
      </c>
      <c r="F548" s="91" t="b">
        <v>0</v>
      </c>
      <c r="G548" s="91" t="b">
        <v>0</v>
      </c>
    </row>
    <row r="549" spans="1:7" ht="15">
      <c r="A549" s="92" t="s">
        <v>3084</v>
      </c>
      <c r="B549" s="91">
        <v>2</v>
      </c>
      <c r="C549" s="114">
        <v>0.0003907717217680664</v>
      </c>
      <c r="D549" s="91" t="s">
        <v>3159</v>
      </c>
      <c r="E549" s="91" t="b">
        <v>0</v>
      </c>
      <c r="F549" s="91" t="b">
        <v>0</v>
      </c>
      <c r="G549" s="91" t="b">
        <v>0</v>
      </c>
    </row>
    <row r="550" spans="1:7" ht="15">
      <c r="A550" s="92" t="s">
        <v>3085</v>
      </c>
      <c r="B550" s="91">
        <v>2</v>
      </c>
      <c r="C550" s="114">
        <v>0.0003907717217680664</v>
      </c>
      <c r="D550" s="91" t="s">
        <v>3159</v>
      </c>
      <c r="E550" s="91" t="b">
        <v>0</v>
      </c>
      <c r="F550" s="91" t="b">
        <v>0</v>
      </c>
      <c r="G550" s="91" t="b">
        <v>0</v>
      </c>
    </row>
    <row r="551" spans="1:7" ht="15">
      <c r="A551" s="92" t="s">
        <v>3086</v>
      </c>
      <c r="B551" s="91">
        <v>2</v>
      </c>
      <c r="C551" s="114">
        <v>0.0003907717217680664</v>
      </c>
      <c r="D551" s="91" t="s">
        <v>3159</v>
      </c>
      <c r="E551" s="91" t="b">
        <v>0</v>
      </c>
      <c r="F551" s="91" t="b">
        <v>0</v>
      </c>
      <c r="G551" s="91" t="b">
        <v>0</v>
      </c>
    </row>
    <row r="552" spans="1:7" ht="15">
      <c r="A552" s="92" t="s">
        <v>3087</v>
      </c>
      <c r="B552" s="91">
        <v>2</v>
      </c>
      <c r="C552" s="114">
        <v>0.0003907717217680664</v>
      </c>
      <c r="D552" s="91" t="s">
        <v>3159</v>
      </c>
      <c r="E552" s="91" t="b">
        <v>0</v>
      </c>
      <c r="F552" s="91" t="b">
        <v>0</v>
      </c>
      <c r="G552" s="91" t="b">
        <v>0</v>
      </c>
    </row>
    <row r="553" spans="1:7" ht="15">
      <c r="A553" s="92" t="s">
        <v>3088</v>
      </c>
      <c r="B553" s="91">
        <v>2</v>
      </c>
      <c r="C553" s="114">
        <v>0.0003907717217680664</v>
      </c>
      <c r="D553" s="91" t="s">
        <v>3159</v>
      </c>
      <c r="E553" s="91" t="b">
        <v>0</v>
      </c>
      <c r="F553" s="91" t="b">
        <v>0</v>
      </c>
      <c r="G553" s="91" t="b">
        <v>0</v>
      </c>
    </row>
    <row r="554" spans="1:7" ht="15">
      <c r="A554" s="92" t="s">
        <v>3089</v>
      </c>
      <c r="B554" s="91">
        <v>2</v>
      </c>
      <c r="C554" s="114">
        <v>0.0003907717217680664</v>
      </c>
      <c r="D554" s="91" t="s">
        <v>3159</v>
      </c>
      <c r="E554" s="91" t="b">
        <v>0</v>
      </c>
      <c r="F554" s="91" t="b">
        <v>0</v>
      </c>
      <c r="G554" s="91" t="b">
        <v>0</v>
      </c>
    </row>
    <row r="555" spans="1:7" ht="15">
      <c r="A555" s="92" t="s">
        <v>3090</v>
      </c>
      <c r="B555" s="91">
        <v>2</v>
      </c>
      <c r="C555" s="114">
        <v>0.0003907717217680664</v>
      </c>
      <c r="D555" s="91" t="s">
        <v>3159</v>
      </c>
      <c r="E555" s="91" t="b">
        <v>0</v>
      </c>
      <c r="F555" s="91" t="b">
        <v>0</v>
      </c>
      <c r="G555" s="91" t="b">
        <v>0</v>
      </c>
    </row>
    <row r="556" spans="1:7" ht="15">
      <c r="A556" s="92" t="s">
        <v>3091</v>
      </c>
      <c r="B556" s="91">
        <v>2</v>
      </c>
      <c r="C556" s="114">
        <v>0.0003907717217680664</v>
      </c>
      <c r="D556" s="91" t="s">
        <v>3159</v>
      </c>
      <c r="E556" s="91" t="b">
        <v>0</v>
      </c>
      <c r="F556" s="91" t="b">
        <v>0</v>
      </c>
      <c r="G556" s="91" t="b">
        <v>0</v>
      </c>
    </row>
    <row r="557" spans="1:7" ht="15">
      <c r="A557" s="92" t="s">
        <v>3092</v>
      </c>
      <c r="B557" s="91">
        <v>2</v>
      </c>
      <c r="C557" s="114">
        <v>0.0003907717217680664</v>
      </c>
      <c r="D557" s="91" t="s">
        <v>3159</v>
      </c>
      <c r="E557" s="91" t="b">
        <v>0</v>
      </c>
      <c r="F557" s="91" t="b">
        <v>0</v>
      </c>
      <c r="G557" s="91" t="b">
        <v>0</v>
      </c>
    </row>
    <row r="558" spans="1:7" ht="15">
      <c r="A558" s="92" t="s">
        <v>3093</v>
      </c>
      <c r="B558" s="91">
        <v>2</v>
      </c>
      <c r="C558" s="114">
        <v>0.0003907717217680664</v>
      </c>
      <c r="D558" s="91" t="s">
        <v>3159</v>
      </c>
      <c r="E558" s="91" t="b">
        <v>0</v>
      </c>
      <c r="F558" s="91" t="b">
        <v>0</v>
      </c>
      <c r="G558" s="91" t="b">
        <v>0</v>
      </c>
    </row>
    <row r="559" spans="1:7" ht="15">
      <c r="A559" s="92" t="s">
        <v>3094</v>
      </c>
      <c r="B559" s="91">
        <v>2</v>
      </c>
      <c r="C559" s="114">
        <v>0.0003907717217680664</v>
      </c>
      <c r="D559" s="91" t="s">
        <v>3159</v>
      </c>
      <c r="E559" s="91" t="b">
        <v>0</v>
      </c>
      <c r="F559" s="91" t="b">
        <v>0</v>
      </c>
      <c r="G559" s="91" t="b">
        <v>0</v>
      </c>
    </row>
    <row r="560" spans="1:7" ht="15">
      <c r="A560" s="92" t="s">
        <v>3095</v>
      </c>
      <c r="B560" s="91">
        <v>2</v>
      </c>
      <c r="C560" s="114">
        <v>0.0003907717217680664</v>
      </c>
      <c r="D560" s="91" t="s">
        <v>3159</v>
      </c>
      <c r="E560" s="91" t="b">
        <v>0</v>
      </c>
      <c r="F560" s="91" t="b">
        <v>0</v>
      </c>
      <c r="G560" s="91" t="b">
        <v>0</v>
      </c>
    </row>
    <row r="561" spans="1:7" ht="15">
      <c r="A561" s="92" t="s">
        <v>3096</v>
      </c>
      <c r="B561" s="91">
        <v>2</v>
      </c>
      <c r="C561" s="114">
        <v>0.0003907717217680664</v>
      </c>
      <c r="D561" s="91" t="s">
        <v>3159</v>
      </c>
      <c r="E561" s="91" t="b">
        <v>0</v>
      </c>
      <c r="F561" s="91" t="b">
        <v>0</v>
      </c>
      <c r="G561" s="91" t="b">
        <v>0</v>
      </c>
    </row>
    <row r="562" spans="1:7" ht="15">
      <c r="A562" s="92" t="s">
        <v>3097</v>
      </c>
      <c r="B562" s="91">
        <v>2</v>
      </c>
      <c r="C562" s="114">
        <v>0.0003907717217680664</v>
      </c>
      <c r="D562" s="91" t="s">
        <v>3159</v>
      </c>
      <c r="E562" s="91" t="b">
        <v>0</v>
      </c>
      <c r="F562" s="91" t="b">
        <v>0</v>
      </c>
      <c r="G562" s="91" t="b">
        <v>0</v>
      </c>
    </row>
    <row r="563" spans="1:7" ht="15">
      <c r="A563" s="92" t="s">
        <v>3098</v>
      </c>
      <c r="B563" s="91">
        <v>2</v>
      </c>
      <c r="C563" s="114">
        <v>0.0003907717217680664</v>
      </c>
      <c r="D563" s="91" t="s">
        <v>3159</v>
      </c>
      <c r="E563" s="91" t="b">
        <v>0</v>
      </c>
      <c r="F563" s="91" t="b">
        <v>0</v>
      </c>
      <c r="G563" s="91" t="b">
        <v>0</v>
      </c>
    </row>
    <row r="564" spans="1:7" ht="15">
      <c r="A564" s="92" t="s">
        <v>3099</v>
      </c>
      <c r="B564" s="91">
        <v>2</v>
      </c>
      <c r="C564" s="114">
        <v>0.0003907717217680664</v>
      </c>
      <c r="D564" s="91" t="s">
        <v>3159</v>
      </c>
      <c r="E564" s="91" t="b">
        <v>0</v>
      </c>
      <c r="F564" s="91" t="b">
        <v>0</v>
      </c>
      <c r="G564" s="91" t="b">
        <v>0</v>
      </c>
    </row>
    <row r="565" spans="1:7" ht="15">
      <c r="A565" s="92" t="s">
        <v>3100</v>
      </c>
      <c r="B565" s="91">
        <v>2</v>
      </c>
      <c r="C565" s="114">
        <v>0.0003907717217680664</v>
      </c>
      <c r="D565" s="91" t="s">
        <v>3159</v>
      </c>
      <c r="E565" s="91" t="b">
        <v>0</v>
      </c>
      <c r="F565" s="91" t="b">
        <v>0</v>
      </c>
      <c r="G565" s="91" t="b">
        <v>0</v>
      </c>
    </row>
    <row r="566" spans="1:7" ht="15">
      <c r="A566" s="92" t="s">
        <v>3101</v>
      </c>
      <c r="B566" s="91">
        <v>2</v>
      </c>
      <c r="C566" s="114">
        <v>0.0003907717217680664</v>
      </c>
      <c r="D566" s="91" t="s">
        <v>3159</v>
      </c>
      <c r="E566" s="91" t="b">
        <v>0</v>
      </c>
      <c r="F566" s="91" t="b">
        <v>0</v>
      </c>
      <c r="G566" s="91" t="b">
        <v>0</v>
      </c>
    </row>
    <row r="567" spans="1:7" ht="15">
      <c r="A567" s="92" t="s">
        <v>3102</v>
      </c>
      <c r="B567" s="91">
        <v>2</v>
      </c>
      <c r="C567" s="114">
        <v>0.0003907717217680664</v>
      </c>
      <c r="D567" s="91" t="s">
        <v>3159</v>
      </c>
      <c r="E567" s="91" t="b">
        <v>0</v>
      </c>
      <c r="F567" s="91" t="b">
        <v>0</v>
      </c>
      <c r="G567" s="91" t="b">
        <v>0</v>
      </c>
    </row>
    <row r="568" spans="1:7" ht="15">
      <c r="A568" s="92" t="s">
        <v>3103</v>
      </c>
      <c r="B568" s="91">
        <v>2</v>
      </c>
      <c r="C568" s="114">
        <v>0.0003907717217680664</v>
      </c>
      <c r="D568" s="91" t="s">
        <v>3159</v>
      </c>
      <c r="E568" s="91" t="b">
        <v>0</v>
      </c>
      <c r="F568" s="91" t="b">
        <v>0</v>
      </c>
      <c r="G568" s="91" t="b">
        <v>0</v>
      </c>
    </row>
    <row r="569" spans="1:7" ht="15">
      <c r="A569" s="92" t="s">
        <v>3104</v>
      </c>
      <c r="B569" s="91">
        <v>2</v>
      </c>
      <c r="C569" s="114">
        <v>0.0003907717217680664</v>
      </c>
      <c r="D569" s="91" t="s">
        <v>3159</v>
      </c>
      <c r="E569" s="91" t="b">
        <v>0</v>
      </c>
      <c r="F569" s="91" t="b">
        <v>0</v>
      </c>
      <c r="G569" s="91" t="b">
        <v>0</v>
      </c>
    </row>
    <row r="570" spans="1:7" ht="15">
      <c r="A570" s="92" t="s">
        <v>3105</v>
      </c>
      <c r="B570" s="91">
        <v>2</v>
      </c>
      <c r="C570" s="114">
        <v>0.0003907717217680664</v>
      </c>
      <c r="D570" s="91" t="s">
        <v>3159</v>
      </c>
      <c r="E570" s="91" t="b">
        <v>0</v>
      </c>
      <c r="F570" s="91" t="b">
        <v>0</v>
      </c>
      <c r="G570" s="91" t="b">
        <v>0</v>
      </c>
    </row>
    <row r="571" spans="1:7" ht="15">
      <c r="A571" s="92" t="s">
        <v>3106</v>
      </c>
      <c r="B571" s="91">
        <v>2</v>
      </c>
      <c r="C571" s="114">
        <v>0.0003907717217680664</v>
      </c>
      <c r="D571" s="91" t="s">
        <v>3159</v>
      </c>
      <c r="E571" s="91" t="b">
        <v>0</v>
      </c>
      <c r="F571" s="91" t="b">
        <v>0</v>
      </c>
      <c r="G571" s="91" t="b">
        <v>0</v>
      </c>
    </row>
    <row r="572" spans="1:7" ht="15">
      <c r="A572" s="92" t="s">
        <v>3107</v>
      </c>
      <c r="B572" s="91">
        <v>2</v>
      </c>
      <c r="C572" s="114">
        <v>0.0003907717217680664</v>
      </c>
      <c r="D572" s="91" t="s">
        <v>3159</v>
      </c>
      <c r="E572" s="91" t="b">
        <v>0</v>
      </c>
      <c r="F572" s="91" t="b">
        <v>0</v>
      </c>
      <c r="G572" s="91" t="b">
        <v>0</v>
      </c>
    </row>
    <row r="573" spans="1:7" ht="15">
      <c r="A573" s="92" t="s">
        <v>3108</v>
      </c>
      <c r="B573" s="91">
        <v>2</v>
      </c>
      <c r="C573" s="114">
        <v>0.0003907717217680664</v>
      </c>
      <c r="D573" s="91" t="s">
        <v>3159</v>
      </c>
      <c r="E573" s="91" t="b">
        <v>0</v>
      </c>
      <c r="F573" s="91" t="b">
        <v>0</v>
      </c>
      <c r="G573" s="91" t="b">
        <v>0</v>
      </c>
    </row>
    <row r="574" spans="1:7" ht="15">
      <c r="A574" s="92" t="s">
        <v>3109</v>
      </c>
      <c r="B574" s="91">
        <v>2</v>
      </c>
      <c r="C574" s="114">
        <v>0.0003907717217680664</v>
      </c>
      <c r="D574" s="91" t="s">
        <v>3159</v>
      </c>
      <c r="E574" s="91" t="b">
        <v>0</v>
      </c>
      <c r="F574" s="91" t="b">
        <v>0</v>
      </c>
      <c r="G574" s="91" t="b">
        <v>0</v>
      </c>
    </row>
    <row r="575" spans="1:7" ht="15">
      <c r="A575" s="92" t="s">
        <v>3110</v>
      </c>
      <c r="B575" s="91">
        <v>2</v>
      </c>
      <c r="C575" s="114">
        <v>0.0003907717217680664</v>
      </c>
      <c r="D575" s="91" t="s">
        <v>3159</v>
      </c>
      <c r="E575" s="91" t="b">
        <v>0</v>
      </c>
      <c r="F575" s="91" t="b">
        <v>0</v>
      </c>
      <c r="G575" s="91" t="b">
        <v>0</v>
      </c>
    </row>
    <row r="576" spans="1:7" ht="15">
      <c r="A576" s="92" t="s">
        <v>3111</v>
      </c>
      <c r="B576" s="91">
        <v>2</v>
      </c>
      <c r="C576" s="114">
        <v>0.0003907717217680664</v>
      </c>
      <c r="D576" s="91" t="s">
        <v>3159</v>
      </c>
      <c r="E576" s="91" t="b">
        <v>0</v>
      </c>
      <c r="F576" s="91" t="b">
        <v>0</v>
      </c>
      <c r="G576" s="91" t="b">
        <v>0</v>
      </c>
    </row>
    <row r="577" spans="1:7" ht="15">
      <c r="A577" s="92" t="s">
        <v>3112</v>
      </c>
      <c r="B577" s="91">
        <v>2</v>
      </c>
      <c r="C577" s="114">
        <v>0.0003907717217680664</v>
      </c>
      <c r="D577" s="91" t="s">
        <v>3159</v>
      </c>
      <c r="E577" s="91" t="b">
        <v>0</v>
      </c>
      <c r="F577" s="91" t="b">
        <v>0</v>
      </c>
      <c r="G577" s="91" t="b">
        <v>0</v>
      </c>
    </row>
    <row r="578" spans="1:7" ht="15">
      <c r="A578" s="92" t="s">
        <v>3113</v>
      </c>
      <c r="B578" s="91">
        <v>2</v>
      </c>
      <c r="C578" s="114">
        <v>0.0003907717217680664</v>
      </c>
      <c r="D578" s="91" t="s">
        <v>3159</v>
      </c>
      <c r="E578" s="91" t="b">
        <v>0</v>
      </c>
      <c r="F578" s="91" t="b">
        <v>0</v>
      </c>
      <c r="G578" s="91" t="b">
        <v>0</v>
      </c>
    </row>
    <row r="579" spans="1:7" ht="15">
      <c r="A579" s="92" t="s">
        <v>3114</v>
      </c>
      <c r="B579" s="91">
        <v>2</v>
      </c>
      <c r="C579" s="114">
        <v>0.0003907717217680664</v>
      </c>
      <c r="D579" s="91" t="s">
        <v>3159</v>
      </c>
      <c r="E579" s="91" t="b">
        <v>0</v>
      </c>
      <c r="F579" s="91" t="b">
        <v>0</v>
      </c>
      <c r="G579" s="91" t="b">
        <v>0</v>
      </c>
    </row>
    <row r="580" spans="1:7" ht="15">
      <c r="A580" s="92" t="s">
        <v>3115</v>
      </c>
      <c r="B580" s="91">
        <v>2</v>
      </c>
      <c r="C580" s="114">
        <v>0.0003907717217680664</v>
      </c>
      <c r="D580" s="91" t="s">
        <v>3159</v>
      </c>
      <c r="E580" s="91" t="b">
        <v>0</v>
      </c>
      <c r="F580" s="91" t="b">
        <v>0</v>
      </c>
      <c r="G580" s="91" t="b">
        <v>0</v>
      </c>
    </row>
    <row r="581" spans="1:7" ht="15">
      <c r="A581" s="92" t="s">
        <v>3116</v>
      </c>
      <c r="B581" s="91">
        <v>2</v>
      </c>
      <c r="C581" s="114">
        <v>0.0003907717217680664</v>
      </c>
      <c r="D581" s="91" t="s">
        <v>3159</v>
      </c>
      <c r="E581" s="91" t="b">
        <v>0</v>
      </c>
      <c r="F581" s="91" t="b">
        <v>0</v>
      </c>
      <c r="G581" s="91" t="b">
        <v>0</v>
      </c>
    </row>
    <row r="582" spans="1:7" ht="15">
      <c r="A582" s="92" t="s">
        <v>3117</v>
      </c>
      <c r="B582" s="91">
        <v>2</v>
      </c>
      <c r="C582" s="114">
        <v>0.0003907717217680664</v>
      </c>
      <c r="D582" s="91" t="s">
        <v>3159</v>
      </c>
      <c r="E582" s="91" t="b">
        <v>0</v>
      </c>
      <c r="F582" s="91" t="b">
        <v>0</v>
      </c>
      <c r="G582" s="91" t="b">
        <v>0</v>
      </c>
    </row>
    <row r="583" spans="1:7" ht="15">
      <c r="A583" s="92" t="s">
        <v>3118</v>
      </c>
      <c r="B583" s="91">
        <v>2</v>
      </c>
      <c r="C583" s="114">
        <v>0.0003907717217680664</v>
      </c>
      <c r="D583" s="91" t="s">
        <v>3159</v>
      </c>
      <c r="E583" s="91" t="b">
        <v>0</v>
      </c>
      <c r="F583" s="91" t="b">
        <v>0</v>
      </c>
      <c r="G583" s="91" t="b">
        <v>0</v>
      </c>
    </row>
    <row r="584" spans="1:7" ht="15">
      <c r="A584" s="92" t="s">
        <v>3119</v>
      </c>
      <c r="B584" s="91">
        <v>2</v>
      </c>
      <c r="C584" s="114">
        <v>0.0003907717217680664</v>
      </c>
      <c r="D584" s="91" t="s">
        <v>3159</v>
      </c>
      <c r="E584" s="91" t="b">
        <v>0</v>
      </c>
      <c r="F584" s="91" t="b">
        <v>0</v>
      </c>
      <c r="G584" s="91" t="b">
        <v>0</v>
      </c>
    </row>
    <row r="585" spans="1:7" ht="15">
      <c r="A585" s="92" t="s">
        <v>3120</v>
      </c>
      <c r="B585" s="91">
        <v>2</v>
      </c>
      <c r="C585" s="114">
        <v>0.0003907717217680664</v>
      </c>
      <c r="D585" s="91" t="s">
        <v>3159</v>
      </c>
      <c r="E585" s="91" t="b">
        <v>0</v>
      </c>
      <c r="F585" s="91" t="b">
        <v>0</v>
      </c>
      <c r="G585" s="91" t="b">
        <v>0</v>
      </c>
    </row>
    <row r="586" spans="1:7" ht="15">
      <c r="A586" s="92" t="s">
        <v>3121</v>
      </c>
      <c r="B586" s="91">
        <v>2</v>
      </c>
      <c r="C586" s="114">
        <v>0.0003907717217680664</v>
      </c>
      <c r="D586" s="91" t="s">
        <v>3159</v>
      </c>
      <c r="E586" s="91" t="b">
        <v>0</v>
      </c>
      <c r="F586" s="91" t="b">
        <v>0</v>
      </c>
      <c r="G586" s="91" t="b">
        <v>0</v>
      </c>
    </row>
    <row r="587" spans="1:7" ht="15">
      <c r="A587" s="92" t="s">
        <v>3122</v>
      </c>
      <c r="B587" s="91">
        <v>2</v>
      </c>
      <c r="C587" s="114">
        <v>0.0003907717217680664</v>
      </c>
      <c r="D587" s="91" t="s">
        <v>3159</v>
      </c>
      <c r="E587" s="91" t="b">
        <v>0</v>
      </c>
      <c r="F587" s="91" t="b">
        <v>0</v>
      </c>
      <c r="G587" s="91" t="b">
        <v>0</v>
      </c>
    </row>
    <row r="588" spans="1:7" ht="15">
      <c r="A588" s="92" t="s">
        <v>3123</v>
      </c>
      <c r="B588" s="91">
        <v>2</v>
      </c>
      <c r="C588" s="114">
        <v>0.0003907717217680664</v>
      </c>
      <c r="D588" s="91" t="s">
        <v>3159</v>
      </c>
      <c r="E588" s="91" t="b">
        <v>0</v>
      </c>
      <c r="F588" s="91" t="b">
        <v>0</v>
      </c>
      <c r="G588" s="91" t="b">
        <v>0</v>
      </c>
    </row>
    <row r="589" spans="1:7" ht="15">
      <c r="A589" s="92" t="s">
        <v>3124</v>
      </c>
      <c r="B589" s="91">
        <v>2</v>
      </c>
      <c r="C589" s="114">
        <v>0.0003907717217680664</v>
      </c>
      <c r="D589" s="91" t="s">
        <v>3159</v>
      </c>
      <c r="E589" s="91" t="b">
        <v>0</v>
      </c>
      <c r="F589" s="91" t="b">
        <v>0</v>
      </c>
      <c r="G589" s="91" t="b">
        <v>0</v>
      </c>
    </row>
    <row r="590" spans="1:7" ht="15">
      <c r="A590" s="92" t="s">
        <v>3125</v>
      </c>
      <c r="B590" s="91">
        <v>2</v>
      </c>
      <c r="C590" s="114">
        <v>0.0003907717217680664</v>
      </c>
      <c r="D590" s="91" t="s">
        <v>3159</v>
      </c>
      <c r="E590" s="91" t="b">
        <v>0</v>
      </c>
      <c r="F590" s="91" t="b">
        <v>0</v>
      </c>
      <c r="G590" s="91" t="b">
        <v>0</v>
      </c>
    </row>
    <row r="591" spans="1:7" ht="15">
      <c r="A591" s="92" t="s">
        <v>3126</v>
      </c>
      <c r="B591" s="91">
        <v>2</v>
      </c>
      <c r="C591" s="114">
        <v>0.0003907717217680664</v>
      </c>
      <c r="D591" s="91" t="s">
        <v>3159</v>
      </c>
      <c r="E591" s="91" t="b">
        <v>0</v>
      </c>
      <c r="F591" s="91" t="b">
        <v>0</v>
      </c>
      <c r="G591" s="91" t="b">
        <v>0</v>
      </c>
    </row>
    <row r="592" spans="1:7" ht="15">
      <c r="A592" s="92" t="s">
        <v>3127</v>
      </c>
      <c r="B592" s="91">
        <v>2</v>
      </c>
      <c r="C592" s="114">
        <v>0.0003907717217680664</v>
      </c>
      <c r="D592" s="91" t="s">
        <v>3159</v>
      </c>
      <c r="E592" s="91" t="b">
        <v>0</v>
      </c>
      <c r="F592" s="91" t="b">
        <v>0</v>
      </c>
      <c r="G592" s="91" t="b">
        <v>0</v>
      </c>
    </row>
    <row r="593" spans="1:7" ht="15">
      <c r="A593" s="92" t="s">
        <v>3128</v>
      </c>
      <c r="B593" s="91">
        <v>2</v>
      </c>
      <c r="C593" s="114">
        <v>0.0003907717217680664</v>
      </c>
      <c r="D593" s="91" t="s">
        <v>3159</v>
      </c>
      <c r="E593" s="91" t="b">
        <v>0</v>
      </c>
      <c r="F593" s="91" t="b">
        <v>0</v>
      </c>
      <c r="G593" s="91" t="b">
        <v>0</v>
      </c>
    </row>
    <row r="594" spans="1:7" ht="15">
      <c r="A594" s="92" t="s">
        <v>3129</v>
      </c>
      <c r="B594" s="91">
        <v>2</v>
      </c>
      <c r="C594" s="114">
        <v>0.0003907717217680664</v>
      </c>
      <c r="D594" s="91" t="s">
        <v>3159</v>
      </c>
      <c r="E594" s="91" t="b">
        <v>0</v>
      </c>
      <c r="F594" s="91" t="b">
        <v>0</v>
      </c>
      <c r="G594" s="91" t="b">
        <v>0</v>
      </c>
    </row>
    <row r="595" spans="1:7" ht="15">
      <c r="A595" s="92" t="s">
        <v>3130</v>
      </c>
      <c r="B595" s="91">
        <v>2</v>
      </c>
      <c r="C595" s="114">
        <v>0.0003907717217680664</v>
      </c>
      <c r="D595" s="91" t="s">
        <v>3159</v>
      </c>
      <c r="E595" s="91" t="b">
        <v>0</v>
      </c>
      <c r="F595" s="91" t="b">
        <v>0</v>
      </c>
      <c r="G595" s="91" t="b">
        <v>0</v>
      </c>
    </row>
    <row r="596" spans="1:7" ht="15">
      <c r="A596" s="92" t="s">
        <v>3131</v>
      </c>
      <c r="B596" s="91">
        <v>2</v>
      </c>
      <c r="C596" s="114">
        <v>0.0003907717217680664</v>
      </c>
      <c r="D596" s="91" t="s">
        <v>3159</v>
      </c>
      <c r="E596" s="91" t="b">
        <v>0</v>
      </c>
      <c r="F596" s="91" t="b">
        <v>0</v>
      </c>
      <c r="G596" s="91" t="b">
        <v>0</v>
      </c>
    </row>
    <row r="597" spans="1:7" ht="15">
      <c r="A597" s="92" t="s">
        <v>3132</v>
      </c>
      <c r="B597" s="91">
        <v>2</v>
      </c>
      <c r="C597" s="114">
        <v>0.0003907717217680664</v>
      </c>
      <c r="D597" s="91" t="s">
        <v>3159</v>
      </c>
      <c r="E597" s="91" t="b">
        <v>0</v>
      </c>
      <c r="F597" s="91" t="b">
        <v>0</v>
      </c>
      <c r="G597" s="91" t="b">
        <v>0</v>
      </c>
    </row>
    <row r="598" spans="1:7" ht="15">
      <c r="A598" s="92" t="s">
        <v>3133</v>
      </c>
      <c r="B598" s="91">
        <v>2</v>
      </c>
      <c r="C598" s="114">
        <v>0.0003907717217680664</v>
      </c>
      <c r="D598" s="91" t="s">
        <v>3159</v>
      </c>
      <c r="E598" s="91" t="b">
        <v>0</v>
      </c>
      <c r="F598" s="91" t="b">
        <v>0</v>
      </c>
      <c r="G598" s="91" t="b">
        <v>0</v>
      </c>
    </row>
    <row r="599" spans="1:7" ht="15">
      <c r="A599" s="92" t="s">
        <v>3134</v>
      </c>
      <c r="B599" s="91">
        <v>2</v>
      </c>
      <c r="C599" s="114">
        <v>0.0003907717217680664</v>
      </c>
      <c r="D599" s="91" t="s">
        <v>3159</v>
      </c>
      <c r="E599" s="91" t="b">
        <v>0</v>
      </c>
      <c r="F599" s="91" t="b">
        <v>0</v>
      </c>
      <c r="G599" s="91" t="b">
        <v>0</v>
      </c>
    </row>
    <row r="600" spans="1:7" ht="15">
      <c r="A600" s="92" t="s">
        <v>3135</v>
      </c>
      <c r="B600" s="91">
        <v>2</v>
      </c>
      <c r="C600" s="114">
        <v>0.0003907717217680664</v>
      </c>
      <c r="D600" s="91" t="s">
        <v>3159</v>
      </c>
      <c r="E600" s="91" t="b">
        <v>0</v>
      </c>
      <c r="F600" s="91" t="b">
        <v>0</v>
      </c>
      <c r="G600" s="91" t="b">
        <v>0</v>
      </c>
    </row>
    <row r="601" spans="1:7" ht="15">
      <c r="A601" s="92" t="s">
        <v>3136</v>
      </c>
      <c r="B601" s="91">
        <v>2</v>
      </c>
      <c r="C601" s="114">
        <v>0.0003907717217680664</v>
      </c>
      <c r="D601" s="91" t="s">
        <v>3159</v>
      </c>
      <c r="E601" s="91" t="b">
        <v>0</v>
      </c>
      <c r="F601" s="91" t="b">
        <v>0</v>
      </c>
      <c r="G601" s="91" t="b">
        <v>0</v>
      </c>
    </row>
    <row r="602" spans="1:7" ht="15">
      <c r="A602" s="92" t="s">
        <v>3137</v>
      </c>
      <c r="B602" s="91">
        <v>2</v>
      </c>
      <c r="C602" s="114">
        <v>0.0003907717217680664</v>
      </c>
      <c r="D602" s="91" t="s">
        <v>3159</v>
      </c>
      <c r="E602" s="91" t="b">
        <v>0</v>
      </c>
      <c r="F602" s="91" t="b">
        <v>0</v>
      </c>
      <c r="G602" s="91" t="b">
        <v>0</v>
      </c>
    </row>
    <row r="603" spans="1:7" ht="15">
      <c r="A603" s="92" t="s">
        <v>3138</v>
      </c>
      <c r="B603" s="91">
        <v>2</v>
      </c>
      <c r="C603" s="114">
        <v>0.0003907717217680664</v>
      </c>
      <c r="D603" s="91" t="s">
        <v>3159</v>
      </c>
      <c r="E603" s="91" t="b">
        <v>0</v>
      </c>
      <c r="F603" s="91" t="b">
        <v>0</v>
      </c>
      <c r="G603" s="91" t="b">
        <v>0</v>
      </c>
    </row>
    <row r="604" spans="1:7" ht="15">
      <c r="A604" s="92" t="s">
        <v>3139</v>
      </c>
      <c r="B604" s="91">
        <v>2</v>
      </c>
      <c r="C604" s="114">
        <v>0.0003907717217680664</v>
      </c>
      <c r="D604" s="91" t="s">
        <v>3159</v>
      </c>
      <c r="E604" s="91" t="b">
        <v>0</v>
      </c>
      <c r="F604" s="91" t="b">
        <v>0</v>
      </c>
      <c r="G604" s="91" t="b">
        <v>0</v>
      </c>
    </row>
    <row r="605" spans="1:7" ht="15">
      <c r="A605" s="92" t="s">
        <v>3140</v>
      </c>
      <c r="B605" s="91">
        <v>2</v>
      </c>
      <c r="C605" s="114">
        <v>0.0003907717217680664</v>
      </c>
      <c r="D605" s="91" t="s">
        <v>3159</v>
      </c>
      <c r="E605" s="91" t="b">
        <v>0</v>
      </c>
      <c r="F605" s="91" t="b">
        <v>0</v>
      </c>
      <c r="G605" s="91" t="b">
        <v>0</v>
      </c>
    </row>
    <row r="606" spans="1:7" ht="15">
      <c r="A606" s="92" t="s">
        <v>3141</v>
      </c>
      <c r="B606" s="91">
        <v>2</v>
      </c>
      <c r="C606" s="114">
        <v>0.0003907717217680664</v>
      </c>
      <c r="D606" s="91" t="s">
        <v>3159</v>
      </c>
      <c r="E606" s="91" t="b">
        <v>0</v>
      </c>
      <c r="F606" s="91" t="b">
        <v>0</v>
      </c>
      <c r="G606" s="91" t="b">
        <v>0</v>
      </c>
    </row>
    <row r="607" spans="1:7" ht="15">
      <c r="A607" s="92" t="s">
        <v>3142</v>
      </c>
      <c r="B607" s="91">
        <v>2</v>
      </c>
      <c r="C607" s="114">
        <v>0.0003907717217680664</v>
      </c>
      <c r="D607" s="91" t="s">
        <v>3159</v>
      </c>
      <c r="E607" s="91" t="b">
        <v>0</v>
      </c>
      <c r="F607" s="91" t="b">
        <v>0</v>
      </c>
      <c r="G607" s="91" t="b">
        <v>0</v>
      </c>
    </row>
    <row r="608" spans="1:7" ht="15">
      <c r="A608" s="92" t="s">
        <v>3143</v>
      </c>
      <c r="B608" s="91">
        <v>2</v>
      </c>
      <c r="C608" s="114">
        <v>0.0003907717217680664</v>
      </c>
      <c r="D608" s="91" t="s">
        <v>3159</v>
      </c>
      <c r="E608" s="91" t="b">
        <v>0</v>
      </c>
      <c r="F608" s="91" t="b">
        <v>0</v>
      </c>
      <c r="G608" s="91" t="b">
        <v>0</v>
      </c>
    </row>
    <row r="609" spans="1:7" ht="15">
      <c r="A609" s="92" t="s">
        <v>3144</v>
      </c>
      <c r="B609" s="91">
        <v>2</v>
      </c>
      <c r="C609" s="114">
        <v>0.0003907717217680664</v>
      </c>
      <c r="D609" s="91" t="s">
        <v>3159</v>
      </c>
      <c r="E609" s="91" t="b">
        <v>0</v>
      </c>
      <c r="F609" s="91" t="b">
        <v>0</v>
      </c>
      <c r="G609" s="91" t="b">
        <v>0</v>
      </c>
    </row>
    <row r="610" spans="1:7" ht="15">
      <c r="A610" s="92" t="s">
        <v>3145</v>
      </c>
      <c r="B610" s="91">
        <v>2</v>
      </c>
      <c r="C610" s="114">
        <v>0.0003907717217680664</v>
      </c>
      <c r="D610" s="91" t="s">
        <v>3159</v>
      </c>
      <c r="E610" s="91" t="b">
        <v>0</v>
      </c>
      <c r="F610" s="91" t="b">
        <v>0</v>
      </c>
      <c r="G610" s="91" t="b">
        <v>0</v>
      </c>
    </row>
    <row r="611" spans="1:7" ht="15">
      <c r="A611" s="92" t="s">
        <v>3146</v>
      </c>
      <c r="B611" s="91">
        <v>2</v>
      </c>
      <c r="C611" s="114">
        <v>0.0003907717217680664</v>
      </c>
      <c r="D611" s="91" t="s">
        <v>3159</v>
      </c>
      <c r="E611" s="91" t="b">
        <v>0</v>
      </c>
      <c r="F611" s="91" t="b">
        <v>0</v>
      </c>
      <c r="G611" s="91" t="b">
        <v>0</v>
      </c>
    </row>
    <row r="612" spans="1:7" ht="15">
      <c r="A612" s="92" t="s">
        <v>3147</v>
      </c>
      <c r="B612" s="91">
        <v>2</v>
      </c>
      <c r="C612" s="114">
        <v>0.0003907717217680664</v>
      </c>
      <c r="D612" s="91" t="s">
        <v>3159</v>
      </c>
      <c r="E612" s="91" t="b">
        <v>0</v>
      </c>
      <c r="F612" s="91" t="b">
        <v>0</v>
      </c>
      <c r="G612" s="91" t="b">
        <v>0</v>
      </c>
    </row>
    <row r="613" spans="1:7" ht="15">
      <c r="A613" s="92" t="s">
        <v>3148</v>
      </c>
      <c r="B613" s="91">
        <v>2</v>
      </c>
      <c r="C613" s="114">
        <v>0.0003907717217680664</v>
      </c>
      <c r="D613" s="91" t="s">
        <v>3159</v>
      </c>
      <c r="E613" s="91" t="b">
        <v>0</v>
      </c>
      <c r="F613" s="91" t="b">
        <v>0</v>
      </c>
      <c r="G613" s="91" t="b">
        <v>0</v>
      </c>
    </row>
    <row r="614" spans="1:7" ht="15">
      <c r="A614" s="92" t="s">
        <v>3149</v>
      </c>
      <c r="B614" s="91">
        <v>2</v>
      </c>
      <c r="C614" s="114">
        <v>0.0003907717217680664</v>
      </c>
      <c r="D614" s="91" t="s">
        <v>3159</v>
      </c>
      <c r="E614" s="91" t="b">
        <v>0</v>
      </c>
      <c r="F614" s="91" t="b">
        <v>0</v>
      </c>
      <c r="G614" s="91" t="b">
        <v>0</v>
      </c>
    </row>
    <row r="615" spans="1:7" ht="15">
      <c r="A615" s="92" t="s">
        <v>3150</v>
      </c>
      <c r="B615" s="91">
        <v>2</v>
      </c>
      <c r="C615" s="114">
        <v>0.0003907717217680664</v>
      </c>
      <c r="D615" s="91" t="s">
        <v>3159</v>
      </c>
      <c r="E615" s="91" t="b">
        <v>0</v>
      </c>
      <c r="F615" s="91" t="b">
        <v>0</v>
      </c>
      <c r="G615" s="91" t="b">
        <v>0</v>
      </c>
    </row>
    <row r="616" spans="1:7" ht="15">
      <c r="A616" s="92" t="s">
        <v>3151</v>
      </c>
      <c r="B616" s="91">
        <v>2</v>
      </c>
      <c r="C616" s="114">
        <v>0.0003907717217680664</v>
      </c>
      <c r="D616" s="91" t="s">
        <v>3159</v>
      </c>
      <c r="E616" s="91" t="b">
        <v>0</v>
      </c>
      <c r="F616" s="91" t="b">
        <v>0</v>
      </c>
      <c r="G616" s="91" t="b">
        <v>0</v>
      </c>
    </row>
    <row r="617" spans="1:7" ht="15">
      <c r="A617" s="92" t="s">
        <v>3152</v>
      </c>
      <c r="B617" s="91">
        <v>2</v>
      </c>
      <c r="C617" s="114">
        <v>0.0003907717217680664</v>
      </c>
      <c r="D617" s="91" t="s">
        <v>3159</v>
      </c>
      <c r="E617" s="91" t="b">
        <v>0</v>
      </c>
      <c r="F617" s="91" t="b">
        <v>0</v>
      </c>
      <c r="G617" s="91" t="b">
        <v>0</v>
      </c>
    </row>
    <row r="618" spans="1:7" ht="15">
      <c r="A618" s="92" t="s">
        <v>3153</v>
      </c>
      <c r="B618" s="91">
        <v>2</v>
      </c>
      <c r="C618" s="114">
        <v>0.0003907717217680664</v>
      </c>
      <c r="D618" s="91" t="s">
        <v>3159</v>
      </c>
      <c r="E618" s="91" t="b">
        <v>0</v>
      </c>
      <c r="F618" s="91" t="b">
        <v>0</v>
      </c>
      <c r="G618" s="91" t="b">
        <v>0</v>
      </c>
    </row>
    <row r="619" spans="1:7" ht="15">
      <c r="A619" s="92" t="s">
        <v>2564</v>
      </c>
      <c r="B619" s="91">
        <v>180</v>
      </c>
      <c r="C619" s="114">
        <v>0</v>
      </c>
      <c r="D619" s="91" t="s">
        <v>2518</v>
      </c>
      <c r="E619" s="91" t="b">
        <v>0</v>
      </c>
      <c r="F619" s="91" t="b">
        <v>0</v>
      </c>
      <c r="G619" s="91" t="b">
        <v>0</v>
      </c>
    </row>
    <row r="620" spans="1:7" ht="15">
      <c r="A620" s="92" t="s">
        <v>2566</v>
      </c>
      <c r="B620" s="91">
        <v>158</v>
      </c>
      <c r="C620" s="114">
        <v>0.0016804877075941365</v>
      </c>
      <c r="D620" s="91" t="s">
        <v>2518</v>
      </c>
      <c r="E620" s="91" t="b">
        <v>0</v>
      </c>
      <c r="F620" s="91" t="b">
        <v>0</v>
      </c>
      <c r="G620" s="91" t="b">
        <v>0</v>
      </c>
    </row>
    <row r="621" spans="1:7" ht="15">
      <c r="A621" s="92" t="s">
        <v>2570</v>
      </c>
      <c r="B621" s="91">
        <v>158</v>
      </c>
      <c r="C621" s="114">
        <v>0.0016804877075941365</v>
      </c>
      <c r="D621" s="91" t="s">
        <v>2518</v>
      </c>
      <c r="E621" s="91" t="b">
        <v>0</v>
      </c>
      <c r="F621" s="91" t="b">
        <v>0</v>
      </c>
      <c r="G621" s="91" t="b">
        <v>0</v>
      </c>
    </row>
    <row r="622" spans="1:7" ht="15">
      <c r="A622" s="92" t="s">
        <v>2567</v>
      </c>
      <c r="B622" s="91">
        <v>137</v>
      </c>
      <c r="C622" s="114">
        <v>0.0038107396876563907</v>
      </c>
      <c r="D622" s="91" t="s">
        <v>2518</v>
      </c>
      <c r="E622" s="91" t="b">
        <v>0</v>
      </c>
      <c r="F622" s="91" t="b">
        <v>0</v>
      </c>
      <c r="G622" s="91" t="b">
        <v>0</v>
      </c>
    </row>
    <row r="623" spans="1:7" ht="15">
      <c r="A623" s="92" t="s">
        <v>2565</v>
      </c>
      <c r="B623" s="91">
        <v>133</v>
      </c>
      <c r="C623" s="114">
        <v>0.003283669909847322</v>
      </c>
      <c r="D623" s="91" t="s">
        <v>2518</v>
      </c>
      <c r="E623" s="91" t="b">
        <v>0</v>
      </c>
      <c r="F623" s="91" t="b">
        <v>0</v>
      </c>
      <c r="G623" s="91" t="b">
        <v>0</v>
      </c>
    </row>
    <row r="624" spans="1:7" ht="15">
      <c r="A624" s="92" t="s">
        <v>2575</v>
      </c>
      <c r="B624" s="91">
        <v>116</v>
      </c>
      <c r="C624" s="114">
        <v>0.0041582723730341845</v>
      </c>
      <c r="D624" s="91" t="s">
        <v>2518</v>
      </c>
      <c r="E624" s="91" t="b">
        <v>0</v>
      </c>
      <c r="F624" s="91" t="b">
        <v>0</v>
      </c>
      <c r="G624" s="91" t="b">
        <v>0</v>
      </c>
    </row>
    <row r="625" spans="1:7" ht="15">
      <c r="A625" s="92" t="s">
        <v>2574</v>
      </c>
      <c r="B625" s="91">
        <v>114</v>
      </c>
      <c r="C625" s="114">
        <v>0.004248339757546312</v>
      </c>
      <c r="D625" s="91" t="s">
        <v>2518</v>
      </c>
      <c r="E625" s="91" t="b">
        <v>0</v>
      </c>
      <c r="F625" s="91" t="b">
        <v>0</v>
      </c>
      <c r="G625" s="91" t="b">
        <v>0</v>
      </c>
    </row>
    <row r="626" spans="1:7" ht="15">
      <c r="A626" s="92" t="s">
        <v>2568</v>
      </c>
      <c r="B626" s="91">
        <v>107</v>
      </c>
      <c r="C626" s="114">
        <v>0.005859263670877201</v>
      </c>
      <c r="D626" s="91" t="s">
        <v>2518</v>
      </c>
      <c r="E626" s="91" t="b">
        <v>0</v>
      </c>
      <c r="F626" s="91" t="b">
        <v>0</v>
      </c>
      <c r="G626" s="91" t="b">
        <v>0</v>
      </c>
    </row>
    <row r="627" spans="1:7" ht="15">
      <c r="A627" s="92" t="s">
        <v>2581</v>
      </c>
      <c r="B627" s="91">
        <v>90</v>
      </c>
      <c r="C627" s="114">
        <v>0.00508974255302617</v>
      </c>
      <c r="D627" s="91" t="s">
        <v>2518</v>
      </c>
      <c r="E627" s="91" t="b">
        <v>0</v>
      </c>
      <c r="F627" s="91" t="b">
        <v>0</v>
      </c>
      <c r="G627" s="91" t="b">
        <v>0</v>
      </c>
    </row>
    <row r="628" spans="1:7" ht="15">
      <c r="A628" s="92" t="s">
        <v>2571</v>
      </c>
      <c r="B628" s="91">
        <v>90</v>
      </c>
      <c r="C628" s="114">
        <v>0.00508974255302617</v>
      </c>
      <c r="D628" s="91" t="s">
        <v>2518</v>
      </c>
      <c r="E628" s="91" t="b">
        <v>0</v>
      </c>
      <c r="F628" s="91" t="b">
        <v>0</v>
      </c>
      <c r="G628" s="91" t="b">
        <v>0</v>
      </c>
    </row>
    <row r="629" spans="1:7" ht="15">
      <c r="A629" s="92" t="s">
        <v>2576</v>
      </c>
      <c r="B629" s="91">
        <v>81</v>
      </c>
      <c r="C629" s="114">
        <v>0.00527705924933255</v>
      </c>
      <c r="D629" s="91" t="s">
        <v>2518</v>
      </c>
      <c r="E629" s="91" t="b">
        <v>0</v>
      </c>
      <c r="F629" s="91" t="b">
        <v>0</v>
      </c>
      <c r="G629" s="91" t="b">
        <v>0</v>
      </c>
    </row>
    <row r="630" spans="1:7" ht="15">
      <c r="A630" s="92" t="s">
        <v>2584</v>
      </c>
      <c r="B630" s="91">
        <v>80</v>
      </c>
      <c r="C630" s="114">
        <v>0.005292992945502348</v>
      </c>
      <c r="D630" s="91" t="s">
        <v>2518</v>
      </c>
      <c r="E630" s="91" t="b">
        <v>0</v>
      </c>
      <c r="F630" s="91" t="b">
        <v>0</v>
      </c>
      <c r="G630" s="91" t="b">
        <v>0</v>
      </c>
    </row>
    <row r="631" spans="1:7" ht="15">
      <c r="A631" s="92" t="s">
        <v>2587</v>
      </c>
      <c r="B631" s="91">
        <v>70</v>
      </c>
      <c r="C631" s="114">
        <v>0.005905781923418997</v>
      </c>
      <c r="D631" s="91" t="s">
        <v>2518</v>
      </c>
      <c r="E631" s="91" t="b">
        <v>0</v>
      </c>
      <c r="F631" s="91" t="b">
        <v>0</v>
      </c>
      <c r="G631" s="91" t="b">
        <v>0</v>
      </c>
    </row>
    <row r="632" spans="1:7" ht="15">
      <c r="A632" s="92" t="s">
        <v>2592</v>
      </c>
      <c r="B632" s="91">
        <v>63</v>
      </c>
      <c r="C632" s="114">
        <v>0.005396151269196438</v>
      </c>
      <c r="D632" s="91" t="s">
        <v>2518</v>
      </c>
      <c r="E632" s="91" t="b">
        <v>0</v>
      </c>
      <c r="F632" s="91" t="b">
        <v>0</v>
      </c>
      <c r="G632" s="91" t="b">
        <v>0</v>
      </c>
    </row>
    <row r="633" spans="1:7" ht="15">
      <c r="A633" s="92" t="s">
        <v>2585</v>
      </c>
      <c r="B633" s="91">
        <v>63</v>
      </c>
      <c r="C633" s="114">
        <v>0.005396151269196438</v>
      </c>
      <c r="D633" s="91" t="s">
        <v>2518</v>
      </c>
      <c r="E633" s="91" t="b">
        <v>0</v>
      </c>
      <c r="F633" s="91" t="b">
        <v>0</v>
      </c>
      <c r="G633" s="91" t="b">
        <v>0</v>
      </c>
    </row>
    <row r="634" spans="1:7" ht="15">
      <c r="A634" s="92" t="s">
        <v>2586</v>
      </c>
      <c r="B634" s="91">
        <v>62</v>
      </c>
      <c r="C634" s="114">
        <v>0.005391435387471959</v>
      </c>
      <c r="D634" s="91" t="s">
        <v>2518</v>
      </c>
      <c r="E634" s="91" t="b">
        <v>0</v>
      </c>
      <c r="F634" s="91" t="b">
        <v>0</v>
      </c>
      <c r="G634" s="91" t="b">
        <v>0</v>
      </c>
    </row>
    <row r="635" spans="1:7" ht="15">
      <c r="A635" s="92" t="s">
        <v>2579</v>
      </c>
      <c r="B635" s="91">
        <v>62</v>
      </c>
      <c r="C635" s="114">
        <v>0.005391435387471959</v>
      </c>
      <c r="D635" s="91" t="s">
        <v>2518</v>
      </c>
      <c r="E635" s="91" t="b">
        <v>0</v>
      </c>
      <c r="F635" s="91" t="b">
        <v>0</v>
      </c>
      <c r="G635" s="91" t="b">
        <v>0</v>
      </c>
    </row>
    <row r="636" spans="1:7" ht="15">
      <c r="A636" s="92" t="s">
        <v>2577</v>
      </c>
      <c r="B636" s="91">
        <v>59</v>
      </c>
      <c r="C636" s="114">
        <v>0.007240191304291805</v>
      </c>
      <c r="D636" s="91" t="s">
        <v>2518</v>
      </c>
      <c r="E636" s="91" t="b">
        <v>0</v>
      </c>
      <c r="F636" s="91" t="b">
        <v>0</v>
      </c>
      <c r="G636" s="91" t="b">
        <v>0</v>
      </c>
    </row>
    <row r="637" spans="1:7" ht="15">
      <c r="A637" s="92" t="s">
        <v>2573</v>
      </c>
      <c r="B637" s="91">
        <v>56</v>
      </c>
      <c r="C637" s="114">
        <v>0.005334723045921082</v>
      </c>
      <c r="D637" s="91" t="s">
        <v>2518</v>
      </c>
      <c r="E637" s="91" t="b">
        <v>0</v>
      </c>
      <c r="F637" s="91" t="b">
        <v>0</v>
      </c>
      <c r="G637" s="91" t="b">
        <v>0</v>
      </c>
    </row>
    <row r="638" spans="1:7" ht="15">
      <c r="A638" s="92" t="s">
        <v>2595</v>
      </c>
      <c r="B638" s="91">
        <v>55</v>
      </c>
      <c r="C638" s="114">
        <v>0.0053203155849142255</v>
      </c>
      <c r="D638" s="91" t="s">
        <v>2518</v>
      </c>
      <c r="E638" s="91" t="b">
        <v>0</v>
      </c>
      <c r="F638" s="91" t="b">
        <v>0</v>
      </c>
      <c r="G638" s="91" t="b">
        <v>0</v>
      </c>
    </row>
    <row r="639" spans="1:7" ht="15">
      <c r="A639" s="92" t="s">
        <v>2596</v>
      </c>
      <c r="B639" s="91">
        <v>55</v>
      </c>
      <c r="C639" s="114">
        <v>0.0053203155849142255</v>
      </c>
      <c r="D639" s="91" t="s">
        <v>2518</v>
      </c>
      <c r="E639" s="91" t="b">
        <v>0</v>
      </c>
      <c r="F639" s="91" t="b">
        <v>0</v>
      </c>
      <c r="G639" s="91" t="b">
        <v>0</v>
      </c>
    </row>
    <row r="640" spans="1:7" ht="15">
      <c r="A640" s="92" t="s">
        <v>2597</v>
      </c>
      <c r="B640" s="91">
        <v>55</v>
      </c>
      <c r="C640" s="114">
        <v>0.0053203155849142255</v>
      </c>
      <c r="D640" s="91" t="s">
        <v>2518</v>
      </c>
      <c r="E640" s="91" t="b">
        <v>0</v>
      </c>
      <c r="F640" s="91" t="b">
        <v>0</v>
      </c>
      <c r="G640" s="91" t="b">
        <v>0</v>
      </c>
    </row>
    <row r="641" spans="1:7" ht="15">
      <c r="A641" s="92" t="s">
        <v>2598</v>
      </c>
      <c r="B641" s="91">
        <v>55</v>
      </c>
      <c r="C641" s="114">
        <v>0.0053203155849142255</v>
      </c>
      <c r="D641" s="91" t="s">
        <v>2518</v>
      </c>
      <c r="E641" s="91" t="b">
        <v>0</v>
      </c>
      <c r="F641" s="91" t="b">
        <v>0</v>
      </c>
      <c r="G641" s="91" t="b">
        <v>0</v>
      </c>
    </row>
    <row r="642" spans="1:7" ht="15">
      <c r="A642" s="92" t="s">
        <v>2599</v>
      </c>
      <c r="B642" s="91">
        <v>55</v>
      </c>
      <c r="C642" s="114">
        <v>0.0053203155849142255</v>
      </c>
      <c r="D642" s="91" t="s">
        <v>2518</v>
      </c>
      <c r="E642" s="91" t="b">
        <v>0</v>
      </c>
      <c r="F642" s="91" t="b">
        <v>0</v>
      </c>
      <c r="G642" s="91" t="b">
        <v>0</v>
      </c>
    </row>
    <row r="643" spans="1:7" ht="15">
      <c r="A643" s="92" t="s">
        <v>2600</v>
      </c>
      <c r="B643" s="91">
        <v>55</v>
      </c>
      <c r="C643" s="114">
        <v>0.0053203155849142255</v>
      </c>
      <c r="D643" s="91" t="s">
        <v>2518</v>
      </c>
      <c r="E643" s="91" t="b">
        <v>0</v>
      </c>
      <c r="F643" s="91" t="b">
        <v>0</v>
      </c>
      <c r="G643" s="91" t="b">
        <v>0</v>
      </c>
    </row>
    <row r="644" spans="1:7" ht="15">
      <c r="A644" s="92" t="s">
        <v>2601</v>
      </c>
      <c r="B644" s="91">
        <v>55</v>
      </c>
      <c r="C644" s="114">
        <v>0.0053203155849142255</v>
      </c>
      <c r="D644" s="91" t="s">
        <v>2518</v>
      </c>
      <c r="E644" s="91" t="b">
        <v>0</v>
      </c>
      <c r="F644" s="91" t="b">
        <v>0</v>
      </c>
      <c r="G644" s="91" t="b">
        <v>0</v>
      </c>
    </row>
    <row r="645" spans="1:7" ht="15">
      <c r="A645" s="92" t="s">
        <v>2602</v>
      </c>
      <c r="B645" s="91">
        <v>55</v>
      </c>
      <c r="C645" s="114">
        <v>0.0053203155849142255</v>
      </c>
      <c r="D645" s="91" t="s">
        <v>2518</v>
      </c>
      <c r="E645" s="91" t="b">
        <v>0</v>
      </c>
      <c r="F645" s="91" t="b">
        <v>0</v>
      </c>
      <c r="G645" s="91" t="b">
        <v>0</v>
      </c>
    </row>
    <row r="646" spans="1:7" ht="15">
      <c r="A646" s="92" t="s">
        <v>2603</v>
      </c>
      <c r="B646" s="91">
        <v>55</v>
      </c>
      <c r="C646" s="114">
        <v>0.0053203155849142255</v>
      </c>
      <c r="D646" s="91" t="s">
        <v>2518</v>
      </c>
      <c r="E646" s="91" t="b">
        <v>0</v>
      </c>
      <c r="F646" s="91" t="b">
        <v>0</v>
      </c>
      <c r="G646" s="91" t="b">
        <v>0</v>
      </c>
    </row>
    <row r="647" spans="1:7" ht="15">
      <c r="A647" s="92" t="s">
        <v>2604</v>
      </c>
      <c r="B647" s="91">
        <v>55</v>
      </c>
      <c r="C647" s="114">
        <v>0.0053203155849142255</v>
      </c>
      <c r="D647" s="91" t="s">
        <v>2518</v>
      </c>
      <c r="E647" s="91" t="b">
        <v>0</v>
      </c>
      <c r="F647" s="91" t="b">
        <v>0</v>
      </c>
      <c r="G647" s="91" t="b">
        <v>0</v>
      </c>
    </row>
    <row r="648" spans="1:7" ht="15">
      <c r="A648" s="92" t="s">
        <v>2593</v>
      </c>
      <c r="B648" s="91">
        <v>55</v>
      </c>
      <c r="C648" s="114">
        <v>0.0053203155849142255</v>
      </c>
      <c r="D648" s="91" t="s">
        <v>2518</v>
      </c>
      <c r="E648" s="91" t="b">
        <v>0</v>
      </c>
      <c r="F648" s="91" t="b">
        <v>0</v>
      </c>
      <c r="G648" s="91" t="b">
        <v>0</v>
      </c>
    </row>
    <row r="649" spans="1:7" ht="15">
      <c r="A649" s="92" t="s">
        <v>2605</v>
      </c>
      <c r="B649" s="91">
        <v>55</v>
      </c>
      <c r="C649" s="114">
        <v>0.0053203155849142255</v>
      </c>
      <c r="D649" s="91" t="s">
        <v>2518</v>
      </c>
      <c r="E649" s="91" t="b">
        <v>0</v>
      </c>
      <c r="F649" s="91" t="b">
        <v>0</v>
      </c>
      <c r="G649" s="91" t="b">
        <v>0</v>
      </c>
    </row>
    <row r="650" spans="1:7" ht="15">
      <c r="A650" s="92" t="s">
        <v>2606</v>
      </c>
      <c r="B650" s="91">
        <v>55</v>
      </c>
      <c r="C650" s="114">
        <v>0.0053203155849142255</v>
      </c>
      <c r="D650" s="91" t="s">
        <v>2518</v>
      </c>
      <c r="E650" s="91" t="b">
        <v>0</v>
      </c>
      <c r="F650" s="91" t="b">
        <v>0</v>
      </c>
      <c r="G650" s="91" t="b">
        <v>0</v>
      </c>
    </row>
    <row r="651" spans="1:7" ht="15">
      <c r="A651" s="92" t="s">
        <v>2569</v>
      </c>
      <c r="B651" s="91">
        <v>53</v>
      </c>
      <c r="C651" s="114">
        <v>0.0052870226717327455</v>
      </c>
      <c r="D651" s="91" t="s">
        <v>2518</v>
      </c>
      <c r="E651" s="91" t="b">
        <v>0</v>
      </c>
      <c r="F651" s="91" t="b">
        <v>0</v>
      </c>
      <c r="G651" s="91" t="b">
        <v>0</v>
      </c>
    </row>
    <row r="652" spans="1:7" ht="15">
      <c r="A652" s="92" t="s">
        <v>2572</v>
      </c>
      <c r="B652" s="91">
        <v>51</v>
      </c>
      <c r="C652" s="114">
        <v>0.005247570689324413</v>
      </c>
      <c r="D652" s="91" t="s">
        <v>2518</v>
      </c>
      <c r="E652" s="91" t="b">
        <v>0</v>
      </c>
      <c r="F652" s="91" t="b">
        <v>0</v>
      </c>
      <c r="G652" s="91" t="b">
        <v>0</v>
      </c>
    </row>
    <row r="653" spans="1:7" ht="15">
      <c r="A653" s="92" t="s">
        <v>2578</v>
      </c>
      <c r="B653" s="91">
        <v>51</v>
      </c>
      <c r="C653" s="114">
        <v>0.005247570689324413</v>
      </c>
      <c r="D653" s="91" t="s">
        <v>2518</v>
      </c>
      <c r="E653" s="91" t="b">
        <v>0</v>
      </c>
      <c r="F653" s="91" t="b">
        <v>0</v>
      </c>
      <c r="G653" s="91" t="b">
        <v>0</v>
      </c>
    </row>
    <row r="654" spans="1:7" ht="15">
      <c r="A654" s="92" t="s">
        <v>2611</v>
      </c>
      <c r="B654" s="91">
        <v>51</v>
      </c>
      <c r="C654" s="114">
        <v>0.005247570689324413</v>
      </c>
      <c r="D654" s="91" t="s">
        <v>2518</v>
      </c>
      <c r="E654" s="91" t="b">
        <v>0</v>
      </c>
      <c r="F654" s="91" t="b">
        <v>0</v>
      </c>
      <c r="G654" s="91" t="b">
        <v>0</v>
      </c>
    </row>
    <row r="655" spans="1:7" ht="15">
      <c r="A655" s="92" t="s">
        <v>2580</v>
      </c>
      <c r="B655" s="91">
        <v>45</v>
      </c>
      <c r="C655" s="114">
        <v>0.00571050176251969</v>
      </c>
      <c r="D655" s="91" t="s">
        <v>2518</v>
      </c>
      <c r="E655" s="91" t="b">
        <v>0</v>
      </c>
      <c r="F655" s="91" t="b">
        <v>0</v>
      </c>
      <c r="G655" s="91" t="b">
        <v>0</v>
      </c>
    </row>
    <row r="656" spans="1:7" ht="15">
      <c r="A656" s="92" t="s">
        <v>2613</v>
      </c>
      <c r="B656" s="91">
        <v>42</v>
      </c>
      <c r="C656" s="114">
        <v>0.004986844827658658</v>
      </c>
      <c r="D656" s="91" t="s">
        <v>2518</v>
      </c>
      <c r="E656" s="91" t="b">
        <v>0</v>
      </c>
      <c r="F656" s="91" t="b">
        <v>0</v>
      </c>
      <c r="G656" s="91" t="b">
        <v>0</v>
      </c>
    </row>
    <row r="657" spans="1:7" ht="15">
      <c r="A657" s="92" t="s">
        <v>2583</v>
      </c>
      <c r="B657" s="91">
        <v>41</v>
      </c>
      <c r="C657" s="114">
        <v>0.004948719628729362</v>
      </c>
      <c r="D657" s="91" t="s">
        <v>2518</v>
      </c>
      <c r="E657" s="91" t="b">
        <v>0</v>
      </c>
      <c r="F657" s="91" t="b">
        <v>0</v>
      </c>
      <c r="G657" s="91" t="b">
        <v>0</v>
      </c>
    </row>
    <row r="658" spans="1:7" ht="15">
      <c r="A658" s="92" t="s">
        <v>2614</v>
      </c>
      <c r="B658" s="91">
        <v>41</v>
      </c>
      <c r="C658" s="114">
        <v>0.004948719628729362</v>
      </c>
      <c r="D658" s="91" t="s">
        <v>2518</v>
      </c>
      <c r="E658" s="91" t="b">
        <v>0</v>
      </c>
      <c r="F658" s="91" t="b">
        <v>0</v>
      </c>
      <c r="G658" s="91" t="b">
        <v>0</v>
      </c>
    </row>
    <row r="659" spans="1:7" ht="15">
      <c r="A659" s="92" t="s">
        <v>2607</v>
      </c>
      <c r="B659" s="91">
        <v>36</v>
      </c>
      <c r="C659" s="114">
        <v>0.0059181299045841075</v>
      </c>
      <c r="D659" s="91" t="s">
        <v>2518</v>
      </c>
      <c r="E659" s="91" t="b">
        <v>0</v>
      </c>
      <c r="F659" s="91" t="b">
        <v>0</v>
      </c>
      <c r="G659" s="91" t="b">
        <v>0</v>
      </c>
    </row>
    <row r="660" spans="1:7" ht="15">
      <c r="A660" s="92" t="s">
        <v>2617</v>
      </c>
      <c r="B660" s="91">
        <v>36</v>
      </c>
      <c r="C660" s="114">
        <v>0.004727206491846079</v>
      </c>
      <c r="D660" s="91" t="s">
        <v>2518</v>
      </c>
      <c r="E660" s="91" t="b">
        <v>0</v>
      </c>
      <c r="F660" s="91" t="b">
        <v>0</v>
      </c>
      <c r="G660" s="91" t="b">
        <v>0</v>
      </c>
    </row>
    <row r="661" spans="1:7" ht="15">
      <c r="A661" s="92" t="s">
        <v>2632</v>
      </c>
      <c r="B661" s="91">
        <v>36</v>
      </c>
      <c r="C661" s="114">
        <v>0.004727206491846079</v>
      </c>
      <c r="D661" s="91" t="s">
        <v>2518</v>
      </c>
      <c r="E661" s="91" t="b">
        <v>0</v>
      </c>
      <c r="F661" s="91" t="b">
        <v>0</v>
      </c>
      <c r="G661" s="91" t="b">
        <v>0</v>
      </c>
    </row>
    <row r="662" spans="1:7" ht="15">
      <c r="A662" s="92" t="s">
        <v>2615</v>
      </c>
      <c r="B662" s="91">
        <v>35</v>
      </c>
      <c r="C662" s="114">
        <v>0.004676339681825299</v>
      </c>
      <c r="D662" s="91" t="s">
        <v>2518</v>
      </c>
      <c r="E662" s="91" t="b">
        <v>0</v>
      </c>
      <c r="F662" s="91" t="b">
        <v>0</v>
      </c>
      <c r="G662" s="91" t="b">
        <v>0</v>
      </c>
    </row>
    <row r="663" spans="1:7" ht="15">
      <c r="A663" s="92" t="s">
        <v>2640</v>
      </c>
      <c r="B663" s="91">
        <v>34</v>
      </c>
      <c r="C663" s="114">
        <v>0.004623141460468858</v>
      </c>
      <c r="D663" s="91" t="s">
        <v>2518</v>
      </c>
      <c r="E663" s="91" t="b">
        <v>0</v>
      </c>
      <c r="F663" s="91" t="b">
        <v>0</v>
      </c>
      <c r="G663" s="91" t="b">
        <v>0</v>
      </c>
    </row>
    <row r="664" spans="1:7" ht="15">
      <c r="A664" s="92" t="s">
        <v>2641</v>
      </c>
      <c r="B664" s="91">
        <v>34</v>
      </c>
      <c r="C664" s="114">
        <v>0.004623141460468858</v>
      </c>
      <c r="D664" s="91" t="s">
        <v>2518</v>
      </c>
      <c r="E664" s="91" t="b">
        <v>0</v>
      </c>
      <c r="F664" s="91" t="b">
        <v>0</v>
      </c>
      <c r="G664" s="91" t="b">
        <v>0</v>
      </c>
    </row>
    <row r="665" spans="1:7" ht="15">
      <c r="A665" s="92" t="s">
        <v>2642</v>
      </c>
      <c r="B665" s="91">
        <v>34</v>
      </c>
      <c r="C665" s="114">
        <v>0.004623141460468858</v>
      </c>
      <c r="D665" s="91" t="s">
        <v>2518</v>
      </c>
      <c r="E665" s="91" t="b">
        <v>0</v>
      </c>
      <c r="F665" s="91" t="b">
        <v>0</v>
      </c>
      <c r="G665" s="91" t="b">
        <v>0</v>
      </c>
    </row>
    <row r="666" spans="1:7" ht="15">
      <c r="A666" s="92" t="s">
        <v>2638</v>
      </c>
      <c r="B666" s="91">
        <v>34</v>
      </c>
      <c r="C666" s="114">
        <v>0.004623141460468858</v>
      </c>
      <c r="D666" s="91" t="s">
        <v>2518</v>
      </c>
      <c r="E666" s="91" t="b">
        <v>0</v>
      </c>
      <c r="F666" s="91" t="b">
        <v>0</v>
      </c>
      <c r="G666" s="91" t="b">
        <v>0</v>
      </c>
    </row>
    <row r="667" spans="1:7" ht="15">
      <c r="A667" s="92" t="s">
        <v>2639</v>
      </c>
      <c r="B667" s="91">
        <v>34</v>
      </c>
      <c r="C667" s="114">
        <v>0.004623141460468858</v>
      </c>
      <c r="D667" s="91" t="s">
        <v>2518</v>
      </c>
      <c r="E667" s="91" t="b">
        <v>0</v>
      </c>
      <c r="F667" s="91" t="b">
        <v>0</v>
      </c>
      <c r="G667" s="91" t="b">
        <v>0</v>
      </c>
    </row>
    <row r="668" spans="1:7" ht="15">
      <c r="A668" s="92" t="s">
        <v>2610</v>
      </c>
      <c r="B668" s="91">
        <v>33</v>
      </c>
      <c r="C668" s="114">
        <v>0.004567543237354653</v>
      </c>
      <c r="D668" s="91" t="s">
        <v>2518</v>
      </c>
      <c r="E668" s="91" t="b">
        <v>0</v>
      </c>
      <c r="F668" s="91" t="b">
        <v>0</v>
      </c>
      <c r="G668" s="91" t="b">
        <v>0</v>
      </c>
    </row>
    <row r="669" spans="1:7" ht="15">
      <c r="A669" s="92" t="s">
        <v>2635</v>
      </c>
      <c r="B669" s="91">
        <v>32</v>
      </c>
      <c r="C669" s="114">
        <v>0.004509472263210371</v>
      </c>
      <c r="D669" s="91" t="s">
        <v>2518</v>
      </c>
      <c r="E669" s="91" t="b">
        <v>0</v>
      </c>
      <c r="F669" s="91" t="b">
        <v>0</v>
      </c>
      <c r="G669" s="91" t="b">
        <v>0</v>
      </c>
    </row>
    <row r="670" spans="1:7" ht="15">
      <c r="A670" s="92" t="s">
        <v>2634</v>
      </c>
      <c r="B670" s="91">
        <v>28</v>
      </c>
      <c r="C670" s="114">
        <v>0.005834312444843491</v>
      </c>
      <c r="D670" s="91" t="s">
        <v>2518</v>
      </c>
      <c r="E670" s="91" t="b">
        <v>0</v>
      </c>
      <c r="F670" s="91" t="b">
        <v>0</v>
      </c>
      <c r="G670" s="91" t="b">
        <v>0</v>
      </c>
    </row>
    <row r="671" spans="1:7" ht="15">
      <c r="A671" s="92" t="s">
        <v>2588</v>
      </c>
      <c r="B671" s="91">
        <v>28</v>
      </c>
      <c r="C671" s="114">
        <v>0.004250836983902016</v>
      </c>
      <c r="D671" s="91" t="s">
        <v>2518</v>
      </c>
      <c r="E671" s="91" t="b">
        <v>0</v>
      </c>
      <c r="F671" s="91" t="b">
        <v>0</v>
      </c>
      <c r="G671" s="91" t="b">
        <v>0</v>
      </c>
    </row>
    <row r="672" spans="1:7" ht="15">
      <c r="A672" s="92" t="s">
        <v>2631</v>
      </c>
      <c r="B672" s="91">
        <v>27</v>
      </c>
      <c r="C672" s="114">
        <v>0.004179135075238889</v>
      </c>
      <c r="D672" s="91" t="s">
        <v>2518</v>
      </c>
      <c r="E672" s="91" t="b">
        <v>0</v>
      </c>
      <c r="F672" s="91" t="b">
        <v>0</v>
      </c>
      <c r="G672" s="91" t="b">
        <v>0</v>
      </c>
    </row>
    <row r="673" spans="1:7" ht="15">
      <c r="A673" s="92" t="s">
        <v>2636</v>
      </c>
      <c r="B673" s="91">
        <v>26</v>
      </c>
      <c r="C673" s="114">
        <v>0.004104410686726412</v>
      </c>
      <c r="D673" s="91" t="s">
        <v>2518</v>
      </c>
      <c r="E673" s="91" t="b">
        <v>0</v>
      </c>
      <c r="F673" s="91" t="b">
        <v>0</v>
      </c>
      <c r="G673" s="91" t="b">
        <v>0</v>
      </c>
    </row>
    <row r="674" spans="1:7" ht="15">
      <c r="A674" s="92" t="s">
        <v>2649</v>
      </c>
      <c r="B674" s="91">
        <v>26</v>
      </c>
      <c r="C674" s="114">
        <v>0.004104410686726412</v>
      </c>
      <c r="D674" s="91" t="s">
        <v>2518</v>
      </c>
      <c r="E674" s="91" t="b">
        <v>0</v>
      </c>
      <c r="F674" s="91" t="b">
        <v>0</v>
      </c>
      <c r="G674" s="91" t="b">
        <v>0</v>
      </c>
    </row>
    <row r="675" spans="1:7" ht="15">
      <c r="A675" s="92" t="s">
        <v>2620</v>
      </c>
      <c r="B675" s="91">
        <v>25</v>
      </c>
      <c r="C675" s="114">
        <v>0.004026547512827675</v>
      </c>
      <c r="D675" s="91" t="s">
        <v>2518</v>
      </c>
      <c r="E675" s="91" t="b">
        <v>0</v>
      </c>
      <c r="F675" s="91" t="b">
        <v>0</v>
      </c>
      <c r="G675" s="91" t="b">
        <v>0</v>
      </c>
    </row>
    <row r="676" spans="1:7" ht="15">
      <c r="A676" s="92" t="s">
        <v>2645</v>
      </c>
      <c r="B676" s="91">
        <v>25</v>
      </c>
      <c r="C676" s="114">
        <v>0.004026547512827675</v>
      </c>
      <c r="D676" s="91" t="s">
        <v>2518</v>
      </c>
      <c r="E676" s="91" t="b">
        <v>0</v>
      </c>
      <c r="F676" s="91" t="b">
        <v>0</v>
      </c>
      <c r="G676" s="91" t="b">
        <v>0</v>
      </c>
    </row>
    <row r="677" spans="1:7" ht="15">
      <c r="A677" s="92" t="s">
        <v>2651</v>
      </c>
      <c r="B677" s="91">
        <v>23</v>
      </c>
      <c r="C677" s="114">
        <v>0.0038608918634175093</v>
      </c>
      <c r="D677" s="91" t="s">
        <v>2518</v>
      </c>
      <c r="E677" s="91" t="b">
        <v>0</v>
      </c>
      <c r="F677" s="91" t="b">
        <v>0</v>
      </c>
      <c r="G677" s="91" t="b">
        <v>0</v>
      </c>
    </row>
    <row r="678" spans="1:7" ht="15">
      <c r="A678" s="92" t="s">
        <v>2629</v>
      </c>
      <c r="B678" s="91">
        <v>23</v>
      </c>
      <c r="C678" s="114">
        <v>0.004663003693236027</v>
      </c>
      <c r="D678" s="91" t="s">
        <v>2518</v>
      </c>
      <c r="E678" s="91" t="b">
        <v>0</v>
      </c>
      <c r="F678" s="91" t="b">
        <v>0</v>
      </c>
      <c r="G678" s="91" t="b">
        <v>0</v>
      </c>
    </row>
    <row r="679" spans="1:7" ht="15">
      <c r="A679" s="92" t="s">
        <v>2590</v>
      </c>
      <c r="B679" s="91">
        <v>23</v>
      </c>
      <c r="C679" s="114">
        <v>0.004541895174955808</v>
      </c>
      <c r="D679" s="91" t="s">
        <v>2518</v>
      </c>
      <c r="E679" s="91" t="b">
        <v>0</v>
      </c>
      <c r="F679" s="91" t="b">
        <v>0</v>
      </c>
      <c r="G679" s="91" t="b">
        <v>0</v>
      </c>
    </row>
    <row r="680" spans="1:7" ht="15">
      <c r="A680" s="92" t="s">
        <v>2589</v>
      </c>
      <c r="B680" s="91">
        <v>22</v>
      </c>
      <c r="C680" s="114">
        <v>0.0037728153549096742</v>
      </c>
      <c r="D680" s="91" t="s">
        <v>2518</v>
      </c>
      <c r="E680" s="91" t="b">
        <v>0</v>
      </c>
      <c r="F680" s="91" t="b">
        <v>0</v>
      </c>
      <c r="G680" s="91" t="b">
        <v>0</v>
      </c>
    </row>
    <row r="681" spans="1:7" ht="15">
      <c r="A681" s="92" t="s">
        <v>2659</v>
      </c>
      <c r="B681" s="91">
        <v>21</v>
      </c>
      <c r="C681" s="114">
        <v>0.003681029009535436</v>
      </c>
      <c r="D681" s="91" t="s">
        <v>2518</v>
      </c>
      <c r="E681" s="91" t="b">
        <v>0</v>
      </c>
      <c r="F681" s="91" t="b">
        <v>0</v>
      </c>
      <c r="G681" s="91" t="b">
        <v>0</v>
      </c>
    </row>
    <row r="682" spans="1:7" ht="15">
      <c r="A682" s="92" t="s">
        <v>2644</v>
      </c>
      <c r="B682" s="91">
        <v>21</v>
      </c>
      <c r="C682" s="114">
        <v>0.003681029009535436</v>
      </c>
      <c r="D682" s="91" t="s">
        <v>2518</v>
      </c>
      <c r="E682" s="91" t="b">
        <v>0</v>
      </c>
      <c r="F682" s="91" t="b">
        <v>0</v>
      </c>
      <c r="G682" s="91" t="b">
        <v>0</v>
      </c>
    </row>
    <row r="683" spans="1:7" ht="15">
      <c r="A683" s="92" t="s">
        <v>2664</v>
      </c>
      <c r="B683" s="91">
        <v>20</v>
      </c>
      <c r="C683" s="114">
        <v>0.004167366032031066</v>
      </c>
      <c r="D683" s="91" t="s">
        <v>2518</v>
      </c>
      <c r="E683" s="91" t="b">
        <v>0</v>
      </c>
      <c r="F683" s="91" t="b">
        <v>0</v>
      </c>
      <c r="G683" s="91" t="b">
        <v>0</v>
      </c>
    </row>
    <row r="684" spans="1:7" ht="15">
      <c r="A684" s="92" t="s">
        <v>2672</v>
      </c>
      <c r="B684" s="91">
        <v>19</v>
      </c>
      <c r="C684" s="114">
        <v>0.0034856019498138388</v>
      </c>
      <c r="D684" s="91" t="s">
        <v>2518</v>
      </c>
      <c r="E684" s="91" t="b">
        <v>0</v>
      </c>
      <c r="F684" s="91" t="b">
        <v>0</v>
      </c>
      <c r="G684" s="91" t="b">
        <v>0</v>
      </c>
    </row>
    <row r="685" spans="1:7" ht="15">
      <c r="A685" s="92" t="s">
        <v>2637</v>
      </c>
      <c r="B685" s="91">
        <v>19</v>
      </c>
      <c r="C685" s="114">
        <v>0.0034856019498138388</v>
      </c>
      <c r="D685" s="91" t="s">
        <v>2518</v>
      </c>
      <c r="E685" s="91" t="b">
        <v>0</v>
      </c>
      <c r="F685" s="91" t="b">
        <v>0</v>
      </c>
      <c r="G685" s="91" t="b">
        <v>0</v>
      </c>
    </row>
    <row r="686" spans="1:7" ht="15">
      <c r="A686" s="92" t="s">
        <v>2673</v>
      </c>
      <c r="B686" s="91">
        <v>19</v>
      </c>
      <c r="C686" s="114">
        <v>0.0034856019498138388</v>
      </c>
      <c r="D686" s="91" t="s">
        <v>2518</v>
      </c>
      <c r="E686" s="91" t="b">
        <v>0</v>
      </c>
      <c r="F686" s="91" t="b">
        <v>0</v>
      </c>
      <c r="G686" s="91" t="b">
        <v>0</v>
      </c>
    </row>
    <row r="687" spans="1:7" ht="15">
      <c r="A687" s="92" t="s">
        <v>2674</v>
      </c>
      <c r="B687" s="91">
        <v>19</v>
      </c>
      <c r="C687" s="114">
        <v>0.0034856019498138388</v>
      </c>
      <c r="D687" s="91" t="s">
        <v>2518</v>
      </c>
      <c r="E687" s="91" t="b">
        <v>0</v>
      </c>
      <c r="F687" s="91" t="b">
        <v>0</v>
      </c>
      <c r="G687" s="91" t="b">
        <v>0</v>
      </c>
    </row>
    <row r="688" spans="1:7" ht="15">
      <c r="A688" s="92" t="s">
        <v>2675</v>
      </c>
      <c r="B688" s="91">
        <v>19</v>
      </c>
      <c r="C688" s="114">
        <v>0.0034856019498138388</v>
      </c>
      <c r="D688" s="91" t="s">
        <v>2518</v>
      </c>
      <c r="E688" s="91" t="b">
        <v>0</v>
      </c>
      <c r="F688" s="91" t="b">
        <v>0</v>
      </c>
      <c r="G688" s="91" t="b">
        <v>0</v>
      </c>
    </row>
    <row r="689" spans="1:7" ht="15">
      <c r="A689" s="92" t="s">
        <v>436</v>
      </c>
      <c r="B689" s="91">
        <v>19</v>
      </c>
      <c r="C689" s="114">
        <v>0.0034856019498138388</v>
      </c>
      <c r="D689" s="91" t="s">
        <v>2518</v>
      </c>
      <c r="E689" s="91" t="b">
        <v>0</v>
      </c>
      <c r="F689" s="91" t="b">
        <v>0</v>
      </c>
      <c r="G689" s="91" t="b">
        <v>0</v>
      </c>
    </row>
    <row r="690" spans="1:7" ht="15">
      <c r="A690" s="92" t="s">
        <v>2582</v>
      </c>
      <c r="B690" s="91">
        <v>19</v>
      </c>
      <c r="C690" s="114">
        <v>0.0037520003619200154</v>
      </c>
      <c r="D690" s="91" t="s">
        <v>2518</v>
      </c>
      <c r="E690" s="91" t="b">
        <v>0</v>
      </c>
      <c r="F690" s="91" t="b">
        <v>0</v>
      </c>
      <c r="G690" s="91" t="b">
        <v>0</v>
      </c>
    </row>
    <row r="691" spans="1:7" ht="15">
      <c r="A691" s="92" t="s">
        <v>2669</v>
      </c>
      <c r="B691" s="91">
        <v>18</v>
      </c>
      <c r="C691" s="114">
        <v>0.0033815517565282736</v>
      </c>
      <c r="D691" s="91" t="s">
        <v>2518</v>
      </c>
      <c r="E691" s="91" t="b">
        <v>0</v>
      </c>
      <c r="F691" s="91" t="b">
        <v>0</v>
      </c>
      <c r="G691" s="91" t="b">
        <v>0</v>
      </c>
    </row>
    <row r="692" spans="1:7" ht="15">
      <c r="A692" s="92" t="s">
        <v>586</v>
      </c>
      <c r="B692" s="91">
        <v>18</v>
      </c>
      <c r="C692" s="114">
        <v>0.0033815517565282736</v>
      </c>
      <c r="D692" s="91" t="s">
        <v>2518</v>
      </c>
      <c r="E692" s="91" t="b">
        <v>0</v>
      </c>
      <c r="F692" s="91" t="b">
        <v>0</v>
      </c>
      <c r="G692" s="91" t="b">
        <v>0</v>
      </c>
    </row>
    <row r="693" spans="1:7" ht="15">
      <c r="A693" s="92" t="s">
        <v>2616</v>
      </c>
      <c r="B693" s="91">
        <v>17</v>
      </c>
      <c r="C693" s="114">
        <v>0.003272966545806039</v>
      </c>
      <c r="D693" s="91" t="s">
        <v>2518</v>
      </c>
      <c r="E693" s="91" t="b">
        <v>0</v>
      </c>
      <c r="F693" s="91" t="b">
        <v>0</v>
      </c>
      <c r="G693" s="91" t="b">
        <v>0</v>
      </c>
    </row>
    <row r="694" spans="1:7" ht="15">
      <c r="A694" s="92" t="s">
        <v>2692</v>
      </c>
      <c r="B694" s="91">
        <v>17</v>
      </c>
      <c r="C694" s="114">
        <v>0.003272966545806039</v>
      </c>
      <c r="D694" s="91" t="s">
        <v>2518</v>
      </c>
      <c r="E694" s="91" t="b">
        <v>0</v>
      </c>
      <c r="F694" s="91" t="b">
        <v>0</v>
      </c>
      <c r="G694" s="91" t="b">
        <v>0</v>
      </c>
    </row>
    <row r="695" spans="1:7" ht="15">
      <c r="A695" s="92" t="s">
        <v>2712</v>
      </c>
      <c r="B695" s="91">
        <v>17</v>
      </c>
      <c r="C695" s="114">
        <v>0.003272966545806039</v>
      </c>
      <c r="D695" s="91" t="s">
        <v>2518</v>
      </c>
      <c r="E695" s="91" t="b">
        <v>0</v>
      </c>
      <c r="F695" s="91" t="b">
        <v>0</v>
      </c>
      <c r="G695" s="91" t="b">
        <v>0</v>
      </c>
    </row>
    <row r="696" spans="1:7" ht="15">
      <c r="A696" s="92" t="s">
        <v>2713</v>
      </c>
      <c r="B696" s="91">
        <v>17</v>
      </c>
      <c r="C696" s="114">
        <v>0.003272966545806039</v>
      </c>
      <c r="D696" s="91" t="s">
        <v>2518</v>
      </c>
      <c r="E696" s="91" t="b">
        <v>0</v>
      </c>
      <c r="F696" s="91" t="b">
        <v>0</v>
      </c>
      <c r="G696" s="91" t="b">
        <v>0</v>
      </c>
    </row>
    <row r="697" spans="1:7" ht="15">
      <c r="A697" s="92" t="s">
        <v>2714</v>
      </c>
      <c r="B697" s="91">
        <v>17</v>
      </c>
      <c r="C697" s="114">
        <v>0.003272966545806039</v>
      </c>
      <c r="D697" s="91" t="s">
        <v>2518</v>
      </c>
      <c r="E697" s="91" t="b">
        <v>0</v>
      </c>
      <c r="F697" s="91" t="b">
        <v>0</v>
      </c>
      <c r="G697" s="91" t="b">
        <v>0</v>
      </c>
    </row>
    <row r="698" spans="1:7" ht="15">
      <c r="A698" s="92" t="s">
        <v>2715</v>
      </c>
      <c r="B698" s="91">
        <v>17</v>
      </c>
      <c r="C698" s="114">
        <v>0.003272966545806039</v>
      </c>
      <c r="D698" s="91" t="s">
        <v>2518</v>
      </c>
      <c r="E698" s="91" t="b">
        <v>0</v>
      </c>
      <c r="F698" s="91" t="b">
        <v>0</v>
      </c>
      <c r="G698" s="91" t="b">
        <v>0</v>
      </c>
    </row>
    <row r="699" spans="1:7" ht="15">
      <c r="A699" s="92" t="s">
        <v>435</v>
      </c>
      <c r="B699" s="91">
        <v>17</v>
      </c>
      <c r="C699" s="114">
        <v>0.003272966545806039</v>
      </c>
      <c r="D699" s="91" t="s">
        <v>2518</v>
      </c>
      <c r="E699" s="91" t="b">
        <v>0</v>
      </c>
      <c r="F699" s="91" t="b">
        <v>0</v>
      </c>
      <c r="G699" s="91" t="b">
        <v>0</v>
      </c>
    </row>
    <row r="700" spans="1:7" ht="15">
      <c r="A700" s="92" t="s">
        <v>2612</v>
      </c>
      <c r="B700" s="91">
        <v>16</v>
      </c>
      <c r="C700" s="114">
        <v>0.003159579252143171</v>
      </c>
      <c r="D700" s="91" t="s">
        <v>2518</v>
      </c>
      <c r="E700" s="91" t="b">
        <v>0</v>
      </c>
      <c r="F700" s="91" t="b">
        <v>0</v>
      </c>
      <c r="G700" s="91" t="b">
        <v>0</v>
      </c>
    </row>
    <row r="701" spans="1:7" ht="15">
      <c r="A701" s="92" t="s">
        <v>2698</v>
      </c>
      <c r="B701" s="91">
        <v>15</v>
      </c>
      <c r="C701" s="114">
        <v>0.0030410893651539304</v>
      </c>
      <c r="D701" s="91" t="s">
        <v>2518</v>
      </c>
      <c r="E701" s="91" t="b">
        <v>0</v>
      </c>
      <c r="F701" s="91" t="b">
        <v>0</v>
      </c>
      <c r="G701" s="91" t="b">
        <v>0</v>
      </c>
    </row>
    <row r="702" spans="1:7" ht="15">
      <c r="A702" s="92" t="s">
        <v>2699</v>
      </c>
      <c r="B702" s="91">
        <v>15</v>
      </c>
      <c r="C702" s="114">
        <v>0.0030410893651539304</v>
      </c>
      <c r="D702" s="91" t="s">
        <v>2518</v>
      </c>
      <c r="E702" s="91" t="b">
        <v>0</v>
      </c>
      <c r="F702" s="91" t="b">
        <v>0</v>
      </c>
      <c r="G702" s="91" t="b">
        <v>0</v>
      </c>
    </row>
    <row r="703" spans="1:7" ht="15">
      <c r="A703" s="92" t="s">
        <v>2630</v>
      </c>
      <c r="B703" s="91">
        <v>15</v>
      </c>
      <c r="C703" s="114">
        <v>0.0030410893651539304</v>
      </c>
      <c r="D703" s="91" t="s">
        <v>2518</v>
      </c>
      <c r="E703" s="91" t="b">
        <v>0</v>
      </c>
      <c r="F703" s="91" t="b">
        <v>0</v>
      </c>
      <c r="G703" s="91" t="b">
        <v>0</v>
      </c>
    </row>
    <row r="704" spans="1:7" ht="15">
      <c r="A704" s="92" t="s">
        <v>2657</v>
      </c>
      <c r="B704" s="91">
        <v>14</v>
      </c>
      <c r="C704" s="114">
        <v>0.0029171562224217457</v>
      </c>
      <c r="D704" s="91" t="s">
        <v>2518</v>
      </c>
      <c r="E704" s="91" t="b">
        <v>0</v>
      </c>
      <c r="F704" s="91" t="b">
        <v>0</v>
      </c>
      <c r="G704" s="91" t="b">
        <v>0</v>
      </c>
    </row>
    <row r="705" spans="1:7" ht="15">
      <c r="A705" s="92" t="s">
        <v>2622</v>
      </c>
      <c r="B705" s="91">
        <v>14</v>
      </c>
      <c r="C705" s="114">
        <v>0.0029171562224217457</v>
      </c>
      <c r="D705" s="91" t="s">
        <v>2518</v>
      </c>
      <c r="E705" s="91" t="b">
        <v>0</v>
      </c>
      <c r="F705" s="91" t="b">
        <v>0</v>
      </c>
      <c r="G705" s="91" t="b">
        <v>0</v>
      </c>
    </row>
    <row r="706" spans="1:7" ht="15">
      <c r="A706" s="92" t="s">
        <v>2694</v>
      </c>
      <c r="B706" s="91">
        <v>14</v>
      </c>
      <c r="C706" s="114">
        <v>0.0029171562224217457</v>
      </c>
      <c r="D706" s="91" t="s">
        <v>2518</v>
      </c>
      <c r="E706" s="91" t="b">
        <v>0</v>
      </c>
      <c r="F706" s="91" t="b">
        <v>0</v>
      </c>
      <c r="G706" s="91" t="b">
        <v>0</v>
      </c>
    </row>
    <row r="707" spans="1:7" ht="15">
      <c r="A707" s="92" t="s">
        <v>2735</v>
      </c>
      <c r="B707" s="91">
        <v>14</v>
      </c>
      <c r="C707" s="114">
        <v>0.0037088939528924837</v>
      </c>
      <c r="D707" s="91" t="s">
        <v>2518</v>
      </c>
      <c r="E707" s="91" t="b">
        <v>0</v>
      </c>
      <c r="F707" s="91" t="b">
        <v>0</v>
      </c>
      <c r="G707" s="91" t="b">
        <v>0</v>
      </c>
    </row>
    <row r="708" spans="1:7" ht="15">
      <c r="A708" s="92" t="s">
        <v>2655</v>
      </c>
      <c r="B708" s="91">
        <v>13</v>
      </c>
      <c r="C708" s="114">
        <v>0.0027873903788003195</v>
      </c>
      <c r="D708" s="91" t="s">
        <v>2518</v>
      </c>
      <c r="E708" s="91" t="b">
        <v>0</v>
      </c>
      <c r="F708" s="91" t="b">
        <v>0</v>
      </c>
      <c r="G708" s="91" t="b">
        <v>0</v>
      </c>
    </row>
    <row r="709" spans="1:7" ht="15">
      <c r="A709" s="92" t="s">
        <v>2740</v>
      </c>
      <c r="B709" s="91">
        <v>13</v>
      </c>
      <c r="C709" s="114">
        <v>0.0027873903788003195</v>
      </c>
      <c r="D709" s="91" t="s">
        <v>2518</v>
      </c>
      <c r="E709" s="91" t="b">
        <v>0</v>
      </c>
      <c r="F709" s="91" t="b">
        <v>0</v>
      </c>
      <c r="G709" s="91" t="b">
        <v>0</v>
      </c>
    </row>
    <row r="710" spans="1:7" ht="15">
      <c r="A710" s="92" t="s">
        <v>2665</v>
      </c>
      <c r="B710" s="91">
        <v>13</v>
      </c>
      <c r="C710" s="114">
        <v>0.0027873903788003195</v>
      </c>
      <c r="D710" s="91" t="s">
        <v>2518</v>
      </c>
      <c r="E710" s="91" t="b">
        <v>0</v>
      </c>
      <c r="F710" s="91" t="b">
        <v>0</v>
      </c>
      <c r="G710" s="91" t="b">
        <v>0</v>
      </c>
    </row>
    <row r="711" spans="1:7" ht="15">
      <c r="A711" s="92" t="s">
        <v>2643</v>
      </c>
      <c r="B711" s="91">
        <v>12</v>
      </c>
      <c r="C711" s="114">
        <v>0.0026513423085981922</v>
      </c>
      <c r="D711" s="91" t="s">
        <v>2518</v>
      </c>
      <c r="E711" s="91" t="b">
        <v>0</v>
      </c>
      <c r="F711" s="91" t="b">
        <v>0</v>
      </c>
      <c r="G711" s="91" t="b">
        <v>0</v>
      </c>
    </row>
    <row r="712" spans="1:7" ht="15">
      <c r="A712" s="92" t="s">
        <v>2754</v>
      </c>
      <c r="B712" s="91">
        <v>11</v>
      </c>
      <c r="C712" s="114">
        <v>0.0025084873228247025</v>
      </c>
      <c r="D712" s="91" t="s">
        <v>2518</v>
      </c>
      <c r="E712" s="91" t="b">
        <v>0</v>
      </c>
      <c r="F712" s="91" t="b">
        <v>0</v>
      </c>
      <c r="G712" s="91" t="b">
        <v>0</v>
      </c>
    </row>
    <row r="713" spans="1:7" ht="15">
      <c r="A713" s="92" t="s">
        <v>2733</v>
      </c>
      <c r="B713" s="91">
        <v>11</v>
      </c>
      <c r="C713" s="114">
        <v>0.0025084873228247025</v>
      </c>
      <c r="D713" s="91" t="s">
        <v>2518</v>
      </c>
      <c r="E713" s="91" t="b">
        <v>0</v>
      </c>
      <c r="F713" s="91" t="b">
        <v>0</v>
      </c>
      <c r="G713" s="91" t="b">
        <v>0</v>
      </c>
    </row>
    <row r="714" spans="1:7" ht="15">
      <c r="A714" s="92" t="s">
        <v>2755</v>
      </c>
      <c r="B714" s="91">
        <v>11</v>
      </c>
      <c r="C714" s="114">
        <v>0.0025084873228247025</v>
      </c>
      <c r="D714" s="91" t="s">
        <v>2518</v>
      </c>
      <c r="E714" s="91" t="b">
        <v>0</v>
      </c>
      <c r="F714" s="91" t="b">
        <v>0</v>
      </c>
      <c r="G714" s="91" t="b">
        <v>0</v>
      </c>
    </row>
    <row r="715" spans="1:7" ht="15">
      <c r="A715" s="92" t="s">
        <v>2668</v>
      </c>
      <c r="B715" s="91">
        <v>11</v>
      </c>
      <c r="C715" s="114">
        <v>0.0025084873228247025</v>
      </c>
      <c r="D715" s="91" t="s">
        <v>2518</v>
      </c>
      <c r="E715" s="91" t="b">
        <v>0</v>
      </c>
      <c r="F715" s="91" t="b">
        <v>0</v>
      </c>
      <c r="G715" s="91" t="b">
        <v>0</v>
      </c>
    </row>
    <row r="716" spans="1:7" ht="15">
      <c r="A716" s="92" t="s">
        <v>2756</v>
      </c>
      <c r="B716" s="91">
        <v>11</v>
      </c>
      <c r="C716" s="114">
        <v>0.0025084873228247025</v>
      </c>
      <c r="D716" s="91" t="s">
        <v>2518</v>
      </c>
      <c r="E716" s="91" t="b">
        <v>0</v>
      </c>
      <c r="F716" s="91" t="b">
        <v>0</v>
      </c>
      <c r="G716" s="91" t="b">
        <v>0</v>
      </c>
    </row>
    <row r="717" spans="1:7" ht="15">
      <c r="A717" s="92" t="s">
        <v>2757</v>
      </c>
      <c r="B717" s="91">
        <v>11</v>
      </c>
      <c r="C717" s="114">
        <v>0.0025084873228247025</v>
      </c>
      <c r="D717" s="91" t="s">
        <v>2518</v>
      </c>
      <c r="E717" s="91" t="b">
        <v>0</v>
      </c>
      <c r="F717" s="91" t="b">
        <v>0</v>
      </c>
      <c r="G717" s="91" t="b">
        <v>0</v>
      </c>
    </row>
    <row r="718" spans="1:7" ht="15">
      <c r="A718" s="92" t="s">
        <v>438</v>
      </c>
      <c r="B718" s="91">
        <v>11</v>
      </c>
      <c r="C718" s="114">
        <v>0.0025084873228247025</v>
      </c>
      <c r="D718" s="91" t="s">
        <v>2518</v>
      </c>
      <c r="E718" s="91" t="b">
        <v>0</v>
      </c>
      <c r="F718" s="91" t="b">
        <v>0</v>
      </c>
      <c r="G718" s="91" t="b">
        <v>0</v>
      </c>
    </row>
    <row r="719" spans="1:7" ht="15">
      <c r="A719" s="92" t="s">
        <v>420</v>
      </c>
      <c r="B719" s="91">
        <v>11</v>
      </c>
      <c r="C719" s="114">
        <v>0.0025084873228247025</v>
      </c>
      <c r="D719" s="91" t="s">
        <v>2518</v>
      </c>
      <c r="E719" s="91" t="b">
        <v>0</v>
      </c>
      <c r="F719" s="91" t="b">
        <v>0</v>
      </c>
      <c r="G719" s="91" t="b">
        <v>0</v>
      </c>
    </row>
    <row r="720" spans="1:7" ht="15">
      <c r="A720" s="92" t="s">
        <v>2654</v>
      </c>
      <c r="B720" s="91">
        <v>10</v>
      </c>
      <c r="C720" s="114">
        <v>0.002358204969196517</v>
      </c>
      <c r="D720" s="91" t="s">
        <v>2518</v>
      </c>
      <c r="E720" s="91" t="b">
        <v>0</v>
      </c>
      <c r="F720" s="91" t="b">
        <v>0</v>
      </c>
      <c r="G720" s="91" t="b">
        <v>0</v>
      </c>
    </row>
    <row r="721" spans="1:7" ht="15">
      <c r="A721" s="92" t="s">
        <v>2591</v>
      </c>
      <c r="B721" s="91">
        <v>10</v>
      </c>
      <c r="C721" s="114">
        <v>0.002358204969196517</v>
      </c>
      <c r="D721" s="91" t="s">
        <v>2518</v>
      </c>
      <c r="E721" s="91" t="b">
        <v>0</v>
      </c>
      <c r="F721" s="91" t="b">
        <v>0</v>
      </c>
      <c r="G721" s="91" t="b">
        <v>0</v>
      </c>
    </row>
    <row r="722" spans="1:7" ht="15">
      <c r="A722" s="92" t="s">
        <v>2736</v>
      </c>
      <c r="B722" s="91">
        <v>10</v>
      </c>
      <c r="C722" s="114">
        <v>0.002358204969196517</v>
      </c>
      <c r="D722" s="91" t="s">
        <v>2518</v>
      </c>
      <c r="E722" s="91" t="b">
        <v>0</v>
      </c>
      <c r="F722" s="91" t="b">
        <v>0</v>
      </c>
      <c r="G722" s="91" t="b">
        <v>0</v>
      </c>
    </row>
    <row r="723" spans="1:7" ht="15">
      <c r="A723" s="92" t="s">
        <v>2656</v>
      </c>
      <c r="B723" s="91">
        <v>9</v>
      </c>
      <c r="C723" s="114">
        <v>0.002199750133566754</v>
      </c>
      <c r="D723" s="91" t="s">
        <v>2518</v>
      </c>
      <c r="E723" s="91" t="b">
        <v>0</v>
      </c>
      <c r="F723" s="91" t="b">
        <v>0</v>
      </c>
      <c r="G723" s="91" t="b">
        <v>0</v>
      </c>
    </row>
    <row r="724" spans="1:7" ht="15">
      <c r="A724" s="92" t="s">
        <v>2759</v>
      </c>
      <c r="B724" s="91">
        <v>9</v>
      </c>
      <c r="C724" s="114">
        <v>0.002199750133566754</v>
      </c>
      <c r="D724" s="91" t="s">
        <v>2518</v>
      </c>
      <c r="E724" s="91" t="b">
        <v>0</v>
      </c>
      <c r="F724" s="91" t="b">
        <v>0</v>
      </c>
      <c r="G724" s="91" t="b">
        <v>0</v>
      </c>
    </row>
    <row r="725" spans="1:7" ht="15">
      <c r="A725" s="92" t="s">
        <v>2760</v>
      </c>
      <c r="B725" s="91">
        <v>9</v>
      </c>
      <c r="C725" s="114">
        <v>0.002199750133566754</v>
      </c>
      <c r="D725" s="91" t="s">
        <v>2518</v>
      </c>
      <c r="E725" s="91" t="b">
        <v>0</v>
      </c>
      <c r="F725" s="91" t="b">
        <v>0</v>
      </c>
      <c r="G725" s="91" t="b">
        <v>0</v>
      </c>
    </row>
    <row r="726" spans="1:7" ht="15">
      <c r="A726" s="92" t="s">
        <v>2761</v>
      </c>
      <c r="B726" s="91">
        <v>9</v>
      </c>
      <c r="C726" s="114">
        <v>0.002199750133566754</v>
      </c>
      <c r="D726" s="91" t="s">
        <v>2518</v>
      </c>
      <c r="E726" s="91" t="b">
        <v>0</v>
      </c>
      <c r="F726" s="91" t="b">
        <v>0</v>
      </c>
      <c r="G726" s="91" t="b">
        <v>0</v>
      </c>
    </row>
    <row r="727" spans="1:7" ht="15">
      <c r="A727" s="92" t="s">
        <v>2762</v>
      </c>
      <c r="B727" s="91">
        <v>9</v>
      </c>
      <c r="C727" s="114">
        <v>0.002199750133566754</v>
      </c>
      <c r="D727" s="91" t="s">
        <v>2518</v>
      </c>
      <c r="E727" s="91" t="b">
        <v>0</v>
      </c>
      <c r="F727" s="91" t="b">
        <v>0</v>
      </c>
      <c r="G727" s="91" t="b">
        <v>0</v>
      </c>
    </row>
    <row r="728" spans="1:7" ht="15">
      <c r="A728" s="92" t="s">
        <v>2763</v>
      </c>
      <c r="B728" s="91">
        <v>9</v>
      </c>
      <c r="C728" s="114">
        <v>0.002199750133566754</v>
      </c>
      <c r="D728" s="91" t="s">
        <v>2518</v>
      </c>
      <c r="E728" s="91" t="b">
        <v>0</v>
      </c>
      <c r="F728" s="91" t="b">
        <v>0</v>
      </c>
      <c r="G728" s="91" t="b">
        <v>0</v>
      </c>
    </row>
    <row r="729" spans="1:7" ht="15">
      <c r="A729" s="92" t="s">
        <v>2764</v>
      </c>
      <c r="B729" s="91">
        <v>9</v>
      </c>
      <c r="C729" s="114">
        <v>0.002199750133566754</v>
      </c>
      <c r="D729" s="91" t="s">
        <v>2518</v>
      </c>
      <c r="E729" s="91" t="b">
        <v>0</v>
      </c>
      <c r="F729" s="91" t="b">
        <v>0</v>
      </c>
      <c r="G729" s="91" t="b">
        <v>0</v>
      </c>
    </row>
    <row r="730" spans="1:7" ht="15">
      <c r="A730" s="92" t="s">
        <v>2765</v>
      </c>
      <c r="B730" s="91">
        <v>9</v>
      </c>
      <c r="C730" s="114">
        <v>0.002199750133566754</v>
      </c>
      <c r="D730" s="91" t="s">
        <v>2518</v>
      </c>
      <c r="E730" s="91" t="b">
        <v>0</v>
      </c>
      <c r="F730" s="91" t="b">
        <v>0</v>
      </c>
      <c r="G730" s="91" t="b">
        <v>0</v>
      </c>
    </row>
    <row r="731" spans="1:7" ht="15">
      <c r="A731" s="92" t="s">
        <v>2663</v>
      </c>
      <c r="B731" s="91">
        <v>8</v>
      </c>
      <c r="C731" s="114">
        <v>0.0020322111863405787</v>
      </c>
      <c r="D731" s="91" t="s">
        <v>2518</v>
      </c>
      <c r="E731" s="91" t="b">
        <v>0</v>
      </c>
      <c r="F731" s="91" t="b">
        <v>0</v>
      </c>
      <c r="G731" s="91" t="b">
        <v>0</v>
      </c>
    </row>
    <row r="732" spans="1:7" ht="15">
      <c r="A732" s="92" t="s">
        <v>611</v>
      </c>
      <c r="B732" s="91">
        <v>8</v>
      </c>
      <c r="C732" s="114">
        <v>0.0020322111863405787</v>
      </c>
      <c r="D732" s="91" t="s">
        <v>2518</v>
      </c>
      <c r="E732" s="91" t="b">
        <v>0</v>
      </c>
      <c r="F732" s="91" t="b">
        <v>0</v>
      </c>
      <c r="G732" s="91" t="b">
        <v>0</v>
      </c>
    </row>
    <row r="733" spans="1:7" ht="15">
      <c r="A733" s="92" t="s">
        <v>2666</v>
      </c>
      <c r="B733" s="91">
        <v>8</v>
      </c>
      <c r="C733" s="114">
        <v>0.0020322111863405787</v>
      </c>
      <c r="D733" s="91" t="s">
        <v>2518</v>
      </c>
      <c r="E733" s="91" t="b">
        <v>0</v>
      </c>
      <c r="F733" s="91" t="b">
        <v>0</v>
      </c>
      <c r="G733" s="91" t="b">
        <v>0</v>
      </c>
    </row>
    <row r="734" spans="1:7" ht="15">
      <c r="A734" s="92" t="s">
        <v>2676</v>
      </c>
      <c r="B734" s="91">
        <v>8</v>
      </c>
      <c r="C734" s="114">
        <v>0.0020322111863405787</v>
      </c>
      <c r="D734" s="91" t="s">
        <v>2518</v>
      </c>
      <c r="E734" s="91" t="b">
        <v>0</v>
      </c>
      <c r="F734" s="91" t="b">
        <v>0</v>
      </c>
      <c r="G734" s="91" t="b">
        <v>0</v>
      </c>
    </row>
    <row r="735" spans="1:7" ht="15">
      <c r="A735" s="92" t="s">
        <v>2677</v>
      </c>
      <c r="B735" s="91">
        <v>8</v>
      </c>
      <c r="C735" s="114">
        <v>0.0020322111863405787</v>
      </c>
      <c r="D735" s="91" t="s">
        <v>2518</v>
      </c>
      <c r="E735" s="91" t="b">
        <v>0</v>
      </c>
      <c r="F735" s="91" t="b">
        <v>0</v>
      </c>
      <c r="G735" s="91" t="b">
        <v>0</v>
      </c>
    </row>
    <row r="736" spans="1:7" ht="15">
      <c r="A736" s="92" t="s">
        <v>2678</v>
      </c>
      <c r="B736" s="91">
        <v>8</v>
      </c>
      <c r="C736" s="114">
        <v>0.0020322111863405787</v>
      </c>
      <c r="D736" s="91" t="s">
        <v>2518</v>
      </c>
      <c r="E736" s="91" t="b">
        <v>0</v>
      </c>
      <c r="F736" s="91" t="b">
        <v>0</v>
      </c>
      <c r="G736" s="91" t="b">
        <v>0</v>
      </c>
    </row>
    <row r="737" spans="1:7" ht="15">
      <c r="A737" s="92" t="s">
        <v>2658</v>
      </c>
      <c r="B737" s="91">
        <v>8</v>
      </c>
      <c r="C737" s="114">
        <v>0.0020322111863405787</v>
      </c>
      <c r="D737" s="91" t="s">
        <v>2518</v>
      </c>
      <c r="E737" s="91" t="b">
        <v>0</v>
      </c>
      <c r="F737" s="91" t="b">
        <v>0</v>
      </c>
      <c r="G737" s="91" t="b">
        <v>0</v>
      </c>
    </row>
    <row r="738" spans="1:7" ht="15">
      <c r="A738" s="92" t="s">
        <v>2653</v>
      </c>
      <c r="B738" s="91">
        <v>8</v>
      </c>
      <c r="C738" s="114">
        <v>0.0020322111863405787</v>
      </c>
      <c r="D738" s="91" t="s">
        <v>2518</v>
      </c>
      <c r="E738" s="91" t="b">
        <v>0</v>
      </c>
      <c r="F738" s="91" t="b">
        <v>0</v>
      </c>
      <c r="G738" s="91" t="b">
        <v>0</v>
      </c>
    </row>
    <row r="739" spans="1:7" ht="15">
      <c r="A739" s="92" t="s">
        <v>2667</v>
      </c>
      <c r="B739" s="91">
        <v>8</v>
      </c>
      <c r="C739" s="114">
        <v>0.0020322111863405787</v>
      </c>
      <c r="D739" s="91" t="s">
        <v>2518</v>
      </c>
      <c r="E739" s="91" t="b">
        <v>0</v>
      </c>
      <c r="F739" s="91" t="b">
        <v>0</v>
      </c>
      <c r="G739" s="91" t="b">
        <v>0</v>
      </c>
    </row>
    <row r="740" spans="1:7" ht="15">
      <c r="A740" s="92" t="s">
        <v>2679</v>
      </c>
      <c r="B740" s="91">
        <v>8</v>
      </c>
      <c r="C740" s="114">
        <v>0.0020322111863405787</v>
      </c>
      <c r="D740" s="91" t="s">
        <v>2518</v>
      </c>
      <c r="E740" s="91" t="b">
        <v>0</v>
      </c>
      <c r="F740" s="91" t="b">
        <v>0</v>
      </c>
      <c r="G740" s="91" t="b">
        <v>0</v>
      </c>
    </row>
    <row r="741" spans="1:7" ht="15">
      <c r="A741" s="92" t="s">
        <v>2808</v>
      </c>
      <c r="B741" s="91">
        <v>8</v>
      </c>
      <c r="C741" s="114">
        <v>0.0020322111863405787</v>
      </c>
      <c r="D741" s="91" t="s">
        <v>2518</v>
      </c>
      <c r="E741" s="91" t="b">
        <v>0</v>
      </c>
      <c r="F741" s="91" t="b">
        <v>0</v>
      </c>
      <c r="G741" s="91" t="b">
        <v>0</v>
      </c>
    </row>
    <row r="742" spans="1:7" ht="15">
      <c r="A742" s="92" t="s">
        <v>2716</v>
      </c>
      <c r="B742" s="91">
        <v>8</v>
      </c>
      <c r="C742" s="114">
        <v>0.0020322111863405787</v>
      </c>
      <c r="D742" s="91" t="s">
        <v>2518</v>
      </c>
      <c r="E742" s="91" t="b">
        <v>0</v>
      </c>
      <c r="F742" s="91" t="b">
        <v>0</v>
      </c>
      <c r="G742" s="91" t="b">
        <v>0</v>
      </c>
    </row>
    <row r="743" spans="1:7" ht="15">
      <c r="A743" s="92" t="s">
        <v>2809</v>
      </c>
      <c r="B743" s="91">
        <v>8</v>
      </c>
      <c r="C743" s="114">
        <v>0.0020322111863405787</v>
      </c>
      <c r="D743" s="91" t="s">
        <v>2518</v>
      </c>
      <c r="E743" s="91" t="b">
        <v>0</v>
      </c>
      <c r="F743" s="91" t="b">
        <v>0</v>
      </c>
      <c r="G743" s="91" t="b">
        <v>0</v>
      </c>
    </row>
    <row r="744" spans="1:7" ht="15">
      <c r="A744" s="92" t="s">
        <v>2810</v>
      </c>
      <c r="B744" s="91">
        <v>8</v>
      </c>
      <c r="C744" s="114">
        <v>0.0020322111863405787</v>
      </c>
      <c r="D744" s="91" t="s">
        <v>2518</v>
      </c>
      <c r="E744" s="91" t="b">
        <v>0</v>
      </c>
      <c r="F744" s="91" t="b">
        <v>0</v>
      </c>
      <c r="G744" s="91" t="b">
        <v>0</v>
      </c>
    </row>
    <row r="745" spans="1:7" ht="15">
      <c r="A745" s="92" t="s">
        <v>2811</v>
      </c>
      <c r="B745" s="91">
        <v>8</v>
      </c>
      <c r="C745" s="114">
        <v>0.0020322111863405787</v>
      </c>
      <c r="D745" s="91" t="s">
        <v>2518</v>
      </c>
      <c r="E745" s="91" t="b">
        <v>0</v>
      </c>
      <c r="F745" s="91" t="b">
        <v>0</v>
      </c>
      <c r="G745" s="91" t="b">
        <v>0</v>
      </c>
    </row>
    <row r="746" spans="1:7" ht="15">
      <c r="A746" s="92" t="s">
        <v>2812</v>
      </c>
      <c r="B746" s="91">
        <v>8</v>
      </c>
      <c r="C746" s="114">
        <v>0.0020322111863405787</v>
      </c>
      <c r="D746" s="91" t="s">
        <v>2518</v>
      </c>
      <c r="E746" s="91" t="b">
        <v>0</v>
      </c>
      <c r="F746" s="91" t="b">
        <v>0</v>
      </c>
      <c r="G746" s="91" t="b">
        <v>0</v>
      </c>
    </row>
    <row r="747" spans="1:7" ht="15">
      <c r="A747" s="92" t="s">
        <v>2813</v>
      </c>
      <c r="B747" s="91">
        <v>8</v>
      </c>
      <c r="C747" s="114">
        <v>0.0020322111863405787</v>
      </c>
      <c r="D747" s="91" t="s">
        <v>2518</v>
      </c>
      <c r="E747" s="91" t="b">
        <v>0</v>
      </c>
      <c r="F747" s="91" t="b">
        <v>0</v>
      </c>
      <c r="G747" s="91" t="b">
        <v>0</v>
      </c>
    </row>
    <row r="748" spans="1:7" ht="15">
      <c r="A748" s="92" t="s">
        <v>2814</v>
      </c>
      <c r="B748" s="91">
        <v>8</v>
      </c>
      <c r="C748" s="114">
        <v>0.0020322111863405787</v>
      </c>
      <c r="D748" s="91" t="s">
        <v>2518</v>
      </c>
      <c r="E748" s="91" t="b">
        <v>0</v>
      </c>
      <c r="F748" s="91" t="b">
        <v>0</v>
      </c>
      <c r="G748" s="91" t="b">
        <v>0</v>
      </c>
    </row>
    <row r="749" spans="1:7" ht="15">
      <c r="A749" s="92" t="s">
        <v>2815</v>
      </c>
      <c r="B749" s="91">
        <v>8</v>
      </c>
      <c r="C749" s="114">
        <v>0.0020322111863405787</v>
      </c>
      <c r="D749" s="91" t="s">
        <v>2518</v>
      </c>
      <c r="E749" s="91" t="b">
        <v>0</v>
      </c>
      <c r="F749" s="91" t="b">
        <v>0</v>
      </c>
      <c r="G749" s="91" t="b">
        <v>0</v>
      </c>
    </row>
    <row r="750" spans="1:7" ht="15">
      <c r="A750" s="92" t="s">
        <v>437</v>
      </c>
      <c r="B750" s="91">
        <v>8</v>
      </c>
      <c r="C750" s="114">
        <v>0.0020322111863405787</v>
      </c>
      <c r="D750" s="91" t="s">
        <v>2518</v>
      </c>
      <c r="E750" s="91" t="b">
        <v>0</v>
      </c>
      <c r="F750" s="91" t="b">
        <v>0</v>
      </c>
      <c r="G750" s="91" t="b">
        <v>0</v>
      </c>
    </row>
    <row r="751" spans="1:7" ht="15">
      <c r="A751" s="92" t="s">
        <v>2816</v>
      </c>
      <c r="B751" s="91">
        <v>8</v>
      </c>
      <c r="C751" s="114">
        <v>0.0020322111863405787</v>
      </c>
      <c r="D751" s="91" t="s">
        <v>2518</v>
      </c>
      <c r="E751" s="91" t="b">
        <v>0</v>
      </c>
      <c r="F751" s="91" t="b">
        <v>0</v>
      </c>
      <c r="G751" s="91" t="b">
        <v>0</v>
      </c>
    </row>
    <row r="752" spans="1:7" ht="15">
      <c r="A752" s="92" t="s">
        <v>2780</v>
      </c>
      <c r="B752" s="91">
        <v>8</v>
      </c>
      <c r="C752" s="114">
        <v>0.0020322111863405787</v>
      </c>
      <c r="D752" s="91" t="s">
        <v>2518</v>
      </c>
      <c r="E752" s="91" t="b">
        <v>0</v>
      </c>
      <c r="F752" s="91" t="b">
        <v>0</v>
      </c>
      <c r="G752" s="91" t="b">
        <v>0</v>
      </c>
    </row>
    <row r="753" spans="1:7" ht="15">
      <c r="A753" s="92" t="s">
        <v>2781</v>
      </c>
      <c r="B753" s="91">
        <v>8</v>
      </c>
      <c r="C753" s="114">
        <v>0.0020322111863405787</v>
      </c>
      <c r="D753" s="91" t="s">
        <v>2518</v>
      </c>
      <c r="E753" s="91" t="b">
        <v>0</v>
      </c>
      <c r="F753" s="91" t="b">
        <v>0</v>
      </c>
      <c r="G753" s="91" t="b">
        <v>0</v>
      </c>
    </row>
    <row r="754" spans="1:7" ht="15">
      <c r="A754" s="92" t="s">
        <v>2782</v>
      </c>
      <c r="B754" s="91">
        <v>8</v>
      </c>
      <c r="C754" s="114">
        <v>0.0020322111863405787</v>
      </c>
      <c r="D754" s="91" t="s">
        <v>2518</v>
      </c>
      <c r="E754" s="91" t="b">
        <v>0</v>
      </c>
      <c r="F754" s="91" t="b">
        <v>0</v>
      </c>
      <c r="G754" s="91" t="b">
        <v>0</v>
      </c>
    </row>
    <row r="755" spans="1:7" ht="15">
      <c r="A755" s="92" t="s">
        <v>2771</v>
      </c>
      <c r="B755" s="91">
        <v>8</v>
      </c>
      <c r="C755" s="114">
        <v>0.0020322111863405787</v>
      </c>
      <c r="D755" s="91" t="s">
        <v>2518</v>
      </c>
      <c r="E755" s="91" t="b">
        <v>0</v>
      </c>
      <c r="F755" s="91" t="b">
        <v>0</v>
      </c>
      <c r="G755" s="91" t="b">
        <v>0</v>
      </c>
    </row>
    <row r="756" spans="1:7" ht="15">
      <c r="A756" s="92" t="s">
        <v>2734</v>
      </c>
      <c r="B756" s="91">
        <v>8</v>
      </c>
      <c r="C756" s="114">
        <v>0.0020322111863405787</v>
      </c>
      <c r="D756" s="91" t="s">
        <v>2518</v>
      </c>
      <c r="E756" s="91" t="b">
        <v>0</v>
      </c>
      <c r="F756" s="91" t="b">
        <v>0</v>
      </c>
      <c r="G756" s="91" t="b">
        <v>0</v>
      </c>
    </row>
    <row r="757" spans="1:7" ht="15">
      <c r="A757" s="92" t="s">
        <v>2783</v>
      </c>
      <c r="B757" s="91">
        <v>8</v>
      </c>
      <c r="C757" s="114">
        <v>0.0020322111863405787</v>
      </c>
      <c r="D757" s="91" t="s">
        <v>2518</v>
      </c>
      <c r="E757" s="91" t="b">
        <v>0</v>
      </c>
      <c r="F757" s="91" t="b">
        <v>0</v>
      </c>
      <c r="G757" s="91" t="b">
        <v>0</v>
      </c>
    </row>
    <row r="758" spans="1:7" ht="15">
      <c r="A758" s="92" t="s">
        <v>2784</v>
      </c>
      <c r="B758" s="91">
        <v>8</v>
      </c>
      <c r="C758" s="114">
        <v>0.0020322111863405787</v>
      </c>
      <c r="D758" s="91" t="s">
        <v>2518</v>
      </c>
      <c r="E758" s="91" t="b">
        <v>0</v>
      </c>
      <c r="F758" s="91" t="b">
        <v>0</v>
      </c>
      <c r="G758" s="91" t="b">
        <v>0</v>
      </c>
    </row>
    <row r="759" spans="1:7" ht="15">
      <c r="A759" s="92" t="s">
        <v>2785</v>
      </c>
      <c r="B759" s="91">
        <v>8</v>
      </c>
      <c r="C759" s="114">
        <v>0.0020322111863405787</v>
      </c>
      <c r="D759" s="91" t="s">
        <v>2518</v>
      </c>
      <c r="E759" s="91" t="b">
        <v>0</v>
      </c>
      <c r="F759" s="91" t="b">
        <v>0</v>
      </c>
      <c r="G759" s="91" t="b">
        <v>0</v>
      </c>
    </row>
    <row r="760" spans="1:7" ht="15">
      <c r="A760" s="92" t="s">
        <v>2786</v>
      </c>
      <c r="B760" s="91">
        <v>8</v>
      </c>
      <c r="C760" s="114">
        <v>0.0020322111863405787</v>
      </c>
      <c r="D760" s="91" t="s">
        <v>2518</v>
      </c>
      <c r="E760" s="91" t="b">
        <v>0</v>
      </c>
      <c r="F760" s="91" t="b">
        <v>0</v>
      </c>
      <c r="G760" s="91" t="b">
        <v>0</v>
      </c>
    </row>
    <row r="761" spans="1:7" ht="15">
      <c r="A761" s="92" t="s">
        <v>2750</v>
      </c>
      <c r="B761" s="91">
        <v>8</v>
      </c>
      <c r="C761" s="114">
        <v>0.0020322111863405787</v>
      </c>
      <c r="D761" s="91" t="s">
        <v>2518</v>
      </c>
      <c r="E761" s="91" t="b">
        <v>0</v>
      </c>
      <c r="F761" s="91" t="b">
        <v>0</v>
      </c>
      <c r="G761" s="91" t="b">
        <v>0</v>
      </c>
    </row>
    <row r="762" spans="1:7" ht="15">
      <c r="A762" s="92" t="s">
        <v>2787</v>
      </c>
      <c r="B762" s="91">
        <v>8</v>
      </c>
      <c r="C762" s="114">
        <v>0.0020322111863405787</v>
      </c>
      <c r="D762" s="91" t="s">
        <v>2518</v>
      </c>
      <c r="E762" s="91" t="b">
        <v>0</v>
      </c>
      <c r="F762" s="91" t="b">
        <v>0</v>
      </c>
      <c r="G762" s="91" t="b">
        <v>0</v>
      </c>
    </row>
    <row r="763" spans="1:7" ht="15">
      <c r="A763" s="92" t="s">
        <v>2788</v>
      </c>
      <c r="B763" s="91">
        <v>8</v>
      </c>
      <c r="C763" s="114">
        <v>0.0020322111863405787</v>
      </c>
      <c r="D763" s="91" t="s">
        <v>2518</v>
      </c>
      <c r="E763" s="91" t="b">
        <v>0</v>
      </c>
      <c r="F763" s="91" t="b">
        <v>0</v>
      </c>
      <c r="G763" s="91" t="b">
        <v>0</v>
      </c>
    </row>
    <row r="764" spans="1:7" ht="15">
      <c r="A764" s="92" t="s">
        <v>2789</v>
      </c>
      <c r="B764" s="91">
        <v>8</v>
      </c>
      <c r="C764" s="114">
        <v>0.0020322111863405787</v>
      </c>
      <c r="D764" s="91" t="s">
        <v>2518</v>
      </c>
      <c r="E764" s="91" t="b">
        <v>0</v>
      </c>
      <c r="F764" s="91" t="b">
        <v>0</v>
      </c>
      <c r="G764" s="91" t="b">
        <v>0</v>
      </c>
    </row>
    <row r="765" spans="1:7" ht="15">
      <c r="A765" s="92" t="s">
        <v>2790</v>
      </c>
      <c r="B765" s="91">
        <v>8</v>
      </c>
      <c r="C765" s="114">
        <v>0.0020322111863405787</v>
      </c>
      <c r="D765" s="91" t="s">
        <v>2518</v>
      </c>
      <c r="E765" s="91" t="b">
        <v>0</v>
      </c>
      <c r="F765" s="91" t="b">
        <v>0</v>
      </c>
      <c r="G765" s="91" t="b">
        <v>0</v>
      </c>
    </row>
    <row r="766" spans="1:7" ht="15">
      <c r="A766" s="92" t="s">
        <v>2791</v>
      </c>
      <c r="B766" s="91">
        <v>8</v>
      </c>
      <c r="C766" s="114">
        <v>0.0020322111863405787</v>
      </c>
      <c r="D766" s="91" t="s">
        <v>2518</v>
      </c>
      <c r="E766" s="91" t="b">
        <v>0</v>
      </c>
      <c r="F766" s="91" t="b">
        <v>0</v>
      </c>
      <c r="G766" s="91" t="b">
        <v>0</v>
      </c>
    </row>
    <row r="767" spans="1:7" ht="15">
      <c r="A767" s="92" t="s">
        <v>2792</v>
      </c>
      <c r="B767" s="91">
        <v>8</v>
      </c>
      <c r="C767" s="114">
        <v>0.0020322111863405787</v>
      </c>
      <c r="D767" s="91" t="s">
        <v>2518</v>
      </c>
      <c r="E767" s="91" t="b">
        <v>0</v>
      </c>
      <c r="F767" s="91" t="b">
        <v>0</v>
      </c>
      <c r="G767" s="91" t="b">
        <v>0</v>
      </c>
    </row>
    <row r="768" spans="1:7" ht="15">
      <c r="A768" s="92" t="s">
        <v>2758</v>
      </c>
      <c r="B768" s="91">
        <v>8</v>
      </c>
      <c r="C768" s="114">
        <v>0.0020322111863405787</v>
      </c>
      <c r="D768" s="91" t="s">
        <v>2518</v>
      </c>
      <c r="E768" s="91" t="b">
        <v>0</v>
      </c>
      <c r="F768" s="91" t="b">
        <v>0</v>
      </c>
      <c r="G768" s="91" t="b">
        <v>0</v>
      </c>
    </row>
    <row r="769" spans="1:7" ht="15">
      <c r="A769" s="92" t="s">
        <v>2793</v>
      </c>
      <c r="B769" s="91">
        <v>8</v>
      </c>
      <c r="C769" s="114">
        <v>0.0020322111863405787</v>
      </c>
      <c r="D769" s="91" t="s">
        <v>2518</v>
      </c>
      <c r="E769" s="91" t="b">
        <v>0</v>
      </c>
      <c r="F769" s="91" t="b">
        <v>0</v>
      </c>
      <c r="G769" s="91" t="b">
        <v>0</v>
      </c>
    </row>
    <row r="770" spans="1:7" ht="15">
      <c r="A770" s="92" t="s">
        <v>2794</v>
      </c>
      <c r="B770" s="91">
        <v>8</v>
      </c>
      <c r="C770" s="114">
        <v>0.0020322111863405787</v>
      </c>
      <c r="D770" s="91" t="s">
        <v>2518</v>
      </c>
      <c r="E770" s="91" t="b">
        <v>0</v>
      </c>
      <c r="F770" s="91" t="b">
        <v>0</v>
      </c>
      <c r="G770" s="91" t="b">
        <v>0</v>
      </c>
    </row>
    <row r="771" spans="1:7" ht="15">
      <c r="A771" s="92" t="s">
        <v>2741</v>
      </c>
      <c r="B771" s="91">
        <v>8</v>
      </c>
      <c r="C771" s="114">
        <v>0.0020322111863405787</v>
      </c>
      <c r="D771" s="91" t="s">
        <v>2518</v>
      </c>
      <c r="E771" s="91" t="b">
        <v>0</v>
      </c>
      <c r="F771" s="91" t="b">
        <v>0</v>
      </c>
      <c r="G771" s="91" t="b">
        <v>0</v>
      </c>
    </row>
    <row r="772" spans="1:7" ht="15">
      <c r="A772" s="92" t="s">
        <v>2717</v>
      </c>
      <c r="B772" s="91">
        <v>8</v>
      </c>
      <c r="C772" s="114">
        <v>0.0020322111863405787</v>
      </c>
      <c r="D772" s="91" t="s">
        <v>2518</v>
      </c>
      <c r="E772" s="91" t="b">
        <v>0</v>
      </c>
      <c r="F772" s="91" t="b">
        <v>0</v>
      </c>
      <c r="G772" s="91" t="b">
        <v>0</v>
      </c>
    </row>
    <row r="773" spans="1:7" ht="15">
      <c r="A773" s="92" t="s">
        <v>2732</v>
      </c>
      <c r="B773" s="91">
        <v>8</v>
      </c>
      <c r="C773" s="114">
        <v>0.0020322111863405787</v>
      </c>
      <c r="D773" s="91" t="s">
        <v>2518</v>
      </c>
      <c r="E773" s="91" t="b">
        <v>0</v>
      </c>
      <c r="F773" s="91" t="b">
        <v>0</v>
      </c>
      <c r="G773" s="91" t="b">
        <v>0</v>
      </c>
    </row>
    <row r="774" spans="1:7" ht="15">
      <c r="A774" s="92" t="s">
        <v>2660</v>
      </c>
      <c r="B774" s="91">
        <v>7</v>
      </c>
      <c r="C774" s="114">
        <v>0.0018544469764462418</v>
      </c>
      <c r="D774" s="91" t="s">
        <v>2518</v>
      </c>
      <c r="E774" s="91" t="b">
        <v>0</v>
      </c>
      <c r="F774" s="91" t="b">
        <v>0</v>
      </c>
      <c r="G774" s="91" t="b">
        <v>0</v>
      </c>
    </row>
    <row r="775" spans="1:7" ht="15">
      <c r="A775" s="92" t="s">
        <v>2670</v>
      </c>
      <c r="B775" s="91">
        <v>7</v>
      </c>
      <c r="C775" s="114">
        <v>0.0018544469764462418</v>
      </c>
      <c r="D775" s="91" t="s">
        <v>2518</v>
      </c>
      <c r="E775" s="91" t="b">
        <v>0</v>
      </c>
      <c r="F775" s="91" t="b">
        <v>0</v>
      </c>
      <c r="G775" s="91" t="b">
        <v>0</v>
      </c>
    </row>
    <row r="776" spans="1:7" ht="15">
      <c r="A776" s="92" t="s">
        <v>2661</v>
      </c>
      <c r="B776" s="91">
        <v>7</v>
      </c>
      <c r="C776" s="114">
        <v>0.0018544469764462418</v>
      </c>
      <c r="D776" s="91" t="s">
        <v>2518</v>
      </c>
      <c r="E776" s="91" t="b">
        <v>0</v>
      </c>
      <c r="F776" s="91" t="b">
        <v>0</v>
      </c>
      <c r="G776" s="91" t="b">
        <v>0</v>
      </c>
    </row>
    <row r="777" spans="1:7" ht="15">
      <c r="A777" s="92" t="s">
        <v>2700</v>
      </c>
      <c r="B777" s="91">
        <v>7</v>
      </c>
      <c r="C777" s="114">
        <v>0.0018544469764462418</v>
      </c>
      <c r="D777" s="91" t="s">
        <v>2518</v>
      </c>
      <c r="E777" s="91" t="b">
        <v>0</v>
      </c>
      <c r="F777" s="91" t="b">
        <v>0</v>
      </c>
      <c r="G777" s="91" t="b">
        <v>0</v>
      </c>
    </row>
    <row r="778" spans="1:7" ht="15">
      <c r="A778" s="92" t="s">
        <v>2701</v>
      </c>
      <c r="B778" s="91">
        <v>7</v>
      </c>
      <c r="C778" s="114">
        <v>0.0018544469764462418</v>
      </c>
      <c r="D778" s="91" t="s">
        <v>2518</v>
      </c>
      <c r="E778" s="91" t="b">
        <v>0</v>
      </c>
      <c r="F778" s="91" t="b">
        <v>0</v>
      </c>
      <c r="G778" s="91" t="b">
        <v>0</v>
      </c>
    </row>
    <row r="779" spans="1:7" ht="15">
      <c r="A779" s="92" t="s">
        <v>2702</v>
      </c>
      <c r="B779" s="91">
        <v>7</v>
      </c>
      <c r="C779" s="114">
        <v>0.0018544469764462418</v>
      </c>
      <c r="D779" s="91" t="s">
        <v>2518</v>
      </c>
      <c r="E779" s="91" t="b">
        <v>0</v>
      </c>
      <c r="F779" s="91" t="b">
        <v>0</v>
      </c>
      <c r="G779" s="91" t="b">
        <v>0</v>
      </c>
    </row>
    <row r="780" spans="1:7" ht="15">
      <c r="A780" s="92" t="s">
        <v>2652</v>
      </c>
      <c r="B780" s="91">
        <v>7</v>
      </c>
      <c r="C780" s="114">
        <v>0.0018544469764462418</v>
      </c>
      <c r="D780" s="91" t="s">
        <v>2518</v>
      </c>
      <c r="E780" s="91" t="b">
        <v>0</v>
      </c>
      <c r="F780" s="91" t="b">
        <v>0</v>
      </c>
      <c r="G780" s="91" t="b">
        <v>0</v>
      </c>
    </row>
    <row r="781" spans="1:7" ht="15">
      <c r="A781" s="92" t="s">
        <v>2703</v>
      </c>
      <c r="B781" s="91">
        <v>7</v>
      </c>
      <c r="C781" s="114">
        <v>0.0018544469764462418</v>
      </c>
      <c r="D781" s="91" t="s">
        <v>2518</v>
      </c>
      <c r="E781" s="91" t="b">
        <v>0</v>
      </c>
      <c r="F781" s="91" t="b">
        <v>0</v>
      </c>
      <c r="G781" s="91" t="b">
        <v>0</v>
      </c>
    </row>
    <row r="782" spans="1:7" ht="15">
      <c r="A782" s="92" t="s">
        <v>2704</v>
      </c>
      <c r="B782" s="91">
        <v>7</v>
      </c>
      <c r="C782" s="114">
        <v>0.0018544469764462418</v>
      </c>
      <c r="D782" s="91" t="s">
        <v>2518</v>
      </c>
      <c r="E782" s="91" t="b">
        <v>0</v>
      </c>
      <c r="F782" s="91" t="b">
        <v>0</v>
      </c>
      <c r="G782" s="91" t="b">
        <v>0</v>
      </c>
    </row>
    <row r="783" spans="1:7" ht="15">
      <c r="A783" s="92" t="s">
        <v>2695</v>
      </c>
      <c r="B783" s="91">
        <v>7</v>
      </c>
      <c r="C783" s="114">
        <v>0.0018544469764462418</v>
      </c>
      <c r="D783" s="91" t="s">
        <v>2518</v>
      </c>
      <c r="E783" s="91" t="b">
        <v>0</v>
      </c>
      <c r="F783" s="91" t="b">
        <v>0</v>
      </c>
      <c r="G783" s="91" t="b">
        <v>0</v>
      </c>
    </row>
    <row r="784" spans="1:7" ht="15">
      <c r="A784" s="92" t="s">
        <v>2705</v>
      </c>
      <c r="B784" s="91">
        <v>7</v>
      </c>
      <c r="C784" s="114">
        <v>0.0018544469764462418</v>
      </c>
      <c r="D784" s="91" t="s">
        <v>2518</v>
      </c>
      <c r="E784" s="91" t="b">
        <v>0</v>
      </c>
      <c r="F784" s="91" t="b">
        <v>0</v>
      </c>
      <c r="G784" s="91" t="b">
        <v>0</v>
      </c>
    </row>
    <row r="785" spans="1:7" ht="15">
      <c r="A785" s="92" t="s">
        <v>2671</v>
      </c>
      <c r="B785" s="91">
        <v>7</v>
      </c>
      <c r="C785" s="114">
        <v>0.0018544469764462418</v>
      </c>
      <c r="D785" s="91" t="s">
        <v>2518</v>
      </c>
      <c r="E785" s="91" t="b">
        <v>0</v>
      </c>
      <c r="F785" s="91" t="b">
        <v>0</v>
      </c>
      <c r="G785" s="91" t="b">
        <v>0</v>
      </c>
    </row>
    <row r="786" spans="1:7" ht="15">
      <c r="A786" s="92" t="s">
        <v>2706</v>
      </c>
      <c r="B786" s="91">
        <v>7</v>
      </c>
      <c r="C786" s="114">
        <v>0.0018544469764462418</v>
      </c>
      <c r="D786" s="91" t="s">
        <v>2518</v>
      </c>
      <c r="E786" s="91" t="b">
        <v>0</v>
      </c>
      <c r="F786" s="91" t="b">
        <v>0</v>
      </c>
      <c r="G786" s="91" t="b">
        <v>0</v>
      </c>
    </row>
    <row r="787" spans="1:7" ht="15">
      <c r="A787" s="92" t="s">
        <v>2707</v>
      </c>
      <c r="B787" s="91">
        <v>7</v>
      </c>
      <c r="C787" s="114">
        <v>0.0018544469764462418</v>
      </c>
      <c r="D787" s="91" t="s">
        <v>2518</v>
      </c>
      <c r="E787" s="91" t="b">
        <v>0</v>
      </c>
      <c r="F787" s="91" t="b">
        <v>0</v>
      </c>
      <c r="G787" s="91" t="b">
        <v>0</v>
      </c>
    </row>
    <row r="788" spans="1:7" ht="15">
      <c r="A788" s="92" t="s">
        <v>2662</v>
      </c>
      <c r="B788" s="91">
        <v>7</v>
      </c>
      <c r="C788" s="114">
        <v>0.0018544469764462418</v>
      </c>
      <c r="D788" s="91" t="s">
        <v>2518</v>
      </c>
      <c r="E788" s="91" t="b">
        <v>0</v>
      </c>
      <c r="F788" s="91" t="b">
        <v>0</v>
      </c>
      <c r="G788" s="91" t="b">
        <v>0</v>
      </c>
    </row>
    <row r="789" spans="1:7" ht="15">
      <c r="A789" s="92" t="s">
        <v>2708</v>
      </c>
      <c r="B789" s="91">
        <v>7</v>
      </c>
      <c r="C789" s="114">
        <v>0.0018544469764462418</v>
      </c>
      <c r="D789" s="91" t="s">
        <v>2518</v>
      </c>
      <c r="E789" s="91" t="b">
        <v>0</v>
      </c>
      <c r="F789" s="91" t="b">
        <v>0</v>
      </c>
      <c r="G789" s="91" t="b">
        <v>0</v>
      </c>
    </row>
    <row r="790" spans="1:7" ht="15">
      <c r="A790" s="92" t="s">
        <v>2709</v>
      </c>
      <c r="B790" s="91">
        <v>7</v>
      </c>
      <c r="C790" s="114">
        <v>0.0018544469764462418</v>
      </c>
      <c r="D790" s="91" t="s">
        <v>2518</v>
      </c>
      <c r="E790" s="91" t="b">
        <v>0</v>
      </c>
      <c r="F790" s="91" t="b">
        <v>0</v>
      </c>
      <c r="G790" s="91" t="b">
        <v>0</v>
      </c>
    </row>
    <row r="791" spans="1:7" ht="15">
      <c r="A791" s="92" t="s">
        <v>2680</v>
      </c>
      <c r="B791" s="91">
        <v>7</v>
      </c>
      <c r="C791" s="114">
        <v>0.0018544469764462418</v>
      </c>
      <c r="D791" s="91" t="s">
        <v>2518</v>
      </c>
      <c r="E791" s="91" t="b">
        <v>0</v>
      </c>
      <c r="F791" s="91" t="b">
        <v>0</v>
      </c>
      <c r="G791" s="91" t="b">
        <v>0</v>
      </c>
    </row>
    <row r="792" spans="1:7" ht="15">
      <c r="A792" s="92" t="s">
        <v>2710</v>
      </c>
      <c r="B792" s="91">
        <v>7</v>
      </c>
      <c r="C792" s="114">
        <v>0.0018544469764462418</v>
      </c>
      <c r="D792" s="91" t="s">
        <v>2518</v>
      </c>
      <c r="E792" s="91" t="b">
        <v>0</v>
      </c>
      <c r="F792" s="91" t="b">
        <v>0</v>
      </c>
      <c r="G792" s="91" t="b">
        <v>0</v>
      </c>
    </row>
    <row r="793" spans="1:7" ht="15">
      <c r="A793" s="92" t="s">
        <v>2711</v>
      </c>
      <c r="B793" s="91">
        <v>7</v>
      </c>
      <c r="C793" s="114">
        <v>0.0018544469764462418</v>
      </c>
      <c r="D793" s="91" t="s">
        <v>2518</v>
      </c>
      <c r="E793" s="91" t="b">
        <v>0</v>
      </c>
      <c r="F793" s="91" t="b">
        <v>0</v>
      </c>
      <c r="G793" s="91" t="b">
        <v>0</v>
      </c>
    </row>
    <row r="794" spans="1:7" ht="15">
      <c r="A794" s="92" t="s">
        <v>2594</v>
      </c>
      <c r="B794" s="91">
        <v>7</v>
      </c>
      <c r="C794" s="114">
        <v>0.0018544469764462418</v>
      </c>
      <c r="D794" s="91" t="s">
        <v>2518</v>
      </c>
      <c r="E794" s="91" t="b">
        <v>0</v>
      </c>
      <c r="F794" s="91" t="b">
        <v>0</v>
      </c>
      <c r="G794" s="91" t="b">
        <v>0</v>
      </c>
    </row>
    <row r="795" spans="1:7" ht="15">
      <c r="A795" s="92" t="s">
        <v>2648</v>
      </c>
      <c r="B795" s="91">
        <v>7</v>
      </c>
      <c r="C795" s="114">
        <v>0.0018544469764462418</v>
      </c>
      <c r="D795" s="91" t="s">
        <v>2518</v>
      </c>
      <c r="E795" s="91" t="b">
        <v>0</v>
      </c>
      <c r="F795" s="91" t="b">
        <v>0</v>
      </c>
      <c r="G795" s="91" t="b">
        <v>0</v>
      </c>
    </row>
    <row r="796" spans="1:7" ht="15">
      <c r="A796" s="92" t="s">
        <v>2650</v>
      </c>
      <c r="B796" s="91">
        <v>7</v>
      </c>
      <c r="C796" s="114">
        <v>0.0018544469764462418</v>
      </c>
      <c r="D796" s="91" t="s">
        <v>2518</v>
      </c>
      <c r="E796" s="91" t="b">
        <v>0</v>
      </c>
      <c r="F796" s="91" t="b">
        <v>0</v>
      </c>
      <c r="G796" s="91" t="b">
        <v>0</v>
      </c>
    </row>
    <row r="797" spans="1:7" ht="15">
      <c r="A797" s="92" t="s">
        <v>2852</v>
      </c>
      <c r="B797" s="91">
        <v>7</v>
      </c>
      <c r="C797" s="114">
        <v>0.0018544469764462418</v>
      </c>
      <c r="D797" s="91" t="s">
        <v>2518</v>
      </c>
      <c r="E797" s="91" t="b">
        <v>0</v>
      </c>
      <c r="F797" s="91" t="b">
        <v>0</v>
      </c>
      <c r="G797" s="91" t="b">
        <v>0</v>
      </c>
    </row>
    <row r="798" spans="1:7" ht="15">
      <c r="A798" s="92" t="s">
        <v>2853</v>
      </c>
      <c r="B798" s="91">
        <v>7</v>
      </c>
      <c r="C798" s="114">
        <v>0.0018544469764462418</v>
      </c>
      <c r="D798" s="91" t="s">
        <v>2518</v>
      </c>
      <c r="E798" s="91" t="b">
        <v>0</v>
      </c>
      <c r="F798" s="91" t="b">
        <v>0</v>
      </c>
      <c r="G798" s="91" t="b">
        <v>0</v>
      </c>
    </row>
    <row r="799" spans="1:7" ht="15">
      <c r="A799" s="92" t="s">
        <v>2742</v>
      </c>
      <c r="B799" s="91">
        <v>7</v>
      </c>
      <c r="C799" s="114">
        <v>0.0018544469764462418</v>
      </c>
      <c r="D799" s="91" t="s">
        <v>2518</v>
      </c>
      <c r="E799" s="91" t="b">
        <v>0</v>
      </c>
      <c r="F799" s="91" t="b">
        <v>0</v>
      </c>
      <c r="G799" s="91" t="b">
        <v>0</v>
      </c>
    </row>
    <row r="800" spans="1:7" ht="15">
      <c r="A800" s="92" t="s">
        <v>2854</v>
      </c>
      <c r="B800" s="91">
        <v>7</v>
      </c>
      <c r="C800" s="114">
        <v>0.0018544469764462418</v>
      </c>
      <c r="D800" s="91" t="s">
        <v>2518</v>
      </c>
      <c r="E800" s="91" t="b">
        <v>0</v>
      </c>
      <c r="F800" s="91" t="b">
        <v>0</v>
      </c>
      <c r="G800" s="91" t="b">
        <v>0</v>
      </c>
    </row>
    <row r="801" spans="1:7" ht="15">
      <c r="A801" s="92" t="s">
        <v>409</v>
      </c>
      <c r="B801" s="91">
        <v>7</v>
      </c>
      <c r="C801" s="114">
        <v>0.0018544469764462418</v>
      </c>
      <c r="D801" s="91" t="s">
        <v>2518</v>
      </c>
      <c r="E801" s="91" t="b">
        <v>0</v>
      </c>
      <c r="F801" s="91" t="b">
        <v>0</v>
      </c>
      <c r="G801" s="91" t="b">
        <v>0</v>
      </c>
    </row>
    <row r="802" spans="1:7" ht="15">
      <c r="A802" s="92" t="s">
        <v>2855</v>
      </c>
      <c r="B802" s="91">
        <v>7</v>
      </c>
      <c r="C802" s="114">
        <v>0.0018544469764462418</v>
      </c>
      <c r="D802" s="91" t="s">
        <v>2518</v>
      </c>
      <c r="E802" s="91" t="b">
        <v>0</v>
      </c>
      <c r="F802" s="91" t="b">
        <v>0</v>
      </c>
      <c r="G802" s="91" t="b">
        <v>0</v>
      </c>
    </row>
    <row r="803" spans="1:7" ht="15">
      <c r="A803" s="92" t="s">
        <v>2856</v>
      </c>
      <c r="B803" s="91">
        <v>7</v>
      </c>
      <c r="C803" s="114">
        <v>0.0018544469764462418</v>
      </c>
      <c r="D803" s="91" t="s">
        <v>2518</v>
      </c>
      <c r="E803" s="91" t="b">
        <v>0</v>
      </c>
      <c r="F803" s="91" t="b">
        <v>0</v>
      </c>
      <c r="G803" s="91" t="b">
        <v>0</v>
      </c>
    </row>
    <row r="804" spans="1:7" ht="15">
      <c r="A804" s="92" t="s">
        <v>2857</v>
      </c>
      <c r="B804" s="91">
        <v>7</v>
      </c>
      <c r="C804" s="114">
        <v>0.0018544469764462418</v>
      </c>
      <c r="D804" s="91" t="s">
        <v>2518</v>
      </c>
      <c r="E804" s="91" t="b">
        <v>0</v>
      </c>
      <c r="F804" s="91" t="b">
        <v>0</v>
      </c>
      <c r="G804" s="91" t="b">
        <v>0</v>
      </c>
    </row>
    <row r="805" spans="1:7" ht="15">
      <c r="A805" s="92" t="s">
        <v>2730</v>
      </c>
      <c r="B805" s="91">
        <v>7</v>
      </c>
      <c r="C805" s="114">
        <v>0.0018544469764462418</v>
      </c>
      <c r="D805" s="91" t="s">
        <v>2518</v>
      </c>
      <c r="E805" s="91" t="b">
        <v>0</v>
      </c>
      <c r="F805" s="91" t="b">
        <v>0</v>
      </c>
      <c r="G805" s="91" t="b">
        <v>0</v>
      </c>
    </row>
    <row r="806" spans="1:7" ht="15">
      <c r="A806" s="92" t="s">
        <v>2858</v>
      </c>
      <c r="B806" s="91">
        <v>7</v>
      </c>
      <c r="C806" s="114">
        <v>0.0018544469764462418</v>
      </c>
      <c r="D806" s="91" t="s">
        <v>2518</v>
      </c>
      <c r="E806" s="91" t="b">
        <v>0</v>
      </c>
      <c r="F806" s="91" t="b">
        <v>0</v>
      </c>
      <c r="G806" s="91" t="b">
        <v>0</v>
      </c>
    </row>
    <row r="807" spans="1:7" ht="15">
      <c r="A807" s="92" t="s">
        <v>2772</v>
      </c>
      <c r="B807" s="91">
        <v>7</v>
      </c>
      <c r="C807" s="114">
        <v>0.0018544469764462418</v>
      </c>
      <c r="D807" s="91" t="s">
        <v>2518</v>
      </c>
      <c r="E807" s="91" t="b">
        <v>0</v>
      </c>
      <c r="F807" s="91" t="b">
        <v>0</v>
      </c>
      <c r="G807" s="91" t="b">
        <v>0</v>
      </c>
    </row>
    <row r="808" spans="1:7" ht="15">
      <c r="A808" s="92" t="s">
        <v>2797</v>
      </c>
      <c r="B808" s="91">
        <v>7</v>
      </c>
      <c r="C808" s="114">
        <v>0.0018544469764462418</v>
      </c>
      <c r="D808" s="91" t="s">
        <v>2518</v>
      </c>
      <c r="E808" s="91" t="b">
        <v>0</v>
      </c>
      <c r="F808" s="91" t="b">
        <v>0</v>
      </c>
      <c r="G808" s="91" t="b">
        <v>0</v>
      </c>
    </row>
    <row r="809" spans="1:7" ht="15">
      <c r="A809" s="92" t="s">
        <v>2859</v>
      </c>
      <c r="B809" s="91">
        <v>7</v>
      </c>
      <c r="C809" s="114">
        <v>0.0018544469764462418</v>
      </c>
      <c r="D809" s="91" t="s">
        <v>2518</v>
      </c>
      <c r="E809" s="91" t="b">
        <v>0</v>
      </c>
      <c r="F809" s="91" t="b">
        <v>0</v>
      </c>
      <c r="G809" s="91" t="b">
        <v>0</v>
      </c>
    </row>
    <row r="810" spans="1:7" ht="15">
      <c r="A810" s="92" t="s">
        <v>2609</v>
      </c>
      <c r="B810" s="91">
        <v>6</v>
      </c>
      <c r="C810" s="114">
        <v>0.0016649873245008406</v>
      </c>
      <c r="D810" s="91" t="s">
        <v>2518</v>
      </c>
      <c r="E810" s="91" t="b">
        <v>0</v>
      </c>
      <c r="F810" s="91" t="b">
        <v>0</v>
      </c>
      <c r="G810" s="91" t="b">
        <v>0</v>
      </c>
    </row>
    <row r="811" spans="1:7" ht="15">
      <c r="A811" s="92" t="s">
        <v>2896</v>
      </c>
      <c r="B811" s="91">
        <v>6</v>
      </c>
      <c r="C811" s="114">
        <v>0.0016649873245008406</v>
      </c>
      <c r="D811" s="91" t="s">
        <v>2518</v>
      </c>
      <c r="E811" s="91" t="b">
        <v>0</v>
      </c>
      <c r="F811" s="91" t="b">
        <v>0</v>
      </c>
      <c r="G811" s="91" t="b">
        <v>0</v>
      </c>
    </row>
    <row r="812" spans="1:7" ht="15">
      <c r="A812" s="92" t="s">
        <v>2766</v>
      </c>
      <c r="B812" s="91">
        <v>6</v>
      </c>
      <c r="C812" s="114">
        <v>0.0016649873245008406</v>
      </c>
      <c r="D812" s="91" t="s">
        <v>2518</v>
      </c>
      <c r="E812" s="91" t="b">
        <v>0</v>
      </c>
      <c r="F812" s="91" t="b">
        <v>0</v>
      </c>
      <c r="G812" s="91" t="b">
        <v>0</v>
      </c>
    </row>
    <row r="813" spans="1:7" ht="15">
      <c r="A813" s="92" t="s">
        <v>2897</v>
      </c>
      <c r="B813" s="91">
        <v>6</v>
      </c>
      <c r="C813" s="114">
        <v>0.0016649873245008406</v>
      </c>
      <c r="D813" s="91" t="s">
        <v>2518</v>
      </c>
      <c r="E813" s="91" t="b">
        <v>0</v>
      </c>
      <c r="F813" s="91" t="b">
        <v>0</v>
      </c>
      <c r="G813" s="91" t="b">
        <v>0</v>
      </c>
    </row>
    <row r="814" spans="1:7" ht="15">
      <c r="A814" s="92" t="s">
        <v>2898</v>
      </c>
      <c r="B814" s="91">
        <v>6</v>
      </c>
      <c r="C814" s="114">
        <v>0.0016649873245008406</v>
      </c>
      <c r="D814" s="91" t="s">
        <v>2518</v>
      </c>
      <c r="E814" s="91" t="b">
        <v>0</v>
      </c>
      <c r="F814" s="91" t="b">
        <v>0</v>
      </c>
      <c r="G814" s="91" t="b">
        <v>0</v>
      </c>
    </row>
    <row r="815" spans="1:7" ht="15">
      <c r="A815" s="92" t="s">
        <v>2899</v>
      </c>
      <c r="B815" s="91">
        <v>6</v>
      </c>
      <c r="C815" s="114">
        <v>0.0016649873245008406</v>
      </c>
      <c r="D815" s="91" t="s">
        <v>2518</v>
      </c>
      <c r="E815" s="91" t="b">
        <v>0</v>
      </c>
      <c r="F815" s="91" t="b">
        <v>0</v>
      </c>
      <c r="G815" s="91" t="b">
        <v>0</v>
      </c>
    </row>
    <row r="816" spans="1:7" ht="15">
      <c r="A816" s="92" t="s">
        <v>2900</v>
      </c>
      <c r="B816" s="91">
        <v>6</v>
      </c>
      <c r="C816" s="114">
        <v>0.0016649873245008406</v>
      </c>
      <c r="D816" s="91" t="s">
        <v>2518</v>
      </c>
      <c r="E816" s="91" t="b">
        <v>0</v>
      </c>
      <c r="F816" s="91" t="b">
        <v>0</v>
      </c>
      <c r="G816" s="91" t="b">
        <v>0</v>
      </c>
    </row>
    <row r="817" spans="1:7" ht="15">
      <c r="A817" s="92" t="s">
        <v>2901</v>
      </c>
      <c r="B817" s="91">
        <v>6</v>
      </c>
      <c r="C817" s="114">
        <v>0.0016649873245008406</v>
      </c>
      <c r="D817" s="91" t="s">
        <v>2518</v>
      </c>
      <c r="E817" s="91" t="b">
        <v>0</v>
      </c>
      <c r="F817" s="91" t="b">
        <v>0</v>
      </c>
      <c r="G817" s="91" t="b">
        <v>0</v>
      </c>
    </row>
    <row r="818" spans="1:7" ht="15">
      <c r="A818" s="92" t="s">
        <v>2902</v>
      </c>
      <c r="B818" s="91">
        <v>6</v>
      </c>
      <c r="C818" s="114">
        <v>0.0016649873245008406</v>
      </c>
      <c r="D818" s="91" t="s">
        <v>2518</v>
      </c>
      <c r="E818" s="91" t="b">
        <v>0</v>
      </c>
      <c r="F818" s="91" t="b">
        <v>0</v>
      </c>
      <c r="G818" s="91" t="b">
        <v>0</v>
      </c>
    </row>
    <row r="819" spans="1:7" ht="15">
      <c r="A819" s="92" t="s">
        <v>2767</v>
      </c>
      <c r="B819" s="91">
        <v>6</v>
      </c>
      <c r="C819" s="114">
        <v>0.0016649873245008406</v>
      </c>
      <c r="D819" s="91" t="s">
        <v>2518</v>
      </c>
      <c r="E819" s="91" t="b">
        <v>0</v>
      </c>
      <c r="F819" s="91" t="b">
        <v>0</v>
      </c>
      <c r="G819" s="91" t="b">
        <v>0</v>
      </c>
    </row>
    <row r="820" spans="1:7" ht="15">
      <c r="A820" s="92" t="s">
        <v>2817</v>
      </c>
      <c r="B820" s="91">
        <v>6</v>
      </c>
      <c r="C820" s="114">
        <v>0.0016649873245008406</v>
      </c>
      <c r="D820" s="91" t="s">
        <v>2518</v>
      </c>
      <c r="E820" s="91" t="b">
        <v>0</v>
      </c>
      <c r="F820" s="91" t="b">
        <v>0</v>
      </c>
      <c r="G820" s="91" t="b">
        <v>0</v>
      </c>
    </row>
    <row r="821" spans="1:7" ht="15">
      <c r="A821" s="92" t="s">
        <v>2773</v>
      </c>
      <c r="B821" s="91">
        <v>6</v>
      </c>
      <c r="C821" s="114">
        <v>0.0016649873245008406</v>
      </c>
      <c r="D821" s="91" t="s">
        <v>2518</v>
      </c>
      <c r="E821" s="91" t="b">
        <v>0</v>
      </c>
      <c r="F821" s="91" t="b">
        <v>0</v>
      </c>
      <c r="G821" s="91" t="b">
        <v>0</v>
      </c>
    </row>
    <row r="822" spans="1:7" ht="15">
      <c r="A822" s="92" t="s">
        <v>2818</v>
      </c>
      <c r="B822" s="91">
        <v>6</v>
      </c>
      <c r="C822" s="114">
        <v>0.0016649873245008406</v>
      </c>
      <c r="D822" s="91" t="s">
        <v>2518</v>
      </c>
      <c r="E822" s="91" t="b">
        <v>0</v>
      </c>
      <c r="F822" s="91" t="b">
        <v>0</v>
      </c>
      <c r="G822" s="91" t="b">
        <v>0</v>
      </c>
    </row>
    <row r="823" spans="1:7" ht="15">
      <c r="A823" s="92" t="s">
        <v>2819</v>
      </c>
      <c r="B823" s="91">
        <v>6</v>
      </c>
      <c r="C823" s="114">
        <v>0.0016649873245008406</v>
      </c>
      <c r="D823" s="91" t="s">
        <v>2518</v>
      </c>
      <c r="E823" s="91" t="b">
        <v>0</v>
      </c>
      <c r="F823" s="91" t="b">
        <v>0</v>
      </c>
      <c r="G823" s="91" t="b">
        <v>0</v>
      </c>
    </row>
    <row r="824" spans="1:7" ht="15">
      <c r="A824" s="92" t="s">
        <v>2820</v>
      </c>
      <c r="B824" s="91">
        <v>6</v>
      </c>
      <c r="C824" s="114">
        <v>0.0016649873245008406</v>
      </c>
      <c r="D824" s="91" t="s">
        <v>2518</v>
      </c>
      <c r="E824" s="91" t="b">
        <v>0</v>
      </c>
      <c r="F824" s="91" t="b">
        <v>0</v>
      </c>
      <c r="G824" s="91" t="b">
        <v>0</v>
      </c>
    </row>
    <row r="825" spans="1:7" ht="15">
      <c r="A825" s="92" t="s">
        <v>2743</v>
      </c>
      <c r="B825" s="91">
        <v>6</v>
      </c>
      <c r="C825" s="114">
        <v>0.0016649873245008406</v>
      </c>
      <c r="D825" s="91" t="s">
        <v>2518</v>
      </c>
      <c r="E825" s="91" t="b">
        <v>0</v>
      </c>
      <c r="F825" s="91" t="b">
        <v>0</v>
      </c>
      <c r="G825" s="91" t="b">
        <v>0</v>
      </c>
    </row>
    <row r="826" spans="1:7" ht="15">
      <c r="A826" s="92" t="s">
        <v>2821</v>
      </c>
      <c r="B826" s="91">
        <v>6</v>
      </c>
      <c r="C826" s="114">
        <v>0.0016649873245008406</v>
      </c>
      <c r="D826" s="91" t="s">
        <v>2518</v>
      </c>
      <c r="E826" s="91" t="b">
        <v>0</v>
      </c>
      <c r="F826" s="91" t="b">
        <v>0</v>
      </c>
      <c r="G826" s="91" t="b">
        <v>0</v>
      </c>
    </row>
    <row r="827" spans="1:7" ht="15">
      <c r="A827" s="92" t="s">
        <v>2822</v>
      </c>
      <c r="B827" s="91">
        <v>6</v>
      </c>
      <c r="C827" s="114">
        <v>0.0016649873245008406</v>
      </c>
      <c r="D827" s="91" t="s">
        <v>2518</v>
      </c>
      <c r="E827" s="91" t="b">
        <v>0</v>
      </c>
      <c r="F827" s="91" t="b">
        <v>0</v>
      </c>
      <c r="G827" s="91" t="b">
        <v>0</v>
      </c>
    </row>
    <row r="828" spans="1:7" ht="15">
      <c r="A828" s="92" t="s">
        <v>2823</v>
      </c>
      <c r="B828" s="91">
        <v>6</v>
      </c>
      <c r="C828" s="114">
        <v>0.0016649873245008406</v>
      </c>
      <c r="D828" s="91" t="s">
        <v>2518</v>
      </c>
      <c r="E828" s="91" t="b">
        <v>0</v>
      </c>
      <c r="F828" s="91" t="b">
        <v>0</v>
      </c>
      <c r="G828" s="91" t="b">
        <v>0</v>
      </c>
    </row>
    <row r="829" spans="1:7" ht="15">
      <c r="A829" s="92" t="s">
        <v>2824</v>
      </c>
      <c r="B829" s="91">
        <v>6</v>
      </c>
      <c r="C829" s="114">
        <v>0.0016649873245008406</v>
      </c>
      <c r="D829" s="91" t="s">
        <v>2518</v>
      </c>
      <c r="E829" s="91" t="b">
        <v>0</v>
      </c>
      <c r="F829" s="91" t="b">
        <v>0</v>
      </c>
      <c r="G829" s="91" t="b">
        <v>0</v>
      </c>
    </row>
    <row r="830" spans="1:7" ht="15">
      <c r="A830" s="92" t="s">
        <v>2825</v>
      </c>
      <c r="B830" s="91">
        <v>6</v>
      </c>
      <c r="C830" s="114">
        <v>0.0016649873245008406</v>
      </c>
      <c r="D830" s="91" t="s">
        <v>2518</v>
      </c>
      <c r="E830" s="91" t="b">
        <v>0</v>
      </c>
      <c r="F830" s="91" t="b">
        <v>0</v>
      </c>
      <c r="G830" s="91" t="b">
        <v>0</v>
      </c>
    </row>
    <row r="831" spans="1:7" ht="15">
      <c r="A831" s="92" t="s">
        <v>2826</v>
      </c>
      <c r="B831" s="91">
        <v>6</v>
      </c>
      <c r="C831" s="114">
        <v>0.0016649873245008406</v>
      </c>
      <c r="D831" s="91" t="s">
        <v>2518</v>
      </c>
      <c r="E831" s="91" t="b">
        <v>0</v>
      </c>
      <c r="F831" s="91" t="b">
        <v>0</v>
      </c>
      <c r="G831" s="91" t="b">
        <v>0</v>
      </c>
    </row>
    <row r="832" spans="1:7" ht="15">
      <c r="A832" s="92" t="s">
        <v>2827</v>
      </c>
      <c r="B832" s="91">
        <v>6</v>
      </c>
      <c r="C832" s="114">
        <v>0.0016649873245008406</v>
      </c>
      <c r="D832" s="91" t="s">
        <v>2518</v>
      </c>
      <c r="E832" s="91" t="b">
        <v>0</v>
      </c>
      <c r="F832" s="91" t="b">
        <v>0</v>
      </c>
      <c r="G832" s="91" t="b">
        <v>0</v>
      </c>
    </row>
    <row r="833" spans="1:7" ht="15">
      <c r="A833" s="92" t="s">
        <v>2751</v>
      </c>
      <c r="B833" s="91">
        <v>6</v>
      </c>
      <c r="C833" s="114">
        <v>0.0016649873245008406</v>
      </c>
      <c r="D833" s="91" t="s">
        <v>2518</v>
      </c>
      <c r="E833" s="91" t="b">
        <v>0</v>
      </c>
      <c r="F833" s="91" t="b">
        <v>0</v>
      </c>
      <c r="G833" s="91" t="b">
        <v>0</v>
      </c>
    </row>
    <row r="834" spans="1:7" ht="15">
      <c r="A834" s="92" t="s">
        <v>2828</v>
      </c>
      <c r="B834" s="91">
        <v>6</v>
      </c>
      <c r="C834" s="114">
        <v>0.0016649873245008406</v>
      </c>
      <c r="D834" s="91" t="s">
        <v>2518</v>
      </c>
      <c r="E834" s="91" t="b">
        <v>0</v>
      </c>
      <c r="F834" s="91" t="b">
        <v>0</v>
      </c>
      <c r="G834" s="91" t="b">
        <v>0</v>
      </c>
    </row>
    <row r="835" spans="1:7" ht="15">
      <c r="A835" s="92" t="s">
        <v>2829</v>
      </c>
      <c r="B835" s="91">
        <v>6</v>
      </c>
      <c r="C835" s="114">
        <v>0.0016649873245008406</v>
      </c>
      <c r="D835" s="91" t="s">
        <v>2518</v>
      </c>
      <c r="E835" s="91" t="b">
        <v>0</v>
      </c>
      <c r="F835" s="91" t="b">
        <v>0</v>
      </c>
      <c r="G835" s="91" t="b">
        <v>0</v>
      </c>
    </row>
    <row r="836" spans="1:7" ht="15">
      <c r="A836" s="92" t="s">
        <v>2720</v>
      </c>
      <c r="B836" s="91">
        <v>6</v>
      </c>
      <c r="C836" s="114">
        <v>0.0020043034947025856</v>
      </c>
      <c r="D836" s="91" t="s">
        <v>2518</v>
      </c>
      <c r="E836" s="91" t="b">
        <v>0</v>
      </c>
      <c r="F836" s="91" t="b">
        <v>0</v>
      </c>
      <c r="G836" s="91" t="b">
        <v>0</v>
      </c>
    </row>
    <row r="837" spans="1:7" ht="15">
      <c r="A837" s="92" t="s">
        <v>2770</v>
      </c>
      <c r="B837" s="91">
        <v>5</v>
      </c>
      <c r="C837" s="114">
        <v>0.0014618659597663791</v>
      </c>
      <c r="D837" s="91" t="s">
        <v>2518</v>
      </c>
      <c r="E837" s="91" t="b">
        <v>0</v>
      </c>
      <c r="F837" s="91" t="b">
        <v>0</v>
      </c>
      <c r="G837" s="91" t="b">
        <v>0</v>
      </c>
    </row>
    <row r="838" spans="1:7" ht="15">
      <c r="A838" s="92" t="s">
        <v>2779</v>
      </c>
      <c r="B838" s="91">
        <v>5</v>
      </c>
      <c r="C838" s="114">
        <v>0.0015528954666309822</v>
      </c>
      <c r="D838" s="91" t="s">
        <v>2518</v>
      </c>
      <c r="E838" s="91" t="b">
        <v>0</v>
      </c>
      <c r="F838" s="91" t="b">
        <v>0</v>
      </c>
      <c r="G838" s="91" t="b">
        <v>0</v>
      </c>
    </row>
    <row r="839" spans="1:7" ht="15">
      <c r="A839" s="92" t="s">
        <v>2796</v>
      </c>
      <c r="B839" s="91">
        <v>5</v>
      </c>
      <c r="C839" s="114">
        <v>0.0014618659597663791</v>
      </c>
      <c r="D839" s="91" t="s">
        <v>2518</v>
      </c>
      <c r="E839" s="91" t="b">
        <v>0</v>
      </c>
      <c r="F839" s="91" t="b">
        <v>0</v>
      </c>
      <c r="G839" s="91" t="b">
        <v>0</v>
      </c>
    </row>
    <row r="840" spans="1:7" ht="15">
      <c r="A840" s="92" t="s">
        <v>2744</v>
      </c>
      <c r="B840" s="91">
        <v>5</v>
      </c>
      <c r="C840" s="114">
        <v>0.0014618659597663791</v>
      </c>
      <c r="D840" s="91" t="s">
        <v>2518</v>
      </c>
      <c r="E840" s="91" t="b">
        <v>0</v>
      </c>
      <c r="F840" s="91" t="b">
        <v>0</v>
      </c>
      <c r="G840" s="91" t="b">
        <v>0</v>
      </c>
    </row>
    <row r="841" spans="1:7" ht="15">
      <c r="A841" s="92" t="s">
        <v>2745</v>
      </c>
      <c r="B841" s="91">
        <v>5</v>
      </c>
      <c r="C841" s="114">
        <v>0.0014618659597663791</v>
      </c>
      <c r="D841" s="91" t="s">
        <v>2518</v>
      </c>
      <c r="E841" s="91" t="b">
        <v>0</v>
      </c>
      <c r="F841" s="91" t="b">
        <v>0</v>
      </c>
      <c r="G841" s="91" t="b">
        <v>0</v>
      </c>
    </row>
    <row r="842" spans="1:7" ht="15">
      <c r="A842" s="92" t="s">
        <v>2746</v>
      </c>
      <c r="B842" s="91">
        <v>5</v>
      </c>
      <c r="C842" s="114">
        <v>0.0014618659597663791</v>
      </c>
      <c r="D842" s="91" t="s">
        <v>2518</v>
      </c>
      <c r="E842" s="91" t="b">
        <v>0</v>
      </c>
      <c r="F842" s="91" t="b">
        <v>0</v>
      </c>
      <c r="G842" s="91" t="b">
        <v>0</v>
      </c>
    </row>
    <row r="843" spans="1:7" ht="15">
      <c r="A843" s="92" t="s">
        <v>2618</v>
      </c>
      <c r="B843" s="91">
        <v>4</v>
      </c>
      <c r="C843" s="114">
        <v>0.0012423163733047858</v>
      </c>
      <c r="D843" s="91" t="s">
        <v>2518</v>
      </c>
      <c r="E843" s="91" t="b">
        <v>0</v>
      </c>
      <c r="F843" s="91" t="b">
        <v>0</v>
      </c>
      <c r="G843" s="91" t="b">
        <v>0</v>
      </c>
    </row>
    <row r="844" spans="1:7" ht="15">
      <c r="A844" s="92" t="s">
        <v>2830</v>
      </c>
      <c r="B844" s="91">
        <v>4</v>
      </c>
      <c r="C844" s="114">
        <v>0.0012423163733047858</v>
      </c>
      <c r="D844" s="91" t="s">
        <v>2518</v>
      </c>
      <c r="E844" s="91" t="b">
        <v>0</v>
      </c>
      <c r="F844" s="91" t="b">
        <v>0</v>
      </c>
      <c r="G844" s="91" t="b">
        <v>0</v>
      </c>
    </row>
    <row r="845" spans="1:7" ht="15">
      <c r="A845" s="92" t="s">
        <v>2936</v>
      </c>
      <c r="B845" s="91">
        <v>3</v>
      </c>
      <c r="C845" s="114">
        <v>0.0010021517473512928</v>
      </c>
      <c r="D845" s="91" t="s">
        <v>2518</v>
      </c>
      <c r="E845" s="91" t="b">
        <v>0</v>
      </c>
      <c r="F845" s="91" t="b">
        <v>0</v>
      </c>
      <c r="G845" s="91" t="b">
        <v>0</v>
      </c>
    </row>
    <row r="846" spans="1:7" ht="15">
      <c r="A846" s="92" t="s">
        <v>2937</v>
      </c>
      <c r="B846" s="91">
        <v>3</v>
      </c>
      <c r="C846" s="114">
        <v>0.0010021517473512928</v>
      </c>
      <c r="D846" s="91" t="s">
        <v>2518</v>
      </c>
      <c r="E846" s="91" t="b">
        <v>0</v>
      </c>
      <c r="F846" s="91" t="b">
        <v>0</v>
      </c>
      <c r="G846" s="91" t="b">
        <v>0</v>
      </c>
    </row>
    <row r="847" spans="1:7" ht="15">
      <c r="A847" s="92" t="s">
        <v>2938</v>
      </c>
      <c r="B847" s="91">
        <v>3</v>
      </c>
      <c r="C847" s="114">
        <v>0.0010021517473512928</v>
      </c>
      <c r="D847" s="91" t="s">
        <v>2518</v>
      </c>
      <c r="E847" s="91" t="b">
        <v>0</v>
      </c>
      <c r="F847" s="91" t="b">
        <v>0</v>
      </c>
      <c r="G847" s="91" t="b">
        <v>0</v>
      </c>
    </row>
    <row r="848" spans="1:7" ht="15">
      <c r="A848" s="92" t="s">
        <v>2939</v>
      </c>
      <c r="B848" s="91">
        <v>3</v>
      </c>
      <c r="C848" s="114">
        <v>0.0010021517473512928</v>
      </c>
      <c r="D848" s="91" t="s">
        <v>2518</v>
      </c>
      <c r="E848" s="91" t="b">
        <v>0</v>
      </c>
      <c r="F848" s="91" t="b">
        <v>0</v>
      </c>
      <c r="G848" s="91" t="b">
        <v>0</v>
      </c>
    </row>
    <row r="849" spans="1:7" ht="15">
      <c r="A849" s="92" t="s">
        <v>2848</v>
      </c>
      <c r="B849" s="91">
        <v>3</v>
      </c>
      <c r="C849" s="114">
        <v>0.0010021517473512928</v>
      </c>
      <c r="D849" s="91" t="s">
        <v>2518</v>
      </c>
      <c r="E849" s="91" t="b">
        <v>0</v>
      </c>
      <c r="F849" s="91" t="b">
        <v>0</v>
      </c>
      <c r="G849" s="91" t="b">
        <v>0</v>
      </c>
    </row>
    <row r="850" spans="1:7" ht="15">
      <c r="A850" s="92" t="s">
        <v>2849</v>
      </c>
      <c r="B850" s="91">
        <v>3</v>
      </c>
      <c r="C850" s="114">
        <v>0.0010021517473512928</v>
      </c>
      <c r="D850" s="91" t="s">
        <v>2518</v>
      </c>
      <c r="E850" s="91" t="b">
        <v>0</v>
      </c>
      <c r="F850" s="91" t="b">
        <v>0</v>
      </c>
      <c r="G850" s="91" t="b">
        <v>0</v>
      </c>
    </row>
    <row r="851" spans="1:7" ht="15">
      <c r="A851" s="92" t="s">
        <v>2850</v>
      </c>
      <c r="B851" s="91">
        <v>3</v>
      </c>
      <c r="C851" s="114">
        <v>0.0010021517473512928</v>
      </c>
      <c r="D851" s="91" t="s">
        <v>2518</v>
      </c>
      <c r="E851" s="91" t="b">
        <v>0</v>
      </c>
      <c r="F851" s="91" t="b">
        <v>0</v>
      </c>
      <c r="G851" s="91" t="b">
        <v>0</v>
      </c>
    </row>
    <row r="852" spans="1:7" ht="15">
      <c r="A852" s="92" t="s">
        <v>2940</v>
      </c>
      <c r="B852" s="91">
        <v>3</v>
      </c>
      <c r="C852" s="114">
        <v>0.0010021517473512928</v>
      </c>
      <c r="D852" s="91" t="s">
        <v>2518</v>
      </c>
      <c r="E852" s="91" t="b">
        <v>0</v>
      </c>
      <c r="F852" s="91" t="b">
        <v>0</v>
      </c>
      <c r="G852" s="91" t="b">
        <v>0</v>
      </c>
    </row>
    <row r="853" spans="1:7" ht="15">
      <c r="A853" s="92" t="s">
        <v>417</v>
      </c>
      <c r="B853" s="91">
        <v>3</v>
      </c>
      <c r="C853" s="114">
        <v>0.0010021517473512928</v>
      </c>
      <c r="D853" s="91" t="s">
        <v>2518</v>
      </c>
      <c r="E853" s="91" t="b">
        <v>0</v>
      </c>
      <c r="F853" s="91" t="b">
        <v>0</v>
      </c>
      <c r="G853" s="91" t="b">
        <v>0</v>
      </c>
    </row>
    <row r="854" spans="1:7" ht="15">
      <c r="A854" s="92" t="s">
        <v>3020</v>
      </c>
      <c r="B854" s="91">
        <v>3</v>
      </c>
      <c r="C854" s="114">
        <v>0.0010021517473512928</v>
      </c>
      <c r="D854" s="91" t="s">
        <v>2518</v>
      </c>
      <c r="E854" s="91" t="b">
        <v>0</v>
      </c>
      <c r="F854" s="91" t="b">
        <v>0</v>
      </c>
      <c r="G854" s="91" t="b">
        <v>0</v>
      </c>
    </row>
    <row r="855" spans="1:7" ht="15">
      <c r="A855" s="92" t="s">
        <v>2608</v>
      </c>
      <c r="B855" s="91">
        <v>3</v>
      </c>
      <c r="C855" s="114">
        <v>0.0010021517473512928</v>
      </c>
      <c r="D855" s="91" t="s">
        <v>2518</v>
      </c>
      <c r="E855" s="91" t="b">
        <v>0</v>
      </c>
      <c r="F855" s="91" t="b">
        <v>0</v>
      </c>
      <c r="G855" s="91" t="b">
        <v>0</v>
      </c>
    </row>
    <row r="856" spans="1:7" ht="15">
      <c r="A856" s="92" t="s">
        <v>2623</v>
      </c>
      <c r="B856" s="91">
        <v>3</v>
      </c>
      <c r="C856" s="114">
        <v>0.0010021517473512928</v>
      </c>
      <c r="D856" s="91" t="s">
        <v>2518</v>
      </c>
      <c r="E856" s="91" t="b">
        <v>0</v>
      </c>
      <c r="F856" s="91" t="b">
        <v>0</v>
      </c>
      <c r="G856" s="91" t="b">
        <v>0</v>
      </c>
    </row>
    <row r="857" spans="1:7" ht="15">
      <c r="A857" s="92" t="s">
        <v>2624</v>
      </c>
      <c r="B857" s="91">
        <v>3</v>
      </c>
      <c r="C857" s="114">
        <v>0.0010021517473512928</v>
      </c>
      <c r="D857" s="91" t="s">
        <v>2518</v>
      </c>
      <c r="E857" s="91" t="b">
        <v>0</v>
      </c>
      <c r="F857" s="91" t="b">
        <v>0</v>
      </c>
      <c r="G857" s="91" t="b">
        <v>0</v>
      </c>
    </row>
    <row r="858" spans="1:7" ht="15">
      <c r="A858" s="92" t="s">
        <v>2625</v>
      </c>
      <c r="B858" s="91">
        <v>3</v>
      </c>
      <c r="C858" s="114">
        <v>0.0010021517473512928</v>
      </c>
      <c r="D858" s="91" t="s">
        <v>2518</v>
      </c>
      <c r="E858" s="91" t="b">
        <v>0</v>
      </c>
      <c r="F858" s="91" t="b">
        <v>0</v>
      </c>
      <c r="G858" s="91" t="b">
        <v>0</v>
      </c>
    </row>
    <row r="859" spans="1:7" ht="15">
      <c r="A859" s="92" t="s">
        <v>2626</v>
      </c>
      <c r="B859" s="91">
        <v>3</v>
      </c>
      <c r="C859" s="114">
        <v>0.0010021517473512928</v>
      </c>
      <c r="D859" s="91" t="s">
        <v>2518</v>
      </c>
      <c r="E859" s="91" t="b">
        <v>0</v>
      </c>
      <c r="F859" s="91" t="b">
        <v>0</v>
      </c>
      <c r="G859" s="91" t="b">
        <v>0</v>
      </c>
    </row>
    <row r="860" spans="1:7" ht="15">
      <c r="A860" s="92" t="s">
        <v>2627</v>
      </c>
      <c r="B860" s="91">
        <v>3</v>
      </c>
      <c r="C860" s="114">
        <v>0.0010021517473512928</v>
      </c>
      <c r="D860" s="91" t="s">
        <v>2518</v>
      </c>
      <c r="E860" s="91" t="b">
        <v>0</v>
      </c>
      <c r="F860" s="91" t="b">
        <v>0</v>
      </c>
      <c r="G860" s="91" t="b">
        <v>0</v>
      </c>
    </row>
    <row r="861" spans="1:7" ht="15">
      <c r="A861" s="92" t="s">
        <v>2619</v>
      </c>
      <c r="B861" s="91">
        <v>3</v>
      </c>
      <c r="C861" s="114">
        <v>0.0010021517473512928</v>
      </c>
      <c r="D861" s="91" t="s">
        <v>2518</v>
      </c>
      <c r="E861" s="91" t="b">
        <v>0</v>
      </c>
      <c r="F861" s="91" t="b">
        <v>0</v>
      </c>
      <c r="G861" s="91" t="b">
        <v>0</v>
      </c>
    </row>
    <row r="862" spans="1:7" ht="15">
      <c r="A862" s="92" t="s">
        <v>2628</v>
      </c>
      <c r="B862" s="91">
        <v>3</v>
      </c>
      <c r="C862" s="114">
        <v>0.0010021517473512928</v>
      </c>
      <c r="D862" s="91" t="s">
        <v>2518</v>
      </c>
      <c r="E862" s="91" t="b">
        <v>0</v>
      </c>
      <c r="F862" s="91" t="b">
        <v>0</v>
      </c>
      <c r="G862" s="91" t="b">
        <v>0</v>
      </c>
    </row>
    <row r="863" spans="1:7" ht="15">
      <c r="A863" s="92" t="s">
        <v>2621</v>
      </c>
      <c r="B863" s="91">
        <v>3</v>
      </c>
      <c r="C863" s="114">
        <v>0.0010021517473512928</v>
      </c>
      <c r="D863" s="91" t="s">
        <v>2518</v>
      </c>
      <c r="E863" s="91" t="b">
        <v>0</v>
      </c>
      <c r="F863" s="91" t="b">
        <v>0</v>
      </c>
      <c r="G863" s="91" t="b">
        <v>0</v>
      </c>
    </row>
    <row r="864" spans="1:7" ht="15">
      <c r="A864" s="92" t="s">
        <v>2633</v>
      </c>
      <c r="B864" s="91">
        <v>3</v>
      </c>
      <c r="C864" s="114">
        <v>0.0010021517473512928</v>
      </c>
      <c r="D864" s="91" t="s">
        <v>2518</v>
      </c>
      <c r="E864" s="91" t="b">
        <v>0</v>
      </c>
      <c r="F864" s="91" t="b">
        <v>0</v>
      </c>
      <c r="G864" s="91" t="b">
        <v>0</v>
      </c>
    </row>
    <row r="865" spans="1:7" ht="15">
      <c r="A865" s="92" t="s">
        <v>2795</v>
      </c>
      <c r="B865" s="91">
        <v>3</v>
      </c>
      <c r="C865" s="114">
        <v>0.0010021517473512928</v>
      </c>
      <c r="D865" s="91" t="s">
        <v>2518</v>
      </c>
      <c r="E865" s="91" t="b">
        <v>0</v>
      </c>
      <c r="F865" s="91" t="b">
        <v>0</v>
      </c>
      <c r="G865" s="91" t="b">
        <v>0</v>
      </c>
    </row>
    <row r="866" spans="1:7" ht="15">
      <c r="A866" s="92" t="s">
        <v>2895</v>
      </c>
      <c r="B866" s="91">
        <v>3</v>
      </c>
      <c r="C866" s="114">
        <v>0.0010021517473512928</v>
      </c>
      <c r="D866" s="91" t="s">
        <v>2518</v>
      </c>
      <c r="E866" s="91" t="b">
        <v>0</v>
      </c>
      <c r="F866" s="91" t="b">
        <v>0</v>
      </c>
      <c r="G866" s="91" t="b">
        <v>0</v>
      </c>
    </row>
    <row r="867" spans="1:7" ht="15">
      <c r="A867" s="92" t="s">
        <v>2851</v>
      </c>
      <c r="B867" s="91">
        <v>3</v>
      </c>
      <c r="C867" s="114">
        <v>0.0010021517473512928</v>
      </c>
      <c r="D867" s="91" t="s">
        <v>2518</v>
      </c>
      <c r="E867" s="91" t="b">
        <v>0</v>
      </c>
      <c r="F867" s="91" t="b">
        <v>0</v>
      </c>
      <c r="G867" s="91" t="b">
        <v>0</v>
      </c>
    </row>
    <row r="868" spans="1:7" ht="15">
      <c r="A868" s="92" t="s">
        <v>3021</v>
      </c>
      <c r="B868" s="91">
        <v>3</v>
      </c>
      <c r="C868" s="114">
        <v>0.0010021517473512928</v>
      </c>
      <c r="D868" s="91" t="s">
        <v>2518</v>
      </c>
      <c r="E868" s="91" t="b">
        <v>0</v>
      </c>
      <c r="F868" s="91" t="b">
        <v>0</v>
      </c>
      <c r="G868" s="91" t="b">
        <v>0</v>
      </c>
    </row>
    <row r="869" spans="1:7" ht="15">
      <c r="A869" s="92" t="s">
        <v>3022</v>
      </c>
      <c r="B869" s="91">
        <v>3</v>
      </c>
      <c r="C869" s="114">
        <v>0.0010021517473512928</v>
      </c>
      <c r="D869" s="91" t="s">
        <v>2518</v>
      </c>
      <c r="E869" s="91" t="b">
        <v>0</v>
      </c>
      <c r="F869" s="91" t="b">
        <v>0</v>
      </c>
      <c r="G869" s="91" t="b">
        <v>0</v>
      </c>
    </row>
    <row r="870" spans="1:7" ht="15">
      <c r="A870" s="92" t="s">
        <v>2860</v>
      </c>
      <c r="B870" s="91">
        <v>3</v>
      </c>
      <c r="C870" s="114">
        <v>0.0010021517473512928</v>
      </c>
      <c r="D870" s="91" t="s">
        <v>2518</v>
      </c>
      <c r="E870" s="91" t="b">
        <v>0</v>
      </c>
      <c r="F870" s="91" t="b">
        <v>0</v>
      </c>
      <c r="G870" s="91" t="b">
        <v>0</v>
      </c>
    </row>
    <row r="871" spans="1:7" ht="15">
      <c r="A871" s="92" t="s">
        <v>2861</v>
      </c>
      <c r="B871" s="91">
        <v>3</v>
      </c>
      <c r="C871" s="114">
        <v>0.0010021517473512928</v>
      </c>
      <c r="D871" s="91" t="s">
        <v>2518</v>
      </c>
      <c r="E871" s="91" t="b">
        <v>0</v>
      </c>
      <c r="F871" s="91" t="b">
        <v>0</v>
      </c>
      <c r="G871" s="91" t="b">
        <v>0</v>
      </c>
    </row>
    <row r="872" spans="1:7" ht="15">
      <c r="A872" s="92" t="s">
        <v>2862</v>
      </c>
      <c r="B872" s="91">
        <v>3</v>
      </c>
      <c r="C872" s="114">
        <v>0.0010021517473512928</v>
      </c>
      <c r="D872" s="91" t="s">
        <v>2518</v>
      </c>
      <c r="E872" s="91" t="b">
        <v>0</v>
      </c>
      <c r="F872" s="91" t="b">
        <v>0</v>
      </c>
      <c r="G872" s="91" t="b">
        <v>0</v>
      </c>
    </row>
    <row r="873" spans="1:7" ht="15">
      <c r="A873" s="92" t="s">
        <v>2719</v>
      </c>
      <c r="B873" s="91">
        <v>3</v>
      </c>
      <c r="C873" s="114">
        <v>0.0010021517473512928</v>
      </c>
      <c r="D873" s="91" t="s">
        <v>2518</v>
      </c>
      <c r="E873" s="91" t="b">
        <v>0</v>
      </c>
      <c r="F873" s="91" t="b">
        <v>0</v>
      </c>
      <c r="G873" s="91" t="b">
        <v>0</v>
      </c>
    </row>
    <row r="874" spans="1:7" ht="15">
      <c r="A874" s="92" t="s">
        <v>2831</v>
      </c>
      <c r="B874" s="91">
        <v>3</v>
      </c>
      <c r="C874" s="114">
        <v>0.0010021517473512928</v>
      </c>
      <c r="D874" s="91" t="s">
        <v>2518</v>
      </c>
      <c r="E874" s="91" t="b">
        <v>0</v>
      </c>
      <c r="F874" s="91" t="b">
        <v>0</v>
      </c>
      <c r="G874" s="91" t="b">
        <v>0</v>
      </c>
    </row>
    <row r="875" spans="1:7" ht="15">
      <c r="A875" s="92" t="s">
        <v>2863</v>
      </c>
      <c r="B875" s="91">
        <v>3</v>
      </c>
      <c r="C875" s="114">
        <v>0.0010021517473512928</v>
      </c>
      <c r="D875" s="91" t="s">
        <v>2518</v>
      </c>
      <c r="E875" s="91" t="b">
        <v>0</v>
      </c>
      <c r="F875" s="91" t="b">
        <v>0</v>
      </c>
      <c r="G875" s="91" t="b">
        <v>0</v>
      </c>
    </row>
    <row r="876" spans="1:7" ht="15">
      <c r="A876" s="92" t="s">
        <v>2832</v>
      </c>
      <c r="B876" s="91">
        <v>3</v>
      </c>
      <c r="C876" s="114">
        <v>0.0010021517473512928</v>
      </c>
      <c r="D876" s="91" t="s">
        <v>2518</v>
      </c>
      <c r="E876" s="91" t="b">
        <v>0</v>
      </c>
      <c r="F876" s="91" t="b">
        <v>0</v>
      </c>
      <c r="G876" s="91" t="b">
        <v>0</v>
      </c>
    </row>
    <row r="877" spans="1:7" ht="15">
      <c r="A877" s="92" t="s">
        <v>2864</v>
      </c>
      <c r="B877" s="91">
        <v>3</v>
      </c>
      <c r="C877" s="114">
        <v>0.0010021517473512928</v>
      </c>
      <c r="D877" s="91" t="s">
        <v>2518</v>
      </c>
      <c r="E877" s="91" t="b">
        <v>0</v>
      </c>
      <c r="F877" s="91" t="b">
        <v>0</v>
      </c>
      <c r="G877" s="91" t="b">
        <v>0</v>
      </c>
    </row>
    <row r="878" spans="1:7" ht="15">
      <c r="A878" s="92" t="s">
        <v>2865</v>
      </c>
      <c r="B878" s="91">
        <v>3</v>
      </c>
      <c r="C878" s="114">
        <v>0.0010021517473512928</v>
      </c>
      <c r="D878" s="91" t="s">
        <v>2518</v>
      </c>
      <c r="E878" s="91" t="b">
        <v>0</v>
      </c>
      <c r="F878" s="91" t="b">
        <v>0</v>
      </c>
      <c r="G878" s="91" t="b">
        <v>0</v>
      </c>
    </row>
    <row r="879" spans="1:7" ht="15">
      <c r="A879" s="92" t="s">
        <v>2752</v>
      </c>
      <c r="B879" s="91">
        <v>3</v>
      </c>
      <c r="C879" s="114">
        <v>0.0010021517473512928</v>
      </c>
      <c r="D879" s="91" t="s">
        <v>2518</v>
      </c>
      <c r="E879" s="91" t="b">
        <v>0</v>
      </c>
      <c r="F879" s="91" t="b">
        <v>0</v>
      </c>
      <c r="G879" s="91" t="b">
        <v>0</v>
      </c>
    </row>
    <row r="880" spans="1:7" ht="15">
      <c r="A880" s="92" t="s">
        <v>2737</v>
      </c>
      <c r="B880" s="91">
        <v>3</v>
      </c>
      <c r="C880" s="114">
        <v>0.0010021517473512928</v>
      </c>
      <c r="D880" s="91" t="s">
        <v>2518</v>
      </c>
      <c r="E880" s="91" t="b">
        <v>0</v>
      </c>
      <c r="F880" s="91" t="b">
        <v>0</v>
      </c>
      <c r="G880" s="91" t="b">
        <v>0</v>
      </c>
    </row>
    <row r="881" spans="1:7" ht="15">
      <c r="A881" s="92" t="s">
        <v>2798</v>
      </c>
      <c r="B881" s="91">
        <v>3</v>
      </c>
      <c r="C881" s="114">
        <v>0.0010021517473512928</v>
      </c>
      <c r="D881" s="91" t="s">
        <v>2518</v>
      </c>
      <c r="E881" s="91" t="b">
        <v>0</v>
      </c>
      <c r="F881" s="91" t="b">
        <v>0</v>
      </c>
      <c r="G881" s="91" t="b">
        <v>0</v>
      </c>
    </row>
    <row r="882" spans="1:7" ht="15">
      <c r="A882" s="92" t="s">
        <v>2866</v>
      </c>
      <c r="B882" s="91">
        <v>3</v>
      </c>
      <c r="C882" s="114">
        <v>0.0010021517473512928</v>
      </c>
      <c r="D882" s="91" t="s">
        <v>2518</v>
      </c>
      <c r="E882" s="91" t="b">
        <v>0</v>
      </c>
      <c r="F882" s="91" t="b">
        <v>0</v>
      </c>
      <c r="G882" s="91" t="b">
        <v>0</v>
      </c>
    </row>
    <row r="883" spans="1:7" ht="15">
      <c r="A883" s="92" t="s">
        <v>2867</v>
      </c>
      <c r="B883" s="91">
        <v>3</v>
      </c>
      <c r="C883" s="114">
        <v>0.0010021517473512928</v>
      </c>
      <c r="D883" s="91" t="s">
        <v>2518</v>
      </c>
      <c r="E883" s="91" t="b">
        <v>0</v>
      </c>
      <c r="F883" s="91" t="b">
        <v>0</v>
      </c>
      <c r="G883" s="91" t="b">
        <v>0</v>
      </c>
    </row>
    <row r="884" spans="1:7" ht="15">
      <c r="A884" s="92" t="s">
        <v>2868</v>
      </c>
      <c r="B884" s="91">
        <v>3</v>
      </c>
      <c r="C884" s="114">
        <v>0.0010021517473512928</v>
      </c>
      <c r="D884" s="91" t="s">
        <v>2518</v>
      </c>
      <c r="E884" s="91" t="b">
        <v>0</v>
      </c>
      <c r="F884" s="91" t="b">
        <v>0</v>
      </c>
      <c r="G884" s="91" t="b">
        <v>0</v>
      </c>
    </row>
    <row r="885" spans="1:7" ht="15">
      <c r="A885" s="92" t="s">
        <v>2869</v>
      </c>
      <c r="B885" s="91">
        <v>3</v>
      </c>
      <c r="C885" s="114">
        <v>0.0010021517473512928</v>
      </c>
      <c r="D885" s="91" t="s">
        <v>2518</v>
      </c>
      <c r="E885" s="91" t="b">
        <v>0</v>
      </c>
      <c r="F885" s="91" t="b">
        <v>0</v>
      </c>
      <c r="G885" s="91" t="b">
        <v>0</v>
      </c>
    </row>
    <row r="886" spans="1:7" ht="15">
      <c r="A886" s="92" t="s">
        <v>2870</v>
      </c>
      <c r="B886" s="91">
        <v>3</v>
      </c>
      <c r="C886" s="114">
        <v>0.0010021517473512928</v>
      </c>
      <c r="D886" s="91" t="s">
        <v>2518</v>
      </c>
      <c r="E886" s="91" t="b">
        <v>0</v>
      </c>
      <c r="F886" s="91" t="b">
        <v>0</v>
      </c>
      <c r="G886" s="91" t="b">
        <v>0</v>
      </c>
    </row>
    <row r="887" spans="1:7" ht="15">
      <c r="A887" s="92" t="s">
        <v>2728</v>
      </c>
      <c r="B887" s="91">
        <v>3</v>
      </c>
      <c r="C887" s="114">
        <v>0.0010021517473512928</v>
      </c>
      <c r="D887" s="91" t="s">
        <v>2518</v>
      </c>
      <c r="E887" s="91" t="b">
        <v>0</v>
      </c>
      <c r="F887" s="91" t="b">
        <v>0</v>
      </c>
      <c r="G887" s="91" t="b">
        <v>0</v>
      </c>
    </row>
    <row r="888" spans="1:7" ht="15">
      <c r="A888" s="92" t="s">
        <v>2722</v>
      </c>
      <c r="B888" s="91">
        <v>2</v>
      </c>
      <c r="C888" s="114">
        <v>0.0007342635767196412</v>
      </c>
      <c r="D888" s="91" t="s">
        <v>2518</v>
      </c>
      <c r="E888" s="91" t="b">
        <v>0</v>
      </c>
      <c r="F888" s="91" t="b">
        <v>0</v>
      </c>
      <c r="G888" s="91" t="b">
        <v>0</v>
      </c>
    </row>
    <row r="889" spans="1:7" ht="15">
      <c r="A889" s="92" t="s">
        <v>2723</v>
      </c>
      <c r="B889" s="91">
        <v>2</v>
      </c>
      <c r="C889" s="114">
        <v>0.0007342635767196412</v>
      </c>
      <c r="D889" s="91" t="s">
        <v>2518</v>
      </c>
      <c r="E889" s="91" t="b">
        <v>0</v>
      </c>
      <c r="F889" s="91" t="b">
        <v>0</v>
      </c>
      <c r="G889" s="91" t="b">
        <v>0</v>
      </c>
    </row>
    <row r="890" spans="1:7" ht="15">
      <c r="A890" s="92" t="s">
        <v>2941</v>
      </c>
      <c r="B890" s="91">
        <v>2</v>
      </c>
      <c r="C890" s="114">
        <v>0.0007342635767196412</v>
      </c>
      <c r="D890" s="91" t="s">
        <v>2518</v>
      </c>
      <c r="E890" s="91" t="b">
        <v>0</v>
      </c>
      <c r="F890" s="91" t="b">
        <v>0</v>
      </c>
      <c r="G890" s="91" t="b">
        <v>0</v>
      </c>
    </row>
    <row r="891" spans="1:7" ht="15">
      <c r="A891" s="92" t="s">
        <v>2942</v>
      </c>
      <c r="B891" s="91">
        <v>2</v>
      </c>
      <c r="C891" s="114">
        <v>0.0007342635767196412</v>
      </c>
      <c r="D891" s="91" t="s">
        <v>2518</v>
      </c>
      <c r="E891" s="91" t="b">
        <v>0</v>
      </c>
      <c r="F891" s="91" t="b">
        <v>0</v>
      </c>
      <c r="G891" s="91" t="b">
        <v>0</v>
      </c>
    </row>
    <row r="892" spans="1:7" ht="15">
      <c r="A892" s="92" t="s">
        <v>2943</v>
      </c>
      <c r="B892" s="91">
        <v>2</v>
      </c>
      <c r="C892" s="114">
        <v>0.0007342635767196412</v>
      </c>
      <c r="D892" s="91" t="s">
        <v>2518</v>
      </c>
      <c r="E892" s="91" t="b">
        <v>0</v>
      </c>
      <c r="F892" s="91" t="b">
        <v>0</v>
      </c>
      <c r="G892" s="91" t="b">
        <v>0</v>
      </c>
    </row>
    <row r="893" spans="1:7" ht="15">
      <c r="A893" s="92" t="s">
        <v>2944</v>
      </c>
      <c r="B893" s="91">
        <v>2</v>
      </c>
      <c r="C893" s="114">
        <v>0.0007342635767196412</v>
      </c>
      <c r="D893" s="91" t="s">
        <v>2518</v>
      </c>
      <c r="E893" s="91" t="b">
        <v>0</v>
      </c>
      <c r="F893" s="91" t="b">
        <v>0</v>
      </c>
      <c r="G893" s="91" t="b">
        <v>0</v>
      </c>
    </row>
    <row r="894" spans="1:7" ht="15">
      <c r="A894" s="92" t="s">
        <v>2945</v>
      </c>
      <c r="B894" s="91">
        <v>2</v>
      </c>
      <c r="C894" s="114">
        <v>0.0007342635767196412</v>
      </c>
      <c r="D894" s="91" t="s">
        <v>2518</v>
      </c>
      <c r="E894" s="91" t="b">
        <v>0</v>
      </c>
      <c r="F894" s="91" t="b">
        <v>0</v>
      </c>
      <c r="G894" s="91" t="b">
        <v>0</v>
      </c>
    </row>
    <row r="895" spans="1:7" ht="15">
      <c r="A895" s="92" t="s">
        <v>2946</v>
      </c>
      <c r="B895" s="91">
        <v>2</v>
      </c>
      <c r="C895" s="114">
        <v>0.0007342635767196412</v>
      </c>
      <c r="D895" s="91" t="s">
        <v>2518</v>
      </c>
      <c r="E895" s="91" t="b">
        <v>0</v>
      </c>
      <c r="F895" s="91" t="b">
        <v>0</v>
      </c>
      <c r="G895" s="91" t="b">
        <v>0</v>
      </c>
    </row>
    <row r="896" spans="1:7" ht="15">
      <c r="A896" s="92" t="s">
        <v>2947</v>
      </c>
      <c r="B896" s="91">
        <v>2</v>
      </c>
      <c r="C896" s="114">
        <v>0.0007342635767196412</v>
      </c>
      <c r="D896" s="91" t="s">
        <v>2518</v>
      </c>
      <c r="E896" s="91" t="b">
        <v>0</v>
      </c>
      <c r="F896" s="91" t="b">
        <v>0</v>
      </c>
      <c r="G896" s="91" t="b">
        <v>0</v>
      </c>
    </row>
    <row r="897" spans="1:7" ht="15">
      <c r="A897" s="92" t="s">
        <v>2948</v>
      </c>
      <c r="B897" s="91">
        <v>2</v>
      </c>
      <c r="C897" s="114">
        <v>0.0007342635767196412</v>
      </c>
      <c r="D897" s="91" t="s">
        <v>2518</v>
      </c>
      <c r="E897" s="91" t="b">
        <v>0</v>
      </c>
      <c r="F897" s="91" t="b">
        <v>0</v>
      </c>
      <c r="G897" s="91" t="b">
        <v>0</v>
      </c>
    </row>
    <row r="898" spans="1:7" ht="15">
      <c r="A898" s="92" t="s">
        <v>2739</v>
      </c>
      <c r="B898" s="91">
        <v>2</v>
      </c>
      <c r="C898" s="114">
        <v>0.0007342635767196412</v>
      </c>
      <c r="D898" s="91" t="s">
        <v>2518</v>
      </c>
      <c r="E898" s="91" t="b">
        <v>0</v>
      </c>
      <c r="F898" s="91" t="b">
        <v>0</v>
      </c>
      <c r="G898" s="91" t="b">
        <v>0</v>
      </c>
    </row>
    <row r="899" spans="1:7" ht="15">
      <c r="A899" s="92" t="s">
        <v>3076</v>
      </c>
      <c r="B899" s="91">
        <v>2</v>
      </c>
      <c r="C899" s="114">
        <v>0.0007342635767196412</v>
      </c>
      <c r="D899" s="91" t="s">
        <v>2518</v>
      </c>
      <c r="E899" s="91" t="b">
        <v>0</v>
      </c>
      <c r="F899" s="91" t="b">
        <v>0</v>
      </c>
      <c r="G899" s="91" t="b">
        <v>0</v>
      </c>
    </row>
    <row r="900" spans="1:7" ht="15">
      <c r="A900" s="92" t="s">
        <v>2718</v>
      </c>
      <c r="B900" s="91">
        <v>2</v>
      </c>
      <c r="C900" s="114">
        <v>0.0007342635767196412</v>
      </c>
      <c r="D900" s="91" t="s">
        <v>2518</v>
      </c>
      <c r="E900" s="91" t="b">
        <v>0</v>
      </c>
      <c r="F900" s="91" t="b">
        <v>0</v>
      </c>
      <c r="G900" s="91" t="b">
        <v>0</v>
      </c>
    </row>
    <row r="901" spans="1:7" ht="15">
      <c r="A901" s="92" t="s">
        <v>3077</v>
      </c>
      <c r="B901" s="91">
        <v>2</v>
      </c>
      <c r="C901" s="114">
        <v>0.0007342635767196412</v>
      </c>
      <c r="D901" s="91" t="s">
        <v>2518</v>
      </c>
      <c r="E901" s="91" t="b">
        <v>0</v>
      </c>
      <c r="F901" s="91" t="b">
        <v>0</v>
      </c>
      <c r="G901" s="91" t="b">
        <v>0</v>
      </c>
    </row>
    <row r="902" spans="1:7" ht="15">
      <c r="A902" s="92" t="s">
        <v>2903</v>
      </c>
      <c r="B902" s="91">
        <v>2</v>
      </c>
      <c r="C902" s="114">
        <v>0.0007342635767196412</v>
      </c>
      <c r="D902" s="91" t="s">
        <v>2518</v>
      </c>
      <c r="E902" s="91" t="b">
        <v>0</v>
      </c>
      <c r="F902" s="91" t="b">
        <v>0</v>
      </c>
      <c r="G902" s="91" t="b">
        <v>0</v>
      </c>
    </row>
    <row r="903" spans="1:7" ht="15">
      <c r="A903" s="92" t="s">
        <v>2768</v>
      </c>
      <c r="B903" s="91">
        <v>2</v>
      </c>
      <c r="C903" s="114">
        <v>0.0008473689667868894</v>
      </c>
      <c r="D903" s="91" t="s">
        <v>2518</v>
      </c>
      <c r="E903" s="91" t="b">
        <v>0</v>
      </c>
      <c r="F903" s="91" t="b">
        <v>0</v>
      </c>
      <c r="G903" s="91" t="b">
        <v>0</v>
      </c>
    </row>
    <row r="904" spans="1:7" ht="15">
      <c r="A904" s="92" t="s">
        <v>2904</v>
      </c>
      <c r="B904" s="91">
        <v>2</v>
      </c>
      <c r="C904" s="114">
        <v>0.0007342635767196412</v>
      </c>
      <c r="D904" s="91" t="s">
        <v>2518</v>
      </c>
      <c r="E904" s="91" t="b">
        <v>0</v>
      </c>
      <c r="F904" s="91" t="b">
        <v>0</v>
      </c>
      <c r="G904" s="91" t="b">
        <v>0</v>
      </c>
    </row>
    <row r="905" spans="1:7" ht="15">
      <c r="A905" s="92" t="s">
        <v>2799</v>
      </c>
      <c r="B905" s="91">
        <v>2</v>
      </c>
      <c r="C905" s="114">
        <v>0.0007342635767196412</v>
      </c>
      <c r="D905" s="91" t="s">
        <v>2518</v>
      </c>
      <c r="E905" s="91" t="b">
        <v>0</v>
      </c>
      <c r="F905" s="91" t="b">
        <v>0</v>
      </c>
      <c r="G905" s="91" t="b">
        <v>0</v>
      </c>
    </row>
    <row r="906" spans="1:7" ht="15">
      <c r="A906" s="92" t="s">
        <v>2873</v>
      </c>
      <c r="B906" s="91">
        <v>2</v>
      </c>
      <c r="C906" s="114">
        <v>0.0007342635767196412</v>
      </c>
      <c r="D906" s="91" t="s">
        <v>2518</v>
      </c>
      <c r="E906" s="91" t="b">
        <v>0</v>
      </c>
      <c r="F906" s="91" t="b">
        <v>0</v>
      </c>
      <c r="G906" s="91" t="b">
        <v>0</v>
      </c>
    </row>
    <row r="907" spans="1:7" ht="15">
      <c r="A907" s="92" t="s">
        <v>2905</v>
      </c>
      <c r="B907" s="91">
        <v>2</v>
      </c>
      <c r="C907" s="114">
        <v>0.0007342635767196412</v>
      </c>
      <c r="D907" s="91" t="s">
        <v>2518</v>
      </c>
      <c r="E907" s="91" t="b">
        <v>0</v>
      </c>
      <c r="F907" s="91" t="b">
        <v>0</v>
      </c>
      <c r="G907" s="91" t="b">
        <v>0</v>
      </c>
    </row>
    <row r="908" spans="1:7" ht="15">
      <c r="A908" s="92" t="s">
        <v>2800</v>
      </c>
      <c r="B908" s="91">
        <v>2</v>
      </c>
      <c r="C908" s="114">
        <v>0.0007342635767196412</v>
      </c>
      <c r="D908" s="91" t="s">
        <v>2518</v>
      </c>
      <c r="E908" s="91" t="b">
        <v>0</v>
      </c>
      <c r="F908" s="91" t="b">
        <v>0</v>
      </c>
      <c r="G908" s="91" t="b">
        <v>0</v>
      </c>
    </row>
    <row r="909" spans="1:7" ht="15">
      <c r="A909" s="92" t="s">
        <v>2906</v>
      </c>
      <c r="B909" s="91">
        <v>2</v>
      </c>
      <c r="C909" s="114">
        <v>0.0007342635767196412</v>
      </c>
      <c r="D909" s="91" t="s">
        <v>2518</v>
      </c>
      <c r="E909" s="91" t="b">
        <v>0</v>
      </c>
      <c r="F909" s="91" t="b">
        <v>0</v>
      </c>
      <c r="G909" s="91" t="b">
        <v>0</v>
      </c>
    </row>
    <row r="910" spans="1:7" ht="15">
      <c r="A910" s="92" t="s">
        <v>2747</v>
      </c>
      <c r="B910" s="91">
        <v>2</v>
      </c>
      <c r="C910" s="114">
        <v>0.0007342635767196412</v>
      </c>
      <c r="D910" s="91" t="s">
        <v>2518</v>
      </c>
      <c r="E910" s="91" t="b">
        <v>0</v>
      </c>
      <c r="F910" s="91" t="b">
        <v>0</v>
      </c>
      <c r="G910" s="91" t="b">
        <v>0</v>
      </c>
    </row>
    <row r="911" spans="1:7" ht="15">
      <c r="A911" s="92" t="s">
        <v>2907</v>
      </c>
      <c r="B911" s="91">
        <v>2</v>
      </c>
      <c r="C911" s="114">
        <v>0.0007342635767196412</v>
      </c>
      <c r="D911" s="91" t="s">
        <v>2518</v>
      </c>
      <c r="E911" s="91" t="b">
        <v>0</v>
      </c>
      <c r="F911" s="91" t="b">
        <v>0</v>
      </c>
      <c r="G911" s="91" t="b">
        <v>0</v>
      </c>
    </row>
    <row r="912" spans="1:7" ht="15">
      <c r="A912" s="92" t="s">
        <v>2731</v>
      </c>
      <c r="B912" s="91">
        <v>2</v>
      </c>
      <c r="C912" s="114">
        <v>0.0007342635767196412</v>
      </c>
      <c r="D912" s="91" t="s">
        <v>2518</v>
      </c>
      <c r="E912" s="91" t="b">
        <v>0</v>
      </c>
      <c r="F912" s="91" t="b">
        <v>0</v>
      </c>
      <c r="G912" s="91" t="b">
        <v>0</v>
      </c>
    </row>
    <row r="913" spans="1:7" ht="15">
      <c r="A913" s="92" t="s">
        <v>2908</v>
      </c>
      <c r="B913" s="91">
        <v>2</v>
      </c>
      <c r="C913" s="114">
        <v>0.0007342635767196412</v>
      </c>
      <c r="D913" s="91" t="s">
        <v>2518</v>
      </c>
      <c r="E913" s="91" t="b">
        <v>0</v>
      </c>
      <c r="F913" s="91" t="b">
        <v>0</v>
      </c>
      <c r="G913" s="91" t="b">
        <v>0</v>
      </c>
    </row>
    <row r="914" spans="1:7" ht="15">
      <c r="A914" s="92" t="s">
        <v>2909</v>
      </c>
      <c r="B914" s="91">
        <v>2</v>
      </c>
      <c r="C914" s="114">
        <v>0.0007342635767196412</v>
      </c>
      <c r="D914" s="91" t="s">
        <v>2518</v>
      </c>
      <c r="E914" s="91" t="b">
        <v>0</v>
      </c>
      <c r="F914" s="91" t="b">
        <v>0</v>
      </c>
      <c r="G914" s="91" t="b">
        <v>0</v>
      </c>
    </row>
    <row r="915" spans="1:7" ht="15">
      <c r="A915" s="92" t="s">
        <v>2801</v>
      </c>
      <c r="B915" s="91">
        <v>2</v>
      </c>
      <c r="C915" s="114">
        <v>0.0007342635767196412</v>
      </c>
      <c r="D915" s="91" t="s">
        <v>2518</v>
      </c>
      <c r="E915" s="91" t="b">
        <v>0</v>
      </c>
      <c r="F915" s="91" t="b">
        <v>0</v>
      </c>
      <c r="G915" s="91" t="b">
        <v>0</v>
      </c>
    </row>
    <row r="916" spans="1:7" ht="15">
      <c r="A916" s="92" t="s">
        <v>2802</v>
      </c>
      <c r="B916" s="91">
        <v>2</v>
      </c>
      <c r="C916" s="114">
        <v>0.0007342635767196412</v>
      </c>
      <c r="D916" s="91" t="s">
        <v>2518</v>
      </c>
      <c r="E916" s="91" t="b">
        <v>0</v>
      </c>
      <c r="F916" s="91" t="b">
        <v>0</v>
      </c>
      <c r="G916" s="91" t="b">
        <v>0</v>
      </c>
    </row>
    <row r="917" spans="1:7" ht="15">
      <c r="A917" s="92" t="s">
        <v>2578</v>
      </c>
      <c r="B917" s="91">
        <v>38</v>
      </c>
      <c r="C917" s="114">
        <v>0.007418055928688284</v>
      </c>
      <c r="D917" s="91" t="s">
        <v>2519</v>
      </c>
      <c r="E917" s="91" t="b">
        <v>0</v>
      </c>
      <c r="F917" s="91" t="b">
        <v>0</v>
      </c>
      <c r="G917" s="91" t="b">
        <v>0</v>
      </c>
    </row>
    <row r="918" spans="1:7" ht="15">
      <c r="A918" s="92" t="s">
        <v>2564</v>
      </c>
      <c r="B918" s="91">
        <v>31</v>
      </c>
      <c r="C918" s="114">
        <v>0</v>
      </c>
      <c r="D918" s="91" t="s">
        <v>2519</v>
      </c>
      <c r="E918" s="91" t="b">
        <v>0</v>
      </c>
      <c r="F918" s="91" t="b">
        <v>0</v>
      </c>
      <c r="G918" s="91" t="b">
        <v>0</v>
      </c>
    </row>
    <row r="919" spans="1:7" ht="15">
      <c r="A919" s="92" t="s">
        <v>2612</v>
      </c>
      <c r="B919" s="91">
        <v>27</v>
      </c>
      <c r="C919" s="114">
        <v>0.001661481129469441</v>
      </c>
      <c r="D919" s="91" t="s">
        <v>2519</v>
      </c>
      <c r="E919" s="91" t="b">
        <v>0</v>
      </c>
      <c r="F919" s="91" t="b">
        <v>0</v>
      </c>
      <c r="G919" s="91" t="b">
        <v>0</v>
      </c>
    </row>
    <row r="920" spans="1:7" ht="15">
      <c r="A920" s="92" t="s">
        <v>2568</v>
      </c>
      <c r="B920" s="91">
        <v>25</v>
      </c>
      <c r="C920" s="114">
        <v>0.005451489561062659</v>
      </c>
      <c r="D920" s="91" t="s">
        <v>2519</v>
      </c>
      <c r="E920" s="91" t="b">
        <v>0</v>
      </c>
      <c r="F920" s="91" t="b">
        <v>0</v>
      </c>
      <c r="G920" s="91" t="b">
        <v>0</v>
      </c>
    </row>
    <row r="921" spans="1:7" ht="15">
      <c r="A921" s="92" t="s">
        <v>2569</v>
      </c>
      <c r="B921" s="91">
        <v>24</v>
      </c>
      <c r="C921" s="114">
        <v>0.0027360111291733335</v>
      </c>
      <c r="D921" s="91" t="s">
        <v>2519</v>
      </c>
      <c r="E921" s="91" t="b">
        <v>0</v>
      </c>
      <c r="F921" s="91" t="b">
        <v>0</v>
      </c>
      <c r="G921" s="91" t="b">
        <v>0</v>
      </c>
    </row>
    <row r="922" spans="1:7" ht="15">
      <c r="A922" s="92" t="s">
        <v>2571</v>
      </c>
      <c r="B922" s="91">
        <v>21</v>
      </c>
      <c r="C922" s="114">
        <v>0.003643067057546074</v>
      </c>
      <c r="D922" s="91" t="s">
        <v>2519</v>
      </c>
      <c r="E922" s="91" t="b">
        <v>0</v>
      </c>
      <c r="F922" s="91" t="b">
        <v>0</v>
      </c>
      <c r="G922" s="91" t="b">
        <v>0</v>
      </c>
    </row>
    <row r="923" spans="1:7" ht="15">
      <c r="A923" s="92" t="s">
        <v>2577</v>
      </c>
      <c r="B923" s="91">
        <v>20</v>
      </c>
      <c r="C923" s="114">
        <v>0.003904239962467518</v>
      </c>
      <c r="D923" s="91" t="s">
        <v>2519</v>
      </c>
      <c r="E923" s="91" t="b">
        <v>0</v>
      </c>
      <c r="F923" s="91" t="b">
        <v>0</v>
      </c>
      <c r="G923" s="91" t="b">
        <v>0</v>
      </c>
    </row>
    <row r="924" spans="1:7" ht="15">
      <c r="A924" s="92" t="s">
        <v>2566</v>
      </c>
      <c r="B924" s="91">
        <v>20</v>
      </c>
      <c r="C924" s="114">
        <v>0.003904239962467518</v>
      </c>
      <c r="D924" s="91" t="s">
        <v>2519</v>
      </c>
      <c r="E924" s="91" t="b">
        <v>0</v>
      </c>
      <c r="F924" s="91" t="b">
        <v>0</v>
      </c>
      <c r="G924" s="91" t="b">
        <v>0</v>
      </c>
    </row>
    <row r="925" spans="1:7" ht="15">
      <c r="A925" s="92" t="s">
        <v>2580</v>
      </c>
      <c r="B925" s="91">
        <v>19</v>
      </c>
      <c r="C925" s="114">
        <v>0.0041431320664076215</v>
      </c>
      <c r="D925" s="91" t="s">
        <v>2519</v>
      </c>
      <c r="E925" s="91" t="b">
        <v>0</v>
      </c>
      <c r="F925" s="91" t="b">
        <v>0</v>
      </c>
      <c r="G925" s="91" t="b">
        <v>0</v>
      </c>
    </row>
    <row r="926" spans="1:7" ht="15">
      <c r="A926" s="92" t="s">
        <v>2572</v>
      </c>
      <c r="B926" s="91">
        <v>18</v>
      </c>
      <c r="C926" s="114">
        <v>0.004358569638110154</v>
      </c>
      <c r="D926" s="91" t="s">
        <v>2519</v>
      </c>
      <c r="E926" s="91" t="b">
        <v>0</v>
      </c>
      <c r="F926" s="91" t="b">
        <v>0</v>
      </c>
      <c r="G926" s="91" t="b">
        <v>0</v>
      </c>
    </row>
    <row r="927" spans="1:7" ht="15">
      <c r="A927" s="92" t="s">
        <v>2565</v>
      </c>
      <c r="B927" s="91">
        <v>17</v>
      </c>
      <c r="C927" s="114">
        <v>0.00454924834025844</v>
      </c>
      <c r="D927" s="91" t="s">
        <v>2519</v>
      </c>
      <c r="E927" s="91" t="b">
        <v>0</v>
      </c>
      <c r="F927" s="91" t="b">
        <v>0</v>
      </c>
      <c r="G927" s="91" t="b">
        <v>0</v>
      </c>
    </row>
    <row r="928" spans="1:7" ht="15">
      <c r="A928" s="92" t="s">
        <v>2567</v>
      </c>
      <c r="B928" s="91">
        <v>17</v>
      </c>
      <c r="C928" s="114">
        <v>0.005008317015417348</v>
      </c>
      <c r="D928" s="91" t="s">
        <v>2519</v>
      </c>
      <c r="E928" s="91" t="b">
        <v>0</v>
      </c>
      <c r="F928" s="91" t="b">
        <v>0</v>
      </c>
      <c r="G928" s="91" t="b">
        <v>0</v>
      </c>
    </row>
    <row r="929" spans="1:7" ht="15">
      <c r="A929" s="92" t="s">
        <v>2631</v>
      </c>
      <c r="B929" s="91">
        <v>14</v>
      </c>
      <c r="C929" s="114">
        <v>0.004957201245317421</v>
      </c>
      <c r="D929" s="91" t="s">
        <v>2519</v>
      </c>
      <c r="E929" s="91" t="b">
        <v>0</v>
      </c>
      <c r="F929" s="91" t="b">
        <v>0</v>
      </c>
      <c r="G929" s="91" t="b">
        <v>0</v>
      </c>
    </row>
    <row r="930" spans="1:7" ht="15">
      <c r="A930" s="92" t="s">
        <v>2610</v>
      </c>
      <c r="B930" s="91">
        <v>14</v>
      </c>
      <c r="C930" s="114">
        <v>0.004957201245317421</v>
      </c>
      <c r="D930" s="91" t="s">
        <v>2519</v>
      </c>
      <c r="E930" s="91" t="b">
        <v>0</v>
      </c>
      <c r="F930" s="91" t="b">
        <v>0</v>
      </c>
      <c r="G930" s="91" t="b">
        <v>0</v>
      </c>
    </row>
    <row r="931" spans="1:7" ht="15">
      <c r="A931" s="92" t="s">
        <v>2663</v>
      </c>
      <c r="B931" s="91">
        <v>13</v>
      </c>
      <c r="C931" s="114">
        <v>0.0050322445536991455</v>
      </c>
      <c r="D931" s="91" t="s">
        <v>2519</v>
      </c>
      <c r="E931" s="91" t="b">
        <v>0</v>
      </c>
      <c r="F931" s="91" t="b">
        <v>0</v>
      </c>
      <c r="G931" s="91" t="b">
        <v>0</v>
      </c>
    </row>
    <row r="932" spans="1:7" ht="15">
      <c r="A932" s="92" t="s">
        <v>611</v>
      </c>
      <c r="B932" s="91">
        <v>13</v>
      </c>
      <c r="C932" s="114">
        <v>0.0050322445536991455</v>
      </c>
      <c r="D932" s="91" t="s">
        <v>2519</v>
      </c>
      <c r="E932" s="91" t="b">
        <v>0</v>
      </c>
      <c r="F932" s="91" t="b">
        <v>0</v>
      </c>
      <c r="G932" s="91" t="b">
        <v>0</v>
      </c>
    </row>
    <row r="933" spans="1:7" ht="15">
      <c r="A933" s="92" t="s">
        <v>2666</v>
      </c>
      <c r="B933" s="91">
        <v>13</v>
      </c>
      <c r="C933" s="114">
        <v>0.0050322445536991455</v>
      </c>
      <c r="D933" s="91" t="s">
        <v>2519</v>
      </c>
      <c r="E933" s="91" t="b">
        <v>0</v>
      </c>
      <c r="F933" s="91" t="b">
        <v>0</v>
      </c>
      <c r="G933" s="91" t="b">
        <v>0</v>
      </c>
    </row>
    <row r="934" spans="1:7" ht="15">
      <c r="A934" s="92" t="s">
        <v>2630</v>
      </c>
      <c r="B934" s="91">
        <v>13</v>
      </c>
      <c r="C934" s="114">
        <v>0.0050322445536991455</v>
      </c>
      <c r="D934" s="91" t="s">
        <v>2519</v>
      </c>
      <c r="E934" s="91" t="b">
        <v>0</v>
      </c>
      <c r="F934" s="91" t="b">
        <v>0</v>
      </c>
      <c r="G934" s="91" t="b">
        <v>0</v>
      </c>
    </row>
    <row r="935" spans="1:7" ht="15">
      <c r="A935" s="92" t="s">
        <v>2676</v>
      </c>
      <c r="B935" s="91">
        <v>13</v>
      </c>
      <c r="C935" s="114">
        <v>0.0050322445536991455</v>
      </c>
      <c r="D935" s="91" t="s">
        <v>2519</v>
      </c>
      <c r="E935" s="91" t="b">
        <v>0</v>
      </c>
      <c r="F935" s="91" t="b">
        <v>0</v>
      </c>
      <c r="G935" s="91" t="b">
        <v>0</v>
      </c>
    </row>
    <row r="936" spans="1:7" ht="15">
      <c r="A936" s="92" t="s">
        <v>2677</v>
      </c>
      <c r="B936" s="91">
        <v>13</v>
      </c>
      <c r="C936" s="114">
        <v>0.0050322445536991455</v>
      </c>
      <c r="D936" s="91" t="s">
        <v>2519</v>
      </c>
      <c r="E936" s="91" t="b">
        <v>0</v>
      </c>
      <c r="F936" s="91" t="b">
        <v>0</v>
      </c>
      <c r="G936" s="91" t="b">
        <v>0</v>
      </c>
    </row>
    <row r="937" spans="1:7" ht="15">
      <c r="A937" s="92" t="s">
        <v>2678</v>
      </c>
      <c r="B937" s="91">
        <v>13</v>
      </c>
      <c r="C937" s="114">
        <v>0.0050322445536991455</v>
      </c>
      <c r="D937" s="91" t="s">
        <v>2519</v>
      </c>
      <c r="E937" s="91" t="b">
        <v>0</v>
      </c>
      <c r="F937" s="91" t="b">
        <v>0</v>
      </c>
      <c r="G937" s="91" t="b">
        <v>0</v>
      </c>
    </row>
    <row r="938" spans="1:7" ht="15">
      <c r="A938" s="92" t="s">
        <v>2658</v>
      </c>
      <c r="B938" s="91">
        <v>13</v>
      </c>
      <c r="C938" s="114">
        <v>0.0050322445536991455</v>
      </c>
      <c r="D938" s="91" t="s">
        <v>2519</v>
      </c>
      <c r="E938" s="91" t="b">
        <v>0</v>
      </c>
      <c r="F938" s="91" t="b">
        <v>0</v>
      </c>
      <c r="G938" s="91" t="b">
        <v>0</v>
      </c>
    </row>
    <row r="939" spans="1:7" ht="15">
      <c r="A939" s="92" t="s">
        <v>2653</v>
      </c>
      <c r="B939" s="91">
        <v>13</v>
      </c>
      <c r="C939" s="114">
        <v>0.0050322445536991455</v>
      </c>
      <c r="D939" s="91" t="s">
        <v>2519</v>
      </c>
      <c r="E939" s="91" t="b">
        <v>0</v>
      </c>
      <c r="F939" s="91" t="b">
        <v>0</v>
      </c>
      <c r="G939" s="91" t="b">
        <v>0</v>
      </c>
    </row>
    <row r="940" spans="1:7" ht="15">
      <c r="A940" s="92" t="s">
        <v>2667</v>
      </c>
      <c r="B940" s="91">
        <v>13</v>
      </c>
      <c r="C940" s="114">
        <v>0.0050322445536991455</v>
      </c>
      <c r="D940" s="91" t="s">
        <v>2519</v>
      </c>
      <c r="E940" s="91" t="b">
        <v>0</v>
      </c>
      <c r="F940" s="91" t="b">
        <v>0</v>
      </c>
      <c r="G940" s="91" t="b">
        <v>0</v>
      </c>
    </row>
    <row r="941" spans="1:7" ht="15">
      <c r="A941" s="92" t="s">
        <v>2679</v>
      </c>
      <c r="B941" s="91">
        <v>13</v>
      </c>
      <c r="C941" s="114">
        <v>0.0050322445536991455</v>
      </c>
      <c r="D941" s="91" t="s">
        <v>2519</v>
      </c>
      <c r="E941" s="91" t="b">
        <v>0</v>
      </c>
      <c r="F941" s="91" t="b">
        <v>0</v>
      </c>
      <c r="G941" s="91" t="b">
        <v>0</v>
      </c>
    </row>
    <row r="942" spans="1:7" ht="15">
      <c r="A942" s="92" t="s">
        <v>2622</v>
      </c>
      <c r="B942" s="91">
        <v>13</v>
      </c>
      <c r="C942" s="114">
        <v>0.0050322445536991455</v>
      </c>
      <c r="D942" s="91" t="s">
        <v>2519</v>
      </c>
      <c r="E942" s="91" t="b">
        <v>0</v>
      </c>
      <c r="F942" s="91" t="b">
        <v>0</v>
      </c>
      <c r="G942" s="91" t="b">
        <v>0</v>
      </c>
    </row>
    <row r="943" spans="1:7" ht="15">
      <c r="A943" s="92" t="s">
        <v>2591</v>
      </c>
      <c r="B943" s="91">
        <v>12</v>
      </c>
      <c r="C943" s="114">
        <v>0.008777974688623128</v>
      </c>
      <c r="D943" s="91" t="s">
        <v>2519</v>
      </c>
      <c r="E943" s="91" t="b">
        <v>0</v>
      </c>
      <c r="F943" s="91" t="b">
        <v>0</v>
      </c>
      <c r="G943" s="91" t="b">
        <v>0</v>
      </c>
    </row>
    <row r="944" spans="1:7" ht="15">
      <c r="A944" s="92" t="s">
        <v>2721</v>
      </c>
      <c r="B944" s="91">
        <v>12</v>
      </c>
      <c r="C944" s="114">
        <v>0.008777974688623128</v>
      </c>
      <c r="D944" s="91" t="s">
        <v>2519</v>
      </c>
      <c r="E944" s="91" t="b">
        <v>0</v>
      </c>
      <c r="F944" s="91" t="b">
        <v>0</v>
      </c>
      <c r="G944" s="91" t="b">
        <v>0</v>
      </c>
    </row>
    <row r="945" spans="1:7" ht="15">
      <c r="A945" s="92" t="s">
        <v>2748</v>
      </c>
      <c r="B945" s="91">
        <v>12</v>
      </c>
      <c r="C945" s="114">
        <v>0.008777974688623128</v>
      </c>
      <c r="D945" s="91" t="s">
        <v>2519</v>
      </c>
      <c r="E945" s="91" t="b">
        <v>0</v>
      </c>
      <c r="F945" s="91" t="b">
        <v>0</v>
      </c>
      <c r="G945" s="91" t="b">
        <v>0</v>
      </c>
    </row>
    <row r="946" spans="1:7" ht="15">
      <c r="A946" s="92" t="s">
        <v>2620</v>
      </c>
      <c r="B946" s="91">
        <v>9</v>
      </c>
      <c r="C946" s="114">
        <v>0.0049580232405687505</v>
      </c>
      <c r="D946" s="91" t="s">
        <v>2519</v>
      </c>
      <c r="E946" s="91" t="b">
        <v>0</v>
      </c>
      <c r="F946" s="91" t="b">
        <v>0</v>
      </c>
      <c r="G946" s="91" t="b">
        <v>0</v>
      </c>
    </row>
    <row r="947" spans="1:7" ht="15">
      <c r="A947" s="92" t="s">
        <v>2717</v>
      </c>
      <c r="B947" s="91">
        <v>8</v>
      </c>
      <c r="C947" s="114">
        <v>0.004826844774090905</v>
      </c>
      <c r="D947" s="91" t="s">
        <v>2519</v>
      </c>
      <c r="E947" s="91" t="b">
        <v>0</v>
      </c>
      <c r="F947" s="91" t="b">
        <v>0</v>
      </c>
      <c r="G947" s="91" t="b">
        <v>0</v>
      </c>
    </row>
    <row r="948" spans="1:7" ht="15">
      <c r="A948" s="92" t="s">
        <v>2643</v>
      </c>
      <c r="B948" s="91">
        <v>8</v>
      </c>
      <c r="C948" s="114">
        <v>0.004826844774090905</v>
      </c>
      <c r="D948" s="91" t="s">
        <v>2519</v>
      </c>
      <c r="E948" s="91" t="b">
        <v>0</v>
      </c>
      <c r="F948" s="91" t="b">
        <v>0</v>
      </c>
      <c r="G948" s="91" t="b">
        <v>0</v>
      </c>
    </row>
    <row r="949" spans="1:7" ht="15">
      <c r="A949" s="92" t="s">
        <v>2747</v>
      </c>
      <c r="B949" s="91">
        <v>8</v>
      </c>
      <c r="C949" s="114">
        <v>0.004826844774090905</v>
      </c>
      <c r="D949" s="91" t="s">
        <v>2519</v>
      </c>
      <c r="E949" s="91" t="b">
        <v>0</v>
      </c>
      <c r="F949" s="91" t="b">
        <v>0</v>
      </c>
      <c r="G949" s="91" t="b">
        <v>0</v>
      </c>
    </row>
    <row r="950" spans="1:7" ht="15">
      <c r="A950" s="92" t="s">
        <v>2585</v>
      </c>
      <c r="B950" s="91">
        <v>8</v>
      </c>
      <c r="C950" s="114">
        <v>0.004826844774090905</v>
      </c>
      <c r="D950" s="91" t="s">
        <v>2519</v>
      </c>
      <c r="E950" s="91" t="b">
        <v>0</v>
      </c>
      <c r="F950" s="91" t="b">
        <v>0</v>
      </c>
      <c r="G950" s="91" t="b">
        <v>0</v>
      </c>
    </row>
    <row r="951" spans="1:7" ht="15">
      <c r="A951" s="92" t="s">
        <v>2731</v>
      </c>
      <c r="B951" s="91">
        <v>8</v>
      </c>
      <c r="C951" s="114">
        <v>0.004826844774090905</v>
      </c>
      <c r="D951" s="91" t="s">
        <v>2519</v>
      </c>
      <c r="E951" s="91" t="b">
        <v>0</v>
      </c>
      <c r="F951" s="91" t="b">
        <v>0</v>
      </c>
      <c r="G951" s="91" t="b">
        <v>0</v>
      </c>
    </row>
    <row r="952" spans="1:7" ht="15">
      <c r="A952" s="92" t="s">
        <v>2575</v>
      </c>
      <c r="B952" s="91">
        <v>7</v>
      </c>
      <c r="C952" s="114">
        <v>0.004639841617169345</v>
      </c>
      <c r="D952" s="91" t="s">
        <v>2519</v>
      </c>
      <c r="E952" s="91" t="b">
        <v>0</v>
      </c>
      <c r="F952" s="91" t="b">
        <v>0</v>
      </c>
      <c r="G952" s="91" t="b">
        <v>0</v>
      </c>
    </row>
    <row r="953" spans="1:7" ht="15">
      <c r="A953" s="92" t="s">
        <v>2590</v>
      </c>
      <c r="B953" s="91">
        <v>7</v>
      </c>
      <c r="C953" s="114">
        <v>0.004639841617169345</v>
      </c>
      <c r="D953" s="91" t="s">
        <v>2519</v>
      </c>
      <c r="E953" s="91" t="b">
        <v>0</v>
      </c>
      <c r="F953" s="91" t="b">
        <v>0</v>
      </c>
      <c r="G953" s="91" t="b">
        <v>0</v>
      </c>
    </row>
    <row r="954" spans="1:7" ht="15">
      <c r="A954" s="92" t="s">
        <v>2613</v>
      </c>
      <c r="B954" s="91">
        <v>6</v>
      </c>
      <c r="C954" s="114">
        <v>0.004388987344311564</v>
      </c>
      <c r="D954" s="91" t="s">
        <v>2519</v>
      </c>
      <c r="E954" s="91" t="b">
        <v>0</v>
      </c>
      <c r="F954" s="91" t="b">
        <v>0</v>
      </c>
      <c r="G954" s="91" t="b">
        <v>0</v>
      </c>
    </row>
    <row r="955" spans="1:7" ht="15">
      <c r="A955" s="92" t="s">
        <v>2913</v>
      </c>
      <c r="B955" s="91">
        <v>6</v>
      </c>
      <c r="C955" s="114">
        <v>0.004388987344311564</v>
      </c>
      <c r="D955" s="91" t="s">
        <v>2519</v>
      </c>
      <c r="E955" s="91" t="b">
        <v>0</v>
      </c>
      <c r="F955" s="91" t="b">
        <v>0</v>
      </c>
      <c r="G955" s="91" t="b">
        <v>0</v>
      </c>
    </row>
    <row r="956" spans="1:7" ht="15">
      <c r="A956" s="92" t="s">
        <v>2795</v>
      </c>
      <c r="B956" s="91">
        <v>6</v>
      </c>
      <c r="C956" s="114">
        <v>0.004388987344311564</v>
      </c>
      <c r="D956" s="91" t="s">
        <v>2519</v>
      </c>
      <c r="E956" s="91" t="b">
        <v>0</v>
      </c>
      <c r="F956" s="91" t="b">
        <v>0</v>
      </c>
      <c r="G956" s="91" t="b">
        <v>0</v>
      </c>
    </row>
    <row r="957" spans="1:7" ht="15">
      <c r="A957" s="92" t="s">
        <v>2875</v>
      </c>
      <c r="B957" s="91">
        <v>6</v>
      </c>
      <c r="C957" s="114">
        <v>0.004388987344311564</v>
      </c>
      <c r="D957" s="91" t="s">
        <v>2519</v>
      </c>
      <c r="E957" s="91" t="b">
        <v>0</v>
      </c>
      <c r="F957" s="91" t="b">
        <v>0</v>
      </c>
      <c r="G957" s="91" t="b">
        <v>0</v>
      </c>
    </row>
    <row r="958" spans="1:7" ht="15">
      <c r="A958" s="92" t="s">
        <v>2914</v>
      </c>
      <c r="B958" s="91">
        <v>6</v>
      </c>
      <c r="C958" s="114">
        <v>0.004388987344311564</v>
      </c>
      <c r="D958" s="91" t="s">
        <v>2519</v>
      </c>
      <c r="E958" s="91" t="b">
        <v>0</v>
      </c>
      <c r="F958" s="91" t="b">
        <v>0</v>
      </c>
      <c r="G958" s="91" t="b">
        <v>0</v>
      </c>
    </row>
    <row r="959" spans="1:7" ht="15">
      <c r="A959" s="92" t="s">
        <v>2915</v>
      </c>
      <c r="B959" s="91">
        <v>6</v>
      </c>
      <c r="C959" s="114">
        <v>0.004388987344311564</v>
      </c>
      <c r="D959" s="91" t="s">
        <v>2519</v>
      </c>
      <c r="E959" s="91" t="b">
        <v>0</v>
      </c>
      <c r="F959" s="91" t="b">
        <v>0</v>
      </c>
      <c r="G959" s="91" t="b">
        <v>0</v>
      </c>
    </row>
    <row r="960" spans="1:7" ht="15">
      <c r="A960" s="92" t="s">
        <v>2753</v>
      </c>
      <c r="B960" s="91">
        <v>6</v>
      </c>
      <c r="C960" s="114">
        <v>0.004388987344311564</v>
      </c>
      <c r="D960" s="91" t="s">
        <v>2519</v>
      </c>
      <c r="E960" s="91" t="b">
        <v>0</v>
      </c>
      <c r="F960" s="91" t="b">
        <v>0</v>
      </c>
      <c r="G960" s="91" t="b">
        <v>0</v>
      </c>
    </row>
    <row r="961" spans="1:7" ht="15">
      <c r="A961" s="92" t="s">
        <v>2730</v>
      </c>
      <c r="B961" s="91">
        <v>6</v>
      </c>
      <c r="C961" s="114">
        <v>0.004388987344311564</v>
      </c>
      <c r="D961" s="91" t="s">
        <v>2519</v>
      </c>
      <c r="E961" s="91" t="b">
        <v>0</v>
      </c>
      <c r="F961" s="91" t="b">
        <v>0</v>
      </c>
      <c r="G961" s="91" t="b">
        <v>0</v>
      </c>
    </row>
    <row r="962" spans="1:7" ht="15">
      <c r="A962" s="92" t="s">
        <v>2844</v>
      </c>
      <c r="B962" s="91">
        <v>6</v>
      </c>
      <c r="C962" s="114">
        <v>0.004388987344311564</v>
      </c>
      <c r="D962" s="91" t="s">
        <v>2519</v>
      </c>
      <c r="E962" s="91" t="b">
        <v>0</v>
      </c>
      <c r="F962" s="91" t="b">
        <v>0</v>
      </c>
      <c r="G962" s="91" t="b">
        <v>0</v>
      </c>
    </row>
    <row r="963" spans="1:7" ht="15">
      <c r="A963" s="92" t="s">
        <v>2916</v>
      </c>
      <c r="B963" s="91">
        <v>6</v>
      </c>
      <c r="C963" s="114">
        <v>0.004388987344311564</v>
      </c>
      <c r="D963" s="91" t="s">
        <v>2519</v>
      </c>
      <c r="E963" s="91" t="b">
        <v>0</v>
      </c>
      <c r="F963" s="91" t="b">
        <v>0</v>
      </c>
      <c r="G963" s="91" t="b">
        <v>0</v>
      </c>
    </row>
    <row r="964" spans="1:7" ht="15">
      <c r="A964" s="92" t="s">
        <v>2917</v>
      </c>
      <c r="B964" s="91">
        <v>6</v>
      </c>
      <c r="C964" s="114">
        <v>0.004388987344311564</v>
      </c>
      <c r="D964" s="91" t="s">
        <v>2519</v>
      </c>
      <c r="E964" s="91" t="b">
        <v>0</v>
      </c>
      <c r="F964" s="91" t="b">
        <v>0</v>
      </c>
      <c r="G964" s="91" t="b">
        <v>0</v>
      </c>
    </row>
    <row r="965" spans="1:7" ht="15">
      <c r="A965" s="92" t="s">
        <v>2918</v>
      </c>
      <c r="B965" s="91">
        <v>6</v>
      </c>
      <c r="C965" s="114">
        <v>0.004388987344311564</v>
      </c>
      <c r="D965" s="91" t="s">
        <v>2519</v>
      </c>
      <c r="E965" s="91" t="b">
        <v>0</v>
      </c>
      <c r="F965" s="91" t="b">
        <v>0</v>
      </c>
      <c r="G965" s="91" t="b">
        <v>0</v>
      </c>
    </row>
    <row r="966" spans="1:7" ht="15">
      <c r="A966" s="92" t="s">
        <v>2919</v>
      </c>
      <c r="B966" s="91">
        <v>6</v>
      </c>
      <c r="C966" s="114">
        <v>0.004388987344311564</v>
      </c>
      <c r="D966" s="91" t="s">
        <v>2519</v>
      </c>
      <c r="E966" s="91" t="b">
        <v>0</v>
      </c>
      <c r="F966" s="91" t="b">
        <v>0</v>
      </c>
      <c r="G966" s="91" t="b">
        <v>0</v>
      </c>
    </row>
    <row r="967" spans="1:7" ht="15">
      <c r="A967" s="92" t="s">
        <v>2845</v>
      </c>
      <c r="B967" s="91">
        <v>6</v>
      </c>
      <c r="C967" s="114">
        <v>0.004388987344311564</v>
      </c>
      <c r="D967" s="91" t="s">
        <v>2519</v>
      </c>
      <c r="E967" s="91" t="b">
        <v>0</v>
      </c>
      <c r="F967" s="91" t="b">
        <v>0</v>
      </c>
      <c r="G967" s="91" t="b">
        <v>0</v>
      </c>
    </row>
    <row r="968" spans="1:7" ht="15">
      <c r="A968" s="92" t="s">
        <v>2920</v>
      </c>
      <c r="B968" s="91">
        <v>6</v>
      </c>
      <c r="C968" s="114">
        <v>0.004388987344311564</v>
      </c>
      <c r="D968" s="91" t="s">
        <v>2519</v>
      </c>
      <c r="E968" s="91" t="b">
        <v>0</v>
      </c>
      <c r="F968" s="91" t="b">
        <v>0</v>
      </c>
      <c r="G968" s="91" t="b">
        <v>0</v>
      </c>
    </row>
    <row r="969" spans="1:7" ht="15">
      <c r="A969" s="92" t="s">
        <v>2921</v>
      </c>
      <c r="B969" s="91">
        <v>6</v>
      </c>
      <c r="C969" s="114">
        <v>0.004388987344311564</v>
      </c>
      <c r="D969" s="91" t="s">
        <v>2519</v>
      </c>
      <c r="E969" s="91" t="b">
        <v>0</v>
      </c>
      <c r="F969" s="91" t="b">
        <v>0</v>
      </c>
      <c r="G969" s="91" t="b">
        <v>0</v>
      </c>
    </row>
    <row r="970" spans="1:7" ht="15">
      <c r="A970" s="92" t="s">
        <v>2719</v>
      </c>
      <c r="B970" s="91">
        <v>6</v>
      </c>
      <c r="C970" s="114">
        <v>0.004388987344311564</v>
      </c>
      <c r="D970" s="91" t="s">
        <v>2519</v>
      </c>
      <c r="E970" s="91" t="b">
        <v>0</v>
      </c>
      <c r="F970" s="91" t="b">
        <v>0</v>
      </c>
      <c r="G970" s="91" t="b">
        <v>0</v>
      </c>
    </row>
    <row r="971" spans="1:7" ht="15">
      <c r="A971" s="92" t="s">
        <v>2922</v>
      </c>
      <c r="B971" s="91">
        <v>6</v>
      </c>
      <c r="C971" s="114">
        <v>0.004388987344311564</v>
      </c>
      <c r="D971" s="91" t="s">
        <v>2519</v>
      </c>
      <c r="E971" s="91" t="b">
        <v>0</v>
      </c>
      <c r="F971" s="91" t="b">
        <v>0</v>
      </c>
      <c r="G971" s="91" t="b">
        <v>0</v>
      </c>
    </row>
    <row r="972" spans="1:7" ht="15">
      <c r="A972" s="92" t="s">
        <v>2923</v>
      </c>
      <c r="B972" s="91">
        <v>6</v>
      </c>
      <c r="C972" s="114">
        <v>0.004388987344311564</v>
      </c>
      <c r="D972" s="91" t="s">
        <v>2519</v>
      </c>
      <c r="E972" s="91" t="b">
        <v>0</v>
      </c>
      <c r="F972" s="91" t="b">
        <v>0</v>
      </c>
      <c r="G972" s="91" t="b">
        <v>0</v>
      </c>
    </row>
    <row r="973" spans="1:7" ht="15">
      <c r="A973" s="92" t="s">
        <v>2924</v>
      </c>
      <c r="B973" s="91">
        <v>6</v>
      </c>
      <c r="C973" s="114">
        <v>0.004388987344311564</v>
      </c>
      <c r="D973" s="91" t="s">
        <v>2519</v>
      </c>
      <c r="E973" s="91" t="b">
        <v>0</v>
      </c>
      <c r="F973" s="91" t="b">
        <v>0</v>
      </c>
      <c r="G973" s="91" t="b">
        <v>0</v>
      </c>
    </row>
    <row r="974" spans="1:7" ht="15">
      <c r="A974" s="92" t="s">
        <v>2662</v>
      </c>
      <c r="B974" s="91">
        <v>6</v>
      </c>
      <c r="C974" s="114">
        <v>0.004388987344311564</v>
      </c>
      <c r="D974" s="91" t="s">
        <v>2519</v>
      </c>
      <c r="E974" s="91" t="b">
        <v>0</v>
      </c>
      <c r="F974" s="91" t="b">
        <v>0</v>
      </c>
      <c r="G974" s="91" t="b">
        <v>0</v>
      </c>
    </row>
    <row r="975" spans="1:7" ht="15">
      <c r="A975" s="92" t="s">
        <v>2925</v>
      </c>
      <c r="B975" s="91">
        <v>6</v>
      </c>
      <c r="C975" s="114">
        <v>0.004388987344311564</v>
      </c>
      <c r="D975" s="91" t="s">
        <v>2519</v>
      </c>
      <c r="E975" s="91" t="b">
        <v>0</v>
      </c>
      <c r="F975" s="91" t="b">
        <v>0</v>
      </c>
      <c r="G975" s="91" t="b">
        <v>0</v>
      </c>
    </row>
    <row r="976" spans="1:7" ht="15">
      <c r="A976" s="92" t="s">
        <v>2660</v>
      </c>
      <c r="B976" s="91">
        <v>6</v>
      </c>
      <c r="C976" s="114">
        <v>0.004388987344311564</v>
      </c>
      <c r="D976" s="91" t="s">
        <v>2519</v>
      </c>
      <c r="E976" s="91" t="b">
        <v>0</v>
      </c>
      <c r="F976" s="91" t="b">
        <v>0</v>
      </c>
      <c r="G976" s="91" t="b">
        <v>0</v>
      </c>
    </row>
    <row r="977" spans="1:7" ht="15">
      <c r="A977" s="92" t="s">
        <v>2926</v>
      </c>
      <c r="B977" s="91">
        <v>6</v>
      </c>
      <c r="C977" s="114">
        <v>0.004388987344311564</v>
      </c>
      <c r="D977" s="91" t="s">
        <v>2519</v>
      </c>
      <c r="E977" s="91" t="b">
        <v>0</v>
      </c>
      <c r="F977" s="91" t="b">
        <v>0</v>
      </c>
      <c r="G977" s="91" t="b">
        <v>0</v>
      </c>
    </row>
    <row r="978" spans="1:7" ht="15">
      <c r="A978" s="92" t="s">
        <v>2927</v>
      </c>
      <c r="B978" s="91">
        <v>6</v>
      </c>
      <c r="C978" s="114">
        <v>0.004388987344311564</v>
      </c>
      <c r="D978" s="91" t="s">
        <v>2519</v>
      </c>
      <c r="E978" s="91" t="b">
        <v>0</v>
      </c>
      <c r="F978" s="91" t="b">
        <v>0</v>
      </c>
      <c r="G978" s="91" t="b">
        <v>0</v>
      </c>
    </row>
    <row r="979" spans="1:7" ht="15">
      <c r="A979" s="92" t="s">
        <v>2729</v>
      </c>
      <c r="B979" s="91">
        <v>6</v>
      </c>
      <c r="C979" s="114">
        <v>0.004388987344311564</v>
      </c>
      <c r="D979" s="91" t="s">
        <v>2519</v>
      </c>
      <c r="E979" s="91" t="b">
        <v>0</v>
      </c>
      <c r="F979" s="91" t="b">
        <v>0</v>
      </c>
      <c r="G979" s="91" t="b">
        <v>0</v>
      </c>
    </row>
    <row r="980" spans="1:7" ht="15">
      <c r="A980" s="92" t="s">
        <v>2928</v>
      </c>
      <c r="B980" s="91">
        <v>6</v>
      </c>
      <c r="C980" s="114">
        <v>0.004388987344311564</v>
      </c>
      <c r="D980" s="91" t="s">
        <v>2519</v>
      </c>
      <c r="E980" s="91" t="b">
        <v>0</v>
      </c>
      <c r="F980" s="91" t="b">
        <v>0</v>
      </c>
      <c r="G980" s="91" t="b">
        <v>0</v>
      </c>
    </row>
    <row r="981" spans="1:7" ht="15">
      <c r="A981" s="92" t="s">
        <v>2929</v>
      </c>
      <c r="B981" s="91">
        <v>6</v>
      </c>
      <c r="C981" s="114">
        <v>0.004388987344311564</v>
      </c>
      <c r="D981" s="91" t="s">
        <v>2519</v>
      </c>
      <c r="E981" s="91" t="b">
        <v>0</v>
      </c>
      <c r="F981" s="91" t="b">
        <v>0</v>
      </c>
      <c r="G981" s="91" t="b">
        <v>0</v>
      </c>
    </row>
    <row r="982" spans="1:7" ht="15">
      <c r="A982" s="92" t="s">
        <v>2589</v>
      </c>
      <c r="B982" s="91">
        <v>6</v>
      </c>
      <c r="C982" s="114">
        <v>0.004388987344311564</v>
      </c>
      <c r="D982" s="91" t="s">
        <v>2519</v>
      </c>
      <c r="E982" s="91" t="b">
        <v>0</v>
      </c>
      <c r="F982" s="91" t="b">
        <v>0</v>
      </c>
      <c r="G982" s="91" t="b">
        <v>0</v>
      </c>
    </row>
    <row r="983" spans="1:7" ht="15">
      <c r="A983" s="92" t="s">
        <v>2930</v>
      </c>
      <c r="B983" s="91">
        <v>6</v>
      </c>
      <c r="C983" s="114">
        <v>0.004388987344311564</v>
      </c>
      <c r="D983" s="91" t="s">
        <v>2519</v>
      </c>
      <c r="E983" s="91" t="b">
        <v>0</v>
      </c>
      <c r="F983" s="91" t="b">
        <v>0</v>
      </c>
      <c r="G983" s="91" t="b">
        <v>0</v>
      </c>
    </row>
    <row r="984" spans="1:7" ht="15">
      <c r="A984" s="92" t="s">
        <v>2931</v>
      </c>
      <c r="B984" s="91">
        <v>6</v>
      </c>
      <c r="C984" s="114">
        <v>0.004388987344311564</v>
      </c>
      <c r="D984" s="91" t="s">
        <v>2519</v>
      </c>
      <c r="E984" s="91" t="b">
        <v>0</v>
      </c>
      <c r="F984" s="91" t="b">
        <v>0</v>
      </c>
      <c r="G984" s="91" t="b">
        <v>0</v>
      </c>
    </row>
    <row r="985" spans="1:7" ht="15">
      <c r="A985" s="92" t="s">
        <v>2904</v>
      </c>
      <c r="B985" s="91">
        <v>4</v>
      </c>
      <c r="C985" s="114">
        <v>0.003648417241051529</v>
      </c>
      <c r="D985" s="91" t="s">
        <v>2519</v>
      </c>
      <c r="E985" s="91" t="b">
        <v>0</v>
      </c>
      <c r="F985" s="91" t="b">
        <v>0</v>
      </c>
      <c r="G985" s="91" t="b">
        <v>0</v>
      </c>
    </row>
    <row r="986" spans="1:7" ht="15">
      <c r="A986" s="92" t="s">
        <v>2799</v>
      </c>
      <c r="B986" s="91">
        <v>4</v>
      </c>
      <c r="C986" s="114">
        <v>0.003648417241051529</v>
      </c>
      <c r="D986" s="91" t="s">
        <v>2519</v>
      </c>
      <c r="E986" s="91" t="b">
        <v>0</v>
      </c>
      <c r="F986" s="91" t="b">
        <v>0</v>
      </c>
      <c r="G986" s="91" t="b">
        <v>0</v>
      </c>
    </row>
    <row r="987" spans="1:7" ht="15">
      <c r="A987" s="92" t="s">
        <v>2873</v>
      </c>
      <c r="B987" s="91">
        <v>4</v>
      </c>
      <c r="C987" s="114">
        <v>0.003648417241051529</v>
      </c>
      <c r="D987" s="91" t="s">
        <v>2519</v>
      </c>
      <c r="E987" s="91" t="b">
        <v>0</v>
      </c>
      <c r="F987" s="91" t="b">
        <v>0</v>
      </c>
      <c r="G987" s="91" t="b">
        <v>0</v>
      </c>
    </row>
    <row r="988" spans="1:7" ht="15">
      <c r="A988" s="92" t="s">
        <v>2905</v>
      </c>
      <c r="B988" s="91">
        <v>4</v>
      </c>
      <c r="C988" s="114">
        <v>0.003648417241051529</v>
      </c>
      <c r="D988" s="91" t="s">
        <v>2519</v>
      </c>
      <c r="E988" s="91" t="b">
        <v>0</v>
      </c>
      <c r="F988" s="91" t="b">
        <v>0</v>
      </c>
      <c r="G988" s="91" t="b">
        <v>0</v>
      </c>
    </row>
    <row r="989" spans="1:7" ht="15">
      <c r="A989" s="92" t="s">
        <v>2796</v>
      </c>
      <c r="B989" s="91">
        <v>4</v>
      </c>
      <c r="C989" s="114">
        <v>0.003648417241051529</v>
      </c>
      <c r="D989" s="91" t="s">
        <v>2519</v>
      </c>
      <c r="E989" s="91" t="b">
        <v>0</v>
      </c>
      <c r="F989" s="91" t="b">
        <v>0</v>
      </c>
      <c r="G989" s="91" t="b">
        <v>0</v>
      </c>
    </row>
    <row r="990" spans="1:7" ht="15">
      <c r="A990" s="92" t="s">
        <v>2746</v>
      </c>
      <c r="B990" s="91">
        <v>4</v>
      </c>
      <c r="C990" s="114">
        <v>0.003648417241051529</v>
      </c>
      <c r="D990" s="91" t="s">
        <v>2519</v>
      </c>
      <c r="E990" s="91" t="b">
        <v>0</v>
      </c>
      <c r="F990" s="91" t="b">
        <v>0</v>
      </c>
      <c r="G990" s="91" t="b">
        <v>0</v>
      </c>
    </row>
    <row r="991" spans="1:7" ht="15">
      <c r="A991" s="92" t="s">
        <v>2744</v>
      </c>
      <c r="B991" s="91">
        <v>4</v>
      </c>
      <c r="C991" s="114">
        <v>0.003648417241051529</v>
      </c>
      <c r="D991" s="91" t="s">
        <v>2519</v>
      </c>
      <c r="E991" s="91" t="b">
        <v>0</v>
      </c>
      <c r="F991" s="91" t="b">
        <v>0</v>
      </c>
      <c r="G991" s="91" t="b">
        <v>0</v>
      </c>
    </row>
    <row r="992" spans="1:7" ht="15">
      <c r="A992" s="92" t="s">
        <v>2800</v>
      </c>
      <c r="B992" s="91">
        <v>4</v>
      </c>
      <c r="C992" s="114">
        <v>0.003648417241051529</v>
      </c>
      <c r="D992" s="91" t="s">
        <v>2519</v>
      </c>
      <c r="E992" s="91" t="b">
        <v>0</v>
      </c>
      <c r="F992" s="91" t="b">
        <v>0</v>
      </c>
      <c r="G992" s="91" t="b">
        <v>0</v>
      </c>
    </row>
    <row r="993" spans="1:7" ht="15">
      <c r="A993" s="92" t="s">
        <v>2745</v>
      </c>
      <c r="B993" s="91">
        <v>4</v>
      </c>
      <c r="C993" s="114">
        <v>0.003648417241051529</v>
      </c>
      <c r="D993" s="91" t="s">
        <v>2519</v>
      </c>
      <c r="E993" s="91" t="b">
        <v>0</v>
      </c>
      <c r="F993" s="91" t="b">
        <v>0</v>
      </c>
      <c r="G993" s="91" t="b">
        <v>0</v>
      </c>
    </row>
    <row r="994" spans="1:7" ht="15">
      <c r="A994" s="92" t="s">
        <v>2906</v>
      </c>
      <c r="B994" s="91">
        <v>4</v>
      </c>
      <c r="C994" s="114">
        <v>0.003648417241051529</v>
      </c>
      <c r="D994" s="91" t="s">
        <v>2519</v>
      </c>
      <c r="E994" s="91" t="b">
        <v>0</v>
      </c>
      <c r="F994" s="91" t="b">
        <v>0</v>
      </c>
      <c r="G994" s="91" t="b">
        <v>0</v>
      </c>
    </row>
    <row r="995" spans="1:7" ht="15">
      <c r="A995" s="92" t="s">
        <v>2907</v>
      </c>
      <c r="B995" s="91">
        <v>4</v>
      </c>
      <c r="C995" s="114">
        <v>0.003648417241051529</v>
      </c>
      <c r="D995" s="91" t="s">
        <v>2519</v>
      </c>
      <c r="E995" s="91" t="b">
        <v>0</v>
      </c>
      <c r="F995" s="91" t="b">
        <v>0</v>
      </c>
      <c r="G995" s="91" t="b">
        <v>0</v>
      </c>
    </row>
    <row r="996" spans="1:7" ht="15">
      <c r="A996" s="92" t="s">
        <v>2830</v>
      </c>
      <c r="B996" s="91">
        <v>4</v>
      </c>
      <c r="C996" s="114">
        <v>0.003648417241051529</v>
      </c>
      <c r="D996" s="91" t="s">
        <v>2519</v>
      </c>
      <c r="E996" s="91" t="b">
        <v>0</v>
      </c>
      <c r="F996" s="91" t="b">
        <v>0</v>
      </c>
      <c r="G996" s="91" t="b">
        <v>0</v>
      </c>
    </row>
    <row r="997" spans="1:7" ht="15">
      <c r="A997" s="92" t="s">
        <v>2908</v>
      </c>
      <c r="B997" s="91">
        <v>4</v>
      </c>
      <c r="C997" s="114">
        <v>0.003648417241051529</v>
      </c>
      <c r="D997" s="91" t="s">
        <v>2519</v>
      </c>
      <c r="E997" s="91" t="b">
        <v>0</v>
      </c>
      <c r="F997" s="91" t="b">
        <v>0</v>
      </c>
      <c r="G997" s="91" t="b">
        <v>0</v>
      </c>
    </row>
    <row r="998" spans="1:7" ht="15">
      <c r="A998" s="92" t="s">
        <v>2909</v>
      </c>
      <c r="B998" s="91">
        <v>4</v>
      </c>
      <c r="C998" s="114">
        <v>0.003648417241051529</v>
      </c>
      <c r="D998" s="91" t="s">
        <v>2519</v>
      </c>
      <c r="E998" s="91" t="b">
        <v>0</v>
      </c>
      <c r="F998" s="91" t="b">
        <v>0</v>
      </c>
      <c r="G998" s="91" t="b">
        <v>0</v>
      </c>
    </row>
    <row r="999" spans="1:7" ht="15">
      <c r="A999" s="92" t="s">
        <v>2801</v>
      </c>
      <c r="B999" s="91">
        <v>4</v>
      </c>
      <c r="C999" s="114">
        <v>0.003648417241051529</v>
      </c>
      <c r="D999" s="91" t="s">
        <v>2519</v>
      </c>
      <c r="E999" s="91" t="b">
        <v>0</v>
      </c>
      <c r="F999" s="91" t="b">
        <v>0</v>
      </c>
      <c r="G999" s="91" t="b">
        <v>0</v>
      </c>
    </row>
    <row r="1000" spans="1:7" ht="15">
      <c r="A1000" s="92" t="s">
        <v>2802</v>
      </c>
      <c r="B1000" s="91">
        <v>4</v>
      </c>
      <c r="C1000" s="114">
        <v>0.003648417241051529</v>
      </c>
      <c r="D1000" s="91" t="s">
        <v>2519</v>
      </c>
      <c r="E1000" s="91" t="b">
        <v>0</v>
      </c>
      <c r="F1000" s="91" t="b">
        <v>0</v>
      </c>
      <c r="G1000" s="91" t="b">
        <v>0</v>
      </c>
    </row>
    <row r="1001" spans="1:7" ht="15">
      <c r="A1001" s="92" t="s">
        <v>2732</v>
      </c>
      <c r="B1001" s="91">
        <v>4</v>
      </c>
      <c r="C1001" s="114">
        <v>0.003648417241051529</v>
      </c>
      <c r="D1001" s="91" t="s">
        <v>2519</v>
      </c>
      <c r="E1001" s="91" t="b">
        <v>0</v>
      </c>
      <c r="F1001" s="91" t="b">
        <v>0</v>
      </c>
      <c r="G1001" s="91" t="b">
        <v>0</v>
      </c>
    </row>
    <row r="1002" spans="1:7" ht="15">
      <c r="A1002" s="92" t="s">
        <v>2971</v>
      </c>
      <c r="B1002" s="91">
        <v>4</v>
      </c>
      <c r="C1002" s="114">
        <v>0.003648417241051529</v>
      </c>
      <c r="D1002" s="91" t="s">
        <v>2519</v>
      </c>
      <c r="E1002" s="91" t="b">
        <v>0</v>
      </c>
      <c r="F1002" s="91" t="b">
        <v>0</v>
      </c>
      <c r="G1002" s="91" t="b">
        <v>0</v>
      </c>
    </row>
    <row r="1003" spans="1:7" ht="15">
      <c r="A1003" s="92" t="s">
        <v>2972</v>
      </c>
      <c r="B1003" s="91">
        <v>4</v>
      </c>
      <c r="C1003" s="114">
        <v>0.003648417241051529</v>
      </c>
      <c r="D1003" s="91" t="s">
        <v>2519</v>
      </c>
      <c r="E1003" s="91" t="b">
        <v>0</v>
      </c>
      <c r="F1003" s="91" t="b">
        <v>0</v>
      </c>
      <c r="G1003" s="91" t="b">
        <v>0</v>
      </c>
    </row>
    <row r="1004" spans="1:7" ht="15">
      <c r="A1004" s="92" t="s">
        <v>2973</v>
      </c>
      <c r="B1004" s="91">
        <v>4</v>
      </c>
      <c r="C1004" s="114">
        <v>0.003648417241051529</v>
      </c>
      <c r="D1004" s="91" t="s">
        <v>2519</v>
      </c>
      <c r="E1004" s="91" t="b">
        <v>0</v>
      </c>
      <c r="F1004" s="91" t="b">
        <v>0</v>
      </c>
      <c r="G1004" s="91" t="b">
        <v>0</v>
      </c>
    </row>
    <row r="1005" spans="1:7" ht="15">
      <c r="A1005" s="92" t="s">
        <v>2728</v>
      </c>
      <c r="B1005" s="91">
        <v>4</v>
      </c>
      <c r="C1005" s="114">
        <v>0.003648417241051529</v>
      </c>
      <c r="D1005" s="91" t="s">
        <v>2519</v>
      </c>
      <c r="E1005" s="91" t="b">
        <v>0</v>
      </c>
      <c r="F1005" s="91" t="b">
        <v>0</v>
      </c>
      <c r="G1005" s="91" t="b">
        <v>0</v>
      </c>
    </row>
    <row r="1006" spans="1:7" ht="15">
      <c r="A1006" s="92" t="s">
        <v>2890</v>
      </c>
      <c r="B1006" s="91">
        <v>4</v>
      </c>
      <c r="C1006" s="114">
        <v>0.003648417241051529</v>
      </c>
      <c r="D1006" s="91" t="s">
        <v>2519</v>
      </c>
      <c r="E1006" s="91" t="b">
        <v>0</v>
      </c>
      <c r="F1006" s="91" t="b">
        <v>0</v>
      </c>
      <c r="G1006" s="91" t="b">
        <v>0</v>
      </c>
    </row>
    <row r="1007" spans="1:7" ht="15">
      <c r="A1007" s="92" t="s">
        <v>2974</v>
      </c>
      <c r="B1007" s="91">
        <v>4</v>
      </c>
      <c r="C1007" s="114">
        <v>0.003648417241051529</v>
      </c>
      <c r="D1007" s="91" t="s">
        <v>2519</v>
      </c>
      <c r="E1007" s="91" t="b">
        <v>0</v>
      </c>
      <c r="F1007" s="91" t="b">
        <v>0</v>
      </c>
      <c r="G1007" s="91" t="b">
        <v>0</v>
      </c>
    </row>
    <row r="1008" spans="1:7" ht="15">
      <c r="A1008" s="92" t="s">
        <v>2891</v>
      </c>
      <c r="B1008" s="91">
        <v>4</v>
      </c>
      <c r="C1008" s="114">
        <v>0.003648417241051529</v>
      </c>
      <c r="D1008" s="91" t="s">
        <v>2519</v>
      </c>
      <c r="E1008" s="91" t="b">
        <v>0</v>
      </c>
      <c r="F1008" s="91" t="b">
        <v>0</v>
      </c>
      <c r="G1008" s="91" t="b">
        <v>0</v>
      </c>
    </row>
    <row r="1009" spans="1:7" ht="15">
      <c r="A1009" s="92" t="s">
        <v>2851</v>
      </c>
      <c r="B1009" s="91">
        <v>4</v>
      </c>
      <c r="C1009" s="114">
        <v>0.003648417241051529</v>
      </c>
      <c r="D1009" s="91" t="s">
        <v>2519</v>
      </c>
      <c r="E1009" s="91" t="b">
        <v>0</v>
      </c>
      <c r="F1009" s="91" t="b">
        <v>0</v>
      </c>
      <c r="G1009" s="91" t="b">
        <v>0</v>
      </c>
    </row>
    <row r="1010" spans="1:7" ht="15">
      <c r="A1010" s="92" t="s">
        <v>2892</v>
      </c>
      <c r="B1010" s="91">
        <v>4</v>
      </c>
      <c r="C1010" s="114">
        <v>0.003648417241051529</v>
      </c>
      <c r="D1010" s="91" t="s">
        <v>2519</v>
      </c>
      <c r="E1010" s="91" t="b">
        <v>0</v>
      </c>
      <c r="F1010" s="91" t="b">
        <v>0</v>
      </c>
      <c r="G1010" s="91" t="b">
        <v>0</v>
      </c>
    </row>
    <row r="1011" spans="1:7" ht="15">
      <c r="A1011" s="92" t="s">
        <v>2975</v>
      </c>
      <c r="B1011" s="91">
        <v>4</v>
      </c>
      <c r="C1011" s="114">
        <v>0.003648417241051529</v>
      </c>
      <c r="D1011" s="91" t="s">
        <v>2519</v>
      </c>
      <c r="E1011" s="91" t="b">
        <v>0</v>
      </c>
      <c r="F1011" s="91" t="b">
        <v>0</v>
      </c>
      <c r="G1011" s="91" t="b">
        <v>0</v>
      </c>
    </row>
    <row r="1012" spans="1:7" ht="15">
      <c r="A1012" s="92" t="s">
        <v>2741</v>
      </c>
      <c r="B1012" s="91">
        <v>4</v>
      </c>
      <c r="C1012" s="114">
        <v>0.003648417241051529</v>
      </c>
      <c r="D1012" s="91" t="s">
        <v>2519</v>
      </c>
      <c r="E1012" s="91" t="b">
        <v>0</v>
      </c>
      <c r="F1012" s="91" t="b">
        <v>0</v>
      </c>
      <c r="G1012" s="91" t="b">
        <v>0</v>
      </c>
    </row>
    <row r="1013" spans="1:7" ht="15">
      <c r="A1013" s="92" t="s">
        <v>2976</v>
      </c>
      <c r="B1013" s="91">
        <v>4</v>
      </c>
      <c r="C1013" s="114">
        <v>0.003648417241051529</v>
      </c>
      <c r="D1013" s="91" t="s">
        <v>2519</v>
      </c>
      <c r="E1013" s="91" t="b">
        <v>0</v>
      </c>
      <c r="F1013" s="91" t="b">
        <v>0</v>
      </c>
      <c r="G1013" s="91" t="b">
        <v>0</v>
      </c>
    </row>
    <row r="1014" spans="1:7" ht="15">
      <c r="A1014" s="92" t="s">
        <v>2977</v>
      </c>
      <c r="B1014" s="91">
        <v>4</v>
      </c>
      <c r="C1014" s="114">
        <v>0.003648417241051529</v>
      </c>
      <c r="D1014" s="91" t="s">
        <v>2519</v>
      </c>
      <c r="E1014" s="91" t="b">
        <v>0</v>
      </c>
      <c r="F1014" s="91" t="b">
        <v>0</v>
      </c>
      <c r="G1014" s="91" t="b">
        <v>0</v>
      </c>
    </row>
    <row r="1015" spans="1:7" ht="15">
      <c r="A1015" s="92" t="s">
        <v>2749</v>
      </c>
      <c r="B1015" s="91">
        <v>4</v>
      </c>
      <c r="C1015" s="114">
        <v>0.003648417241051529</v>
      </c>
      <c r="D1015" s="91" t="s">
        <v>2519</v>
      </c>
      <c r="E1015" s="91" t="b">
        <v>0</v>
      </c>
      <c r="F1015" s="91" t="b">
        <v>0</v>
      </c>
      <c r="G1015" s="91" t="b">
        <v>0</v>
      </c>
    </row>
    <row r="1016" spans="1:7" ht="15">
      <c r="A1016" s="92" t="s">
        <v>2978</v>
      </c>
      <c r="B1016" s="91">
        <v>4</v>
      </c>
      <c r="C1016" s="114">
        <v>0.003648417241051529</v>
      </c>
      <c r="D1016" s="91" t="s">
        <v>2519</v>
      </c>
      <c r="E1016" s="91" t="b">
        <v>0</v>
      </c>
      <c r="F1016" s="91" t="b">
        <v>0</v>
      </c>
      <c r="G1016" s="91" t="b">
        <v>0</v>
      </c>
    </row>
    <row r="1017" spans="1:7" ht="15">
      <c r="A1017" s="92" t="s">
        <v>2979</v>
      </c>
      <c r="B1017" s="91">
        <v>4</v>
      </c>
      <c r="C1017" s="114">
        <v>0.003648417241051529</v>
      </c>
      <c r="D1017" s="91" t="s">
        <v>2519</v>
      </c>
      <c r="E1017" s="91" t="b">
        <v>0</v>
      </c>
      <c r="F1017" s="91" t="b">
        <v>0</v>
      </c>
      <c r="G1017" s="91" t="b">
        <v>0</v>
      </c>
    </row>
    <row r="1018" spans="1:7" ht="15">
      <c r="A1018" s="92" t="s">
        <v>2980</v>
      </c>
      <c r="B1018" s="91">
        <v>4</v>
      </c>
      <c r="C1018" s="114">
        <v>0.003648417241051529</v>
      </c>
      <c r="D1018" s="91" t="s">
        <v>2519</v>
      </c>
      <c r="E1018" s="91" t="b">
        <v>0</v>
      </c>
      <c r="F1018" s="91" t="b">
        <v>0</v>
      </c>
      <c r="G1018" s="91" t="b">
        <v>0</v>
      </c>
    </row>
    <row r="1019" spans="1:7" ht="15">
      <c r="A1019" s="92" t="s">
        <v>2981</v>
      </c>
      <c r="B1019" s="91">
        <v>4</v>
      </c>
      <c r="C1019" s="114">
        <v>0.003648417241051529</v>
      </c>
      <c r="D1019" s="91" t="s">
        <v>2519</v>
      </c>
      <c r="E1019" s="91" t="b">
        <v>0</v>
      </c>
      <c r="F1019" s="91" t="b">
        <v>0</v>
      </c>
      <c r="G1019" s="91" t="b">
        <v>0</v>
      </c>
    </row>
    <row r="1020" spans="1:7" ht="15">
      <c r="A1020" s="92" t="s">
        <v>2982</v>
      </c>
      <c r="B1020" s="91">
        <v>4</v>
      </c>
      <c r="C1020" s="114">
        <v>0.003648417241051529</v>
      </c>
      <c r="D1020" s="91" t="s">
        <v>2519</v>
      </c>
      <c r="E1020" s="91" t="b">
        <v>0</v>
      </c>
      <c r="F1020" s="91" t="b">
        <v>0</v>
      </c>
      <c r="G1020" s="91" t="b">
        <v>0</v>
      </c>
    </row>
    <row r="1021" spans="1:7" ht="15">
      <c r="A1021" s="92" t="s">
        <v>2983</v>
      </c>
      <c r="B1021" s="91">
        <v>4</v>
      </c>
      <c r="C1021" s="114">
        <v>0.003648417241051529</v>
      </c>
      <c r="D1021" s="91" t="s">
        <v>2519</v>
      </c>
      <c r="E1021" s="91" t="b">
        <v>0</v>
      </c>
      <c r="F1021" s="91" t="b">
        <v>0</v>
      </c>
      <c r="G1021" s="91" t="b">
        <v>0</v>
      </c>
    </row>
    <row r="1022" spans="1:7" ht="15">
      <c r="A1022" s="92" t="s">
        <v>2751</v>
      </c>
      <c r="B1022" s="91">
        <v>4</v>
      </c>
      <c r="C1022" s="114">
        <v>0.003648417241051529</v>
      </c>
      <c r="D1022" s="91" t="s">
        <v>2519</v>
      </c>
      <c r="E1022" s="91" t="b">
        <v>0</v>
      </c>
      <c r="F1022" s="91" t="b">
        <v>0</v>
      </c>
      <c r="G1022" s="91" t="b">
        <v>0</v>
      </c>
    </row>
    <row r="1023" spans="1:7" ht="15">
      <c r="A1023" s="92" t="s">
        <v>2579</v>
      </c>
      <c r="B1023" s="91">
        <v>4</v>
      </c>
      <c r="C1023" s="114">
        <v>0.003648417241051529</v>
      </c>
      <c r="D1023" s="91" t="s">
        <v>2519</v>
      </c>
      <c r="E1023" s="91" t="b">
        <v>0</v>
      </c>
      <c r="F1023" s="91" t="b">
        <v>0</v>
      </c>
      <c r="G1023" s="91" t="b">
        <v>0</v>
      </c>
    </row>
    <row r="1024" spans="1:7" ht="15">
      <c r="A1024" s="92" t="s">
        <v>2570</v>
      </c>
      <c r="B1024" s="91">
        <v>3</v>
      </c>
      <c r="C1024" s="114">
        <v>0.003120739812660339</v>
      </c>
      <c r="D1024" s="91" t="s">
        <v>2519</v>
      </c>
      <c r="E1024" s="91" t="b">
        <v>0</v>
      </c>
      <c r="F1024" s="91" t="b">
        <v>0</v>
      </c>
      <c r="G1024" s="91" t="b">
        <v>0</v>
      </c>
    </row>
    <row r="1025" spans="1:7" ht="15">
      <c r="A1025" s="92" t="s">
        <v>2574</v>
      </c>
      <c r="B1025" s="91">
        <v>3</v>
      </c>
      <c r="C1025" s="114">
        <v>0.003120739812660339</v>
      </c>
      <c r="D1025" s="91" t="s">
        <v>2519</v>
      </c>
      <c r="E1025" s="91" t="b">
        <v>0</v>
      </c>
      <c r="F1025" s="91" t="b">
        <v>0</v>
      </c>
      <c r="G1025" s="91" t="b">
        <v>0</v>
      </c>
    </row>
    <row r="1026" spans="1:7" ht="15">
      <c r="A1026" s="92" t="s">
        <v>2573</v>
      </c>
      <c r="B1026" s="91">
        <v>3</v>
      </c>
      <c r="C1026" s="114">
        <v>0.003120739812660339</v>
      </c>
      <c r="D1026" s="91" t="s">
        <v>2519</v>
      </c>
      <c r="E1026" s="91" t="b">
        <v>0</v>
      </c>
      <c r="F1026" s="91" t="b">
        <v>0</v>
      </c>
      <c r="G1026" s="91" t="b">
        <v>0</v>
      </c>
    </row>
    <row r="1027" spans="1:7" ht="15">
      <c r="A1027" s="92" t="s">
        <v>2640</v>
      </c>
      <c r="B1027" s="91">
        <v>2</v>
      </c>
      <c r="C1027" s="114">
        <v>0.002441706047528803</v>
      </c>
      <c r="D1027" s="91" t="s">
        <v>2519</v>
      </c>
      <c r="E1027" s="91" t="b">
        <v>0</v>
      </c>
      <c r="F1027" s="91" t="b">
        <v>0</v>
      </c>
      <c r="G1027" s="91" t="b">
        <v>0</v>
      </c>
    </row>
    <row r="1028" spans="1:7" ht="15">
      <c r="A1028" s="92" t="s">
        <v>2649</v>
      </c>
      <c r="B1028" s="91">
        <v>2</v>
      </c>
      <c r="C1028" s="114">
        <v>0.002441706047528803</v>
      </c>
      <c r="D1028" s="91" t="s">
        <v>2519</v>
      </c>
      <c r="E1028" s="91" t="b">
        <v>0</v>
      </c>
      <c r="F1028" s="91" t="b">
        <v>0</v>
      </c>
      <c r="G1028" s="91" t="b">
        <v>0</v>
      </c>
    </row>
    <row r="1029" spans="1:7" ht="15">
      <c r="A1029" s="92" t="s">
        <v>2641</v>
      </c>
      <c r="B1029" s="91">
        <v>2</v>
      </c>
      <c r="C1029" s="114">
        <v>0.002441706047528803</v>
      </c>
      <c r="D1029" s="91" t="s">
        <v>2519</v>
      </c>
      <c r="E1029" s="91" t="b">
        <v>0</v>
      </c>
      <c r="F1029" s="91" t="b">
        <v>0</v>
      </c>
      <c r="G1029" s="91" t="b">
        <v>0</v>
      </c>
    </row>
    <row r="1030" spans="1:7" ht="15">
      <c r="A1030" s="92" t="s">
        <v>2611</v>
      </c>
      <c r="B1030" s="91">
        <v>2</v>
      </c>
      <c r="C1030" s="114">
        <v>0.002441706047528803</v>
      </c>
      <c r="D1030" s="91" t="s">
        <v>2519</v>
      </c>
      <c r="E1030" s="91" t="b">
        <v>0</v>
      </c>
      <c r="F1030" s="91" t="b">
        <v>0</v>
      </c>
      <c r="G1030" s="91" t="b">
        <v>0</v>
      </c>
    </row>
    <row r="1031" spans="1:7" ht="15">
      <c r="A1031" s="92" t="s">
        <v>2642</v>
      </c>
      <c r="B1031" s="91">
        <v>2</v>
      </c>
      <c r="C1031" s="114">
        <v>0.002441706047528803</v>
      </c>
      <c r="D1031" s="91" t="s">
        <v>2519</v>
      </c>
      <c r="E1031" s="91" t="b">
        <v>0</v>
      </c>
      <c r="F1031" s="91" t="b">
        <v>0</v>
      </c>
      <c r="G1031" s="91" t="b">
        <v>0</v>
      </c>
    </row>
    <row r="1032" spans="1:7" ht="15">
      <c r="A1032" s="92" t="s">
        <v>2614</v>
      </c>
      <c r="B1032" s="91">
        <v>2</v>
      </c>
      <c r="C1032" s="114">
        <v>0.002441706047528803</v>
      </c>
      <c r="D1032" s="91" t="s">
        <v>2519</v>
      </c>
      <c r="E1032" s="91" t="b">
        <v>0</v>
      </c>
      <c r="F1032" s="91" t="b">
        <v>0</v>
      </c>
      <c r="G1032" s="91" t="b">
        <v>0</v>
      </c>
    </row>
    <row r="1033" spans="1:7" ht="15">
      <c r="A1033" s="92" t="s">
        <v>2615</v>
      </c>
      <c r="B1033" s="91">
        <v>2</v>
      </c>
      <c r="C1033" s="114">
        <v>0.002441706047528803</v>
      </c>
      <c r="D1033" s="91" t="s">
        <v>2519</v>
      </c>
      <c r="E1033" s="91" t="b">
        <v>0</v>
      </c>
      <c r="F1033" s="91" t="b">
        <v>0</v>
      </c>
      <c r="G1033" s="91" t="b">
        <v>0</v>
      </c>
    </row>
    <row r="1034" spans="1:7" ht="15">
      <c r="A1034" s="92" t="s">
        <v>2638</v>
      </c>
      <c r="B1034" s="91">
        <v>2</v>
      </c>
      <c r="C1034" s="114">
        <v>0.002441706047528803</v>
      </c>
      <c r="D1034" s="91" t="s">
        <v>2519</v>
      </c>
      <c r="E1034" s="91" t="b">
        <v>0</v>
      </c>
      <c r="F1034" s="91" t="b">
        <v>0</v>
      </c>
      <c r="G1034" s="91" t="b">
        <v>0</v>
      </c>
    </row>
    <row r="1035" spans="1:7" ht="15">
      <c r="A1035" s="92" t="s">
        <v>2639</v>
      </c>
      <c r="B1035" s="91">
        <v>2</v>
      </c>
      <c r="C1035" s="114">
        <v>0.002441706047528803</v>
      </c>
      <c r="D1035" s="91" t="s">
        <v>2519</v>
      </c>
      <c r="E1035" s="91" t="b">
        <v>0</v>
      </c>
      <c r="F1035" s="91" t="b">
        <v>0</v>
      </c>
      <c r="G1035" s="91" t="b">
        <v>0</v>
      </c>
    </row>
    <row r="1036" spans="1:7" ht="15">
      <c r="A1036" s="92" t="s">
        <v>2632</v>
      </c>
      <c r="B1036" s="91">
        <v>2</v>
      </c>
      <c r="C1036" s="114">
        <v>0.002441706047528803</v>
      </c>
      <c r="D1036" s="91" t="s">
        <v>2519</v>
      </c>
      <c r="E1036" s="91" t="b">
        <v>0</v>
      </c>
      <c r="F1036" s="91" t="b">
        <v>0</v>
      </c>
      <c r="G1036" s="91" t="b">
        <v>0</v>
      </c>
    </row>
    <row r="1037" spans="1:7" ht="15">
      <c r="A1037" s="92" t="s">
        <v>2588</v>
      </c>
      <c r="B1037" s="91">
        <v>2</v>
      </c>
      <c r="C1037" s="114">
        <v>0.002441706047528803</v>
      </c>
      <c r="D1037" s="91" t="s">
        <v>2519</v>
      </c>
      <c r="E1037" s="91" t="b">
        <v>0</v>
      </c>
      <c r="F1037" s="91" t="b">
        <v>0</v>
      </c>
      <c r="G1037" s="91" t="b">
        <v>0</v>
      </c>
    </row>
    <row r="1038" spans="1:7" ht="15">
      <c r="A1038" s="92" t="s">
        <v>2565</v>
      </c>
      <c r="B1038" s="91">
        <v>29</v>
      </c>
      <c r="C1038" s="114">
        <v>0</v>
      </c>
      <c r="D1038" s="91" t="s">
        <v>2520</v>
      </c>
      <c r="E1038" s="91" t="b">
        <v>0</v>
      </c>
      <c r="F1038" s="91" t="b">
        <v>0</v>
      </c>
      <c r="G1038" s="91" t="b">
        <v>0</v>
      </c>
    </row>
    <row r="1039" spans="1:7" ht="15">
      <c r="A1039" s="92" t="s">
        <v>2564</v>
      </c>
      <c r="B1039" s="91">
        <v>29</v>
      </c>
      <c r="C1039" s="114">
        <v>0</v>
      </c>
      <c r="D1039" s="91" t="s">
        <v>2520</v>
      </c>
      <c r="E1039" s="91" t="b">
        <v>0</v>
      </c>
      <c r="F1039" s="91" t="b">
        <v>0</v>
      </c>
      <c r="G1039" s="91" t="b">
        <v>0</v>
      </c>
    </row>
    <row r="1040" spans="1:7" ht="15">
      <c r="A1040" s="92" t="s">
        <v>2569</v>
      </c>
      <c r="B1040" s="91">
        <v>28</v>
      </c>
      <c r="C1040" s="114">
        <v>0.0005428995719957167</v>
      </c>
      <c r="D1040" s="91" t="s">
        <v>2520</v>
      </c>
      <c r="E1040" s="91" t="b">
        <v>0</v>
      </c>
      <c r="F1040" s="91" t="b">
        <v>0</v>
      </c>
      <c r="G1040" s="91" t="b">
        <v>0</v>
      </c>
    </row>
    <row r="1041" spans="1:7" ht="15">
      <c r="A1041" s="92" t="s">
        <v>2571</v>
      </c>
      <c r="B1041" s="91">
        <v>27</v>
      </c>
      <c r="C1041" s="114">
        <v>0.0010660614643500741</v>
      </c>
      <c r="D1041" s="91" t="s">
        <v>2520</v>
      </c>
      <c r="E1041" s="91" t="b">
        <v>0</v>
      </c>
      <c r="F1041" s="91" t="b">
        <v>0</v>
      </c>
      <c r="G1041" s="91" t="b">
        <v>0</v>
      </c>
    </row>
    <row r="1042" spans="1:7" ht="15">
      <c r="A1042" s="92" t="s">
        <v>2573</v>
      </c>
      <c r="B1042" s="91">
        <v>27</v>
      </c>
      <c r="C1042" s="114">
        <v>0.0010660614643500741</v>
      </c>
      <c r="D1042" s="91" t="s">
        <v>2520</v>
      </c>
      <c r="E1042" s="91" t="b">
        <v>0</v>
      </c>
      <c r="F1042" s="91" t="b">
        <v>0</v>
      </c>
      <c r="G1042" s="91" t="b">
        <v>0</v>
      </c>
    </row>
    <row r="1043" spans="1:7" ht="15">
      <c r="A1043" s="92" t="s">
        <v>2594</v>
      </c>
      <c r="B1043" s="91">
        <v>27</v>
      </c>
      <c r="C1043" s="114">
        <v>0.0010660614643500741</v>
      </c>
      <c r="D1043" s="91" t="s">
        <v>2520</v>
      </c>
      <c r="E1043" s="91" t="b">
        <v>0</v>
      </c>
      <c r="F1043" s="91" t="b">
        <v>0</v>
      </c>
      <c r="G1043" s="91" t="b">
        <v>0</v>
      </c>
    </row>
    <row r="1044" spans="1:7" ht="15">
      <c r="A1044" s="92" t="s">
        <v>2624</v>
      </c>
      <c r="B1044" s="91">
        <v>27</v>
      </c>
      <c r="C1044" s="114">
        <v>0.0010660614643500741</v>
      </c>
      <c r="D1044" s="91" t="s">
        <v>2520</v>
      </c>
      <c r="E1044" s="91" t="b">
        <v>0</v>
      </c>
      <c r="F1044" s="91" t="b">
        <v>0</v>
      </c>
      <c r="G1044" s="91" t="b">
        <v>0</v>
      </c>
    </row>
    <row r="1045" spans="1:7" ht="15">
      <c r="A1045" s="92" t="s">
        <v>2625</v>
      </c>
      <c r="B1045" s="91">
        <v>27</v>
      </c>
      <c r="C1045" s="114">
        <v>0.0010660614643500741</v>
      </c>
      <c r="D1045" s="91" t="s">
        <v>2520</v>
      </c>
      <c r="E1045" s="91" t="b">
        <v>0</v>
      </c>
      <c r="F1045" s="91" t="b">
        <v>0</v>
      </c>
      <c r="G1045" s="91" t="b">
        <v>0</v>
      </c>
    </row>
    <row r="1046" spans="1:7" ht="15">
      <c r="A1046" s="92" t="s">
        <v>2626</v>
      </c>
      <c r="B1046" s="91">
        <v>27</v>
      </c>
      <c r="C1046" s="114">
        <v>0.0010660614643500741</v>
      </c>
      <c r="D1046" s="91" t="s">
        <v>2520</v>
      </c>
      <c r="E1046" s="91" t="b">
        <v>0</v>
      </c>
      <c r="F1046" s="91" t="b">
        <v>0</v>
      </c>
      <c r="G1046" s="91" t="b">
        <v>0</v>
      </c>
    </row>
    <row r="1047" spans="1:7" ht="15">
      <c r="A1047" s="92" t="s">
        <v>2627</v>
      </c>
      <c r="B1047" s="91">
        <v>27</v>
      </c>
      <c r="C1047" s="114">
        <v>0.0010660614643500741</v>
      </c>
      <c r="D1047" s="91" t="s">
        <v>2520</v>
      </c>
      <c r="E1047" s="91" t="b">
        <v>0</v>
      </c>
      <c r="F1047" s="91" t="b">
        <v>0</v>
      </c>
      <c r="G1047" s="91" t="b">
        <v>0</v>
      </c>
    </row>
    <row r="1048" spans="1:7" ht="15">
      <c r="A1048" s="92" t="s">
        <v>2608</v>
      </c>
      <c r="B1048" s="91">
        <v>27</v>
      </c>
      <c r="C1048" s="114">
        <v>0.0010660614643500741</v>
      </c>
      <c r="D1048" s="91" t="s">
        <v>2520</v>
      </c>
      <c r="E1048" s="91" t="b">
        <v>0</v>
      </c>
      <c r="F1048" s="91" t="b">
        <v>0</v>
      </c>
      <c r="G1048" s="91" t="b">
        <v>0</v>
      </c>
    </row>
    <row r="1049" spans="1:7" ht="15">
      <c r="A1049" s="92" t="s">
        <v>2623</v>
      </c>
      <c r="B1049" s="91">
        <v>27</v>
      </c>
      <c r="C1049" s="114">
        <v>0.0010660614643500741</v>
      </c>
      <c r="D1049" s="91" t="s">
        <v>2520</v>
      </c>
      <c r="E1049" s="91" t="b">
        <v>0</v>
      </c>
      <c r="F1049" s="91" t="b">
        <v>0</v>
      </c>
      <c r="G1049" s="91" t="b">
        <v>0</v>
      </c>
    </row>
    <row r="1050" spans="1:7" ht="15">
      <c r="A1050" s="92" t="s">
        <v>2579</v>
      </c>
      <c r="B1050" s="91">
        <v>27</v>
      </c>
      <c r="C1050" s="114">
        <v>0.0010660614643500741</v>
      </c>
      <c r="D1050" s="91" t="s">
        <v>2520</v>
      </c>
      <c r="E1050" s="91" t="b">
        <v>0</v>
      </c>
      <c r="F1050" s="91" t="b">
        <v>0</v>
      </c>
      <c r="G1050" s="91" t="b">
        <v>0</v>
      </c>
    </row>
    <row r="1051" spans="1:7" ht="15">
      <c r="A1051" s="92" t="s">
        <v>2609</v>
      </c>
      <c r="B1051" s="91">
        <v>27</v>
      </c>
      <c r="C1051" s="114">
        <v>0.0010660614643500741</v>
      </c>
      <c r="D1051" s="91" t="s">
        <v>2520</v>
      </c>
      <c r="E1051" s="91" t="b">
        <v>0</v>
      </c>
      <c r="F1051" s="91" t="b">
        <v>0</v>
      </c>
      <c r="G1051" s="91" t="b">
        <v>0</v>
      </c>
    </row>
    <row r="1052" spans="1:7" ht="15">
      <c r="A1052" s="92" t="s">
        <v>2588</v>
      </c>
      <c r="B1052" s="91">
        <v>27</v>
      </c>
      <c r="C1052" s="114">
        <v>0.0010660614643500741</v>
      </c>
      <c r="D1052" s="91" t="s">
        <v>2520</v>
      </c>
      <c r="E1052" s="91" t="b">
        <v>0</v>
      </c>
      <c r="F1052" s="91" t="b">
        <v>0</v>
      </c>
      <c r="G1052" s="91" t="b">
        <v>0</v>
      </c>
    </row>
    <row r="1053" spans="1:7" ht="15">
      <c r="A1053" s="92" t="s">
        <v>2619</v>
      </c>
      <c r="B1053" s="91">
        <v>27</v>
      </c>
      <c r="C1053" s="114">
        <v>0.0010660614643500741</v>
      </c>
      <c r="D1053" s="91" t="s">
        <v>2520</v>
      </c>
      <c r="E1053" s="91" t="b">
        <v>0</v>
      </c>
      <c r="F1053" s="91" t="b">
        <v>0</v>
      </c>
      <c r="G1053" s="91" t="b">
        <v>0</v>
      </c>
    </row>
    <row r="1054" spans="1:7" ht="15">
      <c r="A1054" s="92" t="s">
        <v>2628</v>
      </c>
      <c r="B1054" s="91">
        <v>27</v>
      </c>
      <c r="C1054" s="114">
        <v>0.0010660614643500741</v>
      </c>
      <c r="D1054" s="91" t="s">
        <v>2520</v>
      </c>
      <c r="E1054" s="91" t="b">
        <v>0</v>
      </c>
      <c r="F1054" s="91" t="b">
        <v>0</v>
      </c>
      <c r="G1054" s="91" t="b">
        <v>0</v>
      </c>
    </row>
    <row r="1055" spans="1:7" ht="15">
      <c r="A1055" s="92" t="s">
        <v>2621</v>
      </c>
      <c r="B1055" s="91">
        <v>27</v>
      </c>
      <c r="C1055" s="114">
        <v>0.0010660614643500741</v>
      </c>
      <c r="D1055" s="91" t="s">
        <v>2520</v>
      </c>
      <c r="E1055" s="91" t="b">
        <v>0</v>
      </c>
      <c r="F1055" s="91" t="b">
        <v>0</v>
      </c>
      <c r="G1055" s="91" t="b">
        <v>0</v>
      </c>
    </row>
    <row r="1056" spans="1:7" ht="15">
      <c r="A1056" s="92" t="s">
        <v>2618</v>
      </c>
      <c r="B1056" s="91">
        <v>27</v>
      </c>
      <c r="C1056" s="114">
        <v>0.0010660614643500741</v>
      </c>
      <c r="D1056" s="91" t="s">
        <v>2520</v>
      </c>
      <c r="E1056" s="91" t="b">
        <v>0</v>
      </c>
      <c r="F1056" s="91" t="b">
        <v>0</v>
      </c>
      <c r="G1056" s="91" t="b">
        <v>0</v>
      </c>
    </row>
    <row r="1057" spans="1:7" ht="15">
      <c r="A1057" s="92" t="s">
        <v>2633</v>
      </c>
      <c r="B1057" s="91">
        <v>25</v>
      </c>
      <c r="C1057" s="114">
        <v>0.002050190497039391</v>
      </c>
      <c r="D1057" s="91" t="s">
        <v>2520</v>
      </c>
      <c r="E1057" s="91" t="b">
        <v>0</v>
      </c>
      <c r="F1057" s="91" t="b">
        <v>0</v>
      </c>
      <c r="G1057" s="91" t="b">
        <v>0</v>
      </c>
    </row>
    <row r="1058" spans="1:7" ht="15">
      <c r="A1058" s="92" t="s">
        <v>2572</v>
      </c>
      <c r="B1058" s="91">
        <v>17</v>
      </c>
      <c r="C1058" s="114">
        <v>0.005016710306426967</v>
      </c>
      <c r="D1058" s="91" t="s">
        <v>2520</v>
      </c>
      <c r="E1058" s="91" t="b">
        <v>0</v>
      </c>
      <c r="F1058" s="91" t="b">
        <v>0</v>
      </c>
      <c r="G1058" s="91" t="b">
        <v>0</v>
      </c>
    </row>
    <row r="1059" spans="1:7" ht="15">
      <c r="A1059" s="92" t="s">
        <v>2583</v>
      </c>
      <c r="B1059" s="91">
        <v>17</v>
      </c>
      <c r="C1059" s="114">
        <v>0.005016710306426967</v>
      </c>
      <c r="D1059" s="91" t="s">
        <v>2520</v>
      </c>
      <c r="E1059" s="91" t="b">
        <v>0</v>
      </c>
      <c r="F1059" s="91" t="b">
        <v>0</v>
      </c>
      <c r="G1059" s="91" t="b">
        <v>0</v>
      </c>
    </row>
    <row r="1060" spans="1:7" ht="15">
      <c r="A1060" s="92" t="s">
        <v>2591</v>
      </c>
      <c r="B1060" s="91">
        <v>14</v>
      </c>
      <c r="C1060" s="114">
        <v>0.005633307215127295</v>
      </c>
      <c r="D1060" s="91" t="s">
        <v>2520</v>
      </c>
      <c r="E1060" s="91" t="b">
        <v>0</v>
      </c>
      <c r="F1060" s="91" t="b">
        <v>0</v>
      </c>
      <c r="G1060" s="91" t="b">
        <v>0</v>
      </c>
    </row>
    <row r="1061" spans="1:7" ht="15">
      <c r="A1061" s="92" t="s">
        <v>2590</v>
      </c>
      <c r="B1061" s="91">
        <v>14</v>
      </c>
      <c r="C1061" s="114">
        <v>0.005633307215127295</v>
      </c>
      <c r="D1061" s="91" t="s">
        <v>2520</v>
      </c>
      <c r="E1061" s="91" t="b">
        <v>0</v>
      </c>
      <c r="F1061" s="91" t="b">
        <v>0</v>
      </c>
      <c r="G1061" s="91" t="b">
        <v>0</v>
      </c>
    </row>
    <row r="1062" spans="1:7" ht="15">
      <c r="A1062" s="92" t="s">
        <v>2696</v>
      </c>
      <c r="B1062" s="91">
        <v>13</v>
      </c>
      <c r="C1062" s="114">
        <v>0.005763244774424365</v>
      </c>
      <c r="D1062" s="91" t="s">
        <v>2520</v>
      </c>
      <c r="E1062" s="91" t="b">
        <v>0</v>
      </c>
      <c r="F1062" s="91" t="b">
        <v>0</v>
      </c>
      <c r="G1062" s="91" t="b">
        <v>0</v>
      </c>
    </row>
    <row r="1063" spans="1:7" ht="15">
      <c r="A1063" s="92" t="s">
        <v>2697</v>
      </c>
      <c r="B1063" s="91">
        <v>13</v>
      </c>
      <c r="C1063" s="114">
        <v>0.005763244774424365</v>
      </c>
      <c r="D1063" s="91" t="s">
        <v>2520</v>
      </c>
      <c r="E1063" s="91" t="b">
        <v>0</v>
      </c>
      <c r="F1063" s="91" t="b">
        <v>0</v>
      </c>
      <c r="G1063" s="91" t="b">
        <v>0</v>
      </c>
    </row>
    <row r="1064" spans="1:7" ht="15">
      <c r="A1064" s="92" t="s">
        <v>2582</v>
      </c>
      <c r="B1064" s="91">
        <v>12</v>
      </c>
      <c r="C1064" s="114">
        <v>0.005850637432844752</v>
      </c>
      <c r="D1064" s="91" t="s">
        <v>2520</v>
      </c>
      <c r="E1064" s="91" t="b">
        <v>0</v>
      </c>
      <c r="F1064" s="91" t="b">
        <v>0</v>
      </c>
      <c r="G1064" s="91" t="b">
        <v>0</v>
      </c>
    </row>
    <row r="1065" spans="1:7" ht="15">
      <c r="A1065" s="92" t="s">
        <v>2654</v>
      </c>
      <c r="B1065" s="91">
        <v>12</v>
      </c>
      <c r="C1065" s="114">
        <v>0.005850637432844752</v>
      </c>
      <c r="D1065" s="91" t="s">
        <v>2520</v>
      </c>
      <c r="E1065" s="91" t="b">
        <v>0</v>
      </c>
      <c r="F1065" s="91" t="b">
        <v>0</v>
      </c>
      <c r="G1065" s="91" t="b">
        <v>0</v>
      </c>
    </row>
    <row r="1066" spans="1:7" ht="15">
      <c r="A1066" s="92" t="s">
        <v>2648</v>
      </c>
      <c r="B1066" s="91">
        <v>11</v>
      </c>
      <c r="C1066" s="114">
        <v>0.005891931857694709</v>
      </c>
      <c r="D1066" s="91" t="s">
        <v>2520</v>
      </c>
      <c r="E1066" s="91" t="b">
        <v>0</v>
      </c>
      <c r="F1066" s="91" t="b">
        <v>0</v>
      </c>
      <c r="G1066" s="91" t="b">
        <v>0</v>
      </c>
    </row>
    <row r="1067" spans="1:7" ht="15">
      <c r="A1067" s="92" t="s">
        <v>2722</v>
      </c>
      <c r="B1067" s="91">
        <v>11</v>
      </c>
      <c r="C1067" s="114">
        <v>0.005891931857694709</v>
      </c>
      <c r="D1067" s="91" t="s">
        <v>2520</v>
      </c>
      <c r="E1067" s="91" t="b">
        <v>0</v>
      </c>
      <c r="F1067" s="91" t="b">
        <v>0</v>
      </c>
      <c r="G1067" s="91" t="b">
        <v>0</v>
      </c>
    </row>
    <row r="1068" spans="1:7" ht="15">
      <c r="A1068" s="92" t="s">
        <v>2589</v>
      </c>
      <c r="B1068" s="91">
        <v>11</v>
      </c>
      <c r="C1068" s="114">
        <v>0.005891931857694709</v>
      </c>
      <c r="D1068" s="91" t="s">
        <v>2520</v>
      </c>
      <c r="E1068" s="91" t="b">
        <v>0</v>
      </c>
      <c r="F1068" s="91" t="b">
        <v>0</v>
      </c>
      <c r="G1068" s="91" t="b">
        <v>0</v>
      </c>
    </row>
    <row r="1069" spans="1:7" ht="15">
      <c r="A1069" s="92" t="s">
        <v>2637</v>
      </c>
      <c r="B1069" s="91">
        <v>11</v>
      </c>
      <c r="C1069" s="114">
        <v>0.005891931857694709</v>
      </c>
      <c r="D1069" s="91" t="s">
        <v>2520</v>
      </c>
      <c r="E1069" s="91" t="b">
        <v>0</v>
      </c>
      <c r="F1069" s="91" t="b">
        <v>0</v>
      </c>
      <c r="G1069" s="91" t="b">
        <v>0</v>
      </c>
    </row>
    <row r="1070" spans="1:7" ht="15">
      <c r="A1070" s="92" t="s">
        <v>2723</v>
      </c>
      <c r="B1070" s="91">
        <v>11</v>
      </c>
      <c r="C1070" s="114">
        <v>0.005891931857694709</v>
      </c>
      <c r="D1070" s="91" t="s">
        <v>2520</v>
      </c>
      <c r="E1070" s="91" t="b">
        <v>0</v>
      </c>
      <c r="F1070" s="91" t="b">
        <v>0</v>
      </c>
      <c r="G1070" s="91" t="b">
        <v>0</v>
      </c>
    </row>
    <row r="1071" spans="1:7" ht="15">
      <c r="A1071" s="92" t="s">
        <v>2664</v>
      </c>
      <c r="B1071" s="91">
        <v>3</v>
      </c>
      <c r="C1071" s="114">
        <v>0.0037605982564095173</v>
      </c>
      <c r="D1071" s="91" t="s">
        <v>2520</v>
      </c>
      <c r="E1071" s="91" t="b">
        <v>0</v>
      </c>
      <c r="F1071" s="91" t="b">
        <v>0</v>
      </c>
      <c r="G1071" s="91" t="b">
        <v>0</v>
      </c>
    </row>
    <row r="1072" spans="1:7" ht="15">
      <c r="A1072" s="92" t="s">
        <v>2568</v>
      </c>
      <c r="B1072" s="91">
        <v>3</v>
      </c>
      <c r="C1072" s="114">
        <v>0.004432702298606774</v>
      </c>
      <c r="D1072" s="91" t="s">
        <v>2520</v>
      </c>
      <c r="E1072" s="91" t="b">
        <v>0</v>
      </c>
      <c r="F1072" s="91" t="b">
        <v>0</v>
      </c>
      <c r="G1072" s="91" t="b">
        <v>0</v>
      </c>
    </row>
    <row r="1073" spans="1:7" ht="15">
      <c r="A1073" s="92" t="s">
        <v>2630</v>
      </c>
      <c r="B1073" s="91">
        <v>2</v>
      </c>
      <c r="C1073" s="114">
        <v>0.00295513486573785</v>
      </c>
      <c r="D1073" s="91" t="s">
        <v>2520</v>
      </c>
      <c r="E1073" s="91" t="b">
        <v>0</v>
      </c>
      <c r="F1073" s="91" t="b">
        <v>0</v>
      </c>
      <c r="G1073" s="91" t="b">
        <v>0</v>
      </c>
    </row>
    <row r="1074" spans="1:7" ht="15">
      <c r="A1074" s="92" t="s">
        <v>3028</v>
      </c>
      <c r="B1074" s="91">
        <v>2</v>
      </c>
      <c r="C1074" s="114">
        <v>0.00295513486573785</v>
      </c>
      <c r="D1074" s="91" t="s">
        <v>2520</v>
      </c>
      <c r="E1074" s="91" t="b">
        <v>0</v>
      </c>
      <c r="F1074" s="91" t="b">
        <v>0</v>
      </c>
      <c r="G1074" s="91" t="b">
        <v>0</v>
      </c>
    </row>
    <row r="1075" spans="1:7" ht="15">
      <c r="A1075" s="92" t="s">
        <v>3029</v>
      </c>
      <c r="B1075" s="91">
        <v>2</v>
      </c>
      <c r="C1075" s="114">
        <v>0.00295513486573785</v>
      </c>
      <c r="D1075" s="91" t="s">
        <v>2520</v>
      </c>
      <c r="E1075" s="91" t="b">
        <v>0</v>
      </c>
      <c r="F1075" s="91" t="b">
        <v>0</v>
      </c>
      <c r="G1075" s="91" t="b">
        <v>0</v>
      </c>
    </row>
    <row r="1076" spans="1:7" ht="15">
      <c r="A1076" s="92" t="s">
        <v>2737</v>
      </c>
      <c r="B1076" s="91">
        <v>2</v>
      </c>
      <c r="C1076" s="114">
        <v>0.00295513486573785</v>
      </c>
      <c r="D1076" s="91" t="s">
        <v>2520</v>
      </c>
      <c r="E1076" s="91" t="b">
        <v>0</v>
      </c>
      <c r="F1076" s="91" t="b">
        <v>0</v>
      </c>
      <c r="G1076" s="91" t="b">
        <v>0</v>
      </c>
    </row>
    <row r="1077" spans="1:7" ht="15">
      <c r="A1077" s="92" t="s">
        <v>2752</v>
      </c>
      <c r="B1077" s="91">
        <v>2</v>
      </c>
      <c r="C1077" s="114">
        <v>0.00295513486573785</v>
      </c>
      <c r="D1077" s="91" t="s">
        <v>2520</v>
      </c>
      <c r="E1077" s="91" t="b">
        <v>0</v>
      </c>
      <c r="F1077" s="91" t="b">
        <v>0</v>
      </c>
      <c r="G1077" s="91" t="b">
        <v>0</v>
      </c>
    </row>
    <row r="1078" spans="1:7" ht="15">
      <c r="A1078" s="92" t="s">
        <v>2616</v>
      </c>
      <c r="B1078" s="91">
        <v>2</v>
      </c>
      <c r="C1078" s="114">
        <v>0.00295513486573785</v>
      </c>
      <c r="D1078" s="91" t="s">
        <v>2520</v>
      </c>
      <c r="E1078" s="91" t="b">
        <v>0</v>
      </c>
      <c r="F1078" s="91" t="b">
        <v>0</v>
      </c>
      <c r="G1078" s="91" t="b">
        <v>0</v>
      </c>
    </row>
    <row r="1079" spans="1:7" ht="15">
      <c r="A1079" s="92" t="s">
        <v>2592</v>
      </c>
      <c r="B1079" s="91">
        <v>2</v>
      </c>
      <c r="C1079" s="114">
        <v>0.00295513486573785</v>
      </c>
      <c r="D1079" s="91" t="s">
        <v>2520</v>
      </c>
      <c r="E1079" s="91" t="b">
        <v>0</v>
      </c>
      <c r="F1079" s="91" t="b">
        <v>0</v>
      </c>
      <c r="G1079" s="91" t="b">
        <v>0</v>
      </c>
    </row>
    <row r="1080" spans="1:7" ht="15">
      <c r="A1080" s="92" t="s">
        <v>2629</v>
      </c>
      <c r="B1080" s="91">
        <v>2</v>
      </c>
      <c r="C1080" s="114">
        <v>0.0037211144984706265</v>
      </c>
      <c r="D1080" s="91" t="s">
        <v>2520</v>
      </c>
      <c r="E1080" s="91" t="b">
        <v>0</v>
      </c>
      <c r="F1080" s="91" t="b">
        <v>0</v>
      </c>
      <c r="G1080" s="91" t="b">
        <v>0</v>
      </c>
    </row>
    <row r="1081" spans="1:7" ht="15">
      <c r="A1081" s="92" t="s">
        <v>2576</v>
      </c>
      <c r="B1081" s="91">
        <v>2</v>
      </c>
      <c r="C1081" s="114">
        <v>0.00295513486573785</v>
      </c>
      <c r="D1081" s="91" t="s">
        <v>2520</v>
      </c>
      <c r="E1081" s="91" t="b">
        <v>0</v>
      </c>
      <c r="F1081" s="91" t="b">
        <v>0</v>
      </c>
      <c r="G1081" s="91" t="b">
        <v>0</v>
      </c>
    </row>
    <row r="1082" spans="1:7" ht="15">
      <c r="A1082" s="92" t="s">
        <v>2570</v>
      </c>
      <c r="B1082" s="91">
        <v>2</v>
      </c>
      <c r="C1082" s="114">
        <v>0.00295513486573785</v>
      </c>
      <c r="D1082" s="91" t="s">
        <v>2520</v>
      </c>
      <c r="E1082" s="91" t="b">
        <v>0</v>
      </c>
      <c r="F1082" s="91" t="b">
        <v>0</v>
      </c>
      <c r="G1082" s="91" t="b">
        <v>0</v>
      </c>
    </row>
    <row r="1083" spans="1:7" ht="15">
      <c r="A1083" s="92" t="s">
        <v>2582</v>
      </c>
      <c r="B1083" s="91">
        <v>38</v>
      </c>
      <c r="C1083" s="114">
        <v>0</v>
      </c>
      <c r="D1083" s="91" t="s">
        <v>2521</v>
      </c>
      <c r="E1083" s="91" t="b">
        <v>0</v>
      </c>
      <c r="F1083" s="91" t="b">
        <v>0</v>
      </c>
      <c r="G1083" s="91" t="b">
        <v>0</v>
      </c>
    </row>
    <row r="1084" spans="1:7" ht="15">
      <c r="A1084" s="92" t="s">
        <v>2681</v>
      </c>
      <c r="B1084" s="91">
        <v>19</v>
      </c>
      <c r="C1084" s="114">
        <v>0</v>
      </c>
      <c r="D1084" s="91" t="s">
        <v>2521</v>
      </c>
      <c r="E1084" s="91" t="b">
        <v>0</v>
      </c>
      <c r="F1084" s="91" t="b">
        <v>0</v>
      </c>
      <c r="G1084" s="91" t="b">
        <v>0</v>
      </c>
    </row>
    <row r="1085" spans="1:7" ht="15">
      <c r="A1085" s="92" t="s">
        <v>2682</v>
      </c>
      <c r="B1085" s="91">
        <v>19</v>
      </c>
      <c r="C1085" s="114">
        <v>0</v>
      </c>
      <c r="D1085" s="91" t="s">
        <v>2521</v>
      </c>
      <c r="E1085" s="91" t="b">
        <v>0</v>
      </c>
      <c r="F1085" s="91" t="b">
        <v>0</v>
      </c>
      <c r="G1085" s="91" t="b">
        <v>0</v>
      </c>
    </row>
    <row r="1086" spans="1:7" ht="15">
      <c r="A1086" s="92" t="s">
        <v>2683</v>
      </c>
      <c r="B1086" s="91">
        <v>19</v>
      </c>
      <c r="C1086" s="114">
        <v>0</v>
      </c>
      <c r="D1086" s="91" t="s">
        <v>2521</v>
      </c>
      <c r="E1086" s="91" t="b">
        <v>0</v>
      </c>
      <c r="F1086" s="91" t="b">
        <v>0</v>
      </c>
      <c r="G1086" s="91" t="b">
        <v>0</v>
      </c>
    </row>
    <row r="1087" spans="1:7" ht="15">
      <c r="A1087" s="92" t="s">
        <v>2684</v>
      </c>
      <c r="B1087" s="91">
        <v>19</v>
      </c>
      <c r="C1087" s="114">
        <v>0</v>
      </c>
      <c r="D1087" s="91" t="s">
        <v>2521</v>
      </c>
      <c r="E1087" s="91" t="b">
        <v>0</v>
      </c>
      <c r="F1087" s="91" t="b">
        <v>0</v>
      </c>
      <c r="G1087" s="91" t="b">
        <v>0</v>
      </c>
    </row>
    <row r="1088" spans="1:7" ht="15">
      <c r="A1088" s="92" t="s">
        <v>2685</v>
      </c>
      <c r="B1088" s="91">
        <v>19</v>
      </c>
      <c r="C1088" s="114">
        <v>0</v>
      </c>
      <c r="D1088" s="91" t="s">
        <v>2521</v>
      </c>
      <c r="E1088" s="91" t="b">
        <v>0</v>
      </c>
      <c r="F1088" s="91" t="b">
        <v>0</v>
      </c>
      <c r="G1088" s="91" t="b">
        <v>0</v>
      </c>
    </row>
    <row r="1089" spans="1:7" ht="15">
      <c r="A1089" s="92" t="s">
        <v>2686</v>
      </c>
      <c r="B1089" s="91">
        <v>19</v>
      </c>
      <c r="C1089" s="114">
        <v>0</v>
      </c>
      <c r="D1089" s="91" t="s">
        <v>2521</v>
      </c>
      <c r="E1089" s="91" t="b">
        <v>0</v>
      </c>
      <c r="F1089" s="91" t="b">
        <v>0</v>
      </c>
      <c r="G1089" s="91" t="b">
        <v>0</v>
      </c>
    </row>
    <row r="1090" spans="1:7" ht="15">
      <c r="A1090" s="92" t="s">
        <v>2687</v>
      </c>
      <c r="B1090" s="91">
        <v>19</v>
      </c>
      <c r="C1090" s="114">
        <v>0</v>
      </c>
      <c r="D1090" s="91" t="s">
        <v>2521</v>
      </c>
      <c r="E1090" s="91" t="b">
        <v>0</v>
      </c>
      <c r="F1090" s="91" t="b">
        <v>0</v>
      </c>
      <c r="G1090" s="91" t="b">
        <v>0</v>
      </c>
    </row>
    <row r="1091" spans="1:7" ht="15">
      <c r="A1091" s="92" t="s">
        <v>2688</v>
      </c>
      <c r="B1091" s="91">
        <v>19</v>
      </c>
      <c r="C1091" s="114">
        <v>0</v>
      </c>
      <c r="D1091" s="91" t="s">
        <v>2521</v>
      </c>
      <c r="E1091" s="91" t="b">
        <v>0</v>
      </c>
      <c r="F1091" s="91" t="b">
        <v>0</v>
      </c>
      <c r="G1091" s="91" t="b">
        <v>0</v>
      </c>
    </row>
    <row r="1092" spans="1:7" ht="15">
      <c r="A1092" s="92" t="s">
        <v>2647</v>
      </c>
      <c r="B1092" s="91">
        <v>19</v>
      </c>
      <c r="C1092" s="114">
        <v>0</v>
      </c>
      <c r="D1092" s="91" t="s">
        <v>2521</v>
      </c>
      <c r="E1092" s="91" t="b">
        <v>0</v>
      </c>
      <c r="F1092" s="91" t="b">
        <v>0</v>
      </c>
      <c r="G1092" s="91" t="b">
        <v>0</v>
      </c>
    </row>
    <row r="1093" spans="1:7" ht="15">
      <c r="A1093" s="92" t="s">
        <v>432</v>
      </c>
      <c r="B1093" s="91">
        <v>19</v>
      </c>
      <c r="C1093" s="114">
        <v>0</v>
      </c>
      <c r="D1093" s="91" t="s">
        <v>2521</v>
      </c>
      <c r="E1093" s="91" t="b">
        <v>0</v>
      </c>
      <c r="F1093" s="91" t="b">
        <v>0</v>
      </c>
      <c r="G1093" s="91" t="b">
        <v>0</v>
      </c>
    </row>
    <row r="1094" spans="1:7" ht="15">
      <c r="A1094" s="92" t="s">
        <v>2567</v>
      </c>
      <c r="B1094" s="91">
        <v>19</v>
      </c>
      <c r="C1094" s="114">
        <v>0</v>
      </c>
      <c r="D1094" s="91" t="s">
        <v>2521</v>
      </c>
      <c r="E1094" s="91" t="b">
        <v>0</v>
      </c>
      <c r="F1094" s="91" t="b">
        <v>0</v>
      </c>
      <c r="G1094" s="91" t="b">
        <v>0</v>
      </c>
    </row>
    <row r="1095" spans="1:7" ht="15">
      <c r="A1095" s="92" t="s">
        <v>2646</v>
      </c>
      <c r="B1095" s="91">
        <v>19</v>
      </c>
      <c r="C1095" s="114">
        <v>0</v>
      </c>
      <c r="D1095" s="91" t="s">
        <v>2521</v>
      </c>
      <c r="E1095" s="91" t="b">
        <v>0</v>
      </c>
      <c r="F1095" s="91" t="b">
        <v>0</v>
      </c>
      <c r="G1095" s="91" t="b">
        <v>0</v>
      </c>
    </row>
    <row r="1096" spans="1:7" ht="15">
      <c r="A1096" s="92" t="s">
        <v>2573</v>
      </c>
      <c r="B1096" s="91">
        <v>19</v>
      </c>
      <c r="C1096" s="114">
        <v>0</v>
      </c>
      <c r="D1096" s="91" t="s">
        <v>2521</v>
      </c>
      <c r="E1096" s="91" t="b">
        <v>0</v>
      </c>
      <c r="F1096" s="91" t="b">
        <v>0</v>
      </c>
      <c r="G1096" s="91" t="b">
        <v>0</v>
      </c>
    </row>
    <row r="1097" spans="1:7" ht="15">
      <c r="A1097" s="92" t="s">
        <v>2689</v>
      </c>
      <c r="B1097" s="91">
        <v>19</v>
      </c>
      <c r="C1097" s="114">
        <v>0</v>
      </c>
      <c r="D1097" s="91" t="s">
        <v>2521</v>
      </c>
      <c r="E1097" s="91" t="b">
        <v>0</v>
      </c>
      <c r="F1097" s="91" t="b">
        <v>0</v>
      </c>
      <c r="G1097" s="91" t="b">
        <v>0</v>
      </c>
    </row>
    <row r="1098" spans="1:7" ht="15">
      <c r="A1098" s="92" t="s">
        <v>2608</v>
      </c>
      <c r="B1098" s="91">
        <v>19</v>
      </c>
      <c r="C1098" s="114">
        <v>0</v>
      </c>
      <c r="D1098" s="91" t="s">
        <v>2521</v>
      </c>
      <c r="E1098" s="91" t="b">
        <v>0</v>
      </c>
      <c r="F1098" s="91" t="b">
        <v>0</v>
      </c>
      <c r="G1098" s="91" t="b">
        <v>0</v>
      </c>
    </row>
    <row r="1099" spans="1:7" ht="15">
      <c r="A1099" s="92" t="s">
        <v>2564</v>
      </c>
      <c r="B1099" s="91">
        <v>19</v>
      </c>
      <c r="C1099" s="114">
        <v>0</v>
      </c>
      <c r="D1099" s="91" t="s">
        <v>2521</v>
      </c>
      <c r="E1099" s="91" t="b">
        <v>0</v>
      </c>
      <c r="F1099" s="91" t="b">
        <v>0</v>
      </c>
      <c r="G1099" s="91" t="b">
        <v>0</v>
      </c>
    </row>
    <row r="1100" spans="1:7" ht="15">
      <c r="A1100" s="92" t="s">
        <v>2690</v>
      </c>
      <c r="B1100" s="91">
        <v>19</v>
      </c>
      <c r="C1100" s="114">
        <v>0</v>
      </c>
      <c r="D1100" s="91" t="s">
        <v>2521</v>
      </c>
      <c r="E1100" s="91" t="b">
        <v>0</v>
      </c>
      <c r="F1100" s="91" t="b">
        <v>0</v>
      </c>
      <c r="G1100" s="91" t="b">
        <v>0</v>
      </c>
    </row>
    <row r="1101" spans="1:7" ht="15">
      <c r="A1101" s="92" t="s">
        <v>2583</v>
      </c>
      <c r="B1101" s="91">
        <v>19</v>
      </c>
      <c r="C1101" s="114">
        <v>0</v>
      </c>
      <c r="D1101" s="91" t="s">
        <v>2521</v>
      </c>
      <c r="E1101" s="91" t="b">
        <v>0</v>
      </c>
      <c r="F1101" s="91" t="b">
        <v>0</v>
      </c>
      <c r="G1101" s="91" t="b">
        <v>0</v>
      </c>
    </row>
    <row r="1102" spans="1:7" ht="15">
      <c r="A1102" s="92" t="s">
        <v>2691</v>
      </c>
      <c r="B1102" s="91">
        <v>19</v>
      </c>
      <c r="C1102" s="114">
        <v>0</v>
      </c>
      <c r="D1102" s="91" t="s">
        <v>2521</v>
      </c>
      <c r="E1102" s="91" t="b">
        <v>0</v>
      </c>
      <c r="F1102" s="91" t="b">
        <v>0</v>
      </c>
      <c r="G1102" s="91" t="b">
        <v>0</v>
      </c>
    </row>
    <row r="1103" spans="1:7" ht="15">
      <c r="A1103" s="92" t="s">
        <v>431</v>
      </c>
      <c r="B1103" s="91">
        <v>19</v>
      </c>
      <c r="C1103" s="114">
        <v>0</v>
      </c>
      <c r="D1103" s="91" t="s">
        <v>2521</v>
      </c>
      <c r="E1103" s="91" t="b">
        <v>0</v>
      </c>
      <c r="F1103" s="91" t="b">
        <v>0</v>
      </c>
      <c r="G1103" s="91" t="b">
        <v>0</v>
      </c>
    </row>
    <row r="1104" spans="1:7" ht="15">
      <c r="A1104" s="92" t="s">
        <v>381</v>
      </c>
      <c r="B1104" s="91">
        <v>19</v>
      </c>
      <c r="C1104" s="114">
        <v>0</v>
      </c>
      <c r="D1104" s="91" t="s">
        <v>2521</v>
      </c>
      <c r="E1104" s="91" t="b">
        <v>0</v>
      </c>
      <c r="F1104" s="91" t="b">
        <v>0</v>
      </c>
      <c r="G1104" s="91" t="b">
        <v>0</v>
      </c>
    </row>
    <row r="1105" spans="1:7" ht="15">
      <c r="A1105" s="92" t="s">
        <v>380</v>
      </c>
      <c r="B1105" s="91">
        <v>19</v>
      </c>
      <c r="C1105" s="114">
        <v>0</v>
      </c>
      <c r="D1105" s="91" t="s">
        <v>2521</v>
      </c>
      <c r="E1105" s="91" t="b">
        <v>0</v>
      </c>
      <c r="F1105" s="91" t="b">
        <v>0</v>
      </c>
      <c r="G1105" s="91" t="b">
        <v>0</v>
      </c>
    </row>
    <row r="1106" spans="1:7" ht="15">
      <c r="A1106" s="92" t="s">
        <v>383</v>
      </c>
      <c r="B1106" s="91">
        <v>19</v>
      </c>
      <c r="C1106" s="114">
        <v>0</v>
      </c>
      <c r="D1106" s="91" t="s">
        <v>2521</v>
      </c>
      <c r="E1106" s="91" t="b">
        <v>0</v>
      </c>
      <c r="F1106" s="91" t="b">
        <v>0</v>
      </c>
      <c r="G1106" s="91" t="b">
        <v>0</v>
      </c>
    </row>
    <row r="1107" spans="1:7" ht="15">
      <c r="A1107" s="92" t="s">
        <v>430</v>
      </c>
      <c r="B1107" s="91">
        <v>19</v>
      </c>
      <c r="C1107" s="114">
        <v>0</v>
      </c>
      <c r="D1107" s="91" t="s">
        <v>2521</v>
      </c>
      <c r="E1107" s="91" t="b">
        <v>0</v>
      </c>
      <c r="F1107" s="91" t="b">
        <v>0</v>
      </c>
      <c r="G1107" s="91" t="b">
        <v>0</v>
      </c>
    </row>
    <row r="1108" spans="1:7" ht="15">
      <c r="A1108" s="92" t="s">
        <v>385</v>
      </c>
      <c r="B1108" s="91">
        <v>19</v>
      </c>
      <c r="C1108" s="114">
        <v>0</v>
      </c>
      <c r="D1108" s="91" t="s">
        <v>2521</v>
      </c>
      <c r="E1108" s="91" t="b">
        <v>0</v>
      </c>
      <c r="F1108" s="91" t="b">
        <v>0</v>
      </c>
      <c r="G1108" s="91" t="b">
        <v>0</v>
      </c>
    </row>
    <row r="1109" spans="1:7" ht="15">
      <c r="A1109" s="92" t="s">
        <v>382</v>
      </c>
      <c r="B1109" s="91">
        <v>19</v>
      </c>
      <c r="C1109" s="114">
        <v>0</v>
      </c>
      <c r="D1109" s="91" t="s">
        <v>2521</v>
      </c>
      <c r="E1109" s="91" t="b">
        <v>0</v>
      </c>
      <c r="F1109" s="91" t="b">
        <v>0</v>
      </c>
      <c r="G1109" s="91" t="b">
        <v>0</v>
      </c>
    </row>
    <row r="1110" spans="1:7" ht="15">
      <c r="A1110" s="92" t="s">
        <v>2564</v>
      </c>
      <c r="B1110" s="91">
        <v>45</v>
      </c>
      <c r="C1110" s="114">
        <v>0</v>
      </c>
      <c r="D1110" s="91" t="s">
        <v>2522</v>
      </c>
      <c r="E1110" s="91" t="b">
        <v>0</v>
      </c>
      <c r="F1110" s="91" t="b">
        <v>0</v>
      </c>
      <c r="G1110" s="91" t="b">
        <v>0</v>
      </c>
    </row>
    <row r="1111" spans="1:7" ht="15">
      <c r="A1111" s="92" t="s">
        <v>2573</v>
      </c>
      <c r="B1111" s="91">
        <v>36</v>
      </c>
      <c r="C1111" s="114">
        <v>0.002813516506685509</v>
      </c>
      <c r="D1111" s="91" t="s">
        <v>2522</v>
      </c>
      <c r="E1111" s="91" t="b">
        <v>0</v>
      </c>
      <c r="F1111" s="91" t="b">
        <v>0</v>
      </c>
      <c r="G1111" s="91" t="b">
        <v>0</v>
      </c>
    </row>
    <row r="1112" spans="1:7" ht="15">
      <c r="A1112" s="92" t="s">
        <v>2571</v>
      </c>
      <c r="B1112" s="91">
        <v>34</v>
      </c>
      <c r="C1112" s="114">
        <v>0.003337856684616944</v>
      </c>
      <c r="D1112" s="91" t="s">
        <v>2522</v>
      </c>
      <c r="E1112" s="91" t="b">
        <v>0</v>
      </c>
      <c r="F1112" s="91" t="b">
        <v>0</v>
      </c>
      <c r="G1112" s="91" t="b">
        <v>0</v>
      </c>
    </row>
    <row r="1113" spans="1:7" ht="15">
      <c r="A1113" s="92" t="s">
        <v>2569</v>
      </c>
      <c r="B1113" s="91">
        <v>31</v>
      </c>
      <c r="C1113" s="114">
        <v>0.004046270498526776</v>
      </c>
      <c r="D1113" s="91" t="s">
        <v>2522</v>
      </c>
      <c r="E1113" s="91" t="b">
        <v>0</v>
      </c>
      <c r="F1113" s="91" t="b">
        <v>0</v>
      </c>
      <c r="G1113" s="91" t="b">
        <v>0</v>
      </c>
    </row>
    <row r="1114" spans="1:7" ht="15">
      <c r="A1114" s="92" t="s">
        <v>2591</v>
      </c>
      <c r="B1114" s="91">
        <v>30</v>
      </c>
      <c r="C1114" s="114">
        <v>0.010865141881921425</v>
      </c>
      <c r="D1114" s="91" t="s">
        <v>2522</v>
      </c>
      <c r="E1114" s="91" t="b">
        <v>0</v>
      </c>
      <c r="F1114" s="91" t="b">
        <v>0</v>
      </c>
      <c r="G1114" s="91" t="b">
        <v>0</v>
      </c>
    </row>
    <row r="1115" spans="1:7" ht="15">
      <c r="A1115" s="92" t="s">
        <v>2572</v>
      </c>
      <c r="B1115" s="91">
        <v>29</v>
      </c>
      <c r="C1115" s="114">
        <v>0.004462597548721968</v>
      </c>
      <c r="D1115" s="91" t="s">
        <v>2522</v>
      </c>
      <c r="E1115" s="91" t="b">
        <v>0</v>
      </c>
      <c r="F1115" s="91" t="b">
        <v>0</v>
      </c>
      <c r="G1115" s="91" t="b">
        <v>0</v>
      </c>
    </row>
    <row r="1116" spans="1:7" ht="15">
      <c r="A1116" s="92" t="s">
        <v>2565</v>
      </c>
      <c r="B1116" s="91">
        <v>29</v>
      </c>
      <c r="C1116" s="114">
        <v>0.004462597548721968</v>
      </c>
      <c r="D1116" s="91" t="s">
        <v>2522</v>
      </c>
      <c r="E1116" s="91" t="b">
        <v>0</v>
      </c>
      <c r="F1116" s="91" t="b">
        <v>0</v>
      </c>
      <c r="G1116" s="91" t="b">
        <v>0</v>
      </c>
    </row>
    <row r="1117" spans="1:7" ht="15">
      <c r="A1117" s="92" t="s">
        <v>2567</v>
      </c>
      <c r="B1117" s="91">
        <v>23</v>
      </c>
      <c r="C1117" s="114">
        <v>0.005406570635829249</v>
      </c>
      <c r="D1117" s="91" t="s">
        <v>2522</v>
      </c>
      <c r="E1117" s="91" t="b">
        <v>0</v>
      </c>
      <c r="F1117" s="91" t="b">
        <v>0</v>
      </c>
      <c r="G1117" s="91" t="b">
        <v>0</v>
      </c>
    </row>
    <row r="1118" spans="1:7" ht="15">
      <c r="A1118" s="92" t="s">
        <v>2574</v>
      </c>
      <c r="B1118" s="91">
        <v>21</v>
      </c>
      <c r="C1118" s="114">
        <v>0.005605530322475737</v>
      </c>
      <c r="D1118" s="91" t="s">
        <v>2522</v>
      </c>
      <c r="E1118" s="91" t="b">
        <v>0</v>
      </c>
      <c r="F1118" s="91" t="b">
        <v>0</v>
      </c>
      <c r="G1118" s="91" t="b">
        <v>0</v>
      </c>
    </row>
    <row r="1119" spans="1:7" ht="15">
      <c r="A1119" s="92" t="s">
        <v>2579</v>
      </c>
      <c r="B1119" s="91">
        <v>20</v>
      </c>
      <c r="C1119" s="114">
        <v>0.0056803631953445555</v>
      </c>
      <c r="D1119" s="91" t="s">
        <v>2522</v>
      </c>
      <c r="E1119" s="91" t="b">
        <v>0</v>
      </c>
      <c r="F1119" s="91" t="b">
        <v>0</v>
      </c>
      <c r="G1119" s="91" t="b">
        <v>0</v>
      </c>
    </row>
    <row r="1120" spans="1:7" ht="15">
      <c r="A1120" s="92" t="s">
        <v>2609</v>
      </c>
      <c r="B1120" s="91">
        <v>20</v>
      </c>
      <c r="C1120" s="114">
        <v>0.008178781904792027</v>
      </c>
      <c r="D1120" s="91" t="s">
        <v>2522</v>
      </c>
      <c r="E1120" s="91" t="b">
        <v>0</v>
      </c>
      <c r="F1120" s="91" t="b">
        <v>0</v>
      </c>
      <c r="G1120" s="91" t="b">
        <v>0</v>
      </c>
    </row>
    <row r="1121" spans="1:7" ht="15">
      <c r="A1121" s="92" t="s">
        <v>2583</v>
      </c>
      <c r="B1121" s="91">
        <v>20</v>
      </c>
      <c r="C1121" s="114">
        <v>0.0056803631953445555</v>
      </c>
      <c r="D1121" s="91" t="s">
        <v>2522</v>
      </c>
      <c r="E1121" s="91" t="b">
        <v>0</v>
      </c>
      <c r="F1121" s="91" t="b">
        <v>0</v>
      </c>
      <c r="G1121" s="91" t="b">
        <v>0</v>
      </c>
    </row>
    <row r="1122" spans="1:7" ht="15">
      <c r="A1122" s="92" t="s">
        <v>2588</v>
      </c>
      <c r="B1122" s="91">
        <v>19</v>
      </c>
      <c r="C1122" s="114">
        <v>0.005737676890022403</v>
      </c>
      <c r="D1122" s="91" t="s">
        <v>2522</v>
      </c>
      <c r="E1122" s="91" t="b">
        <v>0</v>
      </c>
      <c r="F1122" s="91" t="b">
        <v>0</v>
      </c>
      <c r="G1122" s="91" t="b">
        <v>0</v>
      </c>
    </row>
    <row r="1123" spans="1:7" ht="15">
      <c r="A1123" s="92" t="s">
        <v>2580</v>
      </c>
      <c r="B1123" s="91">
        <v>19</v>
      </c>
      <c r="C1123" s="114">
        <v>0.009374658664294558</v>
      </c>
      <c r="D1123" s="91" t="s">
        <v>2522</v>
      </c>
      <c r="E1123" s="91" t="b">
        <v>0</v>
      </c>
      <c r="F1123" s="91" t="b">
        <v>0</v>
      </c>
      <c r="G1123" s="91" t="b">
        <v>0</v>
      </c>
    </row>
    <row r="1124" spans="1:7" ht="15">
      <c r="A1124" s="92" t="s">
        <v>2607</v>
      </c>
      <c r="B1124" s="91">
        <v>17</v>
      </c>
      <c r="C1124" s="114">
        <v>0.00579595247641144</v>
      </c>
      <c r="D1124" s="91" t="s">
        <v>2522</v>
      </c>
      <c r="E1124" s="91" t="b">
        <v>0</v>
      </c>
      <c r="F1124" s="91" t="b">
        <v>0</v>
      </c>
      <c r="G1124" s="91" t="b">
        <v>0</v>
      </c>
    </row>
    <row r="1125" spans="1:7" ht="15">
      <c r="A1125" s="92" t="s">
        <v>2586</v>
      </c>
      <c r="B1125" s="91">
        <v>17</v>
      </c>
      <c r="C1125" s="114">
        <v>0.00579595247641144</v>
      </c>
      <c r="D1125" s="91" t="s">
        <v>2522</v>
      </c>
      <c r="E1125" s="91" t="b">
        <v>0</v>
      </c>
      <c r="F1125" s="91" t="b">
        <v>0</v>
      </c>
      <c r="G1125" s="91" t="b">
        <v>0</v>
      </c>
    </row>
    <row r="1126" spans="1:7" ht="15">
      <c r="A1126" s="92" t="s">
        <v>2590</v>
      </c>
      <c r="B1126" s="91">
        <v>16</v>
      </c>
      <c r="C1126" s="114">
        <v>0.008428548564843145</v>
      </c>
      <c r="D1126" s="91" t="s">
        <v>2522</v>
      </c>
      <c r="E1126" s="91" t="b">
        <v>0</v>
      </c>
      <c r="F1126" s="91" t="b">
        <v>0</v>
      </c>
      <c r="G1126" s="91" t="b">
        <v>0</v>
      </c>
    </row>
    <row r="1127" spans="1:7" ht="15">
      <c r="A1127" s="92" t="s">
        <v>2594</v>
      </c>
      <c r="B1127" s="91">
        <v>16</v>
      </c>
      <c r="C1127" s="114">
        <v>0.00579474233702476</v>
      </c>
      <c r="D1127" s="91" t="s">
        <v>2522</v>
      </c>
      <c r="E1127" s="91" t="b">
        <v>0</v>
      </c>
      <c r="F1127" s="91" t="b">
        <v>0</v>
      </c>
      <c r="G1127" s="91" t="b">
        <v>0</v>
      </c>
    </row>
    <row r="1128" spans="1:7" ht="15">
      <c r="A1128" s="92" t="s">
        <v>2576</v>
      </c>
      <c r="B1128" s="91">
        <v>15</v>
      </c>
      <c r="C1128" s="114">
        <v>0.005771628081286239</v>
      </c>
      <c r="D1128" s="91" t="s">
        <v>2522</v>
      </c>
      <c r="E1128" s="91" t="b">
        <v>0</v>
      </c>
      <c r="F1128" s="91" t="b">
        <v>0</v>
      </c>
      <c r="G1128" s="91" t="b">
        <v>0</v>
      </c>
    </row>
    <row r="1129" spans="1:7" ht="15">
      <c r="A1129" s="92" t="s">
        <v>2566</v>
      </c>
      <c r="B1129" s="91">
        <v>15</v>
      </c>
      <c r="C1129" s="114">
        <v>0.005771628081286239</v>
      </c>
      <c r="D1129" s="91" t="s">
        <v>2522</v>
      </c>
      <c r="E1129" s="91" t="b">
        <v>0</v>
      </c>
      <c r="F1129" s="91" t="b">
        <v>0</v>
      </c>
      <c r="G1129" s="91" t="b">
        <v>0</v>
      </c>
    </row>
    <row r="1130" spans="1:7" ht="15">
      <c r="A1130" s="92" t="s">
        <v>2575</v>
      </c>
      <c r="B1130" s="91">
        <v>15</v>
      </c>
      <c r="C1130" s="114">
        <v>0.005771628081286239</v>
      </c>
      <c r="D1130" s="91" t="s">
        <v>2522</v>
      </c>
      <c r="E1130" s="91" t="b">
        <v>0</v>
      </c>
      <c r="F1130" s="91" t="b">
        <v>0</v>
      </c>
      <c r="G1130" s="91" t="b">
        <v>0</v>
      </c>
    </row>
    <row r="1131" spans="1:7" ht="15">
      <c r="A1131" s="92" t="s">
        <v>2570</v>
      </c>
      <c r="B1131" s="91">
        <v>15</v>
      </c>
      <c r="C1131" s="114">
        <v>0.005771628081286239</v>
      </c>
      <c r="D1131" s="91" t="s">
        <v>2522</v>
      </c>
      <c r="E1131" s="91" t="b">
        <v>0</v>
      </c>
      <c r="F1131" s="91" t="b">
        <v>0</v>
      </c>
      <c r="G1131" s="91" t="b">
        <v>0</v>
      </c>
    </row>
    <row r="1132" spans="1:7" ht="15">
      <c r="A1132" s="92" t="s">
        <v>2584</v>
      </c>
      <c r="B1132" s="91">
        <v>14</v>
      </c>
      <c r="C1132" s="114">
        <v>0.005725147333354419</v>
      </c>
      <c r="D1132" s="91" t="s">
        <v>2522</v>
      </c>
      <c r="E1132" s="91" t="b">
        <v>0</v>
      </c>
      <c r="F1132" s="91" t="b">
        <v>0</v>
      </c>
      <c r="G1132" s="91" t="b">
        <v>0</v>
      </c>
    </row>
    <row r="1133" spans="1:7" ht="15">
      <c r="A1133" s="92" t="s">
        <v>2738</v>
      </c>
      <c r="B1133" s="91">
        <v>14</v>
      </c>
      <c r="C1133" s="114">
        <v>0.005725147333354419</v>
      </c>
      <c r="D1133" s="91" t="s">
        <v>2522</v>
      </c>
      <c r="E1133" s="91" t="b">
        <v>0</v>
      </c>
      <c r="F1133" s="91" t="b">
        <v>0</v>
      </c>
      <c r="G1133" s="91" t="b">
        <v>0</v>
      </c>
    </row>
    <row r="1134" spans="1:7" ht="15">
      <c r="A1134" s="92" t="s">
        <v>2718</v>
      </c>
      <c r="B1134" s="91">
        <v>14</v>
      </c>
      <c r="C1134" s="114">
        <v>0.005725147333354419</v>
      </c>
      <c r="D1134" s="91" t="s">
        <v>2522</v>
      </c>
      <c r="E1134" s="91" t="b">
        <v>0</v>
      </c>
      <c r="F1134" s="91" t="b">
        <v>0</v>
      </c>
      <c r="G1134" s="91" t="b">
        <v>0</v>
      </c>
    </row>
    <row r="1135" spans="1:7" ht="15">
      <c r="A1135" s="92" t="s">
        <v>586</v>
      </c>
      <c r="B1135" s="91">
        <v>14</v>
      </c>
      <c r="C1135" s="114">
        <v>0.005725147333354419</v>
      </c>
      <c r="D1135" s="91" t="s">
        <v>2522</v>
      </c>
      <c r="E1135" s="91" t="b">
        <v>0</v>
      </c>
      <c r="F1135" s="91" t="b">
        <v>0</v>
      </c>
      <c r="G1135" s="91" t="b">
        <v>0</v>
      </c>
    </row>
    <row r="1136" spans="1:7" ht="15">
      <c r="A1136" s="92" t="s">
        <v>2644</v>
      </c>
      <c r="B1136" s="91">
        <v>11</v>
      </c>
      <c r="C1136" s="114">
        <v>0.005427433963538955</v>
      </c>
      <c r="D1136" s="91" t="s">
        <v>2522</v>
      </c>
      <c r="E1136" s="91" t="b">
        <v>0</v>
      </c>
      <c r="F1136" s="91" t="b">
        <v>0</v>
      </c>
      <c r="G1136" s="91" t="b">
        <v>0</v>
      </c>
    </row>
    <row r="1137" spans="1:7" ht="15">
      <c r="A1137" s="92" t="s">
        <v>2581</v>
      </c>
      <c r="B1137" s="91">
        <v>11</v>
      </c>
      <c r="C1137" s="114">
        <v>0.005427433963538955</v>
      </c>
      <c r="D1137" s="91" t="s">
        <v>2522</v>
      </c>
      <c r="E1137" s="91" t="b">
        <v>0</v>
      </c>
      <c r="F1137" s="91" t="b">
        <v>0</v>
      </c>
      <c r="G1137" s="91" t="b">
        <v>0</v>
      </c>
    </row>
    <row r="1138" spans="1:7" ht="15">
      <c r="A1138" s="92" t="s">
        <v>2577</v>
      </c>
      <c r="B1138" s="91">
        <v>10</v>
      </c>
      <c r="C1138" s="114">
        <v>0.005267842853026965</v>
      </c>
      <c r="D1138" s="91" t="s">
        <v>2522</v>
      </c>
      <c r="E1138" s="91" t="b">
        <v>0</v>
      </c>
      <c r="F1138" s="91" t="b">
        <v>0</v>
      </c>
      <c r="G1138" s="91" t="b">
        <v>0</v>
      </c>
    </row>
    <row r="1139" spans="1:7" ht="15">
      <c r="A1139" s="92" t="s">
        <v>2608</v>
      </c>
      <c r="B1139" s="91">
        <v>10</v>
      </c>
      <c r="C1139" s="114">
        <v>0.005267842853026965</v>
      </c>
      <c r="D1139" s="91" t="s">
        <v>2522</v>
      </c>
      <c r="E1139" s="91" t="b">
        <v>0</v>
      </c>
      <c r="F1139" s="91" t="b">
        <v>0</v>
      </c>
      <c r="G1139" s="91" t="b">
        <v>0</v>
      </c>
    </row>
    <row r="1140" spans="1:7" ht="15">
      <c r="A1140" s="92" t="s">
        <v>2622</v>
      </c>
      <c r="B1140" s="91">
        <v>9</v>
      </c>
      <c r="C1140" s="114">
        <v>0.005073169386309815</v>
      </c>
      <c r="D1140" s="91" t="s">
        <v>2522</v>
      </c>
      <c r="E1140" s="91" t="b">
        <v>0</v>
      </c>
      <c r="F1140" s="91" t="b">
        <v>0</v>
      </c>
      <c r="G1140" s="91" t="b">
        <v>0</v>
      </c>
    </row>
    <row r="1141" spans="1:7" ht="15">
      <c r="A1141" s="92" t="s">
        <v>2739</v>
      </c>
      <c r="B1141" s="91">
        <v>9</v>
      </c>
      <c r="C1141" s="114">
        <v>0.005073169386309815</v>
      </c>
      <c r="D1141" s="91" t="s">
        <v>2522</v>
      </c>
      <c r="E1141" s="91" t="b">
        <v>0</v>
      </c>
      <c r="F1141" s="91" t="b">
        <v>0</v>
      </c>
      <c r="G1141" s="91" t="b">
        <v>0</v>
      </c>
    </row>
    <row r="1142" spans="1:7" ht="15">
      <c r="A1142" s="92" t="s">
        <v>2595</v>
      </c>
      <c r="B1142" s="91">
        <v>9</v>
      </c>
      <c r="C1142" s="114">
        <v>0.005073169386309815</v>
      </c>
      <c r="D1142" s="91" t="s">
        <v>2522</v>
      </c>
      <c r="E1142" s="91" t="b">
        <v>0</v>
      </c>
      <c r="F1142" s="91" t="b">
        <v>0</v>
      </c>
      <c r="G1142" s="91" t="b">
        <v>0</v>
      </c>
    </row>
    <row r="1143" spans="1:7" ht="15">
      <c r="A1143" s="92" t="s">
        <v>2568</v>
      </c>
      <c r="B1143" s="91">
        <v>9</v>
      </c>
      <c r="C1143" s="114">
        <v>0.005073169386309815</v>
      </c>
      <c r="D1143" s="91" t="s">
        <v>2522</v>
      </c>
      <c r="E1143" s="91" t="b">
        <v>0</v>
      </c>
      <c r="F1143" s="91" t="b">
        <v>0</v>
      </c>
      <c r="G1143" s="91" t="b">
        <v>0</v>
      </c>
    </row>
    <row r="1144" spans="1:7" ht="15">
      <c r="A1144" s="92" t="s">
        <v>2592</v>
      </c>
      <c r="B1144" s="91">
        <v>9</v>
      </c>
      <c r="C1144" s="114">
        <v>0.005073169386309815</v>
      </c>
      <c r="D1144" s="91" t="s">
        <v>2522</v>
      </c>
      <c r="E1144" s="91" t="b">
        <v>0</v>
      </c>
      <c r="F1144" s="91" t="b">
        <v>0</v>
      </c>
      <c r="G1144" s="91" t="b">
        <v>0</v>
      </c>
    </row>
    <row r="1145" spans="1:7" ht="15">
      <c r="A1145" s="92" t="s">
        <v>2596</v>
      </c>
      <c r="B1145" s="91">
        <v>9</v>
      </c>
      <c r="C1145" s="114">
        <v>0.005073169386309815</v>
      </c>
      <c r="D1145" s="91" t="s">
        <v>2522</v>
      </c>
      <c r="E1145" s="91" t="b">
        <v>0</v>
      </c>
      <c r="F1145" s="91" t="b">
        <v>0</v>
      </c>
      <c r="G1145" s="91" t="b">
        <v>0</v>
      </c>
    </row>
    <row r="1146" spans="1:7" ht="15">
      <c r="A1146" s="92" t="s">
        <v>2597</v>
      </c>
      <c r="B1146" s="91">
        <v>9</v>
      </c>
      <c r="C1146" s="114">
        <v>0.005073169386309815</v>
      </c>
      <c r="D1146" s="91" t="s">
        <v>2522</v>
      </c>
      <c r="E1146" s="91" t="b">
        <v>0</v>
      </c>
      <c r="F1146" s="91" t="b">
        <v>0</v>
      </c>
      <c r="G1146" s="91" t="b">
        <v>0</v>
      </c>
    </row>
    <row r="1147" spans="1:7" ht="15">
      <c r="A1147" s="92" t="s">
        <v>2598</v>
      </c>
      <c r="B1147" s="91">
        <v>9</v>
      </c>
      <c r="C1147" s="114">
        <v>0.005073169386309815</v>
      </c>
      <c r="D1147" s="91" t="s">
        <v>2522</v>
      </c>
      <c r="E1147" s="91" t="b">
        <v>0</v>
      </c>
      <c r="F1147" s="91" t="b">
        <v>0</v>
      </c>
      <c r="G1147" s="91" t="b">
        <v>0</v>
      </c>
    </row>
    <row r="1148" spans="1:7" ht="15">
      <c r="A1148" s="92" t="s">
        <v>2599</v>
      </c>
      <c r="B1148" s="91">
        <v>9</v>
      </c>
      <c r="C1148" s="114">
        <v>0.005073169386309815</v>
      </c>
      <c r="D1148" s="91" t="s">
        <v>2522</v>
      </c>
      <c r="E1148" s="91" t="b">
        <v>0</v>
      </c>
      <c r="F1148" s="91" t="b">
        <v>0</v>
      </c>
      <c r="G1148" s="91" t="b">
        <v>0</v>
      </c>
    </row>
    <row r="1149" spans="1:7" ht="15">
      <c r="A1149" s="92" t="s">
        <v>2600</v>
      </c>
      <c r="B1149" s="91">
        <v>9</v>
      </c>
      <c r="C1149" s="114">
        <v>0.005073169386309815</v>
      </c>
      <c r="D1149" s="91" t="s">
        <v>2522</v>
      </c>
      <c r="E1149" s="91" t="b">
        <v>0</v>
      </c>
      <c r="F1149" s="91" t="b">
        <v>0</v>
      </c>
      <c r="G1149" s="91" t="b">
        <v>0</v>
      </c>
    </row>
    <row r="1150" spans="1:7" ht="15">
      <c r="A1150" s="92" t="s">
        <v>2601</v>
      </c>
      <c r="B1150" s="91">
        <v>9</v>
      </c>
      <c r="C1150" s="114">
        <v>0.005073169386309815</v>
      </c>
      <c r="D1150" s="91" t="s">
        <v>2522</v>
      </c>
      <c r="E1150" s="91" t="b">
        <v>0</v>
      </c>
      <c r="F1150" s="91" t="b">
        <v>0</v>
      </c>
      <c r="G1150" s="91" t="b">
        <v>0</v>
      </c>
    </row>
    <row r="1151" spans="1:7" ht="15">
      <c r="A1151" s="92" t="s">
        <v>2585</v>
      </c>
      <c r="B1151" s="91">
        <v>9</v>
      </c>
      <c r="C1151" s="114">
        <v>0.005073169386309815</v>
      </c>
      <c r="D1151" s="91" t="s">
        <v>2522</v>
      </c>
      <c r="E1151" s="91" t="b">
        <v>0</v>
      </c>
      <c r="F1151" s="91" t="b">
        <v>0</v>
      </c>
      <c r="G1151" s="91" t="b">
        <v>0</v>
      </c>
    </row>
    <row r="1152" spans="1:7" ht="15">
      <c r="A1152" s="92" t="s">
        <v>2602</v>
      </c>
      <c r="B1152" s="91">
        <v>9</v>
      </c>
      <c r="C1152" s="114">
        <v>0.005073169386309815</v>
      </c>
      <c r="D1152" s="91" t="s">
        <v>2522</v>
      </c>
      <c r="E1152" s="91" t="b">
        <v>0</v>
      </c>
      <c r="F1152" s="91" t="b">
        <v>0</v>
      </c>
      <c r="G1152" s="91" t="b">
        <v>0</v>
      </c>
    </row>
    <row r="1153" spans="1:7" ht="15">
      <c r="A1153" s="92" t="s">
        <v>2603</v>
      </c>
      <c r="B1153" s="91">
        <v>9</v>
      </c>
      <c r="C1153" s="114">
        <v>0.005073169386309815</v>
      </c>
      <c r="D1153" s="91" t="s">
        <v>2522</v>
      </c>
      <c r="E1153" s="91" t="b">
        <v>0</v>
      </c>
      <c r="F1153" s="91" t="b">
        <v>0</v>
      </c>
      <c r="G1153" s="91" t="b">
        <v>0</v>
      </c>
    </row>
    <row r="1154" spans="1:7" ht="15">
      <c r="A1154" s="92" t="s">
        <v>2604</v>
      </c>
      <c r="B1154" s="91">
        <v>9</v>
      </c>
      <c r="C1154" s="114">
        <v>0.005073169386309815</v>
      </c>
      <c r="D1154" s="91" t="s">
        <v>2522</v>
      </c>
      <c r="E1154" s="91" t="b">
        <v>0</v>
      </c>
      <c r="F1154" s="91" t="b">
        <v>0</v>
      </c>
      <c r="G1154" s="91" t="b">
        <v>0</v>
      </c>
    </row>
    <row r="1155" spans="1:7" ht="15">
      <c r="A1155" s="92" t="s">
        <v>2587</v>
      </c>
      <c r="B1155" s="91">
        <v>9</v>
      </c>
      <c r="C1155" s="114">
        <v>0.005073169386309815</v>
      </c>
      <c r="D1155" s="91" t="s">
        <v>2522</v>
      </c>
      <c r="E1155" s="91" t="b">
        <v>0</v>
      </c>
      <c r="F1155" s="91" t="b">
        <v>0</v>
      </c>
      <c r="G1155" s="91" t="b">
        <v>0</v>
      </c>
    </row>
    <row r="1156" spans="1:7" ht="15">
      <c r="A1156" s="92" t="s">
        <v>2593</v>
      </c>
      <c r="B1156" s="91">
        <v>9</v>
      </c>
      <c r="C1156" s="114">
        <v>0.005073169386309815</v>
      </c>
      <c r="D1156" s="91" t="s">
        <v>2522</v>
      </c>
      <c r="E1156" s="91" t="b">
        <v>0</v>
      </c>
      <c r="F1156" s="91" t="b">
        <v>0</v>
      </c>
      <c r="G1156" s="91" t="b">
        <v>0</v>
      </c>
    </row>
    <row r="1157" spans="1:7" ht="15">
      <c r="A1157" s="92" t="s">
        <v>2605</v>
      </c>
      <c r="B1157" s="91">
        <v>9</v>
      </c>
      <c r="C1157" s="114">
        <v>0.005073169386309815</v>
      </c>
      <c r="D1157" s="91" t="s">
        <v>2522</v>
      </c>
      <c r="E1157" s="91" t="b">
        <v>0</v>
      </c>
      <c r="F1157" s="91" t="b">
        <v>0</v>
      </c>
      <c r="G1157" s="91" t="b">
        <v>0</v>
      </c>
    </row>
    <row r="1158" spans="1:7" ht="15">
      <c r="A1158" s="92" t="s">
        <v>2606</v>
      </c>
      <c r="B1158" s="91">
        <v>9</v>
      </c>
      <c r="C1158" s="114">
        <v>0.005073169386309815</v>
      </c>
      <c r="D1158" s="91" t="s">
        <v>2522</v>
      </c>
      <c r="E1158" s="91" t="b">
        <v>0</v>
      </c>
      <c r="F1158" s="91" t="b">
        <v>0</v>
      </c>
      <c r="G1158" s="91" t="b">
        <v>0</v>
      </c>
    </row>
    <row r="1159" spans="1:7" ht="15">
      <c r="A1159" s="92" t="s">
        <v>2582</v>
      </c>
      <c r="B1159" s="91">
        <v>8</v>
      </c>
      <c r="C1159" s="114">
        <v>0.005645556538010969</v>
      </c>
      <c r="D1159" s="91" t="s">
        <v>2522</v>
      </c>
      <c r="E1159" s="91" t="b">
        <v>0</v>
      </c>
      <c r="F1159" s="91" t="b">
        <v>0</v>
      </c>
      <c r="G1159" s="91" t="b">
        <v>0</v>
      </c>
    </row>
    <row r="1160" spans="1:7" ht="15">
      <c r="A1160" s="92" t="s">
        <v>2647</v>
      </c>
      <c r="B1160" s="91">
        <v>8</v>
      </c>
      <c r="C1160" s="114">
        <v>0.00483950017279613</v>
      </c>
      <c r="D1160" s="91" t="s">
        <v>2522</v>
      </c>
      <c r="E1160" s="91" t="b">
        <v>0</v>
      </c>
      <c r="F1160" s="91" t="b">
        <v>0</v>
      </c>
      <c r="G1160" s="91" t="b">
        <v>0</v>
      </c>
    </row>
    <row r="1161" spans="1:7" ht="15">
      <c r="A1161" s="92" t="s">
        <v>2833</v>
      </c>
      <c r="B1161" s="91">
        <v>8</v>
      </c>
      <c r="C1161" s="114">
        <v>0.00483950017279613</v>
      </c>
      <c r="D1161" s="91" t="s">
        <v>2522</v>
      </c>
      <c r="E1161" s="91" t="b">
        <v>0</v>
      </c>
      <c r="F1161" s="91" t="b">
        <v>0</v>
      </c>
      <c r="G1161" s="91" t="b">
        <v>0</v>
      </c>
    </row>
    <row r="1162" spans="1:7" ht="15">
      <c r="A1162" s="92" t="s">
        <v>2834</v>
      </c>
      <c r="B1162" s="91">
        <v>8</v>
      </c>
      <c r="C1162" s="114">
        <v>0.00483950017279613</v>
      </c>
      <c r="D1162" s="91" t="s">
        <v>2522</v>
      </c>
      <c r="E1162" s="91" t="b">
        <v>0</v>
      </c>
      <c r="F1162" s="91" t="b">
        <v>0</v>
      </c>
      <c r="G1162" s="91" t="b">
        <v>0</v>
      </c>
    </row>
    <row r="1163" spans="1:7" ht="15">
      <c r="A1163" s="92" t="s">
        <v>2835</v>
      </c>
      <c r="B1163" s="91">
        <v>8</v>
      </c>
      <c r="C1163" s="114">
        <v>0.00483950017279613</v>
      </c>
      <c r="D1163" s="91" t="s">
        <v>2522</v>
      </c>
      <c r="E1163" s="91" t="b">
        <v>0</v>
      </c>
      <c r="F1163" s="91" t="b">
        <v>0</v>
      </c>
      <c r="G1163" s="91" t="b">
        <v>0</v>
      </c>
    </row>
    <row r="1164" spans="1:7" ht="15">
      <c r="A1164" s="92" t="s">
        <v>2836</v>
      </c>
      <c r="B1164" s="91">
        <v>8</v>
      </c>
      <c r="C1164" s="114">
        <v>0.00483950017279613</v>
      </c>
      <c r="D1164" s="91" t="s">
        <v>2522</v>
      </c>
      <c r="E1164" s="91" t="b">
        <v>0</v>
      </c>
      <c r="F1164" s="91" t="b">
        <v>0</v>
      </c>
      <c r="G1164" s="91" t="b">
        <v>0</v>
      </c>
    </row>
    <row r="1165" spans="1:7" ht="15">
      <c r="A1165" s="92" t="s">
        <v>2837</v>
      </c>
      <c r="B1165" s="91">
        <v>8</v>
      </c>
      <c r="C1165" s="114">
        <v>0.00483950017279613</v>
      </c>
      <c r="D1165" s="91" t="s">
        <v>2522</v>
      </c>
      <c r="E1165" s="91" t="b">
        <v>0</v>
      </c>
      <c r="F1165" s="91" t="b">
        <v>0</v>
      </c>
      <c r="G1165" s="91" t="b">
        <v>0</v>
      </c>
    </row>
    <row r="1166" spans="1:7" ht="15">
      <c r="A1166" s="92" t="s">
        <v>2838</v>
      </c>
      <c r="B1166" s="91">
        <v>8</v>
      </c>
      <c r="C1166" s="114">
        <v>0.00483950017279613</v>
      </c>
      <c r="D1166" s="91" t="s">
        <v>2522</v>
      </c>
      <c r="E1166" s="91" t="b">
        <v>0</v>
      </c>
      <c r="F1166" s="91" t="b">
        <v>0</v>
      </c>
      <c r="G1166" s="91" t="b">
        <v>0</v>
      </c>
    </row>
    <row r="1167" spans="1:7" ht="15">
      <c r="A1167" s="92" t="s">
        <v>2839</v>
      </c>
      <c r="B1167" s="91">
        <v>8</v>
      </c>
      <c r="C1167" s="114">
        <v>0.00483950017279613</v>
      </c>
      <c r="D1167" s="91" t="s">
        <v>2522</v>
      </c>
      <c r="E1167" s="91" t="b">
        <v>0</v>
      </c>
      <c r="F1167" s="91" t="b">
        <v>0</v>
      </c>
      <c r="G1167" s="91" t="b">
        <v>0</v>
      </c>
    </row>
    <row r="1168" spans="1:7" ht="15">
      <c r="A1168" s="92" t="s">
        <v>2840</v>
      </c>
      <c r="B1168" s="91">
        <v>8</v>
      </c>
      <c r="C1168" s="114">
        <v>0.00483950017279613</v>
      </c>
      <c r="D1168" s="91" t="s">
        <v>2522</v>
      </c>
      <c r="E1168" s="91" t="b">
        <v>0</v>
      </c>
      <c r="F1168" s="91" t="b">
        <v>0</v>
      </c>
      <c r="G1168" s="91" t="b">
        <v>0</v>
      </c>
    </row>
    <row r="1169" spans="1:7" ht="15">
      <c r="A1169" s="92" t="s">
        <v>2841</v>
      </c>
      <c r="B1169" s="91">
        <v>8</v>
      </c>
      <c r="C1169" s="114">
        <v>0.00483950017279613</v>
      </c>
      <c r="D1169" s="91" t="s">
        <v>2522</v>
      </c>
      <c r="E1169" s="91" t="b">
        <v>0</v>
      </c>
      <c r="F1169" s="91" t="b">
        <v>0</v>
      </c>
      <c r="G1169" s="91" t="b">
        <v>0</v>
      </c>
    </row>
    <row r="1170" spans="1:7" ht="15">
      <c r="A1170" s="92" t="s">
        <v>2774</v>
      </c>
      <c r="B1170" s="91">
        <v>8</v>
      </c>
      <c r="C1170" s="114">
        <v>0.00483950017279613</v>
      </c>
      <c r="D1170" s="91" t="s">
        <v>2522</v>
      </c>
      <c r="E1170" s="91" t="b">
        <v>0</v>
      </c>
      <c r="F1170" s="91" t="b">
        <v>0</v>
      </c>
      <c r="G1170" s="91" t="b">
        <v>0</v>
      </c>
    </row>
    <row r="1171" spans="1:7" ht="15">
      <c r="A1171" s="92" t="s">
        <v>2775</v>
      </c>
      <c r="B1171" s="91">
        <v>8</v>
      </c>
      <c r="C1171" s="114">
        <v>0.00483950017279613</v>
      </c>
      <c r="D1171" s="91" t="s">
        <v>2522</v>
      </c>
      <c r="E1171" s="91" t="b">
        <v>0</v>
      </c>
      <c r="F1171" s="91" t="b">
        <v>0</v>
      </c>
      <c r="G1171" s="91" t="b">
        <v>0</v>
      </c>
    </row>
    <row r="1172" spans="1:7" ht="15">
      <c r="A1172" s="92" t="s">
        <v>2842</v>
      </c>
      <c r="B1172" s="91">
        <v>8</v>
      </c>
      <c r="C1172" s="114">
        <v>0.00483950017279613</v>
      </c>
      <c r="D1172" s="91" t="s">
        <v>2522</v>
      </c>
      <c r="E1172" s="91" t="b">
        <v>0</v>
      </c>
      <c r="F1172" s="91" t="b">
        <v>0</v>
      </c>
      <c r="G1172" s="91" t="b">
        <v>0</v>
      </c>
    </row>
    <row r="1173" spans="1:7" ht="15">
      <c r="A1173" s="92" t="s">
        <v>2778</v>
      </c>
      <c r="B1173" s="91">
        <v>8</v>
      </c>
      <c r="C1173" s="114">
        <v>0.00483950017279613</v>
      </c>
      <c r="D1173" s="91" t="s">
        <v>2522</v>
      </c>
      <c r="E1173" s="91" t="b">
        <v>0</v>
      </c>
      <c r="F1173" s="91" t="b">
        <v>0</v>
      </c>
      <c r="G1173" s="91" t="b">
        <v>0</v>
      </c>
    </row>
    <row r="1174" spans="1:7" ht="15">
      <c r="A1174" s="92" t="s">
        <v>2716</v>
      </c>
      <c r="B1174" s="91">
        <v>8</v>
      </c>
      <c r="C1174" s="114">
        <v>0.00483950017279613</v>
      </c>
      <c r="D1174" s="91" t="s">
        <v>2522</v>
      </c>
      <c r="E1174" s="91" t="b">
        <v>0</v>
      </c>
      <c r="F1174" s="91" t="b">
        <v>0</v>
      </c>
      <c r="G1174" s="91" t="b">
        <v>0</v>
      </c>
    </row>
    <row r="1175" spans="1:7" ht="15">
      <c r="A1175" s="92" t="s">
        <v>2843</v>
      </c>
      <c r="B1175" s="91">
        <v>8</v>
      </c>
      <c r="C1175" s="114">
        <v>0.00483950017279613</v>
      </c>
      <c r="D1175" s="91" t="s">
        <v>2522</v>
      </c>
      <c r="E1175" s="91" t="b">
        <v>0</v>
      </c>
      <c r="F1175" s="91" t="b">
        <v>0</v>
      </c>
      <c r="G1175" s="91" t="b">
        <v>0</v>
      </c>
    </row>
    <row r="1176" spans="1:7" ht="15">
      <c r="A1176" s="92" t="s">
        <v>2623</v>
      </c>
      <c r="B1176" s="91">
        <v>8</v>
      </c>
      <c r="C1176" s="114">
        <v>0.00483950017279613</v>
      </c>
      <c r="D1176" s="91" t="s">
        <v>2522</v>
      </c>
      <c r="E1176" s="91" t="b">
        <v>0</v>
      </c>
      <c r="F1176" s="91" t="b">
        <v>0</v>
      </c>
      <c r="G1176" s="91" t="b">
        <v>0</v>
      </c>
    </row>
    <row r="1177" spans="1:7" ht="15">
      <c r="A1177" s="92" t="s">
        <v>2624</v>
      </c>
      <c r="B1177" s="91">
        <v>8</v>
      </c>
      <c r="C1177" s="114">
        <v>0.00483950017279613</v>
      </c>
      <c r="D1177" s="91" t="s">
        <v>2522</v>
      </c>
      <c r="E1177" s="91" t="b">
        <v>0</v>
      </c>
      <c r="F1177" s="91" t="b">
        <v>0</v>
      </c>
      <c r="G1177" s="91" t="b">
        <v>0</v>
      </c>
    </row>
    <row r="1178" spans="1:7" ht="15">
      <c r="A1178" s="92" t="s">
        <v>2625</v>
      </c>
      <c r="B1178" s="91">
        <v>8</v>
      </c>
      <c r="C1178" s="114">
        <v>0.00483950017279613</v>
      </c>
      <c r="D1178" s="91" t="s">
        <v>2522</v>
      </c>
      <c r="E1178" s="91" t="b">
        <v>0</v>
      </c>
      <c r="F1178" s="91" t="b">
        <v>0</v>
      </c>
      <c r="G1178" s="91" t="b">
        <v>0</v>
      </c>
    </row>
    <row r="1179" spans="1:7" ht="15">
      <c r="A1179" s="92" t="s">
        <v>2626</v>
      </c>
      <c r="B1179" s="91">
        <v>8</v>
      </c>
      <c r="C1179" s="114">
        <v>0.00483950017279613</v>
      </c>
      <c r="D1179" s="91" t="s">
        <v>2522</v>
      </c>
      <c r="E1179" s="91" t="b">
        <v>0</v>
      </c>
      <c r="F1179" s="91" t="b">
        <v>0</v>
      </c>
      <c r="G1179" s="91" t="b">
        <v>0</v>
      </c>
    </row>
    <row r="1180" spans="1:7" ht="15">
      <c r="A1180" s="92" t="s">
        <v>2627</v>
      </c>
      <c r="B1180" s="91">
        <v>8</v>
      </c>
      <c r="C1180" s="114">
        <v>0.00483950017279613</v>
      </c>
      <c r="D1180" s="91" t="s">
        <v>2522</v>
      </c>
      <c r="E1180" s="91" t="b">
        <v>0</v>
      </c>
      <c r="F1180" s="91" t="b">
        <v>0</v>
      </c>
      <c r="G1180" s="91" t="b">
        <v>0</v>
      </c>
    </row>
    <row r="1181" spans="1:7" ht="15">
      <c r="A1181" s="92" t="s">
        <v>2619</v>
      </c>
      <c r="B1181" s="91">
        <v>8</v>
      </c>
      <c r="C1181" s="114">
        <v>0.00483950017279613</v>
      </c>
      <c r="D1181" s="91" t="s">
        <v>2522</v>
      </c>
      <c r="E1181" s="91" t="b">
        <v>0</v>
      </c>
      <c r="F1181" s="91" t="b">
        <v>0</v>
      </c>
      <c r="G1181" s="91" t="b">
        <v>0</v>
      </c>
    </row>
    <row r="1182" spans="1:7" ht="15">
      <c r="A1182" s="92" t="s">
        <v>2628</v>
      </c>
      <c r="B1182" s="91">
        <v>8</v>
      </c>
      <c r="C1182" s="114">
        <v>0.00483950017279613</v>
      </c>
      <c r="D1182" s="91" t="s">
        <v>2522</v>
      </c>
      <c r="E1182" s="91" t="b">
        <v>0</v>
      </c>
      <c r="F1182" s="91" t="b">
        <v>0</v>
      </c>
      <c r="G1182" s="91" t="b">
        <v>0</v>
      </c>
    </row>
    <row r="1183" spans="1:7" ht="15">
      <c r="A1183" s="92" t="s">
        <v>2621</v>
      </c>
      <c r="B1183" s="91">
        <v>8</v>
      </c>
      <c r="C1183" s="114">
        <v>0.00483950017279613</v>
      </c>
      <c r="D1183" s="91" t="s">
        <v>2522</v>
      </c>
      <c r="E1183" s="91" t="b">
        <v>0</v>
      </c>
      <c r="F1183" s="91" t="b">
        <v>0</v>
      </c>
      <c r="G1183" s="91" t="b">
        <v>0</v>
      </c>
    </row>
    <row r="1184" spans="1:7" ht="15">
      <c r="A1184" s="92" t="s">
        <v>2618</v>
      </c>
      <c r="B1184" s="91">
        <v>8</v>
      </c>
      <c r="C1184" s="114">
        <v>0.00483950017279613</v>
      </c>
      <c r="D1184" s="91" t="s">
        <v>2522</v>
      </c>
      <c r="E1184" s="91" t="b">
        <v>0</v>
      </c>
      <c r="F1184" s="91" t="b">
        <v>0</v>
      </c>
      <c r="G1184" s="91" t="b">
        <v>0</v>
      </c>
    </row>
    <row r="1185" spans="1:7" ht="15">
      <c r="A1185" s="92" t="s">
        <v>2633</v>
      </c>
      <c r="B1185" s="91">
        <v>8</v>
      </c>
      <c r="C1185" s="114">
        <v>0.00483950017279613</v>
      </c>
      <c r="D1185" s="91" t="s">
        <v>2522</v>
      </c>
      <c r="E1185" s="91" t="b">
        <v>0</v>
      </c>
      <c r="F1185" s="91" t="b">
        <v>0</v>
      </c>
      <c r="G1185" s="91" t="b">
        <v>0</v>
      </c>
    </row>
    <row r="1186" spans="1:7" ht="15">
      <c r="A1186" s="92" t="s">
        <v>2615</v>
      </c>
      <c r="B1186" s="91">
        <v>7</v>
      </c>
      <c r="C1186" s="114">
        <v>0.00456193654542549</v>
      </c>
      <c r="D1186" s="91" t="s">
        <v>2522</v>
      </c>
      <c r="E1186" s="91" t="b">
        <v>0</v>
      </c>
      <c r="F1186" s="91" t="b">
        <v>0</v>
      </c>
      <c r="G1186" s="91" t="b">
        <v>0</v>
      </c>
    </row>
    <row r="1187" spans="1:7" ht="15">
      <c r="A1187" s="92" t="s">
        <v>2614</v>
      </c>
      <c r="B1187" s="91">
        <v>7</v>
      </c>
      <c r="C1187" s="114">
        <v>0.00456193654542549</v>
      </c>
      <c r="D1187" s="91" t="s">
        <v>2522</v>
      </c>
      <c r="E1187" s="91" t="b">
        <v>0</v>
      </c>
      <c r="F1187" s="91" t="b">
        <v>0</v>
      </c>
      <c r="G1187" s="91" t="b">
        <v>0</v>
      </c>
    </row>
    <row r="1188" spans="1:7" ht="15">
      <c r="A1188" s="92" t="s">
        <v>2803</v>
      </c>
      <c r="B1188" s="91">
        <v>6</v>
      </c>
      <c r="C1188" s="114">
        <v>0.0042341674035082265</v>
      </c>
      <c r="D1188" s="91" t="s">
        <v>2522</v>
      </c>
      <c r="E1188" s="91" t="b">
        <v>0</v>
      </c>
      <c r="F1188" s="91" t="b">
        <v>0</v>
      </c>
      <c r="G1188" s="91" t="b">
        <v>0</v>
      </c>
    </row>
    <row r="1189" spans="1:7" ht="15">
      <c r="A1189" s="92" t="s">
        <v>2804</v>
      </c>
      <c r="B1189" s="91">
        <v>6</v>
      </c>
      <c r="C1189" s="114">
        <v>0.0042341674035082265</v>
      </c>
      <c r="D1189" s="91" t="s">
        <v>2522</v>
      </c>
      <c r="E1189" s="91" t="b">
        <v>0</v>
      </c>
      <c r="F1189" s="91" t="b">
        <v>0</v>
      </c>
      <c r="G1189" s="91" t="b">
        <v>0</v>
      </c>
    </row>
    <row r="1190" spans="1:7" ht="15">
      <c r="A1190" s="92" t="s">
        <v>2805</v>
      </c>
      <c r="B1190" s="91">
        <v>6</v>
      </c>
      <c r="C1190" s="114">
        <v>0.0042341674035082265</v>
      </c>
      <c r="D1190" s="91" t="s">
        <v>2522</v>
      </c>
      <c r="E1190" s="91" t="b">
        <v>0</v>
      </c>
      <c r="F1190" s="91" t="b">
        <v>0</v>
      </c>
      <c r="G1190" s="91" t="b">
        <v>0</v>
      </c>
    </row>
    <row r="1191" spans="1:7" ht="15">
      <c r="A1191" s="92" t="s">
        <v>2668</v>
      </c>
      <c r="B1191" s="91">
        <v>6</v>
      </c>
      <c r="C1191" s="114">
        <v>0.0042341674035082265</v>
      </c>
      <c r="D1191" s="91" t="s">
        <v>2522</v>
      </c>
      <c r="E1191" s="91" t="b">
        <v>0</v>
      </c>
      <c r="F1191" s="91" t="b">
        <v>0</v>
      </c>
      <c r="G1191" s="91" t="b">
        <v>0</v>
      </c>
    </row>
    <row r="1192" spans="1:7" ht="15">
      <c r="A1192" s="92" t="s">
        <v>2806</v>
      </c>
      <c r="B1192" s="91">
        <v>6</v>
      </c>
      <c r="C1192" s="114">
        <v>0.0042341674035082265</v>
      </c>
      <c r="D1192" s="91" t="s">
        <v>2522</v>
      </c>
      <c r="E1192" s="91" t="b">
        <v>0</v>
      </c>
      <c r="F1192" s="91" t="b">
        <v>0</v>
      </c>
      <c r="G1192" s="91" t="b">
        <v>0</v>
      </c>
    </row>
    <row r="1193" spans="1:7" ht="15">
      <c r="A1193" s="92" t="s">
        <v>2769</v>
      </c>
      <c r="B1193" s="91">
        <v>6</v>
      </c>
      <c r="C1193" s="114">
        <v>0.0042341674035082265</v>
      </c>
      <c r="D1193" s="91" t="s">
        <v>2522</v>
      </c>
      <c r="E1193" s="91" t="b">
        <v>0</v>
      </c>
      <c r="F1193" s="91" t="b">
        <v>0</v>
      </c>
      <c r="G1193" s="91" t="b">
        <v>0</v>
      </c>
    </row>
    <row r="1194" spans="1:7" ht="15">
      <c r="A1194" s="92" t="s">
        <v>2807</v>
      </c>
      <c r="B1194" s="91">
        <v>6</v>
      </c>
      <c r="C1194" s="114">
        <v>0.0042341674035082265</v>
      </c>
      <c r="D1194" s="91" t="s">
        <v>2522</v>
      </c>
      <c r="E1194" s="91" t="b">
        <v>0</v>
      </c>
      <c r="F1194" s="91" t="b">
        <v>0</v>
      </c>
      <c r="G1194" s="91" t="b">
        <v>0</v>
      </c>
    </row>
    <row r="1195" spans="1:7" ht="15">
      <c r="A1195" s="92" t="s">
        <v>2742</v>
      </c>
      <c r="B1195" s="91">
        <v>6</v>
      </c>
      <c r="C1195" s="114">
        <v>0.0042341674035082265</v>
      </c>
      <c r="D1195" s="91" t="s">
        <v>2522</v>
      </c>
      <c r="E1195" s="91" t="b">
        <v>0</v>
      </c>
      <c r="F1195" s="91" t="b">
        <v>0</v>
      </c>
      <c r="G1195" s="91" t="b">
        <v>0</v>
      </c>
    </row>
    <row r="1196" spans="1:7" ht="15">
      <c r="A1196" s="92" t="s">
        <v>2910</v>
      </c>
      <c r="B1196" s="91">
        <v>6</v>
      </c>
      <c r="C1196" s="114">
        <v>0.0042341674035082265</v>
      </c>
      <c r="D1196" s="91" t="s">
        <v>2522</v>
      </c>
      <c r="E1196" s="91" t="b">
        <v>0</v>
      </c>
      <c r="F1196" s="91" t="b">
        <v>0</v>
      </c>
      <c r="G1196" s="91" t="b">
        <v>0</v>
      </c>
    </row>
    <row r="1197" spans="1:7" ht="15">
      <c r="A1197" s="92" t="s">
        <v>2911</v>
      </c>
      <c r="B1197" s="91">
        <v>6</v>
      </c>
      <c r="C1197" s="114">
        <v>0.0042341674035082265</v>
      </c>
      <c r="D1197" s="91" t="s">
        <v>2522</v>
      </c>
      <c r="E1197" s="91" t="b">
        <v>0</v>
      </c>
      <c r="F1197" s="91" t="b">
        <v>0</v>
      </c>
      <c r="G1197" s="91" t="b">
        <v>0</v>
      </c>
    </row>
    <row r="1198" spans="1:7" ht="15">
      <c r="A1198" s="92" t="s">
        <v>2912</v>
      </c>
      <c r="B1198" s="91">
        <v>6</v>
      </c>
      <c r="C1198" s="114">
        <v>0.0042341674035082265</v>
      </c>
      <c r="D1198" s="91" t="s">
        <v>2522</v>
      </c>
      <c r="E1198" s="91" t="b">
        <v>0</v>
      </c>
      <c r="F1198" s="91" t="b">
        <v>0</v>
      </c>
      <c r="G1198" s="91" t="b">
        <v>0</v>
      </c>
    </row>
    <row r="1199" spans="1:7" ht="15">
      <c r="A1199" s="92" t="s">
        <v>2629</v>
      </c>
      <c r="B1199" s="91">
        <v>6</v>
      </c>
      <c r="C1199" s="114">
        <v>0.0042341674035082265</v>
      </c>
      <c r="D1199" s="91" t="s">
        <v>2522</v>
      </c>
      <c r="E1199" s="91" t="b">
        <v>0</v>
      </c>
      <c r="F1199" s="91" t="b">
        <v>0</v>
      </c>
      <c r="G1199" s="91" t="b">
        <v>0</v>
      </c>
    </row>
    <row r="1200" spans="1:7" ht="15">
      <c r="A1200" s="92" t="s">
        <v>2635</v>
      </c>
      <c r="B1200" s="91">
        <v>6</v>
      </c>
      <c r="C1200" s="114">
        <v>0.0042341674035082265</v>
      </c>
      <c r="D1200" s="91" t="s">
        <v>2522</v>
      </c>
      <c r="E1200" s="91" t="b">
        <v>0</v>
      </c>
      <c r="F1200" s="91" t="b">
        <v>0</v>
      </c>
      <c r="G1200" s="91" t="b">
        <v>0</v>
      </c>
    </row>
    <row r="1201" spans="1:7" ht="15">
      <c r="A1201" s="92" t="s">
        <v>2648</v>
      </c>
      <c r="B1201" s="91">
        <v>5</v>
      </c>
      <c r="C1201" s="114">
        <v>0.003847752054190826</v>
      </c>
      <c r="D1201" s="91" t="s">
        <v>2522</v>
      </c>
      <c r="E1201" s="91" t="b">
        <v>0</v>
      </c>
      <c r="F1201" s="91" t="b">
        <v>0</v>
      </c>
      <c r="G1201" s="91" t="b">
        <v>0</v>
      </c>
    </row>
    <row r="1202" spans="1:7" ht="15">
      <c r="A1202" s="92" t="s">
        <v>2617</v>
      </c>
      <c r="B1202" s="91">
        <v>5</v>
      </c>
      <c r="C1202" s="114">
        <v>0.003847752054190826</v>
      </c>
      <c r="D1202" s="91" t="s">
        <v>2522</v>
      </c>
      <c r="E1202" s="91" t="b">
        <v>0</v>
      </c>
      <c r="F1202" s="91" t="b">
        <v>0</v>
      </c>
      <c r="G1202" s="91" t="b">
        <v>0</v>
      </c>
    </row>
    <row r="1203" spans="1:7" ht="15">
      <c r="A1203" s="92" t="s">
        <v>2696</v>
      </c>
      <c r="B1203" s="91">
        <v>4</v>
      </c>
      <c r="C1203" s="114">
        <v>0.0033908145885399392</v>
      </c>
      <c r="D1203" s="91" t="s">
        <v>2522</v>
      </c>
      <c r="E1203" s="91" t="b">
        <v>0</v>
      </c>
      <c r="F1203" s="91" t="b">
        <v>0</v>
      </c>
      <c r="G1203" s="91" t="b">
        <v>0</v>
      </c>
    </row>
    <row r="1204" spans="1:7" ht="15">
      <c r="A1204" s="92" t="s">
        <v>2697</v>
      </c>
      <c r="B1204" s="91">
        <v>4</v>
      </c>
      <c r="C1204" s="114">
        <v>0.0033908145885399392</v>
      </c>
      <c r="D1204" s="91" t="s">
        <v>2522</v>
      </c>
      <c r="E1204" s="91" t="b">
        <v>0</v>
      </c>
      <c r="F1204" s="91" t="b">
        <v>0</v>
      </c>
      <c r="G1204" s="91" t="b">
        <v>0</v>
      </c>
    </row>
    <row r="1205" spans="1:7" ht="15">
      <c r="A1205" s="92" t="s">
        <v>2941</v>
      </c>
      <c r="B1205" s="91">
        <v>3</v>
      </c>
      <c r="C1205" s="114">
        <v>0.0028453820783605195</v>
      </c>
      <c r="D1205" s="91" t="s">
        <v>2522</v>
      </c>
      <c r="E1205" s="91" t="b">
        <v>0</v>
      </c>
      <c r="F1205" s="91" t="b">
        <v>0</v>
      </c>
      <c r="G1205" s="91" t="b">
        <v>0</v>
      </c>
    </row>
    <row r="1206" spans="1:7" ht="15">
      <c r="A1206" s="92" t="s">
        <v>2942</v>
      </c>
      <c r="B1206" s="91">
        <v>3</v>
      </c>
      <c r="C1206" s="114">
        <v>0.0028453820783605195</v>
      </c>
      <c r="D1206" s="91" t="s">
        <v>2522</v>
      </c>
      <c r="E1206" s="91" t="b">
        <v>0</v>
      </c>
      <c r="F1206" s="91" t="b">
        <v>0</v>
      </c>
      <c r="G1206" s="91" t="b">
        <v>0</v>
      </c>
    </row>
    <row r="1207" spans="1:7" ht="15">
      <c r="A1207" s="92" t="s">
        <v>2943</v>
      </c>
      <c r="B1207" s="91">
        <v>3</v>
      </c>
      <c r="C1207" s="114">
        <v>0.0028453820783605195</v>
      </c>
      <c r="D1207" s="91" t="s">
        <v>2522</v>
      </c>
      <c r="E1207" s="91" t="b">
        <v>0</v>
      </c>
      <c r="F1207" s="91" t="b">
        <v>0</v>
      </c>
      <c r="G1207" s="91" t="b">
        <v>0</v>
      </c>
    </row>
    <row r="1208" spans="1:7" ht="15">
      <c r="A1208" s="92" t="s">
        <v>2944</v>
      </c>
      <c r="B1208" s="91">
        <v>3</v>
      </c>
      <c r="C1208" s="114">
        <v>0.0028453820783605195</v>
      </c>
      <c r="D1208" s="91" t="s">
        <v>2522</v>
      </c>
      <c r="E1208" s="91" t="b">
        <v>0</v>
      </c>
      <c r="F1208" s="91" t="b">
        <v>0</v>
      </c>
      <c r="G1208" s="91" t="b">
        <v>0</v>
      </c>
    </row>
    <row r="1209" spans="1:7" ht="15">
      <c r="A1209" s="92" t="s">
        <v>2945</v>
      </c>
      <c r="B1209" s="91">
        <v>3</v>
      </c>
      <c r="C1209" s="114">
        <v>0.0028453820783605195</v>
      </c>
      <c r="D1209" s="91" t="s">
        <v>2522</v>
      </c>
      <c r="E1209" s="91" t="b">
        <v>0</v>
      </c>
      <c r="F1209" s="91" t="b">
        <v>0</v>
      </c>
      <c r="G1209" s="91" t="b">
        <v>0</v>
      </c>
    </row>
    <row r="1210" spans="1:7" ht="15">
      <c r="A1210" s="92" t="s">
        <v>2946</v>
      </c>
      <c r="B1210" s="91">
        <v>3</v>
      </c>
      <c r="C1210" s="114">
        <v>0.0028453820783605195</v>
      </c>
      <c r="D1210" s="91" t="s">
        <v>2522</v>
      </c>
      <c r="E1210" s="91" t="b">
        <v>0</v>
      </c>
      <c r="F1210" s="91" t="b">
        <v>0</v>
      </c>
      <c r="G1210" s="91" t="b">
        <v>0</v>
      </c>
    </row>
    <row r="1211" spans="1:7" ht="15">
      <c r="A1211" s="92" t="s">
        <v>2656</v>
      </c>
      <c r="B1211" s="91">
        <v>3</v>
      </c>
      <c r="C1211" s="114">
        <v>0.0028453820783605195</v>
      </c>
      <c r="D1211" s="91" t="s">
        <v>2522</v>
      </c>
      <c r="E1211" s="91" t="b">
        <v>0</v>
      </c>
      <c r="F1211" s="91" t="b">
        <v>0</v>
      </c>
      <c r="G1211" s="91" t="b">
        <v>0</v>
      </c>
    </row>
    <row r="1212" spans="1:7" ht="15">
      <c r="A1212" s="92" t="s">
        <v>2947</v>
      </c>
      <c r="B1212" s="91">
        <v>3</v>
      </c>
      <c r="C1212" s="114">
        <v>0.0028453820783605195</v>
      </c>
      <c r="D1212" s="91" t="s">
        <v>2522</v>
      </c>
      <c r="E1212" s="91" t="b">
        <v>0</v>
      </c>
      <c r="F1212" s="91" t="b">
        <v>0</v>
      </c>
      <c r="G1212" s="91" t="b">
        <v>0</v>
      </c>
    </row>
    <row r="1213" spans="1:7" ht="15">
      <c r="A1213" s="92" t="s">
        <v>2948</v>
      </c>
      <c r="B1213" s="91">
        <v>3</v>
      </c>
      <c r="C1213" s="114">
        <v>0.0028453820783605195</v>
      </c>
      <c r="D1213" s="91" t="s">
        <v>2522</v>
      </c>
      <c r="E1213" s="91" t="b">
        <v>0</v>
      </c>
      <c r="F1213" s="91" t="b">
        <v>0</v>
      </c>
      <c r="G1213" s="91" t="b">
        <v>0</v>
      </c>
    </row>
    <row r="1214" spans="1:7" ht="15">
      <c r="A1214" s="92" t="s">
        <v>2770</v>
      </c>
      <c r="B1214" s="91">
        <v>3</v>
      </c>
      <c r="C1214" s="114">
        <v>0.0028453820783605195</v>
      </c>
      <c r="D1214" s="91" t="s">
        <v>2522</v>
      </c>
      <c r="E1214" s="91" t="b">
        <v>0</v>
      </c>
      <c r="F1214" s="91" t="b">
        <v>0</v>
      </c>
      <c r="G1214" s="91" t="b">
        <v>0</v>
      </c>
    </row>
    <row r="1215" spans="1:7" ht="15">
      <c r="A1215" s="92" t="s">
        <v>2612</v>
      </c>
      <c r="B1215" s="91">
        <v>3</v>
      </c>
      <c r="C1215" s="114">
        <v>0.0028453820783605195</v>
      </c>
      <c r="D1215" s="91" t="s">
        <v>2522</v>
      </c>
      <c r="E1215" s="91" t="b">
        <v>0</v>
      </c>
      <c r="F1215" s="91" t="b">
        <v>0</v>
      </c>
      <c r="G1215" s="91" t="b">
        <v>0</v>
      </c>
    </row>
    <row r="1216" spans="1:7" ht="15">
      <c r="A1216" s="92" t="s">
        <v>2643</v>
      </c>
      <c r="B1216" s="91">
        <v>3</v>
      </c>
      <c r="C1216" s="114">
        <v>0.0028453820783605195</v>
      </c>
      <c r="D1216" s="91" t="s">
        <v>2522</v>
      </c>
      <c r="E1216" s="91" t="b">
        <v>0</v>
      </c>
      <c r="F1216" s="91" t="b">
        <v>0</v>
      </c>
      <c r="G1216" s="91" t="b">
        <v>0</v>
      </c>
    </row>
    <row r="1217" spans="1:7" ht="15">
      <c r="A1217" s="92" t="s">
        <v>2632</v>
      </c>
      <c r="B1217" s="91">
        <v>3</v>
      </c>
      <c r="C1217" s="114">
        <v>0.0028453820783605195</v>
      </c>
      <c r="D1217" s="91" t="s">
        <v>2522</v>
      </c>
      <c r="E1217" s="91" t="b">
        <v>0</v>
      </c>
      <c r="F1217" s="91" t="b">
        <v>0</v>
      </c>
      <c r="G1217" s="91" t="b">
        <v>0</v>
      </c>
    </row>
    <row r="1218" spans="1:7" ht="15">
      <c r="A1218" s="92" t="s">
        <v>2669</v>
      </c>
      <c r="B1218" s="91">
        <v>3</v>
      </c>
      <c r="C1218" s="114">
        <v>0.0028453820783605195</v>
      </c>
      <c r="D1218" s="91" t="s">
        <v>2522</v>
      </c>
      <c r="E1218" s="91" t="b">
        <v>0</v>
      </c>
      <c r="F1218" s="91" t="b">
        <v>0</v>
      </c>
      <c r="G1218" s="91" t="b">
        <v>0</v>
      </c>
    </row>
    <row r="1219" spans="1:7" ht="15">
      <c r="A1219" s="92" t="s">
        <v>2698</v>
      </c>
      <c r="B1219" s="91">
        <v>3</v>
      </c>
      <c r="C1219" s="114">
        <v>0.0028453820783605195</v>
      </c>
      <c r="D1219" s="91" t="s">
        <v>2522</v>
      </c>
      <c r="E1219" s="91" t="b">
        <v>0</v>
      </c>
      <c r="F1219" s="91" t="b">
        <v>0</v>
      </c>
      <c r="G1219" s="91" t="b">
        <v>0</v>
      </c>
    </row>
    <row r="1220" spans="1:7" ht="15">
      <c r="A1220" s="92" t="s">
        <v>2699</v>
      </c>
      <c r="B1220" s="91">
        <v>3</v>
      </c>
      <c r="C1220" s="114">
        <v>0.0028453820783605195</v>
      </c>
      <c r="D1220" s="91" t="s">
        <v>2522</v>
      </c>
      <c r="E1220" s="91" t="b">
        <v>0</v>
      </c>
      <c r="F1220" s="91" t="b">
        <v>0</v>
      </c>
      <c r="G1220" s="91" t="b">
        <v>0</v>
      </c>
    </row>
    <row r="1221" spans="1:7" ht="15">
      <c r="A1221" s="92" t="s">
        <v>2651</v>
      </c>
      <c r="B1221" s="91">
        <v>3</v>
      </c>
      <c r="C1221" s="114">
        <v>0.0028453820783605195</v>
      </c>
      <c r="D1221" s="91" t="s">
        <v>2522</v>
      </c>
      <c r="E1221" s="91" t="b">
        <v>0</v>
      </c>
      <c r="F1221" s="91" t="b">
        <v>0</v>
      </c>
      <c r="G1221" s="91" t="b">
        <v>0</v>
      </c>
    </row>
    <row r="1222" spans="1:7" ht="15">
      <c r="A1222" s="92" t="s">
        <v>2637</v>
      </c>
      <c r="B1222" s="91">
        <v>3</v>
      </c>
      <c r="C1222" s="114">
        <v>0.0028453820783605195</v>
      </c>
      <c r="D1222" s="91" t="s">
        <v>2522</v>
      </c>
      <c r="E1222" s="91" t="b">
        <v>0</v>
      </c>
      <c r="F1222" s="91" t="b">
        <v>0</v>
      </c>
      <c r="G1222" s="91" t="b">
        <v>0</v>
      </c>
    </row>
    <row r="1223" spans="1:7" ht="15">
      <c r="A1223" s="92" t="s">
        <v>2673</v>
      </c>
      <c r="B1223" s="91">
        <v>2</v>
      </c>
      <c r="C1223" s="114">
        <v>0.002180939545340907</v>
      </c>
      <c r="D1223" s="91" t="s">
        <v>2522</v>
      </c>
      <c r="E1223" s="91" t="b">
        <v>0</v>
      </c>
      <c r="F1223" s="91" t="b">
        <v>0</v>
      </c>
      <c r="G1223" s="91" t="b">
        <v>0</v>
      </c>
    </row>
    <row r="1224" spans="1:7" ht="15">
      <c r="A1224" s="92" t="s">
        <v>2674</v>
      </c>
      <c r="B1224" s="91">
        <v>2</v>
      </c>
      <c r="C1224" s="114">
        <v>0.002180939545340907</v>
      </c>
      <c r="D1224" s="91" t="s">
        <v>2522</v>
      </c>
      <c r="E1224" s="91" t="b">
        <v>0</v>
      </c>
      <c r="F1224" s="91" t="b">
        <v>0</v>
      </c>
      <c r="G1224" s="91" t="b">
        <v>0</v>
      </c>
    </row>
    <row r="1225" spans="1:7" ht="15">
      <c r="A1225" s="92" t="s">
        <v>2675</v>
      </c>
      <c r="B1225" s="91">
        <v>2</v>
      </c>
      <c r="C1225" s="114">
        <v>0.002180939545340907</v>
      </c>
      <c r="D1225" s="91" t="s">
        <v>2522</v>
      </c>
      <c r="E1225" s="91" t="b">
        <v>0</v>
      </c>
      <c r="F1225" s="91" t="b">
        <v>0</v>
      </c>
      <c r="G1225" s="91" t="b">
        <v>0</v>
      </c>
    </row>
    <row r="1226" spans="1:7" ht="15">
      <c r="A1226" s="92" t="s">
        <v>2610</v>
      </c>
      <c r="B1226" s="91">
        <v>2</v>
      </c>
      <c r="C1226" s="114">
        <v>0.002180939545340907</v>
      </c>
      <c r="D1226" s="91" t="s">
        <v>2522</v>
      </c>
      <c r="E1226" s="91" t="b">
        <v>0</v>
      </c>
      <c r="F1226" s="91" t="b">
        <v>0</v>
      </c>
      <c r="G1226" s="91" t="b">
        <v>0</v>
      </c>
    </row>
    <row r="1227" spans="1:7" ht="15">
      <c r="A1227" s="92" t="s">
        <v>2631</v>
      </c>
      <c r="B1227" s="91">
        <v>2</v>
      </c>
      <c r="C1227" s="114">
        <v>0.002180939545340907</v>
      </c>
      <c r="D1227" s="91" t="s">
        <v>2522</v>
      </c>
      <c r="E1227" s="91" t="b">
        <v>0</v>
      </c>
      <c r="F1227" s="91" t="b">
        <v>0</v>
      </c>
      <c r="G1227" s="91" t="b">
        <v>0</v>
      </c>
    </row>
    <row r="1228" spans="1:7" ht="15">
      <c r="A1228" s="92" t="s">
        <v>2659</v>
      </c>
      <c r="B1228" s="91">
        <v>2</v>
      </c>
      <c r="C1228" s="114">
        <v>0.002180939545340907</v>
      </c>
      <c r="D1228" s="91" t="s">
        <v>2522</v>
      </c>
      <c r="E1228" s="91" t="b">
        <v>0</v>
      </c>
      <c r="F1228" s="91" t="b">
        <v>0</v>
      </c>
      <c r="G1228" s="91" t="b">
        <v>0</v>
      </c>
    </row>
    <row r="1229" spans="1:7" ht="15">
      <c r="A1229" s="92" t="s">
        <v>2645</v>
      </c>
      <c r="B1229" s="91">
        <v>2</v>
      </c>
      <c r="C1229" s="114">
        <v>0.002180939545340907</v>
      </c>
      <c r="D1229" s="91" t="s">
        <v>2522</v>
      </c>
      <c r="E1229" s="91" t="b">
        <v>0</v>
      </c>
      <c r="F1229" s="91" t="b">
        <v>0</v>
      </c>
      <c r="G1229" s="91" t="b">
        <v>0</v>
      </c>
    </row>
    <row r="1230" spans="1:7" ht="15">
      <c r="A1230" s="92" t="s">
        <v>436</v>
      </c>
      <c r="B1230" s="91">
        <v>2</v>
      </c>
      <c r="C1230" s="114">
        <v>0.002180939545340907</v>
      </c>
      <c r="D1230" s="91" t="s">
        <v>2522</v>
      </c>
      <c r="E1230" s="91" t="b">
        <v>0</v>
      </c>
      <c r="F1230" s="91" t="b">
        <v>0</v>
      </c>
      <c r="G1230" s="91" t="b">
        <v>0</v>
      </c>
    </row>
    <row r="1231" spans="1:7" ht="15">
      <c r="A1231" s="92" t="s">
        <v>2681</v>
      </c>
      <c r="B1231" s="91">
        <v>2</v>
      </c>
      <c r="C1231" s="114">
        <v>0.002180939545340907</v>
      </c>
      <c r="D1231" s="91" t="s">
        <v>2522</v>
      </c>
      <c r="E1231" s="91" t="b">
        <v>0</v>
      </c>
      <c r="F1231" s="91" t="b">
        <v>0</v>
      </c>
      <c r="G1231" s="91" t="b">
        <v>0</v>
      </c>
    </row>
    <row r="1232" spans="1:7" ht="15">
      <c r="A1232" s="92" t="s">
        <v>2682</v>
      </c>
      <c r="B1232" s="91">
        <v>2</v>
      </c>
      <c r="C1232" s="114">
        <v>0.002180939545340907</v>
      </c>
      <c r="D1232" s="91" t="s">
        <v>2522</v>
      </c>
      <c r="E1232" s="91" t="b">
        <v>0</v>
      </c>
      <c r="F1232" s="91" t="b">
        <v>0</v>
      </c>
      <c r="G1232" s="91" t="b">
        <v>0</v>
      </c>
    </row>
    <row r="1233" spans="1:7" ht="15">
      <c r="A1233" s="92" t="s">
        <v>2683</v>
      </c>
      <c r="B1233" s="91">
        <v>2</v>
      </c>
      <c r="C1233" s="114">
        <v>0.002180939545340907</v>
      </c>
      <c r="D1233" s="91" t="s">
        <v>2522</v>
      </c>
      <c r="E1233" s="91" t="b">
        <v>0</v>
      </c>
      <c r="F1233" s="91" t="b">
        <v>0</v>
      </c>
      <c r="G1233" s="91" t="b">
        <v>0</v>
      </c>
    </row>
    <row r="1234" spans="1:7" ht="15">
      <c r="A1234" s="92" t="s">
        <v>2684</v>
      </c>
      <c r="B1234" s="91">
        <v>2</v>
      </c>
      <c r="C1234" s="114">
        <v>0.002180939545340907</v>
      </c>
      <c r="D1234" s="91" t="s">
        <v>2522</v>
      </c>
      <c r="E1234" s="91" t="b">
        <v>0</v>
      </c>
      <c r="F1234" s="91" t="b">
        <v>0</v>
      </c>
      <c r="G1234" s="91" t="b">
        <v>0</v>
      </c>
    </row>
    <row r="1235" spans="1:7" ht="15">
      <c r="A1235" s="92" t="s">
        <v>2685</v>
      </c>
      <c r="B1235" s="91">
        <v>2</v>
      </c>
      <c r="C1235" s="114">
        <v>0.002180939545340907</v>
      </c>
      <c r="D1235" s="91" t="s">
        <v>2522</v>
      </c>
      <c r="E1235" s="91" t="b">
        <v>0</v>
      </c>
      <c r="F1235" s="91" t="b">
        <v>0</v>
      </c>
      <c r="G1235" s="91" t="b">
        <v>0</v>
      </c>
    </row>
    <row r="1236" spans="1:7" ht="15">
      <c r="A1236" s="92" t="s">
        <v>2686</v>
      </c>
      <c r="B1236" s="91">
        <v>2</v>
      </c>
      <c r="C1236" s="114">
        <v>0.002180939545340907</v>
      </c>
      <c r="D1236" s="91" t="s">
        <v>2522</v>
      </c>
      <c r="E1236" s="91" t="b">
        <v>0</v>
      </c>
      <c r="F1236" s="91" t="b">
        <v>0</v>
      </c>
      <c r="G1236" s="91" t="b">
        <v>0</v>
      </c>
    </row>
    <row r="1237" spans="1:7" ht="15">
      <c r="A1237" s="92" t="s">
        <v>2687</v>
      </c>
      <c r="B1237" s="91">
        <v>2</v>
      </c>
      <c r="C1237" s="114">
        <v>0.002180939545340907</v>
      </c>
      <c r="D1237" s="91" t="s">
        <v>2522</v>
      </c>
      <c r="E1237" s="91" t="b">
        <v>0</v>
      </c>
      <c r="F1237" s="91" t="b">
        <v>0</v>
      </c>
      <c r="G1237" s="91" t="b">
        <v>0</v>
      </c>
    </row>
    <row r="1238" spans="1:7" ht="15">
      <c r="A1238" s="92" t="s">
        <v>2688</v>
      </c>
      <c r="B1238" s="91">
        <v>2</v>
      </c>
      <c r="C1238" s="114">
        <v>0.002180939545340907</v>
      </c>
      <c r="D1238" s="91" t="s">
        <v>2522</v>
      </c>
      <c r="E1238" s="91" t="b">
        <v>0</v>
      </c>
      <c r="F1238" s="91" t="b">
        <v>0</v>
      </c>
      <c r="G1238" s="91" t="b">
        <v>0</v>
      </c>
    </row>
    <row r="1239" spans="1:7" ht="15">
      <c r="A1239" s="92" t="s">
        <v>432</v>
      </c>
      <c r="B1239" s="91">
        <v>2</v>
      </c>
      <c r="C1239" s="114">
        <v>0.002180939545340907</v>
      </c>
      <c r="D1239" s="91" t="s">
        <v>2522</v>
      </c>
      <c r="E1239" s="91" t="b">
        <v>0</v>
      </c>
      <c r="F1239" s="91" t="b">
        <v>0</v>
      </c>
      <c r="G1239" s="91" t="b">
        <v>0</v>
      </c>
    </row>
    <row r="1240" spans="1:7" ht="15">
      <c r="A1240" s="92" t="s">
        <v>2646</v>
      </c>
      <c r="B1240" s="91">
        <v>2</v>
      </c>
      <c r="C1240" s="114">
        <v>0.002180939545340907</v>
      </c>
      <c r="D1240" s="91" t="s">
        <v>2522</v>
      </c>
      <c r="E1240" s="91" t="b">
        <v>0</v>
      </c>
      <c r="F1240" s="91" t="b">
        <v>0</v>
      </c>
      <c r="G1240" s="91" t="b">
        <v>0</v>
      </c>
    </row>
    <row r="1241" spans="1:7" ht="15">
      <c r="A1241" s="92" t="s">
        <v>2689</v>
      </c>
      <c r="B1241" s="91">
        <v>2</v>
      </c>
      <c r="C1241" s="114">
        <v>0.002180939545340907</v>
      </c>
      <c r="D1241" s="91" t="s">
        <v>2522</v>
      </c>
      <c r="E1241" s="91" t="b">
        <v>0</v>
      </c>
      <c r="F1241" s="91" t="b">
        <v>0</v>
      </c>
      <c r="G1241" s="91" t="b">
        <v>0</v>
      </c>
    </row>
    <row r="1242" spans="1:7" ht="15">
      <c r="A1242" s="92" t="s">
        <v>2690</v>
      </c>
      <c r="B1242" s="91">
        <v>2</v>
      </c>
      <c r="C1242" s="114">
        <v>0.002180939545340907</v>
      </c>
      <c r="D1242" s="91" t="s">
        <v>2522</v>
      </c>
      <c r="E1242" s="91" t="b">
        <v>0</v>
      </c>
      <c r="F1242" s="91" t="b">
        <v>0</v>
      </c>
      <c r="G1242" s="91" t="b">
        <v>0</v>
      </c>
    </row>
    <row r="1243" spans="1:7" ht="15">
      <c r="A1243" s="92" t="s">
        <v>2691</v>
      </c>
      <c r="B1243" s="91">
        <v>2</v>
      </c>
      <c r="C1243" s="114">
        <v>0.002180939545340907</v>
      </c>
      <c r="D1243" s="91" t="s">
        <v>2522</v>
      </c>
      <c r="E1243" s="91" t="b">
        <v>0</v>
      </c>
      <c r="F1243" s="91" t="b">
        <v>0</v>
      </c>
      <c r="G1243" s="91" t="b">
        <v>0</v>
      </c>
    </row>
    <row r="1244" spans="1:7" ht="15">
      <c r="A1244" s="92" t="s">
        <v>431</v>
      </c>
      <c r="B1244" s="91">
        <v>2</v>
      </c>
      <c r="C1244" s="114">
        <v>0.002180939545340907</v>
      </c>
      <c r="D1244" s="91" t="s">
        <v>2522</v>
      </c>
      <c r="E1244" s="91" t="b">
        <v>0</v>
      </c>
      <c r="F1244" s="91" t="b">
        <v>0</v>
      </c>
      <c r="G1244" s="91" t="b">
        <v>0</v>
      </c>
    </row>
    <row r="1245" spans="1:7" ht="15">
      <c r="A1245" s="92" t="s">
        <v>381</v>
      </c>
      <c r="B1245" s="91">
        <v>2</v>
      </c>
      <c r="C1245" s="114">
        <v>0.002180939545340907</v>
      </c>
      <c r="D1245" s="91" t="s">
        <v>2522</v>
      </c>
      <c r="E1245" s="91" t="b">
        <v>0</v>
      </c>
      <c r="F1245" s="91" t="b">
        <v>0</v>
      </c>
      <c r="G1245" s="91" t="b">
        <v>0</v>
      </c>
    </row>
    <row r="1246" spans="1:7" ht="15">
      <c r="A1246" s="92" t="s">
        <v>380</v>
      </c>
      <c r="B1246" s="91">
        <v>2</v>
      </c>
      <c r="C1246" s="114">
        <v>0.002180939545340907</v>
      </c>
      <c r="D1246" s="91" t="s">
        <v>2522</v>
      </c>
      <c r="E1246" s="91" t="b">
        <v>0</v>
      </c>
      <c r="F1246" s="91" t="b">
        <v>0</v>
      </c>
      <c r="G1246" s="91" t="b">
        <v>0</v>
      </c>
    </row>
    <row r="1247" spans="1:7" ht="15">
      <c r="A1247" s="92" t="s">
        <v>383</v>
      </c>
      <c r="B1247" s="91">
        <v>2</v>
      </c>
      <c r="C1247" s="114">
        <v>0.002180939545340907</v>
      </c>
      <c r="D1247" s="91" t="s">
        <v>2522</v>
      </c>
      <c r="E1247" s="91" t="b">
        <v>0</v>
      </c>
      <c r="F1247" s="91" t="b">
        <v>0</v>
      </c>
      <c r="G1247" s="91" t="b">
        <v>0</v>
      </c>
    </row>
    <row r="1248" spans="1:7" ht="15">
      <c r="A1248" s="92" t="s">
        <v>430</v>
      </c>
      <c r="B1248" s="91">
        <v>2</v>
      </c>
      <c r="C1248" s="114">
        <v>0.002180939545340907</v>
      </c>
      <c r="D1248" s="91" t="s">
        <v>2522</v>
      </c>
      <c r="E1248" s="91" t="b">
        <v>0</v>
      </c>
      <c r="F1248" s="91" t="b">
        <v>0</v>
      </c>
      <c r="G1248" s="91" t="b">
        <v>0</v>
      </c>
    </row>
    <row r="1249" spans="1:7" ht="15">
      <c r="A1249" s="92" t="s">
        <v>385</v>
      </c>
      <c r="B1249" s="91">
        <v>2</v>
      </c>
      <c r="C1249" s="114">
        <v>0.002180939545340907</v>
      </c>
      <c r="D1249" s="91" t="s">
        <v>2522</v>
      </c>
      <c r="E1249" s="91" t="b">
        <v>0</v>
      </c>
      <c r="F1249" s="91" t="b">
        <v>0</v>
      </c>
      <c r="G1249" s="91" t="b">
        <v>0</v>
      </c>
    </row>
    <row r="1250" spans="1:7" ht="15">
      <c r="A1250" s="92" t="s">
        <v>382</v>
      </c>
      <c r="B1250" s="91">
        <v>2</v>
      </c>
      <c r="C1250" s="114">
        <v>0.002180939545340907</v>
      </c>
      <c r="D1250" s="91" t="s">
        <v>2522</v>
      </c>
      <c r="E1250" s="91" t="b">
        <v>0</v>
      </c>
      <c r="F1250" s="91" t="b">
        <v>0</v>
      </c>
      <c r="G1250" s="91" t="b">
        <v>0</v>
      </c>
    </row>
    <row r="1251" spans="1:7" ht="15">
      <c r="A1251" s="92" t="s">
        <v>2966</v>
      </c>
      <c r="B1251" s="91">
        <v>2</v>
      </c>
      <c r="C1251" s="114">
        <v>0.002180939545340907</v>
      </c>
      <c r="D1251" s="91" t="s">
        <v>2522</v>
      </c>
      <c r="E1251" s="91" t="b">
        <v>0</v>
      </c>
      <c r="F1251" s="91" t="b">
        <v>0</v>
      </c>
      <c r="G1251" s="91" t="b">
        <v>0</v>
      </c>
    </row>
    <row r="1252" spans="1:7" ht="15">
      <c r="A1252" s="92" t="s">
        <v>2874</v>
      </c>
      <c r="B1252" s="91">
        <v>2</v>
      </c>
      <c r="C1252" s="114">
        <v>0.002180939545340907</v>
      </c>
      <c r="D1252" s="91" t="s">
        <v>2522</v>
      </c>
      <c r="E1252" s="91" t="b">
        <v>0</v>
      </c>
      <c r="F1252" s="91" t="b">
        <v>0</v>
      </c>
      <c r="G1252" s="91" t="b">
        <v>0</v>
      </c>
    </row>
    <row r="1253" spans="1:7" ht="15">
      <c r="A1253" s="92" t="s">
        <v>2967</v>
      </c>
      <c r="B1253" s="91">
        <v>2</v>
      </c>
      <c r="C1253" s="114">
        <v>0.002180939545340907</v>
      </c>
      <c r="D1253" s="91" t="s">
        <v>2522</v>
      </c>
      <c r="E1253" s="91" t="b">
        <v>0</v>
      </c>
      <c r="F1253" s="91" t="b">
        <v>0</v>
      </c>
      <c r="G1253" s="91" t="b">
        <v>0</v>
      </c>
    </row>
    <row r="1254" spans="1:7" ht="15">
      <c r="A1254" s="92" t="s">
        <v>2968</v>
      </c>
      <c r="B1254" s="91">
        <v>2</v>
      </c>
      <c r="C1254" s="114">
        <v>0.002180939545340907</v>
      </c>
      <c r="D1254" s="91" t="s">
        <v>2522</v>
      </c>
      <c r="E1254" s="91" t="b">
        <v>0</v>
      </c>
      <c r="F1254" s="91" t="b">
        <v>0</v>
      </c>
      <c r="G1254" s="91" t="b">
        <v>0</v>
      </c>
    </row>
    <row r="1255" spans="1:7" ht="15">
      <c r="A1255" s="92" t="s">
        <v>2654</v>
      </c>
      <c r="B1255" s="91">
        <v>2</v>
      </c>
      <c r="C1255" s="114">
        <v>0.002180939545340907</v>
      </c>
      <c r="D1255" s="91" t="s">
        <v>2522</v>
      </c>
      <c r="E1255" s="91" t="b">
        <v>0</v>
      </c>
      <c r="F1255" s="91" t="b">
        <v>0</v>
      </c>
      <c r="G1255" s="91" t="b">
        <v>0</v>
      </c>
    </row>
    <row r="1256" spans="1:7" ht="15">
      <c r="A1256" s="92" t="s">
        <v>2722</v>
      </c>
      <c r="B1256" s="91">
        <v>2</v>
      </c>
      <c r="C1256" s="114">
        <v>0.002180939545340907</v>
      </c>
      <c r="D1256" s="91" t="s">
        <v>2522</v>
      </c>
      <c r="E1256" s="91" t="b">
        <v>0</v>
      </c>
      <c r="F1256" s="91" t="b">
        <v>0</v>
      </c>
      <c r="G1256" s="91" t="b">
        <v>0</v>
      </c>
    </row>
    <row r="1257" spans="1:7" ht="15">
      <c r="A1257" s="92" t="s">
        <v>2589</v>
      </c>
      <c r="B1257" s="91">
        <v>2</v>
      </c>
      <c r="C1257" s="114">
        <v>0.002180939545340907</v>
      </c>
      <c r="D1257" s="91" t="s">
        <v>2522</v>
      </c>
      <c r="E1257" s="91" t="b">
        <v>0</v>
      </c>
      <c r="F1257" s="91" t="b">
        <v>0</v>
      </c>
      <c r="G1257" s="91" t="b">
        <v>0</v>
      </c>
    </row>
    <row r="1258" spans="1:7" ht="15">
      <c r="A1258" s="92" t="s">
        <v>2723</v>
      </c>
      <c r="B1258" s="91">
        <v>2</v>
      </c>
      <c r="C1258" s="114">
        <v>0.002180939545340907</v>
      </c>
      <c r="D1258" s="91" t="s">
        <v>2522</v>
      </c>
      <c r="E1258" s="91" t="b">
        <v>0</v>
      </c>
      <c r="F1258" s="91" t="b">
        <v>0</v>
      </c>
      <c r="G1258" s="91" t="b">
        <v>0</v>
      </c>
    </row>
    <row r="1259" spans="1:7" ht="15">
      <c r="A1259" s="92" t="s">
        <v>2564</v>
      </c>
      <c r="B1259" s="91">
        <v>20</v>
      </c>
      <c r="C1259" s="114">
        <v>0</v>
      </c>
      <c r="D1259" s="91" t="s">
        <v>2523</v>
      </c>
      <c r="E1259" s="91" t="b">
        <v>0</v>
      </c>
      <c r="F1259" s="91" t="b">
        <v>0</v>
      </c>
      <c r="G1259" s="91" t="b">
        <v>0</v>
      </c>
    </row>
    <row r="1260" spans="1:7" ht="15">
      <c r="A1260" s="92" t="s">
        <v>2646</v>
      </c>
      <c r="B1260" s="91">
        <v>9</v>
      </c>
      <c r="C1260" s="114">
        <v>0.008574415868192051</v>
      </c>
      <c r="D1260" s="91" t="s">
        <v>2523</v>
      </c>
      <c r="E1260" s="91" t="b">
        <v>0</v>
      </c>
      <c r="F1260" s="91" t="b">
        <v>0</v>
      </c>
      <c r="G1260" s="91" t="b">
        <v>0</v>
      </c>
    </row>
    <row r="1261" spans="1:7" ht="15">
      <c r="A1261" s="92" t="s">
        <v>2620</v>
      </c>
      <c r="B1261" s="91">
        <v>8</v>
      </c>
      <c r="C1261" s="114">
        <v>0.008745934256528299</v>
      </c>
      <c r="D1261" s="91" t="s">
        <v>2523</v>
      </c>
      <c r="E1261" s="91" t="b">
        <v>0</v>
      </c>
      <c r="F1261" s="91" t="b">
        <v>0</v>
      </c>
      <c r="G1261" s="91" t="b">
        <v>0</v>
      </c>
    </row>
    <row r="1262" spans="1:7" ht="15">
      <c r="A1262" s="92" t="s">
        <v>2568</v>
      </c>
      <c r="B1262" s="91">
        <v>7</v>
      </c>
      <c r="C1262" s="114">
        <v>0.008767922224033161</v>
      </c>
      <c r="D1262" s="91" t="s">
        <v>2523</v>
      </c>
      <c r="E1262" s="91" t="b">
        <v>0</v>
      </c>
      <c r="F1262" s="91" t="b">
        <v>0</v>
      </c>
      <c r="G1262" s="91" t="b">
        <v>0</v>
      </c>
    </row>
    <row r="1263" spans="1:7" ht="15">
      <c r="A1263" s="92" t="s">
        <v>2876</v>
      </c>
      <c r="B1263" s="91">
        <v>7</v>
      </c>
      <c r="C1263" s="114">
        <v>0.008767922224033161</v>
      </c>
      <c r="D1263" s="91" t="s">
        <v>2523</v>
      </c>
      <c r="E1263" s="91" t="b">
        <v>0</v>
      </c>
      <c r="F1263" s="91" t="b">
        <v>0</v>
      </c>
      <c r="G1263" s="91" t="b">
        <v>0</v>
      </c>
    </row>
    <row r="1264" spans="1:7" ht="15">
      <c r="A1264" s="92" t="s">
        <v>2877</v>
      </c>
      <c r="B1264" s="91">
        <v>7</v>
      </c>
      <c r="C1264" s="114">
        <v>0.008767922224033161</v>
      </c>
      <c r="D1264" s="91" t="s">
        <v>2523</v>
      </c>
      <c r="E1264" s="91" t="b">
        <v>0</v>
      </c>
      <c r="F1264" s="91" t="b">
        <v>0</v>
      </c>
      <c r="G1264" s="91" t="b">
        <v>0</v>
      </c>
    </row>
    <row r="1265" spans="1:7" ht="15">
      <c r="A1265" s="92" t="s">
        <v>2878</v>
      </c>
      <c r="B1265" s="91">
        <v>7</v>
      </c>
      <c r="C1265" s="114">
        <v>0.008767922224033161</v>
      </c>
      <c r="D1265" s="91" t="s">
        <v>2523</v>
      </c>
      <c r="E1265" s="91" t="b">
        <v>0</v>
      </c>
      <c r="F1265" s="91" t="b">
        <v>0</v>
      </c>
      <c r="G1265" s="91" t="b">
        <v>0</v>
      </c>
    </row>
    <row r="1266" spans="1:7" ht="15">
      <c r="A1266" s="92" t="s">
        <v>2879</v>
      </c>
      <c r="B1266" s="91">
        <v>7</v>
      </c>
      <c r="C1266" s="114">
        <v>0.008767922224033161</v>
      </c>
      <c r="D1266" s="91" t="s">
        <v>2523</v>
      </c>
      <c r="E1266" s="91" t="b">
        <v>0</v>
      </c>
      <c r="F1266" s="91" t="b">
        <v>0</v>
      </c>
      <c r="G1266" s="91" t="b">
        <v>0</v>
      </c>
    </row>
    <row r="1267" spans="1:7" ht="15">
      <c r="A1267" s="92" t="s">
        <v>2880</v>
      </c>
      <c r="B1267" s="91">
        <v>7</v>
      </c>
      <c r="C1267" s="114">
        <v>0.008767922224033161</v>
      </c>
      <c r="D1267" s="91" t="s">
        <v>2523</v>
      </c>
      <c r="E1267" s="91" t="b">
        <v>0</v>
      </c>
      <c r="F1267" s="91" t="b">
        <v>0</v>
      </c>
      <c r="G1267" s="91" t="b">
        <v>0</v>
      </c>
    </row>
    <row r="1268" spans="1:7" ht="15">
      <c r="A1268" s="92" t="s">
        <v>2881</v>
      </c>
      <c r="B1268" s="91">
        <v>7</v>
      </c>
      <c r="C1268" s="114">
        <v>0.008767922224033161</v>
      </c>
      <c r="D1268" s="91" t="s">
        <v>2523</v>
      </c>
      <c r="E1268" s="91" t="b">
        <v>0</v>
      </c>
      <c r="F1268" s="91" t="b">
        <v>0</v>
      </c>
      <c r="G1268" s="91" t="b">
        <v>0</v>
      </c>
    </row>
    <row r="1269" spans="1:7" ht="15">
      <c r="A1269" s="92" t="s">
        <v>2882</v>
      </c>
      <c r="B1269" s="91">
        <v>7</v>
      </c>
      <c r="C1269" s="114">
        <v>0.008767922224033161</v>
      </c>
      <c r="D1269" s="91" t="s">
        <v>2523</v>
      </c>
      <c r="E1269" s="91" t="b">
        <v>0</v>
      </c>
      <c r="F1269" s="91" t="b">
        <v>0</v>
      </c>
      <c r="G1269" s="91" t="b">
        <v>0</v>
      </c>
    </row>
    <row r="1270" spans="1:7" ht="15">
      <c r="A1270" s="92" t="s">
        <v>2883</v>
      </c>
      <c r="B1270" s="91">
        <v>7</v>
      </c>
      <c r="C1270" s="114">
        <v>0.008767922224033161</v>
      </c>
      <c r="D1270" s="91" t="s">
        <v>2523</v>
      </c>
      <c r="E1270" s="91" t="b">
        <v>0</v>
      </c>
      <c r="F1270" s="91" t="b">
        <v>0</v>
      </c>
      <c r="G1270" s="91" t="b">
        <v>0</v>
      </c>
    </row>
    <row r="1271" spans="1:7" ht="15">
      <c r="A1271" s="92" t="s">
        <v>2884</v>
      </c>
      <c r="B1271" s="91">
        <v>7</v>
      </c>
      <c r="C1271" s="114">
        <v>0.008767922224033161</v>
      </c>
      <c r="D1271" s="91" t="s">
        <v>2523</v>
      </c>
      <c r="E1271" s="91" t="b">
        <v>0</v>
      </c>
      <c r="F1271" s="91" t="b">
        <v>0</v>
      </c>
      <c r="G1271" s="91" t="b">
        <v>0</v>
      </c>
    </row>
    <row r="1272" spans="1:7" ht="15">
      <c r="A1272" s="92" t="s">
        <v>2885</v>
      </c>
      <c r="B1272" s="91">
        <v>7</v>
      </c>
      <c r="C1272" s="114">
        <v>0.008767922224033161</v>
      </c>
      <c r="D1272" s="91" t="s">
        <v>2523</v>
      </c>
      <c r="E1272" s="91" t="b">
        <v>0</v>
      </c>
      <c r="F1272" s="91" t="b">
        <v>0</v>
      </c>
      <c r="G1272" s="91" t="b">
        <v>0</v>
      </c>
    </row>
    <row r="1273" spans="1:7" ht="15">
      <c r="A1273" s="92" t="s">
        <v>2886</v>
      </c>
      <c r="B1273" s="91">
        <v>7</v>
      </c>
      <c r="C1273" s="114">
        <v>0.008767922224033161</v>
      </c>
      <c r="D1273" s="91" t="s">
        <v>2523</v>
      </c>
      <c r="E1273" s="91" t="b">
        <v>0</v>
      </c>
      <c r="F1273" s="91" t="b">
        <v>0</v>
      </c>
      <c r="G1273" s="91" t="b">
        <v>0</v>
      </c>
    </row>
    <row r="1274" spans="1:7" ht="15">
      <c r="A1274" s="92" t="s">
        <v>2887</v>
      </c>
      <c r="B1274" s="91">
        <v>7</v>
      </c>
      <c r="C1274" s="114">
        <v>0.008767922224033161</v>
      </c>
      <c r="D1274" s="91" t="s">
        <v>2523</v>
      </c>
      <c r="E1274" s="91" t="b">
        <v>0</v>
      </c>
      <c r="F1274" s="91" t="b">
        <v>0</v>
      </c>
      <c r="G1274" s="91" t="b">
        <v>0</v>
      </c>
    </row>
    <row r="1275" spans="1:7" ht="15">
      <c r="A1275" s="92" t="s">
        <v>2888</v>
      </c>
      <c r="B1275" s="91">
        <v>7</v>
      </c>
      <c r="C1275" s="114">
        <v>0.008767922224033161</v>
      </c>
      <c r="D1275" s="91" t="s">
        <v>2523</v>
      </c>
      <c r="E1275" s="91" t="b">
        <v>0</v>
      </c>
      <c r="F1275" s="91" t="b">
        <v>0</v>
      </c>
      <c r="G1275" s="91" t="b">
        <v>0</v>
      </c>
    </row>
    <row r="1276" spans="1:7" ht="15">
      <c r="A1276" s="92" t="s">
        <v>2889</v>
      </c>
      <c r="B1276" s="91">
        <v>7</v>
      </c>
      <c r="C1276" s="114">
        <v>0.008767922224033161</v>
      </c>
      <c r="D1276" s="91" t="s">
        <v>2523</v>
      </c>
      <c r="E1276" s="91" t="b">
        <v>0</v>
      </c>
      <c r="F1276" s="91" t="b">
        <v>0</v>
      </c>
      <c r="G1276" s="91" t="b">
        <v>0</v>
      </c>
    </row>
    <row r="1277" spans="1:7" ht="15">
      <c r="A1277" s="92" t="s">
        <v>2569</v>
      </c>
      <c r="B1277" s="91">
        <v>6</v>
      </c>
      <c r="C1277" s="114">
        <v>0.008618880416708862</v>
      </c>
      <c r="D1277" s="91" t="s">
        <v>2523</v>
      </c>
      <c r="E1277" s="91" t="b">
        <v>0</v>
      </c>
      <c r="F1277" s="91" t="b">
        <v>0</v>
      </c>
      <c r="G1277" s="91" t="b">
        <v>0</v>
      </c>
    </row>
    <row r="1278" spans="1:7" ht="15">
      <c r="A1278" s="92" t="s">
        <v>2582</v>
      </c>
      <c r="B1278" s="91">
        <v>6</v>
      </c>
      <c r="C1278" s="114">
        <v>0.009924065791120259</v>
      </c>
      <c r="D1278" s="91" t="s">
        <v>2523</v>
      </c>
      <c r="E1278" s="91" t="b">
        <v>0</v>
      </c>
      <c r="F1278" s="91" t="b">
        <v>0</v>
      </c>
      <c r="G1278" s="91" t="b">
        <v>0</v>
      </c>
    </row>
    <row r="1279" spans="1:7" ht="15">
      <c r="A1279" s="92" t="s">
        <v>2577</v>
      </c>
      <c r="B1279" s="91">
        <v>5</v>
      </c>
      <c r="C1279" s="114">
        <v>0.01131742776022416</v>
      </c>
      <c r="D1279" s="91" t="s">
        <v>2523</v>
      </c>
      <c r="E1279" s="91" t="b">
        <v>0</v>
      </c>
      <c r="F1279" s="91" t="b">
        <v>0</v>
      </c>
      <c r="G1279" s="91" t="b">
        <v>0</v>
      </c>
    </row>
    <row r="1280" spans="1:7" ht="15">
      <c r="A1280" s="92" t="s">
        <v>2589</v>
      </c>
      <c r="B1280" s="91">
        <v>5</v>
      </c>
      <c r="C1280" s="114">
        <v>0.01131742776022416</v>
      </c>
      <c r="D1280" s="91" t="s">
        <v>2523</v>
      </c>
      <c r="E1280" s="91" t="b">
        <v>0</v>
      </c>
      <c r="F1280" s="91" t="b">
        <v>0</v>
      </c>
      <c r="G1280" s="91" t="b">
        <v>0</v>
      </c>
    </row>
    <row r="1281" spans="1:7" ht="15">
      <c r="A1281" s="92" t="s">
        <v>2578</v>
      </c>
      <c r="B1281" s="91">
        <v>4</v>
      </c>
      <c r="C1281" s="114">
        <v>0.009053942208179329</v>
      </c>
      <c r="D1281" s="91" t="s">
        <v>2523</v>
      </c>
      <c r="E1281" s="91" t="b">
        <v>0</v>
      </c>
      <c r="F1281" s="91" t="b">
        <v>0</v>
      </c>
      <c r="G1281" s="91" t="b">
        <v>0</v>
      </c>
    </row>
    <row r="1282" spans="1:7" ht="15">
      <c r="A1282" s="92" t="s">
        <v>586</v>
      </c>
      <c r="B1282" s="91">
        <v>4</v>
      </c>
      <c r="C1282" s="114">
        <v>0.0076809890586375705</v>
      </c>
      <c r="D1282" s="91" t="s">
        <v>2523</v>
      </c>
      <c r="E1282" s="91" t="b">
        <v>0</v>
      </c>
      <c r="F1282" s="91" t="b">
        <v>0</v>
      </c>
      <c r="G1282" s="91" t="b">
        <v>0</v>
      </c>
    </row>
    <row r="1283" spans="1:7" ht="15">
      <c r="A1283" s="92" t="s">
        <v>2572</v>
      </c>
      <c r="B1283" s="91">
        <v>4</v>
      </c>
      <c r="C1283" s="114">
        <v>0.0076809890586375705</v>
      </c>
      <c r="D1283" s="91" t="s">
        <v>2523</v>
      </c>
      <c r="E1283" s="91" t="b">
        <v>0</v>
      </c>
      <c r="F1283" s="91" t="b">
        <v>0</v>
      </c>
      <c r="G1283" s="91" t="b">
        <v>0</v>
      </c>
    </row>
    <row r="1284" spans="1:7" ht="15">
      <c r="A1284" s="92" t="s">
        <v>2616</v>
      </c>
      <c r="B1284" s="91">
        <v>3</v>
      </c>
      <c r="C1284" s="114">
        <v>0.006790456656134495</v>
      </c>
      <c r="D1284" s="91" t="s">
        <v>2523</v>
      </c>
      <c r="E1284" s="91" t="b">
        <v>0</v>
      </c>
      <c r="F1284" s="91" t="b">
        <v>0</v>
      </c>
      <c r="G1284" s="91" t="b">
        <v>0</v>
      </c>
    </row>
    <row r="1285" spans="1:7" ht="15">
      <c r="A1285" s="92" t="s">
        <v>2571</v>
      </c>
      <c r="B1285" s="91">
        <v>3</v>
      </c>
      <c r="C1285" s="114">
        <v>0.006790456656134495</v>
      </c>
      <c r="D1285" s="91" t="s">
        <v>2523</v>
      </c>
      <c r="E1285" s="91" t="b">
        <v>0</v>
      </c>
      <c r="F1285" s="91" t="b">
        <v>0</v>
      </c>
      <c r="G1285" s="91" t="b">
        <v>0</v>
      </c>
    </row>
    <row r="1286" spans="1:7" ht="15">
      <c r="A1286" s="92" t="s">
        <v>2580</v>
      </c>
      <c r="B1286" s="91">
        <v>3</v>
      </c>
      <c r="C1286" s="114">
        <v>0.006790456656134495</v>
      </c>
      <c r="D1286" s="91" t="s">
        <v>2523</v>
      </c>
      <c r="E1286" s="91" t="b">
        <v>0</v>
      </c>
      <c r="F1286" s="91" t="b">
        <v>0</v>
      </c>
      <c r="G1286" s="91" t="b">
        <v>0</v>
      </c>
    </row>
    <row r="1287" spans="1:7" ht="15">
      <c r="A1287" s="92" t="s">
        <v>2576</v>
      </c>
      <c r="B1287" s="91">
        <v>3</v>
      </c>
      <c r="C1287" s="114">
        <v>0.006790456656134495</v>
      </c>
      <c r="D1287" s="91" t="s">
        <v>2523</v>
      </c>
      <c r="E1287" s="91" t="b">
        <v>0</v>
      </c>
      <c r="F1287" s="91" t="b">
        <v>0</v>
      </c>
      <c r="G1287" s="91" t="b">
        <v>0</v>
      </c>
    </row>
    <row r="1288" spans="1:7" ht="15">
      <c r="A1288" s="92" t="s">
        <v>2591</v>
      </c>
      <c r="B1288" s="91">
        <v>3</v>
      </c>
      <c r="C1288" s="114">
        <v>0.006790456656134495</v>
      </c>
      <c r="D1288" s="91" t="s">
        <v>2523</v>
      </c>
      <c r="E1288" s="91" t="b">
        <v>0</v>
      </c>
      <c r="F1288" s="91" t="b">
        <v>0</v>
      </c>
      <c r="G1288" s="91" t="b">
        <v>0</v>
      </c>
    </row>
    <row r="1289" spans="1:7" ht="15">
      <c r="A1289" s="92" t="s">
        <v>3025</v>
      </c>
      <c r="B1289" s="91">
        <v>3</v>
      </c>
      <c r="C1289" s="114">
        <v>0.006790456656134495</v>
      </c>
      <c r="D1289" s="91" t="s">
        <v>2523</v>
      </c>
      <c r="E1289" s="91" t="b">
        <v>0</v>
      </c>
      <c r="F1289" s="91" t="b">
        <v>0</v>
      </c>
      <c r="G1289" s="91" t="b">
        <v>0</v>
      </c>
    </row>
    <row r="1290" spans="1:7" ht="15">
      <c r="A1290" s="92" t="s">
        <v>3026</v>
      </c>
      <c r="B1290" s="91">
        <v>3</v>
      </c>
      <c r="C1290" s="114">
        <v>0.006790456656134495</v>
      </c>
      <c r="D1290" s="91" t="s">
        <v>2523</v>
      </c>
      <c r="E1290" s="91" t="b">
        <v>0</v>
      </c>
      <c r="F1290" s="91" t="b">
        <v>0</v>
      </c>
      <c r="G1290" s="91" t="b">
        <v>0</v>
      </c>
    </row>
    <row r="1291" spans="1:7" ht="15">
      <c r="A1291" s="92" t="s">
        <v>2573</v>
      </c>
      <c r="B1291" s="91">
        <v>2</v>
      </c>
      <c r="C1291" s="114">
        <v>0.005494505494505495</v>
      </c>
      <c r="D1291" s="91" t="s">
        <v>2523</v>
      </c>
      <c r="E1291" s="91" t="b">
        <v>0</v>
      </c>
      <c r="F1291" s="91" t="b">
        <v>0</v>
      </c>
      <c r="G1291" s="91" t="b">
        <v>0</v>
      </c>
    </row>
    <row r="1292" spans="1:7" ht="15">
      <c r="A1292" s="92" t="s">
        <v>2615</v>
      </c>
      <c r="B1292" s="91">
        <v>2</v>
      </c>
      <c r="C1292" s="114">
        <v>0.005494505494505495</v>
      </c>
      <c r="D1292" s="91" t="s">
        <v>2523</v>
      </c>
      <c r="E1292" s="91" t="b">
        <v>0</v>
      </c>
      <c r="F1292" s="91" t="b">
        <v>0</v>
      </c>
      <c r="G1292" s="91" t="b">
        <v>0</v>
      </c>
    </row>
    <row r="1293" spans="1:7" ht="15">
      <c r="A1293" s="92" t="s">
        <v>2652</v>
      </c>
      <c r="B1293" s="91">
        <v>2</v>
      </c>
      <c r="C1293" s="114">
        <v>0.005494505494505495</v>
      </c>
      <c r="D1293" s="91" t="s">
        <v>2523</v>
      </c>
      <c r="E1293" s="91" t="b">
        <v>0</v>
      </c>
      <c r="F1293" s="91" t="b">
        <v>0</v>
      </c>
      <c r="G1293" s="91" t="b">
        <v>0</v>
      </c>
    </row>
    <row r="1294" spans="1:7" ht="15">
      <c r="A1294" s="92" t="s">
        <v>2680</v>
      </c>
      <c r="B1294" s="91">
        <v>2</v>
      </c>
      <c r="C1294" s="114">
        <v>0.005494505494505495</v>
      </c>
      <c r="D1294" s="91" t="s">
        <v>2523</v>
      </c>
      <c r="E1294" s="91" t="b">
        <v>0</v>
      </c>
      <c r="F1294" s="91" t="b">
        <v>0</v>
      </c>
      <c r="G1294" s="91" t="b">
        <v>0</v>
      </c>
    </row>
    <row r="1295" spans="1:7" ht="15">
      <c r="A1295" s="92" t="s">
        <v>2777</v>
      </c>
      <c r="B1295" s="91">
        <v>2</v>
      </c>
      <c r="C1295" s="114">
        <v>0.005494505494505495</v>
      </c>
      <c r="D1295" s="91" t="s">
        <v>2523</v>
      </c>
      <c r="E1295" s="91" t="b">
        <v>0</v>
      </c>
      <c r="F1295" s="91" t="b">
        <v>0</v>
      </c>
      <c r="G1295" s="91" t="b">
        <v>0</v>
      </c>
    </row>
    <row r="1296" spans="1:7" ht="15">
      <c r="A1296" s="92" t="s">
        <v>3101</v>
      </c>
      <c r="B1296" s="91">
        <v>2</v>
      </c>
      <c r="C1296" s="114">
        <v>0.005494505494505495</v>
      </c>
      <c r="D1296" s="91" t="s">
        <v>2523</v>
      </c>
      <c r="E1296" s="91" t="b">
        <v>0</v>
      </c>
      <c r="F1296" s="91" t="b">
        <v>0</v>
      </c>
      <c r="G1296" s="91" t="b">
        <v>0</v>
      </c>
    </row>
    <row r="1297" spans="1:7" ht="15">
      <c r="A1297" s="92" t="s">
        <v>2645</v>
      </c>
      <c r="B1297" s="91">
        <v>2</v>
      </c>
      <c r="C1297" s="114">
        <v>0.005494505494505495</v>
      </c>
      <c r="D1297" s="91" t="s">
        <v>2523</v>
      </c>
      <c r="E1297" s="91" t="b">
        <v>0</v>
      </c>
      <c r="F1297" s="91" t="b">
        <v>0</v>
      </c>
      <c r="G1297" s="91" t="b">
        <v>0</v>
      </c>
    </row>
    <row r="1298" spans="1:7" ht="15">
      <c r="A1298" s="92" t="s">
        <v>2743</v>
      </c>
      <c r="B1298" s="91">
        <v>2</v>
      </c>
      <c r="C1298" s="114">
        <v>0.005494505494505495</v>
      </c>
      <c r="D1298" s="91" t="s">
        <v>2523</v>
      </c>
      <c r="E1298" s="91" t="b">
        <v>0</v>
      </c>
      <c r="F1298" s="91" t="b">
        <v>0</v>
      </c>
      <c r="G1298" s="91" t="b">
        <v>0</v>
      </c>
    </row>
    <row r="1299" spans="1:7" ht="15">
      <c r="A1299" s="92" t="s">
        <v>2729</v>
      </c>
      <c r="B1299" s="91">
        <v>2</v>
      </c>
      <c r="C1299" s="114">
        <v>0.005494505494505495</v>
      </c>
      <c r="D1299" s="91" t="s">
        <v>2523</v>
      </c>
      <c r="E1299" s="91" t="b">
        <v>0</v>
      </c>
      <c r="F1299" s="91" t="b">
        <v>0</v>
      </c>
      <c r="G1299" s="91" t="b">
        <v>0</v>
      </c>
    </row>
    <row r="1300" spans="1:7" ht="15">
      <c r="A1300" s="92" t="s">
        <v>2935</v>
      </c>
      <c r="B1300" s="91">
        <v>2</v>
      </c>
      <c r="C1300" s="114">
        <v>0.005494505494505495</v>
      </c>
      <c r="D1300" s="91" t="s">
        <v>2523</v>
      </c>
      <c r="E1300" s="91" t="b">
        <v>0</v>
      </c>
      <c r="F1300" s="91" t="b">
        <v>0</v>
      </c>
      <c r="G1300" s="91" t="b">
        <v>0</v>
      </c>
    </row>
    <row r="1301" spans="1:7" ht="15">
      <c r="A1301" s="92" t="s">
        <v>3073</v>
      </c>
      <c r="B1301" s="91">
        <v>2</v>
      </c>
      <c r="C1301" s="114">
        <v>0.005494505494505495</v>
      </c>
      <c r="D1301" s="91" t="s">
        <v>2523</v>
      </c>
      <c r="E1301" s="91" t="b">
        <v>0</v>
      </c>
      <c r="F1301" s="91" t="b">
        <v>0</v>
      </c>
      <c r="G1301" s="91" t="b">
        <v>0</v>
      </c>
    </row>
    <row r="1302" spans="1:7" ht="15">
      <c r="A1302" s="92" t="s">
        <v>2758</v>
      </c>
      <c r="B1302" s="91">
        <v>2</v>
      </c>
      <c r="C1302" s="114">
        <v>0.007148516459692205</v>
      </c>
      <c r="D1302" s="91" t="s">
        <v>2523</v>
      </c>
      <c r="E1302" s="91" t="b">
        <v>0</v>
      </c>
      <c r="F1302" s="91" t="b">
        <v>0</v>
      </c>
      <c r="G1302" s="91" t="b">
        <v>0</v>
      </c>
    </row>
    <row r="1303" spans="1:7" ht="15">
      <c r="A1303" s="92" t="s">
        <v>3078</v>
      </c>
      <c r="B1303" s="91">
        <v>2</v>
      </c>
      <c r="C1303" s="114">
        <v>0.007148516459692205</v>
      </c>
      <c r="D1303" s="91" t="s">
        <v>2523</v>
      </c>
      <c r="E1303" s="91" t="b">
        <v>0</v>
      </c>
      <c r="F1303" s="91" t="b">
        <v>0</v>
      </c>
      <c r="G1303" s="91" t="b">
        <v>0</v>
      </c>
    </row>
    <row r="1304" spans="1:7" ht="15">
      <c r="A1304" s="92" t="s">
        <v>2564</v>
      </c>
      <c r="B1304" s="91">
        <v>30</v>
      </c>
      <c r="C1304" s="114">
        <v>0</v>
      </c>
      <c r="D1304" s="91" t="s">
        <v>2524</v>
      </c>
      <c r="E1304" s="91" t="b">
        <v>0</v>
      </c>
      <c r="F1304" s="91" t="b">
        <v>0</v>
      </c>
      <c r="G1304" s="91" t="b">
        <v>0</v>
      </c>
    </row>
    <row r="1305" spans="1:7" ht="15">
      <c r="A1305" s="92" t="s">
        <v>2569</v>
      </c>
      <c r="B1305" s="91">
        <v>28</v>
      </c>
      <c r="C1305" s="114">
        <v>0.0013776194656295725</v>
      </c>
      <c r="D1305" s="91" t="s">
        <v>2524</v>
      </c>
      <c r="E1305" s="91" t="b">
        <v>0</v>
      </c>
      <c r="F1305" s="91" t="b">
        <v>0</v>
      </c>
      <c r="G1305" s="91" t="b">
        <v>0</v>
      </c>
    </row>
    <row r="1306" spans="1:7" ht="15">
      <c r="A1306" s="92" t="s">
        <v>2572</v>
      </c>
      <c r="B1306" s="91">
        <v>23</v>
      </c>
      <c r="C1306" s="114">
        <v>0.004358043727664368</v>
      </c>
      <c r="D1306" s="91" t="s">
        <v>2524</v>
      </c>
      <c r="E1306" s="91" t="b">
        <v>0</v>
      </c>
      <c r="F1306" s="91" t="b">
        <v>0</v>
      </c>
      <c r="G1306" s="91" t="b">
        <v>0</v>
      </c>
    </row>
    <row r="1307" spans="1:7" ht="15">
      <c r="A1307" s="92" t="s">
        <v>2582</v>
      </c>
      <c r="B1307" s="91">
        <v>23</v>
      </c>
      <c r="C1307" s="114">
        <v>0.004358043727664368</v>
      </c>
      <c r="D1307" s="91" t="s">
        <v>2524</v>
      </c>
      <c r="E1307" s="91" t="b">
        <v>0</v>
      </c>
      <c r="F1307" s="91" t="b">
        <v>0</v>
      </c>
      <c r="G1307" s="91" t="b">
        <v>0</v>
      </c>
    </row>
    <row r="1308" spans="1:7" ht="15">
      <c r="A1308" s="92" t="s">
        <v>2576</v>
      </c>
      <c r="B1308" s="91">
        <v>20</v>
      </c>
      <c r="C1308" s="114">
        <v>0.00578296417260037</v>
      </c>
      <c r="D1308" s="91" t="s">
        <v>2524</v>
      </c>
      <c r="E1308" s="91" t="b">
        <v>0</v>
      </c>
      <c r="F1308" s="91" t="b">
        <v>0</v>
      </c>
      <c r="G1308" s="91" t="b">
        <v>0</v>
      </c>
    </row>
    <row r="1309" spans="1:7" ht="15">
      <c r="A1309" s="92" t="s">
        <v>2724</v>
      </c>
      <c r="B1309" s="91">
        <v>17</v>
      </c>
      <c r="C1309" s="114">
        <v>0.006885762999677512</v>
      </c>
      <c r="D1309" s="91" t="s">
        <v>2524</v>
      </c>
      <c r="E1309" s="91" t="b">
        <v>0</v>
      </c>
      <c r="F1309" s="91" t="b">
        <v>0</v>
      </c>
      <c r="G1309" s="91" t="b">
        <v>0</v>
      </c>
    </row>
    <row r="1310" spans="1:7" ht="15">
      <c r="A1310" s="92" t="s">
        <v>2725</v>
      </c>
      <c r="B1310" s="91">
        <v>17</v>
      </c>
      <c r="C1310" s="114">
        <v>0.006885762999677512</v>
      </c>
      <c r="D1310" s="91" t="s">
        <v>2524</v>
      </c>
      <c r="E1310" s="91" t="b">
        <v>0</v>
      </c>
      <c r="F1310" s="91" t="b">
        <v>0</v>
      </c>
      <c r="G1310" s="91" t="b">
        <v>0</v>
      </c>
    </row>
    <row r="1311" spans="1:7" ht="15">
      <c r="A1311" s="92" t="s">
        <v>2650</v>
      </c>
      <c r="B1311" s="91">
        <v>17</v>
      </c>
      <c r="C1311" s="114">
        <v>0.006885762999677512</v>
      </c>
      <c r="D1311" s="91" t="s">
        <v>2524</v>
      </c>
      <c r="E1311" s="91" t="b">
        <v>0</v>
      </c>
      <c r="F1311" s="91" t="b">
        <v>0</v>
      </c>
      <c r="G1311" s="91" t="b">
        <v>0</v>
      </c>
    </row>
    <row r="1312" spans="1:7" ht="15">
      <c r="A1312" s="92" t="s">
        <v>2693</v>
      </c>
      <c r="B1312" s="91">
        <v>17</v>
      </c>
      <c r="C1312" s="114">
        <v>0.006885762999677512</v>
      </c>
      <c r="D1312" s="91" t="s">
        <v>2524</v>
      </c>
      <c r="E1312" s="91" t="b">
        <v>0</v>
      </c>
      <c r="F1312" s="91" t="b">
        <v>0</v>
      </c>
      <c r="G1312" s="91" t="b">
        <v>0</v>
      </c>
    </row>
    <row r="1313" spans="1:7" ht="15">
      <c r="A1313" s="92" t="s">
        <v>2726</v>
      </c>
      <c r="B1313" s="91">
        <v>17</v>
      </c>
      <c r="C1313" s="114">
        <v>0.006885762999677512</v>
      </c>
      <c r="D1313" s="91" t="s">
        <v>2524</v>
      </c>
      <c r="E1313" s="91" t="b">
        <v>0</v>
      </c>
      <c r="F1313" s="91" t="b">
        <v>0</v>
      </c>
      <c r="G1313" s="91" t="b">
        <v>0</v>
      </c>
    </row>
    <row r="1314" spans="1:7" ht="15">
      <c r="A1314" s="92" t="s">
        <v>2616</v>
      </c>
      <c r="B1314" s="91">
        <v>17</v>
      </c>
      <c r="C1314" s="114">
        <v>0.006885762999677512</v>
      </c>
      <c r="D1314" s="91" t="s">
        <v>2524</v>
      </c>
      <c r="E1314" s="91" t="b">
        <v>0</v>
      </c>
      <c r="F1314" s="91" t="b">
        <v>0</v>
      </c>
      <c r="G1314" s="91" t="b">
        <v>0</v>
      </c>
    </row>
    <row r="1315" spans="1:7" ht="15">
      <c r="A1315" s="92" t="s">
        <v>2727</v>
      </c>
      <c r="B1315" s="91">
        <v>17</v>
      </c>
      <c r="C1315" s="114">
        <v>0.006885762999677512</v>
      </c>
      <c r="D1315" s="91" t="s">
        <v>2524</v>
      </c>
      <c r="E1315" s="91" t="b">
        <v>0</v>
      </c>
      <c r="F1315" s="91" t="b">
        <v>0</v>
      </c>
      <c r="G1315" s="91" t="b">
        <v>0</v>
      </c>
    </row>
    <row r="1316" spans="1:7" ht="15">
      <c r="A1316" s="92" t="s">
        <v>2578</v>
      </c>
      <c r="B1316" s="91">
        <v>14</v>
      </c>
      <c r="C1316" s="114">
        <v>0.012020201040927301</v>
      </c>
      <c r="D1316" s="91" t="s">
        <v>2524</v>
      </c>
      <c r="E1316" s="91" t="b">
        <v>0</v>
      </c>
      <c r="F1316" s="91" t="b">
        <v>0</v>
      </c>
      <c r="G1316" s="91" t="b">
        <v>0</v>
      </c>
    </row>
    <row r="1317" spans="1:7" ht="15">
      <c r="A1317" s="92" t="s">
        <v>2846</v>
      </c>
      <c r="B1317" s="91">
        <v>8</v>
      </c>
      <c r="C1317" s="114">
        <v>0.01149505764718161</v>
      </c>
      <c r="D1317" s="91" t="s">
        <v>2524</v>
      </c>
      <c r="E1317" s="91" t="b">
        <v>0</v>
      </c>
      <c r="F1317" s="91" t="b">
        <v>0</v>
      </c>
      <c r="G1317" s="91" t="b">
        <v>0</v>
      </c>
    </row>
    <row r="1318" spans="1:7" ht="15">
      <c r="A1318" s="92" t="s">
        <v>2568</v>
      </c>
      <c r="B1318" s="91">
        <v>7</v>
      </c>
      <c r="C1318" s="114">
        <v>0.007264634651786271</v>
      </c>
      <c r="D1318" s="91" t="s">
        <v>2524</v>
      </c>
      <c r="E1318" s="91" t="b">
        <v>0</v>
      </c>
      <c r="F1318" s="91" t="b">
        <v>0</v>
      </c>
      <c r="G1318" s="91" t="b">
        <v>0</v>
      </c>
    </row>
    <row r="1319" spans="1:7" ht="15">
      <c r="A1319" s="92" t="s">
        <v>2571</v>
      </c>
      <c r="B1319" s="91">
        <v>7</v>
      </c>
      <c r="C1319" s="114">
        <v>0.007264634651786271</v>
      </c>
      <c r="D1319" s="91" t="s">
        <v>2524</v>
      </c>
      <c r="E1319" s="91" t="b">
        <v>0</v>
      </c>
      <c r="F1319" s="91" t="b">
        <v>0</v>
      </c>
      <c r="G1319" s="91" t="b">
        <v>0</v>
      </c>
    </row>
    <row r="1320" spans="1:7" ht="15">
      <c r="A1320" s="92" t="s">
        <v>2585</v>
      </c>
      <c r="B1320" s="91">
        <v>6</v>
      </c>
      <c r="C1320" s="114">
        <v>0.006886403983606097</v>
      </c>
      <c r="D1320" s="91" t="s">
        <v>2524</v>
      </c>
      <c r="E1320" s="91" t="b">
        <v>0</v>
      </c>
      <c r="F1320" s="91" t="b">
        <v>0</v>
      </c>
      <c r="G1320" s="91" t="b">
        <v>0</v>
      </c>
    </row>
    <row r="1321" spans="1:7" ht="15">
      <c r="A1321" s="92" t="s">
        <v>2594</v>
      </c>
      <c r="B1321" s="91">
        <v>6</v>
      </c>
      <c r="C1321" s="114">
        <v>0.006886403983606097</v>
      </c>
      <c r="D1321" s="91" t="s">
        <v>2524</v>
      </c>
      <c r="E1321" s="91" t="b">
        <v>0</v>
      </c>
      <c r="F1321" s="91" t="b">
        <v>0</v>
      </c>
      <c r="G1321" s="91" t="b">
        <v>0</v>
      </c>
    </row>
    <row r="1322" spans="1:7" ht="15">
      <c r="A1322" s="92" t="s">
        <v>2951</v>
      </c>
      <c r="B1322" s="91">
        <v>5</v>
      </c>
      <c r="C1322" s="114">
        <v>0.0063887623184207196</v>
      </c>
      <c r="D1322" s="91" t="s">
        <v>2524</v>
      </c>
      <c r="E1322" s="91" t="b">
        <v>0</v>
      </c>
      <c r="F1322" s="91" t="b">
        <v>0</v>
      </c>
      <c r="G1322" s="91" t="b">
        <v>0</v>
      </c>
    </row>
    <row r="1323" spans="1:7" ht="15">
      <c r="A1323" s="92" t="s">
        <v>2952</v>
      </c>
      <c r="B1323" s="91">
        <v>5</v>
      </c>
      <c r="C1323" s="114">
        <v>0.0063887623184207196</v>
      </c>
      <c r="D1323" s="91" t="s">
        <v>2524</v>
      </c>
      <c r="E1323" s="91" t="b">
        <v>0</v>
      </c>
      <c r="F1323" s="91" t="b">
        <v>0</v>
      </c>
      <c r="G1323" s="91" t="b">
        <v>0</v>
      </c>
    </row>
    <row r="1324" spans="1:7" ht="15">
      <c r="A1324" s="92" t="s">
        <v>2719</v>
      </c>
      <c r="B1324" s="91">
        <v>5</v>
      </c>
      <c r="C1324" s="114">
        <v>0.0063887623184207196</v>
      </c>
      <c r="D1324" s="91" t="s">
        <v>2524</v>
      </c>
      <c r="E1324" s="91" t="b">
        <v>0</v>
      </c>
      <c r="F1324" s="91" t="b">
        <v>0</v>
      </c>
      <c r="G1324" s="91" t="b">
        <v>0</v>
      </c>
    </row>
    <row r="1325" spans="1:7" ht="15">
      <c r="A1325" s="92" t="s">
        <v>2653</v>
      </c>
      <c r="B1325" s="91">
        <v>5</v>
      </c>
      <c r="C1325" s="114">
        <v>0.0063887623184207196</v>
      </c>
      <c r="D1325" s="91" t="s">
        <v>2524</v>
      </c>
      <c r="E1325" s="91" t="b">
        <v>0</v>
      </c>
      <c r="F1325" s="91" t="b">
        <v>0</v>
      </c>
      <c r="G1325" s="91" t="b">
        <v>0</v>
      </c>
    </row>
    <row r="1326" spans="1:7" ht="15">
      <c r="A1326" s="92" t="s">
        <v>2665</v>
      </c>
      <c r="B1326" s="91">
        <v>5</v>
      </c>
      <c r="C1326" s="114">
        <v>0.0063887623184207196</v>
      </c>
      <c r="D1326" s="91" t="s">
        <v>2524</v>
      </c>
      <c r="E1326" s="91" t="b">
        <v>0</v>
      </c>
      <c r="F1326" s="91" t="b">
        <v>0</v>
      </c>
      <c r="G1326" s="91" t="b">
        <v>0</v>
      </c>
    </row>
    <row r="1327" spans="1:7" ht="15">
      <c r="A1327" s="92" t="s">
        <v>2590</v>
      </c>
      <c r="B1327" s="91">
        <v>5</v>
      </c>
      <c r="C1327" s="114">
        <v>0.0063887623184207196</v>
      </c>
      <c r="D1327" s="91" t="s">
        <v>2524</v>
      </c>
      <c r="E1327" s="91" t="b">
        <v>0</v>
      </c>
      <c r="F1327" s="91" t="b">
        <v>0</v>
      </c>
      <c r="G1327" s="91" t="b">
        <v>0</v>
      </c>
    </row>
    <row r="1328" spans="1:7" ht="15">
      <c r="A1328" s="92" t="s">
        <v>2953</v>
      </c>
      <c r="B1328" s="91">
        <v>5</v>
      </c>
      <c r="C1328" s="114">
        <v>0.0063887623184207196</v>
      </c>
      <c r="D1328" s="91" t="s">
        <v>2524</v>
      </c>
      <c r="E1328" s="91" t="b">
        <v>0</v>
      </c>
      <c r="F1328" s="91" t="b">
        <v>0</v>
      </c>
      <c r="G1328" s="91" t="b">
        <v>0</v>
      </c>
    </row>
    <row r="1329" spans="1:7" ht="15">
      <c r="A1329" s="92" t="s">
        <v>2591</v>
      </c>
      <c r="B1329" s="91">
        <v>5</v>
      </c>
      <c r="C1329" s="114">
        <v>0.0063887623184207196</v>
      </c>
      <c r="D1329" s="91" t="s">
        <v>2524</v>
      </c>
      <c r="E1329" s="91" t="b">
        <v>0</v>
      </c>
      <c r="F1329" s="91" t="b">
        <v>0</v>
      </c>
      <c r="G1329" s="91" t="b">
        <v>0</v>
      </c>
    </row>
    <row r="1330" spans="1:7" ht="15">
      <c r="A1330" s="92" t="s">
        <v>2954</v>
      </c>
      <c r="B1330" s="91">
        <v>5</v>
      </c>
      <c r="C1330" s="114">
        <v>0.0063887623184207196</v>
      </c>
      <c r="D1330" s="91" t="s">
        <v>2524</v>
      </c>
      <c r="E1330" s="91" t="b">
        <v>0</v>
      </c>
      <c r="F1330" s="91" t="b">
        <v>0</v>
      </c>
      <c r="G1330" s="91" t="b">
        <v>0</v>
      </c>
    </row>
    <row r="1331" spans="1:7" ht="15">
      <c r="A1331" s="92" t="s">
        <v>2955</v>
      </c>
      <c r="B1331" s="91">
        <v>5</v>
      </c>
      <c r="C1331" s="114">
        <v>0.0063887623184207196</v>
      </c>
      <c r="D1331" s="91" t="s">
        <v>2524</v>
      </c>
      <c r="E1331" s="91" t="b">
        <v>0</v>
      </c>
      <c r="F1331" s="91" t="b">
        <v>0</v>
      </c>
      <c r="G1331" s="91" t="b">
        <v>0</v>
      </c>
    </row>
    <row r="1332" spans="1:7" ht="15">
      <c r="A1332" s="92" t="s">
        <v>2956</v>
      </c>
      <c r="B1332" s="91">
        <v>5</v>
      </c>
      <c r="C1332" s="114">
        <v>0.0063887623184207196</v>
      </c>
      <c r="D1332" s="91" t="s">
        <v>2524</v>
      </c>
      <c r="E1332" s="91" t="b">
        <v>0</v>
      </c>
      <c r="F1332" s="91" t="b">
        <v>0</v>
      </c>
      <c r="G1332" s="91" t="b">
        <v>0</v>
      </c>
    </row>
    <row r="1333" spans="1:7" ht="15">
      <c r="A1333" s="92" t="s">
        <v>2894</v>
      </c>
      <c r="B1333" s="91">
        <v>5</v>
      </c>
      <c r="C1333" s="114">
        <v>0.0063887623184207196</v>
      </c>
      <c r="D1333" s="91" t="s">
        <v>2524</v>
      </c>
      <c r="E1333" s="91" t="b">
        <v>0</v>
      </c>
      <c r="F1333" s="91" t="b">
        <v>0</v>
      </c>
      <c r="G1333" s="91" t="b">
        <v>0</v>
      </c>
    </row>
    <row r="1334" spans="1:7" ht="15">
      <c r="A1334" s="92" t="s">
        <v>2957</v>
      </c>
      <c r="B1334" s="91">
        <v>5</v>
      </c>
      <c r="C1334" s="114">
        <v>0.0063887623184207196</v>
      </c>
      <c r="D1334" s="91" t="s">
        <v>2524</v>
      </c>
      <c r="E1334" s="91" t="b">
        <v>0</v>
      </c>
      <c r="F1334" s="91" t="b">
        <v>0</v>
      </c>
      <c r="G1334" s="91" t="b">
        <v>0</v>
      </c>
    </row>
    <row r="1335" spans="1:7" ht="15">
      <c r="A1335" s="92" t="s">
        <v>2958</v>
      </c>
      <c r="B1335" s="91">
        <v>5</v>
      </c>
      <c r="C1335" s="114">
        <v>0.0063887623184207196</v>
      </c>
      <c r="D1335" s="91" t="s">
        <v>2524</v>
      </c>
      <c r="E1335" s="91" t="b">
        <v>0</v>
      </c>
      <c r="F1335" s="91" t="b">
        <v>0</v>
      </c>
      <c r="G1335" s="91" t="b">
        <v>0</v>
      </c>
    </row>
    <row r="1336" spans="1:7" ht="15">
      <c r="A1336" s="92" t="s">
        <v>2959</v>
      </c>
      <c r="B1336" s="91">
        <v>5</v>
      </c>
      <c r="C1336" s="114">
        <v>0.0063887623184207196</v>
      </c>
      <c r="D1336" s="91" t="s">
        <v>2524</v>
      </c>
      <c r="E1336" s="91" t="b">
        <v>0</v>
      </c>
      <c r="F1336" s="91" t="b">
        <v>0</v>
      </c>
      <c r="G1336" s="91" t="b">
        <v>0</v>
      </c>
    </row>
    <row r="1337" spans="1:7" ht="15">
      <c r="A1337" s="92" t="s">
        <v>2960</v>
      </c>
      <c r="B1337" s="91">
        <v>5</v>
      </c>
      <c r="C1337" s="114">
        <v>0.0063887623184207196</v>
      </c>
      <c r="D1337" s="91" t="s">
        <v>2524</v>
      </c>
      <c r="E1337" s="91" t="b">
        <v>0</v>
      </c>
      <c r="F1337" s="91" t="b">
        <v>0</v>
      </c>
      <c r="G1337" s="91" t="b">
        <v>0</v>
      </c>
    </row>
    <row r="1338" spans="1:7" ht="15">
      <c r="A1338" s="92" t="s">
        <v>2961</v>
      </c>
      <c r="B1338" s="91">
        <v>5</v>
      </c>
      <c r="C1338" s="114">
        <v>0.0063887623184207196</v>
      </c>
      <c r="D1338" s="91" t="s">
        <v>2524</v>
      </c>
      <c r="E1338" s="91" t="b">
        <v>0</v>
      </c>
      <c r="F1338" s="91" t="b">
        <v>0</v>
      </c>
      <c r="G1338" s="91" t="b">
        <v>0</v>
      </c>
    </row>
    <row r="1339" spans="1:7" ht="15">
      <c r="A1339" s="92" t="s">
        <v>2777</v>
      </c>
      <c r="B1339" s="91">
        <v>5</v>
      </c>
      <c r="C1339" s="114">
        <v>0.0063887623184207196</v>
      </c>
      <c r="D1339" s="91" t="s">
        <v>2524</v>
      </c>
      <c r="E1339" s="91" t="b">
        <v>0</v>
      </c>
      <c r="F1339" s="91" t="b">
        <v>0</v>
      </c>
      <c r="G1339" s="91" t="b">
        <v>0</v>
      </c>
    </row>
    <row r="1340" spans="1:7" ht="15">
      <c r="A1340" s="92" t="s">
        <v>2962</v>
      </c>
      <c r="B1340" s="91">
        <v>5</v>
      </c>
      <c r="C1340" s="114">
        <v>0.0063887623184207196</v>
      </c>
      <c r="D1340" s="91" t="s">
        <v>2524</v>
      </c>
      <c r="E1340" s="91" t="b">
        <v>0</v>
      </c>
      <c r="F1340" s="91" t="b">
        <v>0</v>
      </c>
      <c r="G1340" s="91" t="b">
        <v>0</v>
      </c>
    </row>
    <row r="1341" spans="1:7" ht="15">
      <c r="A1341" s="92" t="s">
        <v>2963</v>
      </c>
      <c r="B1341" s="91">
        <v>5</v>
      </c>
      <c r="C1341" s="114">
        <v>0.0063887623184207196</v>
      </c>
      <c r="D1341" s="91" t="s">
        <v>2524</v>
      </c>
      <c r="E1341" s="91" t="b">
        <v>0</v>
      </c>
      <c r="F1341" s="91" t="b">
        <v>0</v>
      </c>
      <c r="G1341" s="91" t="b">
        <v>0</v>
      </c>
    </row>
    <row r="1342" spans="1:7" ht="15">
      <c r="A1342" s="92" t="s">
        <v>2565</v>
      </c>
      <c r="B1342" s="91">
        <v>4</v>
      </c>
      <c r="C1342" s="114">
        <v>0.005747528823590805</v>
      </c>
      <c r="D1342" s="91" t="s">
        <v>2524</v>
      </c>
      <c r="E1342" s="91" t="b">
        <v>0</v>
      </c>
      <c r="F1342" s="91" t="b">
        <v>0</v>
      </c>
      <c r="G1342" s="91" t="b">
        <v>0</v>
      </c>
    </row>
    <row r="1343" spans="1:7" ht="15">
      <c r="A1343" s="92" t="s">
        <v>2964</v>
      </c>
      <c r="B1343" s="91">
        <v>4</v>
      </c>
      <c r="C1343" s="114">
        <v>0.005747528823590805</v>
      </c>
      <c r="D1343" s="91" t="s">
        <v>2524</v>
      </c>
      <c r="E1343" s="91" t="b">
        <v>0</v>
      </c>
      <c r="F1343" s="91" t="b">
        <v>0</v>
      </c>
      <c r="G1343" s="91" t="b">
        <v>0</v>
      </c>
    </row>
    <row r="1344" spans="1:7" ht="15">
      <c r="A1344" s="92" t="s">
        <v>3013</v>
      </c>
      <c r="B1344" s="91">
        <v>4</v>
      </c>
      <c r="C1344" s="114">
        <v>0.005747528823590805</v>
      </c>
      <c r="D1344" s="91" t="s">
        <v>2524</v>
      </c>
      <c r="E1344" s="91" t="b">
        <v>0</v>
      </c>
      <c r="F1344" s="91" t="b">
        <v>0</v>
      </c>
      <c r="G1344" s="91" t="b">
        <v>0</v>
      </c>
    </row>
    <row r="1345" spans="1:7" ht="15">
      <c r="A1345" s="92" t="s">
        <v>2990</v>
      </c>
      <c r="B1345" s="91">
        <v>4</v>
      </c>
      <c r="C1345" s="114">
        <v>0.005747528823590805</v>
      </c>
      <c r="D1345" s="91" t="s">
        <v>2524</v>
      </c>
      <c r="E1345" s="91" t="b">
        <v>0</v>
      </c>
      <c r="F1345" s="91" t="b">
        <v>0</v>
      </c>
      <c r="G1345" s="91" t="b">
        <v>0</v>
      </c>
    </row>
    <row r="1346" spans="1:7" ht="15">
      <c r="A1346" s="92" t="s">
        <v>2991</v>
      </c>
      <c r="B1346" s="91">
        <v>4</v>
      </c>
      <c r="C1346" s="114">
        <v>0.005747528823590805</v>
      </c>
      <c r="D1346" s="91" t="s">
        <v>2524</v>
      </c>
      <c r="E1346" s="91" t="b">
        <v>0</v>
      </c>
      <c r="F1346" s="91" t="b">
        <v>0</v>
      </c>
      <c r="G1346" s="91" t="b">
        <v>0</v>
      </c>
    </row>
    <row r="1347" spans="1:7" ht="15">
      <c r="A1347" s="92" t="s">
        <v>2992</v>
      </c>
      <c r="B1347" s="91">
        <v>4</v>
      </c>
      <c r="C1347" s="114">
        <v>0.005747528823590805</v>
      </c>
      <c r="D1347" s="91" t="s">
        <v>2524</v>
      </c>
      <c r="E1347" s="91" t="b">
        <v>0</v>
      </c>
      <c r="F1347" s="91" t="b">
        <v>0</v>
      </c>
      <c r="G1347" s="91" t="b">
        <v>0</v>
      </c>
    </row>
    <row r="1348" spans="1:7" ht="15">
      <c r="A1348" s="92" t="s">
        <v>2993</v>
      </c>
      <c r="B1348" s="91">
        <v>4</v>
      </c>
      <c r="C1348" s="114">
        <v>0.005747528823590805</v>
      </c>
      <c r="D1348" s="91" t="s">
        <v>2524</v>
      </c>
      <c r="E1348" s="91" t="b">
        <v>0</v>
      </c>
      <c r="F1348" s="91" t="b">
        <v>0</v>
      </c>
      <c r="G1348" s="91" t="b">
        <v>0</v>
      </c>
    </row>
    <row r="1349" spans="1:7" ht="15">
      <c r="A1349" s="92" t="s">
        <v>2994</v>
      </c>
      <c r="B1349" s="91">
        <v>4</v>
      </c>
      <c r="C1349" s="114">
        <v>0.005747528823590805</v>
      </c>
      <c r="D1349" s="91" t="s">
        <v>2524</v>
      </c>
      <c r="E1349" s="91" t="b">
        <v>0</v>
      </c>
      <c r="F1349" s="91" t="b">
        <v>0</v>
      </c>
      <c r="G1349" s="91" t="b">
        <v>0</v>
      </c>
    </row>
    <row r="1350" spans="1:7" ht="15">
      <c r="A1350" s="92" t="s">
        <v>2995</v>
      </c>
      <c r="B1350" s="91">
        <v>4</v>
      </c>
      <c r="C1350" s="114">
        <v>0.005747528823590805</v>
      </c>
      <c r="D1350" s="91" t="s">
        <v>2524</v>
      </c>
      <c r="E1350" s="91" t="b">
        <v>0</v>
      </c>
      <c r="F1350" s="91" t="b">
        <v>0</v>
      </c>
      <c r="G1350" s="91" t="b">
        <v>0</v>
      </c>
    </row>
    <row r="1351" spans="1:7" ht="15">
      <c r="A1351" s="92" t="s">
        <v>2996</v>
      </c>
      <c r="B1351" s="91">
        <v>4</v>
      </c>
      <c r="C1351" s="114">
        <v>0.005747528823590805</v>
      </c>
      <c r="D1351" s="91" t="s">
        <v>2524</v>
      </c>
      <c r="E1351" s="91" t="b">
        <v>0</v>
      </c>
      <c r="F1351" s="91" t="b">
        <v>0</v>
      </c>
      <c r="G1351" s="91" t="b">
        <v>0</v>
      </c>
    </row>
    <row r="1352" spans="1:7" ht="15">
      <c r="A1352" s="92" t="s">
        <v>2997</v>
      </c>
      <c r="B1352" s="91">
        <v>4</v>
      </c>
      <c r="C1352" s="114">
        <v>0.005747528823590805</v>
      </c>
      <c r="D1352" s="91" t="s">
        <v>2524</v>
      </c>
      <c r="E1352" s="91" t="b">
        <v>0</v>
      </c>
      <c r="F1352" s="91" t="b">
        <v>0</v>
      </c>
      <c r="G1352" s="91" t="b">
        <v>0</v>
      </c>
    </row>
    <row r="1353" spans="1:7" ht="15">
      <c r="A1353" s="92" t="s">
        <v>2998</v>
      </c>
      <c r="B1353" s="91">
        <v>4</v>
      </c>
      <c r="C1353" s="114">
        <v>0.005747528823590805</v>
      </c>
      <c r="D1353" s="91" t="s">
        <v>2524</v>
      </c>
      <c r="E1353" s="91" t="b">
        <v>0</v>
      </c>
      <c r="F1353" s="91" t="b">
        <v>0</v>
      </c>
      <c r="G1353" s="91" t="b">
        <v>0</v>
      </c>
    </row>
    <row r="1354" spans="1:7" ht="15">
      <c r="A1354" s="92" t="s">
        <v>2999</v>
      </c>
      <c r="B1354" s="91">
        <v>4</v>
      </c>
      <c r="C1354" s="114">
        <v>0.005747528823590805</v>
      </c>
      <c r="D1354" s="91" t="s">
        <v>2524</v>
      </c>
      <c r="E1354" s="91" t="b">
        <v>0</v>
      </c>
      <c r="F1354" s="91" t="b">
        <v>0</v>
      </c>
      <c r="G1354" s="91" t="b">
        <v>0</v>
      </c>
    </row>
    <row r="1355" spans="1:7" ht="15">
      <c r="A1355" s="92" t="s">
        <v>3000</v>
      </c>
      <c r="B1355" s="91">
        <v>4</v>
      </c>
      <c r="C1355" s="114">
        <v>0.005747528823590805</v>
      </c>
      <c r="D1355" s="91" t="s">
        <v>2524</v>
      </c>
      <c r="E1355" s="91" t="b">
        <v>0</v>
      </c>
      <c r="F1355" s="91" t="b">
        <v>0</v>
      </c>
      <c r="G1355" s="91" t="b">
        <v>0</v>
      </c>
    </row>
    <row r="1356" spans="1:7" ht="15">
      <c r="A1356" s="92" t="s">
        <v>2934</v>
      </c>
      <c r="B1356" s="91">
        <v>4</v>
      </c>
      <c r="C1356" s="114">
        <v>0.005747528823590805</v>
      </c>
      <c r="D1356" s="91" t="s">
        <v>2524</v>
      </c>
      <c r="E1356" s="91" t="b">
        <v>0</v>
      </c>
      <c r="F1356" s="91" t="b">
        <v>0</v>
      </c>
      <c r="G1356" s="91" t="b">
        <v>0</v>
      </c>
    </row>
    <row r="1357" spans="1:7" ht="15">
      <c r="A1357" s="92" t="s">
        <v>3001</v>
      </c>
      <c r="B1357" s="91">
        <v>4</v>
      </c>
      <c r="C1357" s="114">
        <v>0.005747528823590805</v>
      </c>
      <c r="D1357" s="91" t="s">
        <v>2524</v>
      </c>
      <c r="E1357" s="91" t="b">
        <v>0</v>
      </c>
      <c r="F1357" s="91" t="b">
        <v>0</v>
      </c>
      <c r="G1357" s="91" t="b">
        <v>0</v>
      </c>
    </row>
    <row r="1358" spans="1:7" ht="15">
      <c r="A1358" s="92" t="s">
        <v>3002</v>
      </c>
      <c r="B1358" s="91">
        <v>4</v>
      </c>
      <c r="C1358" s="114">
        <v>0.005747528823590805</v>
      </c>
      <c r="D1358" s="91" t="s">
        <v>2524</v>
      </c>
      <c r="E1358" s="91" t="b">
        <v>0</v>
      </c>
      <c r="F1358" s="91" t="b">
        <v>0</v>
      </c>
      <c r="G1358" s="91" t="b">
        <v>0</v>
      </c>
    </row>
    <row r="1359" spans="1:7" ht="15">
      <c r="A1359" s="92" t="s">
        <v>3003</v>
      </c>
      <c r="B1359" s="91">
        <v>4</v>
      </c>
      <c r="C1359" s="114">
        <v>0.005747528823590805</v>
      </c>
      <c r="D1359" s="91" t="s">
        <v>2524</v>
      </c>
      <c r="E1359" s="91" t="b">
        <v>0</v>
      </c>
      <c r="F1359" s="91" t="b">
        <v>0</v>
      </c>
      <c r="G1359" s="91" t="b">
        <v>0</v>
      </c>
    </row>
    <row r="1360" spans="1:7" ht="15">
      <c r="A1360" s="92" t="s">
        <v>3004</v>
      </c>
      <c r="B1360" s="91">
        <v>4</v>
      </c>
      <c r="C1360" s="114">
        <v>0.005747528823590805</v>
      </c>
      <c r="D1360" s="91" t="s">
        <v>2524</v>
      </c>
      <c r="E1360" s="91" t="b">
        <v>0</v>
      </c>
      <c r="F1360" s="91" t="b">
        <v>0</v>
      </c>
      <c r="G1360" s="91" t="b">
        <v>0</v>
      </c>
    </row>
    <row r="1361" spans="1:7" ht="15">
      <c r="A1361" s="92" t="s">
        <v>3005</v>
      </c>
      <c r="B1361" s="91">
        <v>4</v>
      </c>
      <c r="C1361" s="114">
        <v>0.005747528823590805</v>
      </c>
      <c r="D1361" s="91" t="s">
        <v>2524</v>
      </c>
      <c r="E1361" s="91" t="b">
        <v>0</v>
      </c>
      <c r="F1361" s="91" t="b">
        <v>0</v>
      </c>
      <c r="G1361" s="91" t="b">
        <v>0</v>
      </c>
    </row>
    <row r="1362" spans="1:7" ht="15">
      <c r="A1362" s="92" t="s">
        <v>3006</v>
      </c>
      <c r="B1362" s="91">
        <v>4</v>
      </c>
      <c r="C1362" s="114">
        <v>0.005747528823590805</v>
      </c>
      <c r="D1362" s="91" t="s">
        <v>2524</v>
      </c>
      <c r="E1362" s="91" t="b">
        <v>0</v>
      </c>
      <c r="F1362" s="91" t="b">
        <v>0</v>
      </c>
      <c r="G1362" s="91" t="b">
        <v>0</v>
      </c>
    </row>
    <row r="1363" spans="1:7" ht="15">
      <c r="A1363" s="92" t="s">
        <v>3007</v>
      </c>
      <c r="B1363" s="91">
        <v>4</v>
      </c>
      <c r="C1363" s="114">
        <v>0.005747528823590805</v>
      </c>
      <c r="D1363" s="91" t="s">
        <v>2524</v>
      </c>
      <c r="E1363" s="91" t="b">
        <v>0</v>
      </c>
      <c r="F1363" s="91" t="b">
        <v>0</v>
      </c>
      <c r="G1363" s="91" t="b">
        <v>0</v>
      </c>
    </row>
    <row r="1364" spans="1:7" ht="15">
      <c r="A1364" s="92" t="s">
        <v>3008</v>
      </c>
      <c r="B1364" s="91">
        <v>4</v>
      </c>
      <c r="C1364" s="114">
        <v>0.005747528823590805</v>
      </c>
      <c r="D1364" s="91" t="s">
        <v>2524</v>
      </c>
      <c r="E1364" s="91" t="b">
        <v>0</v>
      </c>
      <c r="F1364" s="91" t="b">
        <v>0</v>
      </c>
      <c r="G1364" s="91" t="b">
        <v>0</v>
      </c>
    </row>
    <row r="1365" spans="1:7" ht="15">
      <c r="A1365" s="92" t="s">
        <v>3009</v>
      </c>
      <c r="B1365" s="91">
        <v>4</v>
      </c>
      <c r="C1365" s="114">
        <v>0.005747528823590805</v>
      </c>
      <c r="D1365" s="91" t="s">
        <v>2524</v>
      </c>
      <c r="E1365" s="91" t="b">
        <v>0</v>
      </c>
      <c r="F1365" s="91" t="b">
        <v>0</v>
      </c>
      <c r="G1365" s="91" t="b">
        <v>0</v>
      </c>
    </row>
    <row r="1366" spans="1:7" ht="15">
      <c r="A1366" s="92" t="s">
        <v>2643</v>
      </c>
      <c r="B1366" s="91">
        <v>4</v>
      </c>
      <c r="C1366" s="114">
        <v>0.005747528823590805</v>
      </c>
      <c r="D1366" s="91" t="s">
        <v>2524</v>
      </c>
      <c r="E1366" s="91" t="b">
        <v>0</v>
      </c>
      <c r="F1366" s="91" t="b">
        <v>0</v>
      </c>
      <c r="G1366" s="91" t="b">
        <v>0</v>
      </c>
    </row>
    <row r="1367" spans="1:7" ht="15">
      <c r="A1367" s="92" t="s">
        <v>3010</v>
      </c>
      <c r="B1367" s="91">
        <v>4</v>
      </c>
      <c r="C1367" s="114">
        <v>0.005747528823590805</v>
      </c>
      <c r="D1367" s="91" t="s">
        <v>2524</v>
      </c>
      <c r="E1367" s="91" t="b">
        <v>0</v>
      </c>
      <c r="F1367" s="91" t="b">
        <v>0</v>
      </c>
      <c r="G1367" s="91" t="b">
        <v>0</v>
      </c>
    </row>
    <row r="1368" spans="1:7" ht="15">
      <c r="A1368" s="92" t="s">
        <v>3011</v>
      </c>
      <c r="B1368" s="91">
        <v>4</v>
      </c>
      <c r="C1368" s="114">
        <v>0.005747528823590805</v>
      </c>
      <c r="D1368" s="91" t="s">
        <v>2524</v>
      </c>
      <c r="E1368" s="91" t="b">
        <v>0</v>
      </c>
      <c r="F1368" s="91" t="b">
        <v>0</v>
      </c>
      <c r="G1368" s="91" t="b">
        <v>0</v>
      </c>
    </row>
    <row r="1369" spans="1:7" ht="15">
      <c r="A1369" s="92" t="s">
        <v>3012</v>
      </c>
      <c r="B1369" s="91">
        <v>4</v>
      </c>
      <c r="C1369" s="114">
        <v>0.005747528823590805</v>
      </c>
      <c r="D1369" s="91" t="s">
        <v>2524</v>
      </c>
      <c r="E1369" s="91" t="b">
        <v>0</v>
      </c>
      <c r="F1369" s="91" t="b">
        <v>0</v>
      </c>
      <c r="G1369" s="91" t="b">
        <v>0</v>
      </c>
    </row>
    <row r="1370" spans="1:7" ht="15">
      <c r="A1370" s="92" t="s">
        <v>2749</v>
      </c>
      <c r="B1370" s="91">
        <v>4</v>
      </c>
      <c r="C1370" s="114">
        <v>0.005747528823590805</v>
      </c>
      <c r="D1370" s="91" t="s">
        <v>2524</v>
      </c>
      <c r="E1370" s="91" t="b">
        <v>0</v>
      </c>
      <c r="F1370" s="91" t="b">
        <v>0</v>
      </c>
      <c r="G1370" s="91" t="b">
        <v>0</v>
      </c>
    </row>
    <row r="1371" spans="1:7" ht="15">
      <c r="A1371" s="92" t="s">
        <v>2567</v>
      </c>
      <c r="B1371" s="91">
        <v>3</v>
      </c>
      <c r="C1371" s="114">
        <v>0.0049261083743842365</v>
      </c>
      <c r="D1371" s="91" t="s">
        <v>2524</v>
      </c>
      <c r="E1371" s="91" t="b">
        <v>0</v>
      </c>
      <c r="F1371" s="91" t="b">
        <v>0</v>
      </c>
      <c r="G1371" s="91" t="b">
        <v>0</v>
      </c>
    </row>
    <row r="1372" spans="1:7" ht="15">
      <c r="A1372" s="92" t="s">
        <v>2574</v>
      </c>
      <c r="B1372" s="91">
        <v>3</v>
      </c>
      <c r="C1372" s="114">
        <v>0.0049261083743842365</v>
      </c>
      <c r="D1372" s="91" t="s">
        <v>2524</v>
      </c>
      <c r="E1372" s="91" t="b">
        <v>0</v>
      </c>
      <c r="F1372" s="91" t="b">
        <v>0</v>
      </c>
      <c r="G1372" s="91" t="b">
        <v>0</v>
      </c>
    </row>
    <row r="1373" spans="1:7" ht="15">
      <c r="A1373" s="92" t="s">
        <v>2609</v>
      </c>
      <c r="B1373" s="91">
        <v>3</v>
      </c>
      <c r="C1373" s="114">
        <v>0.005793553000274293</v>
      </c>
      <c r="D1373" s="91" t="s">
        <v>2524</v>
      </c>
      <c r="E1373" s="91" t="b">
        <v>0</v>
      </c>
      <c r="F1373" s="91" t="b">
        <v>0</v>
      </c>
      <c r="G1373" s="91" t="b">
        <v>0</v>
      </c>
    </row>
    <row r="1374" spans="1:7" ht="15">
      <c r="A1374" s="92" t="s">
        <v>2583</v>
      </c>
      <c r="B1374" s="91">
        <v>3</v>
      </c>
      <c r="C1374" s="114">
        <v>0.0049261083743842365</v>
      </c>
      <c r="D1374" s="91" t="s">
        <v>2524</v>
      </c>
      <c r="E1374" s="91" t="b">
        <v>0</v>
      </c>
      <c r="F1374" s="91" t="b">
        <v>0</v>
      </c>
      <c r="G1374" s="91" t="b">
        <v>0</v>
      </c>
    </row>
    <row r="1375" spans="1:7" ht="15">
      <c r="A1375" s="92" t="s">
        <v>3074</v>
      </c>
      <c r="B1375" s="91">
        <v>2</v>
      </c>
      <c r="C1375" s="114">
        <v>0.003862368666849528</v>
      </c>
      <c r="D1375" s="91" t="s">
        <v>2524</v>
      </c>
      <c r="E1375" s="91" t="b">
        <v>0</v>
      </c>
      <c r="F1375" s="91" t="b">
        <v>0</v>
      </c>
      <c r="G1375" s="91" t="b">
        <v>0</v>
      </c>
    </row>
    <row r="1376" spans="1:7" ht="15">
      <c r="A1376" s="92" t="s">
        <v>2581</v>
      </c>
      <c r="B1376" s="91">
        <v>2</v>
      </c>
      <c r="C1376" s="114">
        <v>0.003862368666849528</v>
      </c>
      <c r="D1376" s="91" t="s">
        <v>2524</v>
      </c>
      <c r="E1376" s="91" t="b">
        <v>0</v>
      </c>
      <c r="F1376" s="91" t="b">
        <v>0</v>
      </c>
      <c r="G1376" s="91" t="b">
        <v>0</v>
      </c>
    </row>
    <row r="1377" spans="1:7" ht="15">
      <c r="A1377" s="92" t="s">
        <v>2586</v>
      </c>
      <c r="B1377" s="91">
        <v>2</v>
      </c>
      <c r="C1377" s="114">
        <v>0.003862368666849528</v>
      </c>
      <c r="D1377" s="91" t="s">
        <v>2524</v>
      </c>
      <c r="E1377" s="91" t="b">
        <v>0</v>
      </c>
      <c r="F1377" s="91" t="b">
        <v>0</v>
      </c>
      <c r="G1377" s="91" t="b">
        <v>0</v>
      </c>
    </row>
    <row r="1378" spans="1:7" ht="15">
      <c r="A1378" s="92" t="s">
        <v>2595</v>
      </c>
      <c r="B1378" s="91">
        <v>2</v>
      </c>
      <c r="C1378" s="114">
        <v>0.003862368666849528</v>
      </c>
      <c r="D1378" s="91" t="s">
        <v>2524</v>
      </c>
      <c r="E1378" s="91" t="b">
        <v>0</v>
      </c>
      <c r="F1378" s="91" t="b">
        <v>0</v>
      </c>
      <c r="G1378" s="91" t="b">
        <v>0</v>
      </c>
    </row>
    <row r="1379" spans="1:7" ht="15">
      <c r="A1379" s="92" t="s">
        <v>2592</v>
      </c>
      <c r="B1379" s="91">
        <v>2</v>
      </c>
      <c r="C1379" s="114">
        <v>0.003862368666849528</v>
      </c>
      <c r="D1379" s="91" t="s">
        <v>2524</v>
      </c>
      <c r="E1379" s="91" t="b">
        <v>0</v>
      </c>
      <c r="F1379" s="91" t="b">
        <v>0</v>
      </c>
      <c r="G1379" s="91" t="b">
        <v>0</v>
      </c>
    </row>
    <row r="1380" spans="1:7" ht="15">
      <c r="A1380" s="92" t="s">
        <v>2596</v>
      </c>
      <c r="B1380" s="91">
        <v>2</v>
      </c>
      <c r="C1380" s="114">
        <v>0.003862368666849528</v>
      </c>
      <c r="D1380" s="91" t="s">
        <v>2524</v>
      </c>
      <c r="E1380" s="91" t="b">
        <v>0</v>
      </c>
      <c r="F1380" s="91" t="b">
        <v>0</v>
      </c>
      <c r="G1380" s="91" t="b">
        <v>0</v>
      </c>
    </row>
    <row r="1381" spans="1:7" ht="15">
      <c r="A1381" s="92" t="s">
        <v>2597</v>
      </c>
      <c r="B1381" s="91">
        <v>2</v>
      </c>
      <c r="C1381" s="114">
        <v>0.003862368666849528</v>
      </c>
      <c r="D1381" s="91" t="s">
        <v>2524</v>
      </c>
      <c r="E1381" s="91" t="b">
        <v>0</v>
      </c>
      <c r="F1381" s="91" t="b">
        <v>0</v>
      </c>
      <c r="G1381" s="91" t="b">
        <v>0</v>
      </c>
    </row>
    <row r="1382" spans="1:7" ht="15">
      <c r="A1382" s="92" t="s">
        <v>2598</v>
      </c>
      <c r="B1382" s="91">
        <v>2</v>
      </c>
      <c r="C1382" s="114">
        <v>0.003862368666849528</v>
      </c>
      <c r="D1382" s="91" t="s">
        <v>2524</v>
      </c>
      <c r="E1382" s="91" t="b">
        <v>0</v>
      </c>
      <c r="F1382" s="91" t="b">
        <v>0</v>
      </c>
      <c r="G1382" s="91" t="b">
        <v>0</v>
      </c>
    </row>
    <row r="1383" spans="1:7" ht="15">
      <c r="A1383" s="92" t="s">
        <v>2599</v>
      </c>
      <c r="B1383" s="91">
        <v>2</v>
      </c>
      <c r="C1383" s="114">
        <v>0.003862368666849528</v>
      </c>
      <c r="D1383" s="91" t="s">
        <v>2524</v>
      </c>
      <c r="E1383" s="91" t="b">
        <v>0</v>
      </c>
      <c r="F1383" s="91" t="b">
        <v>0</v>
      </c>
      <c r="G1383" s="91" t="b">
        <v>0</v>
      </c>
    </row>
    <row r="1384" spans="1:7" ht="15">
      <c r="A1384" s="92" t="s">
        <v>2600</v>
      </c>
      <c r="B1384" s="91">
        <v>2</v>
      </c>
      <c r="C1384" s="114">
        <v>0.003862368666849528</v>
      </c>
      <c r="D1384" s="91" t="s">
        <v>2524</v>
      </c>
      <c r="E1384" s="91" t="b">
        <v>0</v>
      </c>
      <c r="F1384" s="91" t="b">
        <v>0</v>
      </c>
      <c r="G1384" s="91" t="b">
        <v>0</v>
      </c>
    </row>
    <row r="1385" spans="1:7" ht="15">
      <c r="A1385" s="92" t="s">
        <v>2601</v>
      </c>
      <c r="B1385" s="91">
        <v>2</v>
      </c>
      <c r="C1385" s="114">
        <v>0.003862368666849528</v>
      </c>
      <c r="D1385" s="91" t="s">
        <v>2524</v>
      </c>
      <c r="E1385" s="91" t="b">
        <v>0</v>
      </c>
      <c r="F1385" s="91" t="b">
        <v>0</v>
      </c>
      <c r="G1385" s="91" t="b">
        <v>0</v>
      </c>
    </row>
    <row r="1386" spans="1:7" ht="15">
      <c r="A1386" s="92" t="s">
        <v>2566</v>
      </c>
      <c r="B1386" s="91">
        <v>2</v>
      </c>
      <c r="C1386" s="114">
        <v>0.003862368666849528</v>
      </c>
      <c r="D1386" s="91" t="s">
        <v>2524</v>
      </c>
      <c r="E1386" s="91" t="b">
        <v>0</v>
      </c>
      <c r="F1386" s="91" t="b">
        <v>0</v>
      </c>
      <c r="G1386" s="91" t="b">
        <v>0</v>
      </c>
    </row>
    <row r="1387" spans="1:7" ht="15">
      <c r="A1387" s="92" t="s">
        <v>2584</v>
      </c>
      <c r="B1387" s="91">
        <v>2</v>
      </c>
      <c r="C1387" s="114">
        <v>0.003862368666849528</v>
      </c>
      <c r="D1387" s="91" t="s">
        <v>2524</v>
      </c>
      <c r="E1387" s="91" t="b">
        <v>0</v>
      </c>
      <c r="F1387" s="91" t="b">
        <v>0</v>
      </c>
      <c r="G1387" s="91" t="b">
        <v>0</v>
      </c>
    </row>
    <row r="1388" spans="1:7" ht="15">
      <c r="A1388" s="92" t="s">
        <v>2575</v>
      </c>
      <c r="B1388" s="91">
        <v>2</v>
      </c>
      <c r="C1388" s="114">
        <v>0.003862368666849528</v>
      </c>
      <c r="D1388" s="91" t="s">
        <v>2524</v>
      </c>
      <c r="E1388" s="91" t="b">
        <v>0</v>
      </c>
      <c r="F1388" s="91" t="b">
        <v>0</v>
      </c>
      <c r="G1388" s="91" t="b">
        <v>0</v>
      </c>
    </row>
    <row r="1389" spans="1:7" ht="15">
      <c r="A1389" s="92" t="s">
        <v>2570</v>
      </c>
      <c r="B1389" s="91">
        <v>2</v>
      </c>
      <c r="C1389" s="114">
        <v>0.003862368666849528</v>
      </c>
      <c r="D1389" s="91" t="s">
        <v>2524</v>
      </c>
      <c r="E1389" s="91" t="b">
        <v>0</v>
      </c>
      <c r="F1389" s="91" t="b">
        <v>0</v>
      </c>
      <c r="G1389" s="91" t="b">
        <v>0</v>
      </c>
    </row>
    <row r="1390" spans="1:7" ht="15">
      <c r="A1390" s="92" t="s">
        <v>2602</v>
      </c>
      <c r="B1390" s="91">
        <v>2</v>
      </c>
      <c r="C1390" s="114">
        <v>0.003862368666849528</v>
      </c>
      <c r="D1390" s="91" t="s">
        <v>2524</v>
      </c>
      <c r="E1390" s="91" t="b">
        <v>0</v>
      </c>
      <c r="F1390" s="91" t="b">
        <v>0</v>
      </c>
      <c r="G1390" s="91" t="b">
        <v>0</v>
      </c>
    </row>
    <row r="1391" spans="1:7" ht="15">
      <c r="A1391" s="92" t="s">
        <v>2603</v>
      </c>
      <c r="B1391" s="91">
        <v>2</v>
      </c>
      <c r="C1391" s="114">
        <v>0.003862368666849528</v>
      </c>
      <c r="D1391" s="91" t="s">
        <v>2524</v>
      </c>
      <c r="E1391" s="91" t="b">
        <v>0</v>
      </c>
      <c r="F1391" s="91" t="b">
        <v>0</v>
      </c>
      <c r="G1391" s="91" t="b">
        <v>0</v>
      </c>
    </row>
    <row r="1392" spans="1:7" ht="15">
      <c r="A1392" s="92" t="s">
        <v>2604</v>
      </c>
      <c r="B1392" s="91">
        <v>2</v>
      </c>
      <c r="C1392" s="114">
        <v>0.003862368666849528</v>
      </c>
      <c r="D1392" s="91" t="s">
        <v>2524</v>
      </c>
      <c r="E1392" s="91" t="b">
        <v>0</v>
      </c>
      <c r="F1392" s="91" t="b">
        <v>0</v>
      </c>
      <c r="G1392" s="91" t="b">
        <v>0</v>
      </c>
    </row>
    <row r="1393" spans="1:7" ht="15">
      <c r="A1393" s="92" t="s">
        <v>2587</v>
      </c>
      <c r="B1393" s="91">
        <v>2</v>
      </c>
      <c r="C1393" s="114">
        <v>0.003862368666849528</v>
      </c>
      <c r="D1393" s="91" t="s">
        <v>2524</v>
      </c>
      <c r="E1393" s="91" t="b">
        <v>0</v>
      </c>
      <c r="F1393" s="91" t="b">
        <v>0</v>
      </c>
      <c r="G1393" s="91" t="b">
        <v>0</v>
      </c>
    </row>
    <row r="1394" spans="1:7" ht="15">
      <c r="A1394" s="92" t="s">
        <v>2593</v>
      </c>
      <c r="B1394" s="91">
        <v>2</v>
      </c>
      <c r="C1394" s="114">
        <v>0.003862368666849528</v>
      </c>
      <c r="D1394" s="91" t="s">
        <v>2524</v>
      </c>
      <c r="E1394" s="91" t="b">
        <v>0</v>
      </c>
      <c r="F1394" s="91" t="b">
        <v>0</v>
      </c>
      <c r="G1394" s="91" t="b">
        <v>0</v>
      </c>
    </row>
    <row r="1395" spans="1:7" ht="15">
      <c r="A1395" s="92" t="s">
        <v>2605</v>
      </c>
      <c r="B1395" s="91">
        <v>2</v>
      </c>
      <c r="C1395" s="114">
        <v>0.003862368666849528</v>
      </c>
      <c r="D1395" s="91" t="s">
        <v>2524</v>
      </c>
      <c r="E1395" s="91" t="b">
        <v>0</v>
      </c>
      <c r="F1395" s="91" t="b">
        <v>0</v>
      </c>
      <c r="G1395" s="91" t="b">
        <v>0</v>
      </c>
    </row>
    <row r="1396" spans="1:7" ht="15">
      <c r="A1396" s="92" t="s">
        <v>2606</v>
      </c>
      <c r="B1396" s="91">
        <v>2</v>
      </c>
      <c r="C1396" s="114">
        <v>0.003862368666849528</v>
      </c>
      <c r="D1396" s="91" t="s">
        <v>2524</v>
      </c>
      <c r="E1396" s="91" t="b">
        <v>0</v>
      </c>
      <c r="F1396" s="91" t="b">
        <v>0</v>
      </c>
      <c r="G1396" s="91" t="b">
        <v>0</v>
      </c>
    </row>
    <row r="1397" spans="1:7" ht="15">
      <c r="A1397" s="92" t="s">
        <v>2573</v>
      </c>
      <c r="B1397" s="91">
        <v>2</v>
      </c>
      <c r="C1397" s="114">
        <v>0.003862368666849528</v>
      </c>
      <c r="D1397" s="91" t="s">
        <v>2524</v>
      </c>
      <c r="E1397" s="91" t="b">
        <v>0</v>
      </c>
      <c r="F1397" s="91" t="b">
        <v>0</v>
      </c>
      <c r="G1397" s="91" t="b">
        <v>0</v>
      </c>
    </row>
    <row r="1398" spans="1:7" ht="15">
      <c r="A1398" s="92" t="s">
        <v>2579</v>
      </c>
      <c r="B1398" s="91">
        <v>2</v>
      </c>
      <c r="C1398" s="114">
        <v>0.003862368666849528</v>
      </c>
      <c r="D1398" s="91" t="s">
        <v>2524</v>
      </c>
      <c r="E1398" s="91" t="b">
        <v>0</v>
      </c>
      <c r="F1398" s="91" t="b">
        <v>0</v>
      </c>
      <c r="G1398" s="91" t="b">
        <v>0</v>
      </c>
    </row>
    <row r="1399" spans="1:7" ht="15">
      <c r="A1399" s="92" t="s">
        <v>2588</v>
      </c>
      <c r="B1399" s="91">
        <v>2</v>
      </c>
      <c r="C1399" s="114">
        <v>0.003862368666849528</v>
      </c>
      <c r="D1399" s="91" t="s">
        <v>2524</v>
      </c>
      <c r="E1399" s="91" t="b">
        <v>0</v>
      </c>
      <c r="F1399" s="91" t="b">
        <v>0</v>
      </c>
      <c r="G1399" s="91" t="b">
        <v>0</v>
      </c>
    </row>
    <row r="1400" spans="1:7" ht="15">
      <c r="A1400" s="92" t="s">
        <v>3075</v>
      </c>
      <c r="B1400" s="91">
        <v>2</v>
      </c>
      <c r="C1400" s="114">
        <v>0.003862368666849528</v>
      </c>
      <c r="D1400" s="91" t="s">
        <v>2524</v>
      </c>
      <c r="E1400" s="91" t="b">
        <v>0</v>
      </c>
      <c r="F1400" s="91" t="b">
        <v>0</v>
      </c>
      <c r="G1400" s="91" t="b">
        <v>0</v>
      </c>
    </row>
    <row r="1401" spans="1:7" ht="15">
      <c r="A1401" s="92" t="s">
        <v>2568</v>
      </c>
      <c r="B1401" s="91">
        <v>29</v>
      </c>
      <c r="C1401" s="114">
        <v>0.002045015631623498</v>
      </c>
      <c r="D1401" s="91" t="s">
        <v>2525</v>
      </c>
      <c r="E1401" s="91" t="b">
        <v>0</v>
      </c>
      <c r="F1401" s="91" t="b">
        <v>0</v>
      </c>
      <c r="G1401" s="91" t="b">
        <v>0</v>
      </c>
    </row>
    <row r="1402" spans="1:7" ht="15">
      <c r="A1402" s="92" t="s">
        <v>2580</v>
      </c>
      <c r="B1402" s="91">
        <v>28</v>
      </c>
      <c r="C1402" s="114">
        <v>0.0030507172442530177</v>
      </c>
      <c r="D1402" s="91" t="s">
        <v>2525</v>
      </c>
      <c r="E1402" s="91" t="b">
        <v>0</v>
      </c>
      <c r="F1402" s="91" t="b">
        <v>0</v>
      </c>
      <c r="G1402" s="91" t="b">
        <v>0</v>
      </c>
    </row>
    <row r="1403" spans="1:7" ht="15">
      <c r="A1403" s="92" t="s">
        <v>2577</v>
      </c>
      <c r="B1403" s="91">
        <v>26</v>
      </c>
      <c r="C1403" s="114">
        <v>0.0050339630615173206</v>
      </c>
      <c r="D1403" s="91" t="s">
        <v>2525</v>
      </c>
      <c r="E1403" s="91" t="b">
        <v>0</v>
      </c>
      <c r="F1403" s="91" t="b">
        <v>0</v>
      </c>
      <c r="G1403" s="91" t="b">
        <v>0</v>
      </c>
    </row>
    <row r="1404" spans="1:7" ht="15">
      <c r="A1404" s="92" t="s">
        <v>2564</v>
      </c>
      <c r="B1404" s="91">
        <v>19</v>
      </c>
      <c r="C1404" s="114">
        <v>0</v>
      </c>
      <c r="D1404" s="91" t="s">
        <v>2525</v>
      </c>
      <c r="E1404" s="91" t="b">
        <v>0</v>
      </c>
      <c r="F1404" s="91" t="b">
        <v>0</v>
      </c>
      <c r="G1404" s="91" t="b">
        <v>0</v>
      </c>
    </row>
    <row r="1405" spans="1:7" ht="15">
      <c r="A1405" s="92" t="s">
        <v>2570</v>
      </c>
      <c r="B1405" s="91">
        <v>18</v>
      </c>
      <c r="C1405" s="114">
        <v>0.0006170214967757843</v>
      </c>
      <c r="D1405" s="91" t="s">
        <v>2525</v>
      </c>
      <c r="E1405" s="91" t="b">
        <v>0</v>
      </c>
      <c r="F1405" s="91" t="b">
        <v>0</v>
      </c>
      <c r="G1405" s="91" t="b">
        <v>0</v>
      </c>
    </row>
    <row r="1406" spans="1:7" ht="15">
      <c r="A1406" s="92" t="s">
        <v>2566</v>
      </c>
      <c r="B1406" s="91">
        <v>18</v>
      </c>
      <c r="C1406" s="114">
        <v>0.0006170214967757843</v>
      </c>
      <c r="D1406" s="91" t="s">
        <v>2525</v>
      </c>
      <c r="E1406" s="91" t="b">
        <v>0</v>
      </c>
      <c r="F1406" s="91" t="b">
        <v>0</v>
      </c>
      <c r="G1406" s="91" t="b">
        <v>0</v>
      </c>
    </row>
    <row r="1407" spans="1:7" ht="15">
      <c r="A1407" s="92" t="s">
        <v>2581</v>
      </c>
      <c r="B1407" s="91">
        <v>13</v>
      </c>
      <c r="C1407" s="114">
        <v>0.0031277857407268584</v>
      </c>
      <c r="D1407" s="91" t="s">
        <v>2525</v>
      </c>
      <c r="E1407" s="91" t="b">
        <v>0</v>
      </c>
      <c r="F1407" s="91" t="b">
        <v>0</v>
      </c>
      <c r="G1407" s="91" t="b">
        <v>0</v>
      </c>
    </row>
    <row r="1408" spans="1:7" ht="15">
      <c r="A1408" s="92" t="s">
        <v>2586</v>
      </c>
      <c r="B1408" s="91">
        <v>13</v>
      </c>
      <c r="C1408" s="114">
        <v>0.0031277857407268584</v>
      </c>
      <c r="D1408" s="91" t="s">
        <v>2525</v>
      </c>
      <c r="E1408" s="91" t="b">
        <v>0</v>
      </c>
      <c r="F1408" s="91" t="b">
        <v>0</v>
      </c>
      <c r="G1408" s="91" t="b">
        <v>0</v>
      </c>
    </row>
    <row r="1409" spans="1:7" ht="15">
      <c r="A1409" s="92" t="s">
        <v>2576</v>
      </c>
      <c r="B1409" s="91">
        <v>13</v>
      </c>
      <c r="C1409" s="114">
        <v>0.0031277857407268584</v>
      </c>
      <c r="D1409" s="91" t="s">
        <v>2525</v>
      </c>
      <c r="E1409" s="91" t="b">
        <v>0</v>
      </c>
      <c r="F1409" s="91" t="b">
        <v>0</v>
      </c>
      <c r="G1409" s="91" t="b">
        <v>0</v>
      </c>
    </row>
    <row r="1410" spans="1:7" ht="15">
      <c r="A1410" s="92" t="s">
        <v>2569</v>
      </c>
      <c r="B1410" s="91">
        <v>13</v>
      </c>
      <c r="C1410" s="114">
        <v>0.0031277857407268584</v>
      </c>
      <c r="D1410" s="91" t="s">
        <v>2525</v>
      </c>
      <c r="E1410" s="91" t="b">
        <v>0</v>
      </c>
      <c r="F1410" s="91" t="b">
        <v>0</v>
      </c>
      <c r="G1410" s="91" t="b">
        <v>0</v>
      </c>
    </row>
    <row r="1411" spans="1:7" ht="15">
      <c r="A1411" s="92" t="s">
        <v>2572</v>
      </c>
      <c r="B1411" s="91">
        <v>13</v>
      </c>
      <c r="C1411" s="114">
        <v>0.0031277857407268584</v>
      </c>
      <c r="D1411" s="91" t="s">
        <v>2525</v>
      </c>
      <c r="E1411" s="91" t="b">
        <v>0</v>
      </c>
      <c r="F1411" s="91" t="b">
        <v>0</v>
      </c>
      <c r="G1411" s="91" t="b">
        <v>0</v>
      </c>
    </row>
    <row r="1412" spans="1:7" ht="15">
      <c r="A1412" s="92" t="s">
        <v>2630</v>
      </c>
      <c r="B1412" s="91">
        <v>13</v>
      </c>
      <c r="C1412" s="114">
        <v>0.0031277857407268584</v>
      </c>
      <c r="D1412" s="91" t="s">
        <v>2525</v>
      </c>
      <c r="E1412" s="91" t="b">
        <v>0</v>
      </c>
      <c r="F1412" s="91" t="b">
        <v>0</v>
      </c>
      <c r="G1412" s="91" t="b">
        <v>0</v>
      </c>
    </row>
    <row r="1413" spans="1:7" ht="15">
      <c r="A1413" s="92" t="s">
        <v>2578</v>
      </c>
      <c r="B1413" s="91">
        <v>13</v>
      </c>
      <c r="C1413" s="114">
        <v>0.0031277857407268584</v>
      </c>
      <c r="D1413" s="91" t="s">
        <v>2525</v>
      </c>
      <c r="E1413" s="91" t="b">
        <v>0</v>
      </c>
      <c r="F1413" s="91" t="b">
        <v>0</v>
      </c>
      <c r="G1413" s="91" t="b">
        <v>0</v>
      </c>
    </row>
    <row r="1414" spans="1:7" ht="15">
      <c r="A1414" s="92" t="s">
        <v>2660</v>
      </c>
      <c r="B1414" s="91">
        <v>12</v>
      </c>
      <c r="C1414" s="114">
        <v>0.0034961580421349627</v>
      </c>
      <c r="D1414" s="91" t="s">
        <v>2525</v>
      </c>
      <c r="E1414" s="91" t="b">
        <v>0</v>
      </c>
      <c r="F1414" s="91" t="b">
        <v>0</v>
      </c>
      <c r="G1414" s="91" t="b">
        <v>0</v>
      </c>
    </row>
    <row r="1415" spans="1:7" ht="15">
      <c r="A1415" s="92" t="s">
        <v>2670</v>
      </c>
      <c r="B1415" s="91">
        <v>12</v>
      </c>
      <c r="C1415" s="114">
        <v>0.0034961580421349627</v>
      </c>
      <c r="D1415" s="91" t="s">
        <v>2525</v>
      </c>
      <c r="E1415" s="91" t="b">
        <v>0</v>
      </c>
      <c r="F1415" s="91" t="b">
        <v>0</v>
      </c>
      <c r="G1415" s="91" t="b">
        <v>0</v>
      </c>
    </row>
    <row r="1416" spans="1:7" ht="15">
      <c r="A1416" s="92" t="s">
        <v>2655</v>
      </c>
      <c r="B1416" s="91">
        <v>12</v>
      </c>
      <c r="C1416" s="114">
        <v>0.0034961580421349627</v>
      </c>
      <c r="D1416" s="91" t="s">
        <v>2525</v>
      </c>
      <c r="E1416" s="91" t="b">
        <v>0</v>
      </c>
      <c r="F1416" s="91" t="b">
        <v>0</v>
      </c>
      <c r="G1416" s="91" t="b">
        <v>0</v>
      </c>
    </row>
    <row r="1417" spans="1:7" ht="15">
      <c r="A1417" s="92" t="s">
        <v>2661</v>
      </c>
      <c r="B1417" s="91">
        <v>12</v>
      </c>
      <c r="C1417" s="114">
        <v>0.0034961580421349627</v>
      </c>
      <c r="D1417" s="91" t="s">
        <v>2525</v>
      </c>
      <c r="E1417" s="91" t="b">
        <v>0</v>
      </c>
      <c r="F1417" s="91" t="b">
        <v>0</v>
      </c>
      <c r="G1417" s="91" t="b">
        <v>0</v>
      </c>
    </row>
    <row r="1418" spans="1:7" ht="15">
      <c r="A1418" s="92" t="s">
        <v>2656</v>
      </c>
      <c r="B1418" s="91">
        <v>12</v>
      </c>
      <c r="C1418" s="114">
        <v>0.0034961580421349627</v>
      </c>
      <c r="D1418" s="91" t="s">
        <v>2525</v>
      </c>
      <c r="E1418" s="91" t="b">
        <v>0</v>
      </c>
      <c r="F1418" s="91" t="b">
        <v>0</v>
      </c>
      <c r="G1418" s="91" t="b">
        <v>0</v>
      </c>
    </row>
    <row r="1419" spans="1:7" ht="15">
      <c r="A1419" s="92" t="s">
        <v>586</v>
      </c>
      <c r="B1419" s="91">
        <v>12</v>
      </c>
      <c r="C1419" s="114">
        <v>0.0034961580421349627</v>
      </c>
      <c r="D1419" s="91" t="s">
        <v>2525</v>
      </c>
      <c r="E1419" s="91" t="b">
        <v>0</v>
      </c>
      <c r="F1419" s="91" t="b">
        <v>0</v>
      </c>
      <c r="G1419" s="91" t="b">
        <v>0</v>
      </c>
    </row>
    <row r="1420" spans="1:7" ht="15">
      <c r="A1420" s="92" t="s">
        <v>2700</v>
      </c>
      <c r="B1420" s="91">
        <v>12</v>
      </c>
      <c r="C1420" s="114">
        <v>0.0034961580421349627</v>
      </c>
      <c r="D1420" s="91" t="s">
        <v>2525</v>
      </c>
      <c r="E1420" s="91" t="b">
        <v>0</v>
      </c>
      <c r="F1420" s="91" t="b">
        <v>0</v>
      </c>
      <c r="G1420" s="91" t="b">
        <v>0</v>
      </c>
    </row>
    <row r="1421" spans="1:7" ht="15">
      <c r="A1421" s="92" t="s">
        <v>2657</v>
      </c>
      <c r="B1421" s="91">
        <v>12</v>
      </c>
      <c r="C1421" s="114">
        <v>0.0034961580421349627</v>
      </c>
      <c r="D1421" s="91" t="s">
        <v>2525</v>
      </c>
      <c r="E1421" s="91" t="b">
        <v>0</v>
      </c>
      <c r="F1421" s="91" t="b">
        <v>0</v>
      </c>
      <c r="G1421" s="91" t="b">
        <v>0</v>
      </c>
    </row>
    <row r="1422" spans="1:7" ht="15">
      <c r="A1422" s="92" t="s">
        <v>2629</v>
      </c>
      <c r="B1422" s="91">
        <v>12</v>
      </c>
      <c r="C1422" s="114">
        <v>0.0034961580421349627</v>
      </c>
      <c r="D1422" s="91" t="s">
        <v>2525</v>
      </c>
      <c r="E1422" s="91" t="b">
        <v>0</v>
      </c>
      <c r="F1422" s="91" t="b">
        <v>0</v>
      </c>
      <c r="G1422" s="91" t="b">
        <v>0</v>
      </c>
    </row>
    <row r="1423" spans="1:7" ht="15">
      <c r="A1423" s="92" t="s">
        <v>2701</v>
      </c>
      <c r="B1423" s="91">
        <v>12</v>
      </c>
      <c r="C1423" s="114">
        <v>0.0034961580421349627</v>
      </c>
      <c r="D1423" s="91" t="s">
        <v>2525</v>
      </c>
      <c r="E1423" s="91" t="b">
        <v>0</v>
      </c>
      <c r="F1423" s="91" t="b">
        <v>0</v>
      </c>
      <c r="G1423" s="91" t="b">
        <v>0</v>
      </c>
    </row>
    <row r="1424" spans="1:7" ht="15">
      <c r="A1424" s="92" t="s">
        <v>2702</v>
      </c>
      <c r="B1424" s="91">
        <v>12</v>
      </c>
      <c r="C1424" s="114">
        <v>0.0034961580421349627</v>
      </c>
      <c r="D1424" s="91" t="s">
        <v>2525</v>
      </c>
      <c r="E1424" s="91" t="b">
        <v>0</v>
      </c>
      <c r="F1424" s="91" t="b">
        <v>0</v>
      </c>
      <c r="G1424" s="91" t="b">
        <v>0</v>
      </c>
    </row>
    <row r="1425" spans="1:7" ht="15">
      <c r="A1425" s="92" t="s">
        <v>2652</v>
      </c>
      <c r="B1425" s="91">
        <v>12</v>
      </c>
      <c r="C1425" s="114">
        <v>0.0034961580421349627</v>
      </c>
      <c r="D1425" s="91" t="s">
        <v>2525</v>
      </c>
      <c r="E1425" s="91" t="b">
        <v>0</v>
      </c>
      <c r="F1425" s="91" t="b">
        <v>0</v>
      </c>
      <c r="G1425" s="91" t="b">
        <v>0</v>
      </c>
    </row>
    <row r="1426" spans="1:7" ht="15">
      <c r="A1426" s="92" t="s">
        <v>2703</v>
      </c>
      <c r="B1426" s="91">
        <v>12</v>
      </c>
      <c r="C1426" s="114">
        <v>0.0034961580421349627</v>
      </c>
      <c r="D1426" s="91" t="s">
        <v>2525</v>
      </c>
      <c r="E1426" s="91" t="b">
        <v>0</v>
      </c>
      <c r="F1426" s="91" t="b">
        <v>0</v>
      </c>
      <c r="G1426" s="91" t="b">
        <v>0</v>
      </c>
    </row>
    <row r="1427" spans="1:7" ht="15">
      <c r="A1427" s="92" t="s">
        <v>2704</v>
      </c>
      <c r="B1427" s="91">
        <v>12</v>
      </c>
      <c r="C1427" s="114">
        <v>0.0034961580421349627</v>
      </c>
      <c r="D1427" s="91" t="s">
        <v>2525</v>
      </c>
      <c r="E1427" s="91" t="b">
        <v>0</v>
      </c>
      <c r="F1427" s="91" t="b">
        <v>0</v>
      </c>
      <c r="G1427" s="91" t="b">
        <v>0</v>
      </c>
    </row>
    <row r="1428" spans="1:7" ht="15">
      <c r="A1428" s="92" t="s">
        <v>2695</v>
      </c>
      <c r="B1428" s="91">
        <v>12</v>
      </c>
      <c r="C1428" s="114">
        <v>0.0034961580421349627</v>
      </c>
      <c r="D1428" s="91" t="s">
        <v>2525</v>
      </c>
      <c r="E1428" s="91" t="b">
        <v>0</v>
      </c>
      <c r="F1428" s="91" t="b">
        <v>0</v>
      </c>
      <c r="G1428" s="91" t="b">
        <v>0</v>
      </c>
    </row>
    <row r="1429" spans="1:7" ht="15">
      <c r="A1429" s="92" t="s">
        <v>2705</v>
      </c>
      <c r="B1429" s="91">
        <v>12</v>
      </c>
      <c r="C1429" s="114">
        <v>0.0034961580421349627</v>
      </c>
      <c r="D1429" s="91" t="s">
        <v>2525</v>
      </c>
      <c r="E1429" s="91" t="b">
        <v>0</v>
      </c>
      <c r="F1429" s="91" t="b">
        <v>0</v>
      </c>
      <c r="G1429" s="91" t="b">
        <v>0</v>
      </c>
    </row>
    <row r="1430" spans="1:7" ht="15">
      <c r="A1430" s="92" t="s">
        <v>2671</v>
      </c>
      <c r="B1430" s="91">
        <v>12</v>
      </c>
      <c r="C1430" s="114">
        <v>0.0034961580421349627</v>
      </c>
      <c r="D1430" s="91" t="s">
        <v>2525</v>
      </c>
      <c r="E1430" s="91" t="b">
        <v>0</v>
      </c>
      <c r="F1430" s="91" t="b">
        <v>0</v>
      </c>
      <c r="G1430" s="91" t="b">
        <v>0</v>
      </c>
    </row>
    <row r="1431" spans="1:7" ht="15">
      <c r="A1431" s="92" t="s">
        <v>2634</v>
      </c>
      <c r="B1431" s="91">
        <v>12</v>
      </c>
      <c r="C1431" s="114">
        <v>0.0034961580421349627</v>
      </c>
      <c r="D1431" s="91" t="s">
        <v>2525</v>
      </c>
      <c r="E1431" s="91" t="b">
        <v>0</v>
      </c>
      <c r="F1431" s="91" t="b">
        <v>0</v>
      </c>
      <c r="G1431" s="91" t="b">
        <v>0</v>
      </c>
    </row>
    <row r="1432" spans="1:7" ht="15">
      <c r="A1432" s="92" t="s">
        <v>2706</v>
      </c>
      <c r="B1432" s="91">
        <v>12</v>
      </c>
      <c r="C1432" s="114">
        <v>0.0034961580421349627</v>
      </c>
      <c r="D1432" s="91" t="s">
        <v>2525</v>
      </c>
      <c r="E1432" s="91" t="b">
        <v>0</v>
      </c>
      <c r="F1432" s="91" t="b">
        <v>0</v>
      </c>
      <c r="G1432" s="91" t="b">
        <v>0</v>
      </c>
    </row>
    <row r="1433" spans="1:7" ht="15">
      <c r="A1433" s="92" t="s">
        <v>2707</v>
      </c>
      <c r="B1433" s="91">
        <v>12</v>
      </c>
      <c r="C1433" s="114">
        <v>0.0034961580421349627</v>
      </c>
      <c r="D1433" s="91" t="s">
        <v>2525</v>
      </c>
      <c r="E1433" s="91" t="b">
        <v>0</v>
      </c>
      <c r="F1433" s="91" t="b">
        <v>0</v>
      </c>
      <c r="G1433" s="91" t="b">
        <v>0</v>
      </c>
    </row>
    <row r="1434" spans="1:7" ht="15">
      <c r="A1434" s="92" t="s">
        <v>2662</v>
      </c>
      <c r="B1434" s="91">
        <v>12</v>
      </c>
      <c r="C1434" s="114">
        <v>0.0034961580421349627</v>
      </c>
      <c r="D1434" s="91" t="s">
        <v>2525</v>
      </c>
      <c r="E1434" s="91" t="b">
        <v>0</v>
      </c>
      <c r="F1434" s="91" t="b">
        <v>0</v>
      </c>
      <c r="G1434" s="91" t="b">
        <v>0</v>
      </c>
    </row>
    <row r="1435" spans="1:7" ht="15">
      <c r="A1435" s="92" t="s">
        <v>2708</v>
      </c>
      <c r="B1435" s="91">
        <v>12</v>
      </c>
      <c r="C1435" s="114">
        <v>0.0034961580421349627</v>
      </c>
      <c r="D1435" s="91" t="s">
        <v>2525</v>
      </c>
      <c r="E1435" s="91" t="b">
        <v>0</v>
      </c>
      <c r="F1435" s="91" t="b">
        <v>0</v>
      </c>
      <c r="G1435" s="91" t="b">
        <v>0</v>
      </c>
    </row>
    <row r="1436" spans="1:7" ht="15">
      <c r="A1436" s="92" t="s">
        <v>2709</v>
      </c>
      <c r="B1436" s="91">
        <v>12</v>
      </c>
      <c r="C1436" s="114">
        <v>0.0034961580421349627</v>
      </c>
      <c r="D1436" s="91" t="s">
        <v>2525</v>
      </c>
      <c r="E1436" s="91" t="b">
        <v>0</v>
      </c>
      <c r="F1436" s="91" t="b">
        <v>0</v>
      </c>
      <c r="G1436" s="91" t="b">
        <v>0</v>
      </c>
    </row>
    <row r="1437" spans="1:7" ht="15">
      <c r="A1437" s="92" t="s">
        <v>2680</v>
      </c>
      <c r="B1437" s="91">
        <v>12</v>
      </c>
      <c r="C1437" s="114">
        <v>0.0034961580421349627</v>
      </c>
      <c r="D1437" s="91" t="s">
        <v>2525</v>
      </c>
      <c r="E1437" s="91" t="b">
        <v>0</v>
      </c>
      <c r="F1437" s="91" t="b">
        <v>0</v>
      </c>
      <c r="G1437" s="91" t="b">
        <v>0</v>
      </c>
    </row>
    <row r="1438" spans="1:7" ht="15">
      <c r="A1438" s="92" t="s">
        <v>2710</v>
      </c>
      <c r="B1438" s="91">
        <v>12</v>
      </c>
      <c r="C1438" s="114">
        <v>0.0034961580421349627</v>
      </c>
      <c r="D1438" s="91" t="s">
        <v>2525</v>
      </c>
      <c r="E1438" s="91" t="b">
        <v>0</v>
      </c>
      <c r="F1438" s="91" t="b">
        <v>0</v>
      </c>
      <c r="G1438" s="91" t="b">
        <v>0</v>
      </c>
    </row>
    <row r="1439" spans="1:7" ht="15">
      <c r="A1439" s="92" t="s">
        <v>2711</v>
      </c>
      <c r="B1439" s="91">
        <v>12</v>
      </c>
      <c r="C1439" s="114">
        <v>0.0034961580421349627</v>
      </c>
      <c r="D1439" s="91" t="s">
        <v>2525</v>
      </c>
      <c r="E1439" s="91" t="b">
        <v>0</v>
      </c>
      <c r="F1439" s="91" t="b">
        <v>0</v>
      </c>
      <c r="G1439" s="91" t="b">
        <v>0</v>
      </c>
    </row>
    <row r="1440" spans="1:7" ht="15">
      <c r="A1440" s="92" t="s">
        <v>2589</v>
      </c>
      <c r="B1440" s="91">
        <v>7</v>
      </c>
      <c r="C1440" s="114">
        <v>0.006915117178648272</v>
      </c>
      <c r="D1440" s="91" t="s">
        <v>2525</v>
      </c>
      <c r="E1440" s="91" t="b">
        <v>0</v>
      </c>
      <c r="F1440" s="91" t="b">
        <v>0</v>
      </c>
      <c r="G1440" s="91" t="b">
        <v>0</v>
      </c>
    </row>
    <row r="1441" spans="1:7" ht="15">
      <c r="A1441" s="92" t="s">
        <v>2565</v>
      </c>
      <c r="B1441" s="91">
        <v>7</v>
      </c>
      <c r="C1441" s="114">
        <v>0.004431516681124095</v>
      </c>
      <c r="D1441" s="91" t="s">
        <v>2525</v>
      </c>
      <c r="E1441" s="91" t="b">
        <v>0</v>
      </c>
      <c r="F1441" s="91" t="b">
        <v>0</v>
      </c>
      <c r="G1441" s="91" t="b">
        <v>0</v>
      </c>
    </row>
    <row r="1442" spans="1:7" ht="15">
      <c r="A1442" s="92" t="s">
        <v>2571</v>
      </c>
      <c r="B1442" s="91">
        <v>6</v>
      </c>
      <c r="C1442" s="114">
        <v>0.004384838107175346</v>
      </c>
      <c r="D1442" s="91" t="s">
        <v>2525</v>
      </c>
      <c r="E1442" s="91" t="b">
        <v>0</v>
      </c>
      <c r="F1442" s="91" t="b">
        <v>0</v>
      </c>
      <c r="G1442" s="91" t="b">
        <v>0</v>
      </c>
    </row>
    <row r="1443" spans="1:7" ht="15">
      <c r="A1443" s="92" t="s">
        <v>2579</v>
      </c>
      <c r="B1443" s="91">
        <v>5</v>
      </c>
      <c r="C1443" s="114">
        <v>0.004231997055597154</v>
      </c>
      <c r="D1443" s="91" t="s">
        <v>2525</v>
      </c>
      <c r="E1443" s="91" t="b">
        <v>0</v>
      </c>
      <c r="F1443" s="91" t="b">
        <v>0</v>
      </c>
      <c r="G1443" s="91" t="b">
        <v>0</v>
      </c>
    </row>
    <row r="1444" spans="1:7" ht="15">
      <c r="A1444" s="92" t="s">
        <v>2616</v>
      </c>
      <c r="B1444" s="91">
        <v>5</v>
      </c>
      <c r="C1444" s="114">
        <v>0.004231997055597154</v>
      </c>
      <c r="D1444" s="91" t="s">
        <v>2525</v>
      </c>
      <c r="E1444" s="91" t="b">
        <v>0</v>
      </c>
      <c r="F1444" s="91" t="b">
        <v>0</v>
      </c>
      <c r="G1444" s="91" t="b">
        <v>0</v>
      </c>
    </row>
    <row r="1445" spans="1:7" ht="15">
      <c r="A1445" s="92" t="s">
        <v>2619</v>
      </c>
      <c r="B1445" s="91">
        <v>4</v>
      </c>
      <c r="C1445" s="114">
        <v>0.003951495530656155</v>
      </c>
      <c r="D1445" s="91" t="s">
        <v>2525</v>
      </c>
      <c r="E1445" s="91" t="b">
        <v>0</v>
      </c>
      <c r="F1445" s="91" t="b">
        <v>0</v>
      </c>
      <c r="G1445" s="91" t="b">
        <v>0</v>
      </c>
    </row>
    <row r="1446" spans="1:7" ht="15">
      <c r="A1446" s="92" t="s">
        <v>2749</v>
      </c>
      <c r="B1446" s="91">
        <v>4</v>
      </c>
      <c r="C1446" s="114">
        <v>0.003951495530656155</v>
      </c>
      <c r="D1446" s="91" t="s">
        <v>2525</v>
      </c>
      <c r="E1446" s="91" t="b">
        <v>0</v>
      </c>
      <c r="F1446" s="91" t="b">
        <v>0</v>
      </c>
      <c r="G1446" s="91" t="b">
        <v>0</v>
      </c>
    </row>
    <row r="1447" spans="1:7" ht="15">
      <c r="A1447" s="92" t="s">
        <v>2847</v>
      </c>
      <c r="B1447" s="91">
        <v>4</v>
      </c>
      <c r="C1447" s="114">
        <v>0.003951495530656155</v>
      </c>
      <c r="D1447" s="91" t="s">
        <v>2525</v>
      </c>
      <c r="E1447" s="91" t="b">
        <v>0</v>
      </c>
      <c r="F1447" s="91" t="b">
        <v>0</v>
      </c>
      <c r="G1447" s="91" t="b">
        <v>0</v>
      </c>
    </row>
    <row r="1448" spans="1:7" ht="15">
      <c r="A1448" s="92" t="s">
        <v>2646</v>
      </c>
      <c r="B1448" s="91">
        <v>4</v>
      </c>
      <c r="C1448" s="114">
        <v>0.003951495530656155</v>
      </c>
      <c r="D1448" s="91" t="s">
        <v>2525</v>
      </c>
      <c r="E1448" s="91" t="b">
        <v>0</v>
      </c>
      <c r="F1448" s="91" t="b">
        <v>0</v>
      </c>
      <c r="G1448" s="91" t="b">
        <v>0</v>
      </c>
    </row>
    <row r="1449" spans="1:7" ht="15">
      <c r="A1449" s="92" t="s">
        <v>2965</v>
      </c>
      <c r="B1449" s="91">
        <v>4</v>
      </c>
      <c r="C1449" s="114">
        <v>0.003951495530656155</v>
      </c>
      <c r="D1449" s="91" t="s">
        <v>2525</v>
      </c>
      <c r="E1449" s="91" t="b">
        <v>0</v>
      </c>
      <c r="F1449" s="91" t="b">
        <v>0</v>
      </c>
      <c r="G1449" s="91" t="b">
        <v>0</v>
      </c>
    </row>
    <row r="1450" spans="1:7" ht="15">
      <c r="A1450" s="92" t="s">
        <v>2567</v>
      </c>
      <c r="B1450" s="91">
        <v>4</v>
      </c>
      <c r="C1450" s="114">
        <v>0.00468106479552214</v>
      </c>
      <c r="D1450" s="91" t="s">
        <v>2525</v>
      </c>
      <c r="E1450" s="91" t="b">
        <v>0</v>
      </c>
      <c r="F1450" s="91" t="b">
        <v>0</v>
      </c>
      <c r="G1450" s="91" t="b">
        <v>0</v>
      </c>
    </row>
    <row r="1451" spans="1:7" ht="15">
      <c r="A1451" s="92" t="s">
        <v>3015</v>
      </c>
      <c r="B1451" s="91">
        <v>3</v>
      </c>
      <c r="C1451" s="114">
        <v>0.0035107985966416053</v>
      </c>
      <c r="D1451" s="91" t="s">
        <v>2525</v>
      </c>
      <c r="E1451" s="91" t="b">
        <v>0</v>
      </c>
      <c r="F1451" s="91" t="b">
        <v>0</v>
      </c>
      <c r="G1451" s="91" t="b">
        <v>0</v>
      </c>
    </row>
    <row r="1452" spans="1:7" ht="15">
      <c r="A1452" s="92" t="s">
        <v>3016</v>
      </c>
      <c r="B1452" s="91">
        <v>3</v>
      </c>
      <c r="C1452" s="114">
        <v>0.0035107985966416053</v>
      </c>
      <c r="D1452" s="91" t="s">
        <v>2525</v>
      </c>
      <c r="E1452" s="91" t="b">
        <v>0</v>
      </c>
      <c r="F1452" s="91" t="b">
        <v>0</v>
      </c>
      <c r="G1452" s="91" t="b">
        <v>0</v>
      </c>
    </row>
    <row r="1453" spans="1:7" ht="15">
      <c r="A1453" s="92" t="s">
        <v>3017</v>
      </c>
      <c r="B1453" s="91">
        <v>3</v>
      </c>
      <c r="C1453" s="114">
        <v>0.0035107985966416053</v>
      </c>
      <c r="D1453" s="91" t="s">
        <v>2525</v>
      </c>
      <c r="E1453" s="91" t="b">
        <v>0</v>
      </c>
      <c r="F1453" s="91" t="b">
        <v>0</v>
      </c>
      <c r="G1453" s="91" t="b">
        <v>0</v>
      </c>
    </row>
    <row r="1454" spans="1:7" ht="15">
      <c r="A1454" s="92" t="s">
        <v>2694</v>
      </c>
      <c r="B1454" s="91">
        <v>3</v>
      </c>
      <c r="C1454" s="114">
        <v>0.0035107985966416053</v>
      </c>
      <c r="D1454" s="91" t="s">
        <v>2525</v>
      </c>
      <c r="E1454" s="91" t="b">
        <v>0</v>
      </c>
      <c r="F1454" s="91" t="b">
        <v>0</v>
      </c>
      <c r="G1454" s="91" t="b">
        <v>0</v>
      </c>
    </row>
    <row r="1455" spans="1:7" ht="15">
      <c r="A1455" s="92" t="s">
        <v>2636</v>
      </c>
      <c r="B1455" s="91">
        <v>3</v>
      </c>
      <c r="C1455" s="114">
        <v>0.0035107985966416053</v>
      </c>
      <c r="D1455" s="91" t="s">
        <v>2525</v>
      </c>
      <c r="E1455" s="91" t="b">
        <v>0</v>
      </c>
      <c r="F1455" s="91" t="b">
        <v>0</v>
      </c>
      <c r="G1455" s="91" t="b">
        <v>0</v>
      </c>
    </row>
    <row r="1456" spans="1:7" ht="15">
      <c r="A1456" s="92" t="s">
        <v>2753</v>
      </c>
      <c r="B1456" s="91">
        <v>3</v>
      </c>
      <c r="C1456" s="114">
        <v>0.0035107985966416053</v>
      </c>
      <c r="D1456" s="91" t="s">
        <v>2525</v>
      </c>
      <c r="E1456" s="91" t="b">
        <v>0</v>
      </c>
      <c r="F1456" s="91" t="b">
        <v>0</v>
      </c>
      <c r="G1456" s="91" t="b">
        <v>0</v>
      </c>
    </row>
    <row r="1457" spans="1:7" ht="15">
      <c r="A1457" s="92" t="s">
        <v>3018</v>
      </c>
      <c r="B1457" s="91">
        <v>3</v>
      </c>
      <c r="C1457" s="114">
        <v>0.0035107985966416053</v>
      </c>
      <c r="D1457" s="91" t="s">
        <v>2525</v>
      </c>
      <c r="E1457" s="91" t="b">
        <v>0</v>
      </c>
      <c r="F1457" s="91" t="b">
        <v>0</v>
      </c>
      <c r="G1457" s="91" t="b">
        <v>0</v>
      </c>
    </row>
    <row r="1458" spans="1:7" ht="15">
      <c r="A1458" s="92" t="s">
        <v>2665</v>
      </c>
      <c r="B1458" s="91">
        <v>3</v>
      </c>
      <c r="C1458" s="114">
        <v>0.0035107985966416053</v>
      </c>
      <c r="D1458" s="91" t="s">
        <v>2525</v>
      </c>
      <c r="E1458" s="91" t="b">
        <v>0</v>
      </c>
      <c r="F1458" s="91" t="b">
        <v>0</v>
      </c>
      <c r="G1458" s="91" t="b">
        <v>0</v>
      </c>
    </row>
    <row r="1459" spans="1:7" ht="15">
      <c r="A1459" s="92" t="s">
        <v>2573</v>
      </c>
      <c r="B1459" s="91">
        <v>3</v>
      </c>
      <c r="C1459" s="114">
        <v>0.0035107985966416053</v>
      </c>
      <c r="D1459" s="91" t="s">
        <v>2525</v>
      </c>
      <c r="E1459" s="91" t="b">
        <v>0</v>
      </c>
      <c r="F1459" s="91" t="b">
        <v>0</v>
      </c>
      <c r="G1459" s="91" t="b">
        <v>0</v>
      </c>
    </row>
    <row r="1460" spans="1:7" ht="15">
      <c r="A1460" s="92" t="s">
        <v>3019</v>
      </c>
      <c r="B1460" s="91">
        <v>3</v>
      </c>
      <c r="C1460" s="114">
        <v>0.0035107985966416053</v>
      </c>
      <c r="D1460" s="91" t="s">
        <v>2525</v>
      </c>
      <c r="E1460" s="91" t="b">
        <v>0</v>
      </c>
      <c r="F1460" s="91" t="b">
        <v>0</v>
      </c>
      <c r="G1460" s="91" t="b">
        <v>0</v>
      </c>
    </row>
    <row r="1461" spans="1:7" ht="15">
      <c r="A1461" s="92" t="s">
        <v>2613</v>
      </c>
      <c r="B1461" s="91">
        <v>2</v>
      </c>
      <c r="C1461" s="114">
        <v>0.002854667460697365</v>
      </c>
      <c r="D1461" s="91" t="s">
        <v>2525</v>
      </c>
      <c r="E1461" s="91" t="b">
        <v>0</v>
      </c>
      <c r="F1461" s="91" t="b">
        <v>0</v>
      </c>
      <c r="G1461" s="91" t="b">
        <v>0</v>
      </c>
    </row>
    <row r="1462" spans="1:7" ht="15">
      <c r="A1462" s="92" t="s">
        <v>2593</v>
      </c>
      <c r="B1462" s="91">
        <v>2</v>
      </c>
      <c r="C1462" s="114">
        <v>0.002854667460697365</v>
      </c>
      <c r="D1462" s="91" t="s">
        <v>2525</v>
      </c>
      <c r="E1462" s="91" t="b">
        <v>0</v>
      </c>
      <c r="F1462" s="91" t="b">
        <v>0</v>
      </c>
      <c r="G1462" s="91" t="b">
        <v>0</v>
      </c>
    </row>
    <row r="1463" spans="1:7" ht="15">
      <c r="A1463" s="92" t="s">
        <v>2574</v>
      </c>
      <c r="B1463" s="91">
        <v>2</v>
      </c>
      <c r="C1463" s="114">
        <v>0.002854667460697365</v>
      </c>
      <c r="D1463" s="91" t="s">
        <v>2525</v>
      </c>
      <c r="E1463" s="91" t="b">
        <v>0</v>
      </c>
      <c r="F1463" s="91" t="b">
        <v>0</v>
      </c>
      <c r="G1463" s="91" t="b">
        <v>0</v>
      </c>
    </row>
    <row r="1464" spans="1:7" ht="15">
      <c r="A1464" s="92" t="s">
        <v>2575</v>
      </c>
      <c r="B1464" s="91">
        <v>2</v>
      </c>
      <c r="C1464" s="114">
        <v>0.002854667460697365</v>
      </c>
      <c r="D1464" s="91" t="s">
        <v>2525</v>
      </c>
      <c r="E1464" s="91" t="b">
        <v>0</v>
      </c>
      <c r="F1464" s="91" t="b">
        <v>0</v>
      </c>
      <c r="G1464" s="91" t="b">
        <v>0</v>
      </c>
    </row>
    <row r="1465" spans="1:7" ht="15">
      <c r="A1465" s="92" t="s">
        <v>2564</v>
      </c>
      <c r="B1465" s="91">
        <v>16</v>
      </c>
      <c r="C1465" s="114">
        <v>0</v>
      </c>
      <c r="D1465" s="91" t="s">
        <v>2526</v>
      </c>
      <c r="E1465" s="91" t="b">
        <v>0</v>
      </c>
      <c r="F1465" s="91" t="b">
        <v>0</v>
      </c>
      <c r="G1465" s="91" t="b">
        <v>0</v>
      </c>
    </row>
    <row r="1466" spans="1:7" ht="15">
      <c r="A1466" s="92" t="s">
        <v>2573</v>
      </c>
      <c r="B1466" s="91">
        <v>14</v>
      </c>
      <c r="C1466" s="114">
        <v>0.0018793686520546626</v>
      </c>
      <c r="D1466" s="91" t="s">
        <v>2526</v>
      </c>
      <c r="E1466" s="91" t="b">
        <v>0</v>
      </c>
      <c r="F1466" s="91" t="b">
        <v>0</v>
      </c>
      <c r="G1466" s="91" t="b">
        <v>0</v>
      </c>
    </row>
    <row r="1467" spans="1:7" ht="15">
      <c r="A1467" s="92" t="s">
        <v>2571</v>
      </c>
      <c r="B1467" s="91">
        <v>12</v>
      </c>
      <c r="C1467" s="114">
        <v>0.0034705204613416645</v>
      </c>
      <c r="D1467" s="91" t="s">
        <v>2526</v>
      </c>
      <c r="E1467" s="91" t="b">
        <v>0</v>
      </c>
      <c r="F1467" s="91" t="b">
        <v>0</v>
      </c>
      <c r="G1467" s="91" t="b">
        <v>0</v>
      </c>
    </row>
    <row r="1468" spans="1:7" ht="15">
      <c r="A1468" s="92" t="s">
        <v>2565</v>
      </c>
      <c r="B1468" s="91">
        <v>12</v>
      </c>
      <c r="C1468" s="114">
        <v>0.0034705204613416645</v>
      </c>
      <c r="D1468" s="91" t="s">
        <v>2526</v>
      </c>
      <c r="E1468" s="91" t="b">
        <v>0</v>
      </c>
      <c r="F1468" s="91" t="b">
        <v>0</v>
      </c>
      <c r="G1468" s="91" t="b">
        <v>0</v>
      </c>
    </row>
    <row r="1469" spans="1:7" ht="15">
      <c r="A1469" s="92" t="s">
        <v>2588</v>
      </c>
      <c r="B1469" s="91">
        <v>12</v>
      </c>
      <c r="C1469" s="114">
        <v>0.0034705204613416645</v>
      </c>
      <c r="D1469" s="91" t="s">
        <v>2526</v>
      </c>
      <c r="E1469" s="91" t="b">
        <v>0</v>
      </c>
      <c r="F1469" s="91" t="b">
        <v>0</v>
      </c>
      <c r="G1469" s="91" t="b">
        <v>0</v>
      </c>
    </row>
    <row r="1470" spans="1:7" ht="15">
      <c r="A1470" s="92" t="s">
        <v>2579</v>
      </c>
      <c r="B1470" s="91">
        <v>12</v>
      </c>
      <c r="C1470" s="114">
        <v>0.0034705204613416645</v>
      </c>
      <c r="D1470" s="91" t="s">
        <v>2526</v>
      </c>
      <c r="E1470" s="91" t="b">
        <v>0</v>
      </c>
      <c r="F1470" s="91" t="b">
        <v>0</v>
      </c>
      <c r="G1470" s="91" t="b">
        <v>0</v>
      </c>
    </row>
    <row r="1471" spans="1:7" ht="15">
      <c r="A1471" s="92" t="s">
        <v>2594</v>
      </c>
      <c r="B1471" s="91">
        <v>11</v>
      </c>
      <c r="C1471" s="114">
        <v>0.004143519149246985</v>
      </c>
      <c r="D1471" s="91" t="s">
        <v>2526</v>
      </c>
      <c r="E1471" s="91" t="b">
        <v>0</v>
      </c>
      <c r="F1471" s="91" t="b">
        <v>0</v>
      </c>
      <c r="G1471" s="91" t="b">
        <v>0</v>
      </c>
    </row>
    <row r="1472" spans="1:7" ht="15">
      <c r="A1472" s="92" t="s">
        <v>2569</v>
      </c>
      <c r="B1472" s="91">
        <v>11</v>
      </c>
      <c r="C1472" s="114">
        <v>0.004143519149246985</v>
      </c>
      <c r="D1472" s="91" t="s">
        <v>2526</v>
      </c>
      <c r="E1472" s="91" t="b">
        <v>0</v>
      </c>
      <c r="F1472" s="91" t="b">
        <v>0</v>
      </c>
      <c r="G1472" s="91" t="b">
        <v>0</v>
      </c>
    </row>
    <row r="1473" spans="1:7" ht="15">
      <c r="A1473" s="92" t="s">
        <v>2578</v>
      </c>
      <c r="B1473" s="91">
        <v>9</v>
      </c>
      <c r="C1473" s="114">
        <v>0.005205780692012498</v>
      </c>
      <c r="D1473" s="91" t="s">
        <v>2526</v>
      </c>
      <c r="E1473" s="91" t="b">
        <v>0</v>
      </c>
      <c r="F1473" s="91" t="b">
        <v>0</v>
      </c>
      <c r="G1473" s="91" t="b">
        <v>0</v>
      </c>
    </row>
    <row r="1474" spans="1:7" ht="15">
      <c r="A1474" s="92" t="s">
        <v>2618</v>
      </c>
      <c r="B1474" s="91">
        <v>9</v>
      </c>
      <c r="C1474" s="114">
        <v>0.005205780692012498</v>
      </c>
      <c r="D1474" s="91" t="s">
        <v>2526</v>
      </c>
      <c r="E1474" s="91" t="b">
        <v>0</v>
      </c>
      <c r="F1474" s="91" t="b">
        <v>0</v>
      </c>
      <c r="G1474" s="91" t="b">
        <v>0</v>
      </c>
    </row>
    <row r="1475" spans="1:7" ht="15">
      <c r="A1475" s="92" t="s">
        <v>2609</v>
      </c>
      <c r="B1475" s="91">
        <v>9</v>
      </c>
      <c r="C1475" s="114">
        <v>0.006271458242999608</v>
      </c>
      <c r="D1475" s="91" t="s">
        <v>2526</v>
      </c>
      <c r="E1475" s="91" t="b">
        <v>0</v>
      </c>
      <c r="F1475" s="91" t="b">
        <v>0</v>
      </c>
      <c r="G1475" s="91" t="b">
        <v>0</v>
      </c>
    </row>
    <row r="1476" spans="1:7" ht="15">
      <c r="A1476" s="92" t="s">
        <v>2768</v>
      </c>
      <c r="B1476" s="91">
        <v>8</v>
      </c>
      <c r="C1476" s="114">
        <v>0.01114925909866597</v>
      </c>
      <c r="D1476" s="91" t="s">
        <v>2526</v>
      </c>
      <c r="E1476" s="91" t="b">
        <v>0</v>
      </c>
      <c r="F1476" s="91" t="b">
        <v>0</v>
      </c>
      <c r="G1476" s="91" t="b">
        <v>0</v>
      </c>
    </row>
    <row r="1477" spans="1:7" ht="15">
      <c r="A1477" s="92" t="s">
        <v>2568</v>
      </c>
      <c r="B1477" s="91">
        <v>8</v>
      </c>
      <c r="C1477" s="114">
        <v>0.005574629549332985</v>
      </c>
      <c r="D1477" s="91" t="s">
        <v>2526</v>
      </c>
      <c r="E1477" s="91" t="b">
        <v>0</v>
      </c>
      <c r="F1477" s="91" t="b">
        <v>0</v>
      </c>
      <c r="G1477" s="91" t="b">
        <v>0</v>
      </c>
    </row>
    <row r="1478" spans="1:7" ht="15">
      <c r="A1478" s="92" t="s">
        <v>2567</v>
      </c>
      <c r="B1478" s="91">
        <v>8</v>
      </c>
      <c r="C1478" s="114">
        <v>0.005574629549332985</v>
      </c>
      <c r="D1478" s="91" t="s">
        <v>2526</v>
      </c>
      <c r="E1478" s="91" t="b">
        <v>0</v>
      </c>
      <c r="F1478" s="91" t="b">
        <v>0</v>
      </c>
      <c r="G1478" s="91" t="b">
        <v>0</v>
      </c>
    </row>
    <row r="1479" spans="1:7" ht="15">
      <c r="A1479" s="92" t="s">
        <v>2572</v>
      </c>
      <c r="B1479" s="91">
        <v>8</v>
      </c>
      <c r="C1479" s="114">
        <v>0.005574629549332985</v>
      </c>
      <c r="D1479" s="91" t="s">
        <v>2526</v>
      </c>
      <c r="E1479" s="91" t="b">
        <v>0</v>
      </c>
      <c r="F1479" s="91" t="b">
        <v>0</v>
      </c>
      <c r="G1479" s="91" t="b">
        <v>0</v>
      </c>
    </row>
    <row r="1480" spans="1:7" ht="15">
      <c r="A1480" s="92" t="s">
        <v>2622</v>
      </c>
      <c r="B1480" s="91">
        <v>7</v>
      </c>
      <c r="C1480" s="114">
        <v>0.005817485181693693</v>
      </c>
      <c r="D1480" s="91" t="s">
        <v>2526</v>
      </c>
      <c r="E1480" s="91" t="b">
        <v>0</v>
      </c>
      <c r="F1480" s="91" t="b">
        <v>0</v>
      </c>
      <c r="G1480" s="91" t="b">
        <v>0</v>
      </c>
    </row>
    <row r="1481" spans="1:7" ht="15">
      <c r="A1481" s="92" t="s">
        <v>2574</v>
      </c>
      <c r="B1481" s="91">
        <v>7</v>
      </c>
      <c r="C1481" s="114">
        <v>0.005817485181693693</v>
      </c>
      <c r="D1481" s="91" t="s">
        <v>2526</v>
      </c>
      <c r="E1481" s="91" t="b">
        <v>0</v>
      </c>
      <c r="F1481" s="91" t="b">
        <v>0</v>
      </c>
      <c r="G1481" s="91" t="b">
        <v>0</v>
      </c>
    </row>
    <row r="1482" spans="1:7" ht="15">
      <c r="A1482" s="92" t="s">
        <v>2566</v>
      </c>
      <c r="B1482" s="91">
        <v>7</v>
      </c>
      <c r="C1482" s="114">
        <v>0.005817485181693693</v>
      </c>
      <c r="D1482" s="91" t="s">
        <v>2526</v>
      </c>
      <c r="E1482" s="91" t="b">
        <v>0</v>
      </c>
      <c r="F1482" s="91" t="b">
        <v>0</v>
      </c>
      <c r="G1482" s="91" t="b">
        <v>0</v>
      </c>
    </row>
    <row r="1483" spans="1:7" ht="15">
      <c r="A1483" s="92" t="s">
        <v>2580</v>
      </c>
      <c r="B1483" s="91">
        <v>6</v>
      </c>
      <c r="C1483" s="114">
        <v>0.005916232392670571</v>
      </c>
      <c r="D1483" s="91" t="s">
        <v>2526</v>
      </c>
      <c r="E1483" s="91" t="b">
        <v>0</v>
      </c>
      <c r="F1483" s="91" t="b">
        <v>0</v>
      </c>
      <c r="G1483" s="91" t="b">
        <v>0</v>
      </c>
    </row>
    <row r="1484" spans="1:7" ht="15">
      <c r="A1484" s="92" t="s">
        <v>2584</v>
      </c>
      <c r="B1484" s="91">
        <v>6</v>
      </c>
      <c r="C1484" s="114">
        <v>0.005916232392670571</v>
      </c>
      <c r="D1484" s="91" t="s">
        <v>2526</v>
      </c>
      <c r="E1484" s="91" t="b">
        <v>0</v>
      </c>
      <c r="F1484" s="91" t="b">
        <v>0</v>
      </c>
      <c r="G1484" s="91" t="b">
        <v>0</v>
      </c>
    </row>
    <row r="1485" spans="1:7" ht="15">
      <c r="A1485" s="92" t="s">
        <v>2575</v>
      </c>
      <c r="B1485" s="91">
        <v>6</v>
      </c>
      <c r="C1485" s="114">
        <v>0.005916232392670571</v>
      </c>
      <c r="D1485" s="91" t="s">
        <v>2526</v>
      </c>
      <c r="E1485" s="91" t="b">
        <v>0</v>
      </c>
      <c r="F1485" s="91" t="b">
        <v>0</v>
      </c>
      <c r="G1485" s="91" t="b">
        <v>0</v>
      </c>
    </row>
    <row r="1486" spans="1:7" ht="15">
      <c r="A1486" s="92" t="s">
        <v>2615</v>
      </c>
      <c r="B1486" s="91">
        <v>5</v>
      </c>
      <c r="C1486" s="114">
        <v>0.005846643267591505</v>
      </c>
      <c r="D1486" s="91" t="s">
        <v>2526</v>
      </c>
      <c r="E1486" s="91" t="b">
        <v>0</v>
      </c>
      <c r="F1486" s="91" t="b">
        <v>0</v>
      </c>
      <c r="G1486" s="91" t="b">
        <v>0</v>
      </c>
    </row>
    <row r="1487" spans="1:7" ht="15">
      <c r="A1487" s="92" t="s">
        <v>2570</v>
      </c>
      <c r="B1487" s="91">
        <v>5</v>
      </c>
      <c r="C1487" s="114">
        <v>0.005846643267591505</v>
      </c>
      <c r="D1487" s="91" t="s">
        <v>2526</v>
      </c>
      <c r="E1487" s="91" t="b">
        <v>0</v>
      </c>
      <c r="F1487" s="91" t="b">
        <v>0</v>
      </c>
      <c r="G1487" s="91" t="b">
        <v>0</v>
      </c>
    </row>
    <row r="1488" spans="1:7" ht="15">
      <c r="A1488" s="92" t="s">
        <v>2583</v>
      </c>
      <c r="B1488" s="91">
        <v>5</v>
      </c>
      <c r="C1488" s="114">
        <v>0.005846643267591505</v>
      </c>
      <c r="D1488" s="91" t="s">
        <v>2526</v>
      </c>
      <c r="E1488" s="91" t="b">
        <v>0</v>
      </c>
      <c r="F1488" s="91" t="b">
        <v>0</v>
      </c>
      <c r="G1488" s="91" t="b">
        <v>0</v>
      </c>
    </row>
    <row r="1489" spans="1:7" ht="15">
      <c r="A1489" s="92" t="s">
        <v>2608</v>
      </c>
      <c r="B1489" s="91">
        <v>5</v>
      </c>
      <c r="C1489" s="114">
        <v>0.005846643267591505</v>
      </c>
      <c r="D1489" s="91" t="s">
        <v>2526</v>
      </c>
      <c r="E1489" s="91" t="b">
        <v>0</v>
      </c>
      <c r="F1489" s="91" t="b">
        <v>0</v>
      </c>
      <c r="G1489" s="91" t="b">
        <v>0</v>
      </c>
    </row>
    <row r="1490" spans="1:7" ht="15">
      <c r="A1490" s="92" t="s">
        <v>2623</v>
      </c>
      <c r="B1490" s="91">
        <v>5</v>
      </c>
      <c r="C1490" s="114">
        <v>0.005846643267591505</v>
      </c>
      <c r="D1490" s="91" t="s">
        <v>2526</v>
      </c>
      <c r="E1490" s="91" t="b">
        <v>0</v>
      </c>
      <c r="F1490" s="91" t="b">
        <v>0</v>
      </c>
      <c r="G1490" s="91" t="b">
        <v>0</v>
      </c>
    </row>
    <row r="1491" spans="1:7" ht="15">
      <c r="A1491" s="92" t="s">
        <v>2624</v>
      </c>
      <c r="B1491" s="91">
        <v>5</v>
      </c>
      <c r="C1491" s="114">
        <v>0.005846643267591505</v>
      </c>
      <c r="D1491" s="91" t="s">
        <v>2526</v>
      </c>
      <c r="E1491" s="91" t="b">
        <v>0</v>
      </c>
      <c r="F1491" s="91" t="b">
        <v>0</v>
      </c>
      <c r="G1491" s="91" t="b">
        <v>0</v>
      </c>
    </row>
    <row r="1492" spans="1:7" ht="15">
      <c r="A1492" s="92" t="s">
        <v>2625</v>
      </c>
      <c r="B1492" s="91">
        <v>5</v>
      </c>
      <c r="C1492" s="114">
        <v>0.005846643267591505</v>
      </c>
      <c r="D1492" s="91" t="s">
        <v>2526</v>
      </c>
      <c r="E1492" s="91" t="b">
        <v>0</v>
      </c>
      <c r="F1492" s="91" t="b">
        <v>0</v>
      </c>
      <c r="G1492" s="91" t="b">
        <v>0</v>
      </c>
    </row>
    <row r="1493" spans="1:7" ht="15">
      <c r="A1493" s="92" t="s">
        <v>2626</v>
      </c>
      <c r="B1493" s="91">
        <v>5</v>
      </c>
      <c r="C1493" s="114">
        <v>0.005846643267591505</v>
      </c>
      <c r="D1493" s="91" t="s">
        <v>2526</v>
      </c>
      <c r="E1493" s="91" t="b">
        <v>0</v>
      </c>
      <c r="F1493" s="91" t="b">
        <v>0</v>
      </c>
      <c r="G1493" s="91" t="b">
        <v>0</v>
      </c>
    </row>
    <row r="1494" spans="1:7" ht="15">
      <c r="A1494" s="92" t="s">
        <v>2627</v>
      </c>
      <c r="B1494" s="91">
        <v>5</v>
      </c>
      <c r="C1494" s="114">
        <v>0.005846643267591505</v>
      </c>
      <c r="D1494" s="91" t="s">
        <v>2526</v>
      </c>
      <c r="E1494" s="91" t="b">
        <v>0</v>
      </c>
      <c r="F1494" s="91" t="b">
        <v>0</v>
      </c>
      <c r="G1494" s="91" t="b">
        <v>0</v>
      </c>
    </row>
    <row r="1495" spans="1:7" ht="15">
      <c r="A1495" s="92" t="s">
        <v>2619</v>
      </c>
      <c r="B1495" s="91">
        <v>5</v>
      </c>
      <c r="C1495" s="114">
        <v>0.005846643267591505</v>
      </c>
      <c r="D1495" s="91" t="s">
        <v>2526</v>
      </c>
      <c r="E1495" s="91" t="b">
        <v>0</v>
      </c>
      <c r="F1495" s="91" t="b">
        <v>0</v>
      </c>
      <c r="G1495" s="91" t="b">
        <v>0</v>
      </c>
    </row>
    <row r="1496" spans="1:7" ht="15">
      <c r="A1496" s="92" t="s">
        <v>2628</v>
      </c>
      <c r="B1496" s="91">
        <v>5</v>
      </c>
      <c r="C1496" s="114">
        <v>0.005846643267591505</v>
      </c>
      <c r="D1496" s="91" t="s">
        <v>2526</v>
      </c>
      <c r="E1496" s="91" t="b">
        <v>0</v>
      </c>
      <c r="F1496" s="91" t="b">
        <v>0</v>
      </c>
      <c r="G1496" s="91" t="b">
        <v>0</v>
      </c>
    </row>
    <row r="1497" spans="1:7" ht="15">
      <c r="A1497" s="92" t="s">
        <v>2621</v>
      </c>
      <c r="B1497" s="91">
        <v>5</v>
      </c>
      <c r="C1497" s="114">
        <v>0.005846643267591505</v>
      </c>
      <c r="D1497" s="91" t="s">
        <v>2526</v>
      </c>
      <c r="E1497" s="91" t="b">
        <v>0</v>
      </c>
      <c r="F1497" s="91" t="b">
        <v>0</v>
      </c>
      <c r="G1497" s="91" t="b">
        <v>0</v>
      </c>
    </row>
    <row r="1498" spans="1:7" ht="15">
      <c r="A1498" s="92" t="s">
        <v>2949</v>
      </c>
      <c r="B1498" s="91">
        <v>4</v>
      </c>
      <c r="C1498" s="114">
        <v>0.005574629549332985</v>
      </c>
      <c r="D1498" s="91" t="s">
        <v>2526</v>
      </c>
      <c r="E1498" s="91" t="b">
        <v>0</v>
      </c>
      <c r="F1498" s="91" t="b">
        <v>0</v>
      </c>
      <c r="G1498" s="91" t="b">
        <v>0</v>
      </c>
    </row>
    <row r="1499" spans="1:7" ht="15">
      <c r="A1499" s="92" t="s">
        <v>2871</v>
      </c>
      <c r="B1499" s="91">
        <v>4</v>
      </c>
      <c r="C1499" s="114">
        <v>0.005574629549332985</v>
      </c>
      <c r="D1499" s="91" t="s">
        <v>2526</v>
      </c>
      <c r="E1499" s="91" t="b">
        <v>0</v>
      </c>
      <c r="F1499" s="91" t="b">
        <v>0</v>
      </c>
      <c r="G1499" s="91" t="b">
        <v>0</v>
      </c>
    </row>
    <row r="1500" spans="1:7" ht="15">
      <c r="A1500" s="92" t="s">
        <v>2872</v>
      </c>
      <c r="B1500" s="91">
        <v>4</v>
      </c>
      <c r="C1500" s="114">
        <v>0.005574629549332985</v>
      </c>
      <c r="D1500" s="91" t="s">
        <v>2526</v>
      </c>
      <c r="E1500" s="91" t="b">
        <v>0</v>
      </c>
      <c r="F1500" s="91" t="b">
        <v>0</v>
      </c>
      <c r="G1500" s="91" t="b">
        <v>0</v>
      </c>
    </row>
    <row r="1501" spans="1:7" ht="15">
      <c r="A1501" s="92" t="s">
        <v>2950</v>
      </c>
      <c r="B1501" s="91">
        <v>4</v>
      </c>
      <c r="C1501" s="114">
        <v>0.005574629549332985</v>
      </c>
      <c r="D1501" s="91" t="s">
        <v>2526</v>
      </c>
      <c r="E1501" s="91" t="b">
        <v>0</v>
      </c>
      <c r="F1501" s="91" t="b">
        <v>0</v>
      </c>
      <c r="G1501" s="91" t="b">
        <v>0</v>
      </c>
    </row>
    <row r="1502" spans="1:7" ht="15">
      <c r="A1502" s="92" t="s">
        <v>2612</v>
      </c>
      <c r="B1502" s="91">
        <v>4</v>
      </c>
      <c r="C1502" s="114">
        <v>0.005574629549332985</v>
      </c>
      <c r="D1502" s="91" t="s">
        <v>2526</v>
      </c>
      <c r="E1502" s="91" t="b">
        <v>0</v>
      </c>
      <c r="F1502" s="91" t="b">
        <v>0</v>
      </c>
      <c r="G1502" s="91" t="b">
        <v>0</v>
      </c>
    </row>
    <row r="1503" spans="1:7" ht="15">
      <c r="A1503" s="92" t="s">
        <v>2743</v>
      </c>
      <c r="B1503" s="91">
        <v>4</v>
      </c>
      <c r="C1503" s="114">
        <v>0.005574629549332985</v>
      </c>
      <c r="D1503" s="91" t="s">
        <v>2526</v>
      </c>
      <c r="E1503" s="91" t="b">
        <v>0</v>
      </c>
      <c r="F1503" s="91" t="b">
        <v>0</v>
      </c>
      <c r="G1503" s="91" t="b">
        <v>0</v>
      </c>
    </row>
    <row r="1504" spans="1:7" ht="15">
      <c r="A1504" s="92" t="s">
        <v>2589</v>
      </c>
      <c r="B1504" s="91">
        <v>4</v>
      </c>
      <c r="C1504" s="114">
        <v>0.005574629549332985</v>
      </c>
      <c r="D1504" s="91" t="s">
        <v>2526</v>
      </c>
      <c r="E1504" s="91" t="b">
        <v>0</v>
      </c>
      <c r="F1504" s="91" t="b">
        <v>0</v>
      </c>
      <c r="G1504" s="91" t="b">
        <v>0</v>
      </c>
    </row>
    <row r="1505" spans="1:7" ht="15">
      <c r="A1505" s="92" t="s">
        <v>2779</v>
      </c>
      <c r="B1505" s="91">
        <v>4</v>
      </c>
      <c r="C1505" s="114">
        <v>0.008361944323999476</v>
      </c>
      <c r="D1505" s="91" t="s">
        <v>2526</v>
      </c>
      <c r="E1505" s="91" t="b">
        <v>0</v>
      </c>
      <c r="F1505" s="91" t="b">
        <v>0</v>
      </c>
      <c r="G1505" s="91" t="b">
        <v>0</v>
      </c>
    </row>
    <row r="1506" spans="1:7" ht="15">
      <c r="A1506" s="92" t="s">
        <v>2591</v>
      </c>
      <c r="B1506" s="91">
        <v>4</v>
      </c>
      <c r="C1506" s="114">
        <v>0.005574629549332985</v>
      </c>
      <c r="D1506" s="91" t="s">
        <v>2526</v>
      </c>
      <c r="E1506" s="91" t="b">
        <v>0</v>
      </c>
      <c r="F1506" s="91" t="b">
        <v>0</v>
      </c>
      <c r="G1506" s="91" t="b">
        <v>0</v>
      </c>
    </row>
    <row r="1507" spans="1:7" ht="15">
      <c r="A1507" s="92" t="s">
        <v>2633</v>
      </c>
      <c r="B1507" s="91">
        <v>4</v>
      </c>
      <c r="C1507" s="114">
        <v>0.005574629549332985</v>
      </c>
      <c r="D1507" s="91" t="s">
        <v>2526</v>
      </c>
      <c r="E1507" s="91" t="b">
        <v>0</v>
      </c>
      <c r="F1507" s="91" t="b">
        <v>0</v>
      </c>
      <c r="G1507" s="91" t="b">
        <v>0</v>
      </c>
    </row>
    <row r="1508" spans="1:7" ht="15">
      <c r="A1508" s="92" t="s">
        <v>2576</v>
      </c>
      <c r="B1508" s="91">
        <v>3</v>
      </c>
      <c r="C1508" s="114">
        <v>0.005048602277335155</v>
      </c>
      <c r="D1508" s="91" t="s">
        <v>2526</v>
      </c>
      <c r="E1508" s="91" t="b">
        <v>0</v>
      </c>
      <c r="F1508" s="91" t="b">
        <v>0</v>
      </c>
      <c r="G1508" s="91" t="b">
        <v>0</v>
      </c>
    </row>
    <row r="1509" spans="1:7" ht="15">
      <c r="A1509" s="92" t="s">
        <v>3027</v>
      </c>
      <c r="B1509" s="91">
        <v>3</v>
      </c>
      <c r="C1509" s="114">
        <v>0.005048602277335155</v>
      </c>
      <c r="D1509" s="91" t="s">
        <v>2526</v>
      </c>
      <c r="E1509" s="91" t="b">
        <v>0</v>
      </c>
      <c r="F1509" s="91" t="b">
        <v>0</v>
      </c>
      <c r="G1509" s="91" t="b">
        <v>0</v>
      </c>
    </row>
    <row r="1510" spans="1:7" ht="15">
      <c r="A1510" s="92" t="s">
        <v>2984</v>
      </c>
      <c r="B1510" s="91">
        <v>3</v>
      </c>
      <c r="C1510" s="114">
        <v>0.005048602277335155</v>
      </c>
      <c r="D1510" s="91" t="s">
        <v>2526</v>
      </c>
      <c r="E1510" s="91" t="b">
        <v>0</v>
      </c>
      <c r="F1510" s="91" t="b">
        <v>0</v>
      </c>
      <c r="G1510" s="91" t="b">
        <v>0</v>
      </c>
    </row>
    <row r="1511" spans="1:7" ht="15">
      <c r="A1511" s="92" t="s">
        <v>2985</v>
      </c>
      <c r="B1511" s="91">
        <v>3</v>
      </c>
      <c r="C1511" s="114">
        <v>0.005048602277335155</v>
      </c>
      <c r="D1511" s="91" t="s">
        <v>2526</v>
      </c>
      <c r="E1511" s="91" t="b">
        <v>0</v>
      </c>
      <c r="F1511" s="91" t="b">
        <v>0</v>
      </c>
      <c r="G1511" s="91" t="b">
        <v>0</v>
      </c>
    </row>
    <row r="1512" spans="1:7" ht="15">
      <c r="A1512" s="92" t="s">
        <v>2986</v>
      </c>
      <c r="B1512" s="91">
        <v>3</v>
      </c>
      <c r="C1512" s="114">
        <v>0.005048602277335155</v>
      </c>
      <c r="D1512" s="91" t="s">
        <v>2526</v>
      </c>
      <c r="E1512" s="91" t="b">
        <v>0</v>
      </c>
      <c r="F1512" s="91" t="b">
        <v>0</v>
      </c>
      <c r="G1512" s="91" t="b">
        <v>0</v>
      </c>
    </row>
    <row r="1513" spans="1:7" ht="15">
      <c r="A1513" s="92" t="s">
        <v>2729</v>
      </c>
      <c r="B1513" s="91">
        <v>3</v>
      </c>
      <c r="C1513" s="114">
        <v>0.005048602277335155</v>
      </c>
      <c r="D1513" s="91" t="s">
        <v>2526</v>
      </c>
      <c r="E1513" s="91" t="b">
        <v>0</v>
      </c>
      <c r="F1513" s="91" t="b">
        <v>0</v>
      </c>
      <c r="G1513" s="91" t="b">
        <v>0</v>
      </c>
    </row>
    <row r="1514" spans="1:7" ht="15">
      <c r="A1514" s="92" t="s">
        <v>2776</v>
      </c>
      <c r="B1514" s="91">
        <v>3</v>
      </c>
      <c r="C1514" s="114">
        <v>0.005048602277335155</v>
      </c>
      <c r="D1514" s="91" t="s">
        <v>2526</v>
      </c>
      <c r="E1514" s="91" t="b">
        <v>0</v>
      </c>
      <c r="F1514" s="91" t="b">
        <v>0</v>
      </c>
      <c r="G1514" s="91" t="b">
        <v>0</v>
      </c>
    </row>
    <row r="1515" spans="1:7" ht="15">
      <c r="A1515" s="92" t="s">
        <v>2987</v>
      </c>
      <c r="B1515" s="91">
        <v>3</v>
      </c>
      <c r="C1515" s="114">
        <v>0.005048602277335155</v>
      </c>
      <c r="D1515" s="91" t="s">
        <v>2526</v>
      </c>
      <c r="E1515" s="91" t="b">
        <v>0</v>
      </c>
      <c r="F1515" s="91" t="b">
        <v>0</v>
      </c>
      <c r="G1515" s="91" t="b">
        <v>0</v>
      </c>
    </row>
    <row r="1516" spans="1:7" ht="15">
      <c r="A1516" s="92" t="s">
        <v>2988</v>
      </c>
      <c r="B1516" s="91">
        <v>3</v>
      </c>
      <c r="C1516" s="114">
        <v>0.005048602277335155</v>
      </c>
      <c r="D1516" s="91" t="s">
        <v>2526</v>
      </c>
      <c r="E1516" s="91" t="b">
        <v>0</v>
      </c>
      <c r="F1516" s="91" t="b">
        <v>0</v>
      </c>
      <c r="G1516" s="91" t="b">
        <v>0</v>
      </c>
    </row>
    <row r="1517" spans="1:7" ht="15">
      <c r="A1517" s="92" t="s">
        <v>2617</v>
      </c>
      <c r="B1517" s="91">
        <v>3</v>
      </c>
      <c r="C1517" s="114">
        <v>0.005048602277335155</v>
      </c>
      <c r="D1517" s="91" t="s">
        <v>2526</v>
      </c>
      <c r="E1517" s="91" t="b">
        <v>0</v>
      </c>
      <c r="F1517" s="91" t="b">
        <v>0</v>
      </c>
      <c r="G1517" s="91" t="b">
        <v>0</v>
      </c>
    </row>
    <row r="1518" spans="1:7" ht="15">
      <c r="A1518" s="92" t="s">
        <v>2935</v>
      </c>
      <c r="B1518" s="91">
        <v>3</v>
      </c>
      <c r="C1518" s="114">
        <v>0.005048602277335155</v>
      </c>
      <c r="D1518" s="91" t="s">
        <v>2526</v>
      </c>
      <c r="E1518" s="91" t="b">
        <v>0</v>
      </c>
      <c r="F1518" s="91" t="b">
        <v>0</v>
      </c>
      <c r="G1518" s="91" t="b">
        <v>0</v>
      </c>
    </row>
    <row r="1519" spans="1:7" ht="15">
      <c r="A1519" s="92" t="s">
        <v>2652</v>
      </c>
      <c r="B1519" s="91">
        <v>3</v>
      </c>
      <c r="C1519" s="114">
        <v>0.005048602277335155</v>
      </c>
      <c r="D1519" s="91" t="s">
        <v>2526</v>
      </c>
      <c r="E1519" s="91" t="b">
        <v>0</v>
      </c>
      <c r="F1519" s="91" t="b">
        <v>0</v>
      </c>
      <c r="G1519" s="91" t="b">
        <v>0</v>
      </c>
    </row>
    <row r="1520" spans="1:7" ht="15">
      <c r="A1520" s="92" t="s">
        <v>2777</v>
      </c>
      <c r="B1520" s="91">
        <v>3</v>
      </c>
      <c r="C1520" s="114">
        <v>0.005048602277335155</v>
      </c>
      <c r="D1520" s="91" t="s">
        <v>2526</v>
      </c>
      <c r="E1520" s="91" t="b">
        <v>0</v>
      </c>
      <c r="F1520" s="91" t="b">
        <v>0</v>
      </c>
      <c r="G1520" s="91" t="b">
        <v>0</v>
      </c>
    </row>
    <row r="1521" spans="1:7" ht="15">
      <c r="A1521" s="92" t="s">
        <v>2607</v>
      </c>
      <c r="B1521" s="91">
        <v>3</v>
      </c>
      <c r="C1521" s="114">
        <v>0.008361944323999478</v>
      </c>
      <c r="D1521" s="91" t="s">
        <v>2526</v>
      </c>
      <c r="E1521" s="91" t="b">
        <v>0</v>
      </c>
      <c r="F1521" s="91" t="b">
        <v>0</v>
      </c>
      <c r="G1521" s="91" t="b">
        <v>0</v>
      </c>
    </row>
    <row r="1522" spans="1:7" ht="15">
      <c r="A1522" s="92" t="s">
        <v>2577</v>
      </c>
      <c r="B1522" s="91">
        <v>3</v>
      </c>
      <c r="C1522" s="114">
        <v>0.008361944323999478</v>
      </c>
      <c r="D1522" s="91" t="s">
        <v>2526</v>
      </c>
      <c r="E1522" s="91" t="b">
        <v>0</v>
      </c>
      <c r="F1522" s="91" t="b">
        <v>0</v>
      </c>
      <c r="G1522" s="91" t="b">
        <v>0</v>
      </c>
    </row>
    <row r="1523" spans="1:7" ht="15">
      <c r="A1523" s="92" t="s">
        <v>2654</v>
      </c>
      <c r="B1523" s="91">
        <v>3</v>
      </c>
      <c r="C1523" s="114">
        <v>0.005048602277335155</v>
      </c>
      <c r="D1523" s="91" t="s">
        <v>2526</v>
      </c>
      <c r="E1523" s="91" t="b">
        <v>0</v>
      </c>
      <c r="F1523" s="91" t="b">
        <v>0</v>
      </c>
      <c r="G1523" s="91" t="b">
        <v>0</v>
      </c>
    </row>
    <row r="1524" spans="1:7" ht="15">
      <c r="A1524" s="92" t="s">
        <v>2648</v>
      </c>
      <c r="B1524" s="91">
        <v>3</v>
      </c>
      <c r="C1524" s="114">
        <v>0.005048602277335155</v>
      </c>
      <c r="D1524" s="91" t="s">
        <v>2526</v>
      </c>
      <c r="E1524" s="91" t="b">
        <v>0</v>
      </c>
      <c r="F1524" s="91" t="b">
        <v>0</v>
      </c>
      <c r="G1524" s="91" t="b">
        <v>0</v>
      </c>
    </row>
    <row r="1525" spans="1:7" ht="15">
      <c r="A1525" s="92" t="s">
        <v>2722</v>
      </c>
      <c r="B1525" s="91">
        <v>3</v>
      </c>
      <c r="C1525" s="114">
        <v>0.005048602277335155</v>
      </c>
      <c r="D1525" s="91" t="s">
        <v>2526</v>
      </c>
      <c r="E1525" s="91" t="b">
        <v>0</v>
      </c>
      <c r="F1525" s="91" t="b">
        <v>0</v>
      </c>
      <c r="G1525" s="91" t="b">
        <v>0</v>
      </c>
    </row>
    <row r="1526" spans="1:7" ht="15">
      <c r="A1526" s="92" t="s">
        <v>2582</v>
      </c>
      <c r="B1526" s="91">
        <v>3</v>
      </c>
      <c r="C1526" s="114">
        <v>0.005048602277335155</v>
      </c>
      <c r="D1526" s="91" t="s">
        <v>2526</v>
      </c>
      <c r="E1526" s="91" t="b">
        <v>0</v>
      </c>
      <c r="F1526" s="91" t="b">
        <v>0</v>
      </c>
      <c r="G1526" s="91" t="b">
        <v>0</v>
      </c>
    </row>
    <row r="1527" spans="1:7" ht="15">
      <c r="A1527" s="92" t="s">
        <v>2637</v>
      </c>
      <c r="B1527" s="91">
        <v>3</v>
      </c>
      <c r="C1527" s="114">
        <v>0.005048602277335155</v>
      </c>
      <c r="D1527" s="91" t="s">
        <v>2526</v>
      </c>
      <c r="E1527" s="91" t="b">
        <v>0</v>
      </c>
      <c r="F1527" s="91" t="b">
        <v>0</v>
      </c>
      <c r="G1527" s="91" t="b">
        <v>0</v>
      </c>
    </row>
    <row r="1528" spans="1:7" ht="15">
      <c r="A1528" s="92" t="s">
        <v>2723</v>
      </c>
      <c r="B1528" s="91">
        <v>3</v>
      </c>
      <c r="C1528" s="114">
        <v>0.005048602277335155</v>
      </c>
      <c r="D1528" s="91" t="s">
        <v>2526</v>
      </c>
      <c r="E1528" s="91" t="b">
        <v>0</v>
      </c>
      <c r="F1528" s="91" t="b">
        <v>0</v>
      </c>
      <c r="G1528" s="91" t="b">
        <v>0</v>
      </c>
    </row>
    <row r="1529" spans="1:7" ht="15">
      <c r="A1529" s="92" t="s">
        <v>2610</v>
      </c>
      <c r="B1529" s="91">
        <v>2</v>
      </c>
      <c r="C1529" s="114">
        <v>0.004180972161999738</v>
      </c>
      <c r="D1529" s="91" t="s">
        <v>2526</v>
      </c>
      <c r="E1529" s="91" t="b">
        <v>0</v>
      </c>
      <c r="F1529" s="91" t="b">
        <v>0</v>
      </c>
      <c r="G1529" s="91" t="b">
        <v>0</v>
      </c>
    </row>
    <row r="1530" spans="1:7" ht="15">
      <c r="A1530" s="92" t="s">
        <v>2936</v>
      </c>
      <c r="B1530" s="91">
        <v>2</v>
      </c>
      <c r="C1530" s="114">
        <v>0.004180972161999738</v>
      </c>
      <c r="D1530" s="91" t="s">
        <v>2526</v>
      </c>
      <c r="E1530" s="91" t="b">
        <v>0</v>
      </c>
      <c r="F1530" s="91" t="b">
        <v>0</v>
      </c>
      <c r="G1530" s="91" t="b">
        <v>0</v>
      </c>
    </row>
    <row r="1531" spans="1:7" ht="15">
      <c r="A1531" s="92" t="s">
        <v>2937</v>
      </c>
      <c r="B1531" s="91">
        <v>2</v>
      </c>
      <c r="C1531" s="114">
        <v>0.004180972161999738</v>
      </c>
      <c r="D1531" s="91" t="s">
        <v>2526</v>
      </c>
      <c r="E1531" s="91" t="b">
        <v>0</v>
      </c>
      <c r="F1531" s="91" t="b">
        <v>0</v>
      </c>
      <c r="G1531" s="91" t="b">
        <v>0</v>
      </c>
    </row>
    <row r="1532" spans="1:7" ht="15">
      <c r="A1532" s="92" t="s">
        <v>2938</v>
      </c>
      <c r="B1532" s="91">
        <v>2</v>
      </c>
      <c r="C1532" s="114">
        <v>0.004180972161999738</v>
      </c>
      <c r="D1532" s="91" t="s">
        <v>2526</v>
      </c>
      <c r="E1532" s="91" t="b">
        <v>0</v>
      </c>
      <c r="F1532" s="91" t="b">
        <v>0</v>
      </c>
      <c r="G1532" s="91" t="b">
        <v>0</v>
      </c>
    </row>
    <row r="1533" spans="1:7" ht="15">
      <c r="A1533" s="92" t="s">
        <v>2939</v>
      </c>
      <c r="B1533" s="91">
        <v>2</v>
      </c>
      <c r="C1533" s="114">
        <v>0.004180972161999738</v>
      </c>
      <c r="D1533" s="91" t="s">
        <v>2526</v>
      </c>
      <c r="E1533" s="91" t="b">
        <v>0</v>
      </c>
      <c r="F1533" s="91" t="b">
        <v>0</v>
      </c>
      <c r="G1533" s="91" t="b">
        <v>0</v>
      </c>
    </row>
    <row r="1534" spans="1:7" ht="15">
      <c r="A1534" s="92" t="s">
        <v>2848</v>
      </c>
      <c r="B1534" s="91">
        <v>2</v>
      </c>
      <c r="C1534" s="114">
        <v>0.004180972161999738</v>
      </c>
      <c r="D1534" s="91" t="s">
        <v>2526</v>
      </c>
      <c r="E1534" s="91" t="b">
        <v>0</v>
      </c>
      <c r="F1534" s="91" t="b">
        <v>0</v>
      </c>
      <c r="G1534" s="91" t="b">
        <v>0</v>
      </c>
    </row>
    <row r="1535" spans="1:7" ht="15">
      <c r="A1535" s="92" t="s">
        <v>2849</v>
      </c>
      <c r="B1535" s="91">
        <v>2</v>
      </c>
      <c r="C1535" s="114">
        <v>0.004180972161999738</v>
      </c>
      <c r="D1535" s="91" t="s">
        <v>2526</v>
      </c>
      <c r="E1535" s="91" t="b">
        <v>0</v>
      </c>
      <c r="F1535" s="91" t="b">
        <v>0</v>
      </c>
      <c r="G1535" s="91" t="b">
        <v>0</v>
      </c>
    </row>
    <row r="1536" spans="1:7" ht="15">
      <c r="A1536" s="92" t="s">
        <v>2850</v>
      </c>
      <c r="B1536" s="91">
        <v>2</v>
      </c>
      <c r="C1536" s="114">
        <v>0.004180972161999738</v>
      </c>
      <c r="D1536" s="91" t="s">
        <v>2526</v>
      </c>
      <c r="E1536" s="91" t="b">
        <v>0</v>
      </c>
      <c r="F1536" s="91" t="b">
        <v>0</v>
      </c>
      <c r="G1536" s="91" t="b">
        <v>0</v>
      </c>
    </row>
    <row r="1537" spans="1:7" ht="15">
      <c r="A1537" s="92" t="s">
        <v>2940</v>
      </c>
      <c r="B1537" s="91">
        <v>2</v>
      </c>
      <c r="C1537" s="114">
        <v>0.004180972161999738</v>
      </c>
      <c r="D1537" s="91" t="s">
        <v>2526</v>
      </c>
      <c r="E1537" s="91" t="b">
        <v>0</v>
      </c>
      <c r="F1537" s="91" t="b">
        <v>0</v>
      </c>
      <c r="G1537" s="91" t="b">
        <v>0</v>
      </c>
    </row>
    <row r="1538" spans="1:7" ht="15">
      <c r="A1538" s="92" t="s">
        <v>2585</v>
      </c>
      <c r="B1538" s="91">
        <v>2</v>
      </c>
      <c r="C1538" s="114">
        <v>0.004180972161999738</v>
      </c>
      <c r="D1538" s="91" t="s">
        <v>2526</v>
      </c>
      <c r="E1538" s="91" t="b">
        <v>0</v>
      </c>
      <c r="F1538" s="91" t="b">
        <v>0</v>
      </c>
      <c r="G1538" s="91" t="b">
        <v>0</v>
      </c>
    </row>
    <row r="1539" spans="1:7" ht="15">
      <c r="A1539" s="92" t="s">
        <v>2770</v>
      </c>
      <c r="B1539" s="91">
        <v>2</v>
      </c>
      <c r="C1539" s="114">
        <v>0.004180972161999738</v>
      </c>
      <c r="D1539" s="91" t="s">
        <v>2526</v>
      </c>
      <c r="E1539" s="91" t="b">
        <v>0</v>
      </c>
      <c r="F1539" s="91" t="b">
        <v>0</v>
      </c>
      <c r="G1539" s="91" t="b">
        <v>0</v>
      </c>
    </row>
    <row r="1540" spans="1:7" ht="15">
      <c r="A1540" s="92" t="s">
        <v>394</v>
      </c>
      <c r="B1540" s="91">
        <v>2</v>
      </c>
      <c r="C1540" s="114">
        <v>0.004180972161999738</v>
      </c>
      <c r="D1540" s="91" t="s">
        <v>2526</v>
      </c>
      <c r="E1540" s="91" t="b">
        <v>0</v>
      </c>
      <c r="F1540" s="91" t="b">
        <v>0</v>
      </c>
      <c r="G1540" s="91" t="b">
        <v>0</v>
      </c>
    </row>
    <row r="1541" spans="1:7" ht="15">
      <c r="A1541" s="92" t="s">
        <v>415</v>
      </c>
      <c r="B1541" s="91">
        <v>2</v>
      </c>
      <c r="C1541" s="114">
        <v>0.004180972161999738</v>
      </c>
      <c r="D1541" s="91" t="s">
        <v>2526</v>
      </c>
      <c r="E1541" s="91" t="b">
        <v>0</v>
      </c>
      <c r="F1541" s="91" t="b">
        <v>0</v>
      </c>
      <c r="G1541" s="91" t="b">
        <v>0</v>
      </c>
    </row>
    <row r="1542" spans="1:7" ht="15">
      <c r="A1542" s="92" t="s">
        <v>3023</v>
      </c>
      <c r="B1542" s="91">
        <v>2</v>
      </c>
      <c r="C1542" s="114">
        <v>0.004180972161999738</v>
      </c>
      <c r="D1542" s="91" t="s">
        <v>2526</v>
      </c>
      <c r="E1542" s="91" t="b">
        <v>0</v>
      </c>
      <c r="F1542" s="91" t="b">
        <v>0</v>
      </c>
      <c r="G1542" s="91" t="b">
        <v>0</v>
      </c>
    </row>
    <row r="1543" spans="1:7" ht="15">
      <c r="A1543" s="92" t="s">
        <v>2582</v>
      </c>
      <c r="B1543" s="91">
        <v>8</v>
      </c>
      <c r="C1543" s="114">
        <v>0</v>
      </c>
      <c r="D1543" s="91" t="s">
        <v>2527</v>
      </c>
      <c r="E1543" s="91" t="b">
        <v>0</v>
      </c>
      <c r="F1543" s="91" t="b">
        <v>0</v>
      </c>
      <c r="G1543" s="91" t="b">
        <v>0</v>
      </c>
    </row>
    <row r="1544" spans="1:7" ht="15">
      <c r="A1544" s="92" t="s">
        <v>2720</v>
      </c>
      <c r="B1544" s="91">
        <v>8</v>
      </c>
      <c r="C1544" s="114">
        <v>0</v>
      </c>
      <c r="D1544" s="91" t="s">
        <v>2527</v>
      </c>
      <c r="E1544" s="91" t="b">
        <v>0</v>
      </c>
      <c r="F1544" s="91" t="b">
        <v>0</v>
      </c>
      <c r="G1544" s="91" t="b">
        <v>0</v>
      </c>
    </row>
    <row r="1545" spans="1:7" ht="15">
      <c r="A1545" s="92" t="s">
        <v>2860</v>
      </c>
      <c r="B1545" s="91">
        <v>4</v>
      </c>
      <c r="C1545" s="114">
        <v>0</v>
      </c>
      <c r="D1545" s="91" t="s">
        <v>2527</v>
      </c>
      <c r="E1545" s="91" t="b">
        <v>0</v>
      </c>
      <c r="F1545" s="91" t="b">
        <v>0</v>
      </c>
      <c r="G1545" s="91" t="b">
        <v>0</v>
      </c>
    </row>
    <row r="1546" spans="1:7" ht="15">
      <c r="A1546" s="92" t="s">
        <v>2861</v>
      </c>
      <c r="B1546" s="91">
        <v>4</v>
      </c>
      <c r="C1546" s="114">
        <v>0</v>
      </c>
      <c r="D1546" s="91" t="s">
        <v>2527</v>
      </c>
      <c r="E1546" s="91" t="b">
        <v>0</v>
      </c>
      <c r="F1546" s="91" t="b">
        <v>0</v>
      </c>
      <c r="G1546" s="91" t="b">
        <v>0</v>
      </c>
    </row>
    <row r="1547" spans="1:7" ht="15">
      <c r="A1547" s="92" t="s">
        <v>2862</v>
      </c>
      <c r="B1547" s="91">
        <v>4</v>
      </c>
      <c r="C1547" s="114">
        <v>0</v>
      </c>
      <c r="D1547" s="91" t="s">
        <v>2527</v>
      </c>
      <c r="E1547" s="91" t="b">
        <v>0</v>
      </c>
      <c r="F1547" s="91" t="b">
        <v>0</v>
      </c>
      <c r="G1547" s="91" t="b">
        <v>0</v>
      </c>
    </row>
    <row r="1548" spans="1:7" ht="15">
      <c r="A1548" s="92" t="s">
        <v>2736</v>
      </c>
      <c r="B1548" s="91">
        <v>4</v>
      </c>
      <c r="C1548" s="114">
        <v>0</v>
      </c>
      <c r="D1548" s="91" t="s">
        <v>2527</v>
      </c>
      <c r="E1548" s="91" t="b">
        <v>0</v>
      </c>
      <c r="F1548" s="91" t="b">
        <v>0</v>
      </c>
      <c r="G1548" s="91" t="b">
        <v>0</v>
      </c>
    </row>
    <row r="1549" spans="1:7" ht="15">
      <c r="A1549" s="92" t="s">
        <v>2587</v>
      </c>
      <c r="B1549" s="91">
        <v>4</v>
      </c>
      <c r="C1549" s="114">
        <v>0</v>
      </c>
      <c r="D1549" s="91" t="s">
        <v>2527</v>
      </c>
      <c r="E1549" s="91" t="b">
        <v>0</v>
      </c>
      <c r="F1549" s="91" t="b">
        <v>0</v>
      </c>
      <c r="G1549" s="91" t="b">
        <v>0</v>
      </c>
    </row>
    <row r="1550" spans="1:7" ht="15">
      <c r="A1550" s="92" t="s">
        <v>2719</v>
      </c>
      <c r="B1550" s="91">
        <v>4</v>
      </c>
      <c r="C1550" s="114">
        <v>0</v>
      </c>
      <c r="D1550" s="91" t="s">
        <v>2527</v>
      </c>
      <c r="E1550" s="91" t="b">
        <v>0</v>
      </c>
      <c r="F1550" s="91" t="b">
        <v>0</v>
      </c>
      <c r="G1550" s="91" t="b">
        <v>0</v>
      </c>
    </row>
    <row r="1551" spans="1:7" ht="15">
      <c r="A1551" s="92" t="s">
        <v>2648</v>
      </c>
      <c r="B1551" s="91">
        <v>4</v>
      </c>
      <c r="C1551" s="114">
        <v>0</v>
      </c>
      <c r="D1551" s="91" t="s">
        <v>2527</v>
      </c>
      <c r="E1551" s="91" t="b">
        <v>0</v>
      </c>
      <c r="F1551" s="91" t="b">
        <v>0</v>
      </c>
      <c r="G1551" s="91" t="b">
        <v>0</v>
      </c>
    </row>
    <row r="1552" spans="1:7" ht="15">
      <c r="A1552" s="92" t="s">
        <v>2831</v>
      </c>
      <c r="B1552" s="91">
        <v>4</v>
      </c>
      <c r="C1552" s="114">
        <v>0</v>
      </c>
      <c r="D1552" s="91" t="s">
        <v>2527</v>
      </c>
      <c r="E1552" s="91" t="b">
        <v>0</v>
      </c>
      <c r="F1552" s="91" t="b">
        <v>0</v>
      </c>
      <c r="G1552" s="91" t="b">
        <v>0</v>
      </c>
    </row>
    <row r="1553" spans="1:7" ht="15">
      <c r="A1553" s="92" t="s">
        <v>2636</v>
      </c>
      <c r="B1553" s="91">
        <v>4</v>
      </c>
      <c r="C1553" s="114">
        <v>0</v>
      </c>
      <c r="D1553" s="91" t="s">
        <v>2527</v>
      </c>
      <c r="E1553" s="91" t="b">
        <v>0</v>
      </c>
      <c r="F1553" s="91" t="b">
        <v>0</v>
      </c>
      <c r="G1553" s="91" t="b">
        <v>0</v>
      </c>
    </row>
    <row r="1554" spans="1:7" ht="15">
      <c r="A1554" s="92" t="s">
        <v>2863</v>
      </c>
      <c r="B1554" s="91">
        <v>4</v>
      </c>
      <c r="C1554" s="114">
        <v>0</v>
      </c>
      <c r="D1554" s="91" t="s">
        <v>2527</v>
      </c>
      <c r="E1554" s="91" t="b">
        <v>0</v>
      </c>
      <c r="F1554" s="91" t="b">
        <v>0</v>
      </c>
      <c r="G1554" s="91" t="b">
        <v>0</v>
      </c>
    </row>
    <row r="1555" spans="1:7" ht="15">
      <c r="A1555" s="92" t="s">
        <v>2607</v>
      </c>
      <c r="B1555" s="91">
        <v>4</v>
      </c>
      <c r="C1555" s="114">
        <v>0</v>
      </c>
      <c r="D1555" s="91" t="s">
        <v>2527</v>
      </c>
      <c r="E1555" s="91" t="b">
        <v>0</v>
      </c>
      <c r="F1555" s="91" t="b">
        <v>0</v>
      </c>
      <c r="G1555" s="91" t="b">
        <v>0</v>
      </c>
    </row>
    <row r="1556" spans="1:7" ht="15">
      <c r="A1556" s="92" t="s">
        <v>2832</v>
      </c>
      <c r="B1556" s="91">
        <v>4</v>
      </c>
      <c r="C1556" s="114">
        <v>0</v>
      </c>
      <c r="D1556" s="91" t="s">
        <v>2527</v>
      </c>
      <c r="E1556" s="91" t="b">
        <v>0</v>
      </c>
      <c r="F1556" s="91" t="b">
        <v>0</v>
      </c>
      <c r="G1556" s="91" t="b">
        <v>0</v>
      </c>
    </row>
    <row r="1557" spans="1:7" ht="15">
      <c r="A1557" s="92" t="s">
        <v>2864</v>
      </c>
      <c r="B1557" s="91">
        <v>4</v>
      </c>
      <c r="C1557" s="114">
        <v>0</v>
      </c>
      <c r="D1557" s="91" t="s">
        <v>2527</v>
      </c>
      <c r="E1557" s="91" t="b">
        <v>0</v>
      </c>
      <c r="F1557" s="91" t="b">
        <v>0</v>
      </c>
      <c r="G1557" s="91" t="b">
        <v>0</v>
      </c>
    </row>
    <row r="1558" spans="1:7" ht="15">
      <c r="A1558" s="92" t="s">
        <v>2865</v>
      </c>
      <c r="B1558" s="91">
        <v>4</v>
      </c>
      <c r="C1558" s="114">
        <v>0</v>
      </c>
      <c r="D1558" s="91" t="s">
        <v>2527</v>
      </c>
      <c r="E1558" s="91" t="b">
        <v>0</v>
      </c>
      <c r="F1558" s="91" t="b">
        <v>0</v>
      </c>
      <c r="G1558" s="91" t="b">
        <v>0</v>
      </c>
    </row>
    <row r="1559" spans="1:7" ht="15">
      <c r="A1559" s="92" t="s">
        <v>2752</v>
      </c>
      <c r="B1559" s="91">
        <v>4</v>
      </c>
      <c r="C1559" s="114">
        <v>0</v>
      </c>
      <c r="D1559" s="91" t="s">
        <v>2527</v>
      </c>
      <c r="E1559" s="91" t="b">
        <v>0</v>
      </c>
      <c r="F1559" s="91" t="b">
        <v>0</v>
      </c>
      <c r="G1559" s="91" t="b">
        <v>0</v>
      </c>
    </row>
    <row r="1560" spans="1:7" ht="15">
      <c r="A1560" s="92" t="s">
        <v>2581</v>
      </c>
      <c r="B1560" s="91">
        <v>4</v>
      </c>
      <c r="C1560" s="114">
        <v>0</v>
      </c>
      <c r="D1560" s="91" t="s">
        <v>2527</v>
      </c>
      <c r="E1560" s="91" t="b">
        <v>0</v>
      </c>
      <c r="F1560" s="91" t="b">
        <v>0</v>
      </c>
      <c r="G1560" s="91" t="b">
        <v>0</v>
      </c>
    </row>
    <row r="1561" spans="1:7" ht="15">
      <c r="A1561" s="92" t="s">
        <v>2737</v>
      </c>
      <c r="B1561" s="91">
        <v>4</v>
      </c>
      <c r="C1561" s="114">
        <v>0</v>
      </c>
      <c r="D1561" s="91" t="s">
        <v>2527</v>
      </c>
      <c r="E1561" s="91" t="b">
        <v>0</v>
      </c>
      <c r="F1561" s="91" t="b">
        <v>0</v>
      </c>
      <c r="G1561" s="91" t="b">
        <v>0</v>
      </c>
    </row>
    <row r="1562" spans="1:7" ht="15">
      <c r="A1562" s="92" t="s">
        <v>2798</v>
      </c>
      <c r="B1562" s="91">
        <v>4</v>
      </c>
      <c r="C1562" s="114">
        <v>0</v>
      </c>
      <c r="D1562" s="91" t="s">
        <v>2527</v>
      </c>
      <c r="E1562" s="91" t="b">
        <v>0</v>
      </c>
      <c r="F1562" s="91" t="b">
        <v>0</v>
      </c>
      <c r="G1562" s="91" t="b">
        <v>0</v>
      </c>
    </row>
    <row r="1563" spans="1:7" ht="15">
      <c r="A1563" s="92" t="s">
        <v>2866</v>
      </c>
      <c r="B1563" s="91">
        <v>4</v>
      </c>
      <c r="C1563" s="114">
        <v>0</v>
      </c>
      <c r="D1563" s="91" t="s">
        <v>2527</v>
      </c>
      <c r="E1563" s="91" t="b">
        <v>0</v>
      </c>
      <c r="F1563" s="91" t="b">
        <v>0</v>
      </c>
      <c r="G1563" s="91" t="b">
        <v>0</v>
      </c>
    </row>
    <row r="1564" spans="1:7" ht="15">
      <c r="A1564" s="92" t="s">
        <v>2610</v>
      </c>
      <c r="B1564" s="91">
        <v>4</v>
      </c>
      <c r="C1564" s="114">
        <v>0</v>
      </c>
      <c r="D1564" s="91" t="s">
        <v>2527</v>
      </c>
      <c r="E1564" s="91" t="b">
        <v>0</v>
      </c>
      <c r="F1564" s="91" t="b">
        <v>0</v>
      </c>
      <c r="G1564" s="91" t="b">
        <v>0</v>
      </c>
    </row>
    <row r="1565" spans="1:7" ht="15">
      <c r="A1565" s="92" t="s">
        <v>2867</v>
      </c>
      <c r="B1565" s="91">
        <v>4</v>
      </c>
      <c r="C1565" s="114">
        <v>0</v>
      </c>
      <c r="D1565" s="91" t="s">
        <v>2527</v>
      </c>
      <c r="E1565" s="91" t="b">
        <v>0</v>
      </c>
      <c r="F1565" s="91" t="b">
        <v>0</v>
      </c>
      <c r="G1565" s="91" t="b">
        <v>0</v>
      </c>
    </row>
    <row r="1566" spans="1:7" ht="15">
      <c r="A1566" s="92" t="s">
        <v>2744</v>
      </c>
      <c r="B1566" s="91">
        <v>4</v>
      </c>
      <c r="C1566" s="114">
        <v>0</v>
      </c>
      <c r="D1566" s="91" t="s">
        <v>2527</v>
      </c>
      <c r="E1566" s="91" t="b">
        <v>0</v>
      </c>
      <c r="F1566" s="91" t="b">
        <v>0</v>
      </c>
      <c r="G1566" s="91" t="b">
        <v>0</v>
      </c>
    </row>
    <row r="1567" spans="1:7" ht="15">
      <c r="A1567" s="92" t="s">
        <v>2868</v>
      </c>
      <c r="B1567" s="91">
        <v>4</v>
      </c>
      <c r="C1567" s="114">
        <v>0</v>
      </c>
      <c r="D1567" s="91" t="s">
        <v>2527</v>
      </c>
      <c r="E1567" s="91" t="b">
        <v>0</v>
      </c>
      <c r="F1567" s="91" t="b">
        <v>0</v>
      </c>
      <c r="G1567" s="91" t="b">
        <v>0</v>
      </c>
    </row>
    <row r="1568" spans="1:7" ht="15">
      <c r="A1568" s="92" t="s">
        <v>2869</v>
      </c>
      <c r="B1568" s="91">
        <v>4</v>
      </c>
      <c r="C1568" s="114">
        <v>0</v>
      </c>
      <c r="D1568" s="91" t="s">
        <v>2527</v>
      </c>
      <c r="E1568" s="91" t="b">
        <v>0</v>
      </c>
      <c r="F1568" s="91" t="b">
        <v>0</v>
      </c>
      <c r="G1568" s="91" t="b">
        <v>0</v>
      </c>
    </row>
    <row r="1569" spans="1:7" ht="15">
      <c r="A1569" s="92" t="s">
        <v>2870</v>
      </c>
      <c r="B1569" s="91">
        <v>4</v>
      </c>
      <c r="C1569" s="114">
        <v>0</v>
      </c>
      <c r="D1569" s="91" t="s">
        <v>2527</v>
      </c>
      <c r="E1569" s="91" t="b">
        <v>0</v>
      </c>
      <c r="F1569" s="91" t="b">
        <v>0</v>
      </c>
      <c r="G1569" s="91" t="b">
        <v>0</v>
      </c>
    </row>
    <row r="1570" spans="1:7" ht="15">
      <c r="A1570" s="92" t="s">
        <v>2564</v>
      </c>
      <c r="B1570" s="91">
        <v>4</v>
      </c>
      <c r="C1570" s="114">
        <v>0</v>
      </c>
      <c r="D1570" s="91" t="s">
        <v>2527</v>
      </c>
      <c r="E1570" s="91" t="b">
        <v>0</v>
      </c>
      <c r="F1570" s="91" t="b">
        <v>0</v>
      </c>
      <c r="G1570" s="91" t="b">
        <v>0</v>
      </c>
    </row>
    <row r="1571" spans="1:7" ht="15">
      <c r="A1571" s="92" t="s">
        <v>2745</v>
      </c>
      <c r="B1571" s="91">
        <v>4</v>
      </c>
      <c r="C1571" s="114">
        <v>0</v>
      </c>
      <c r="D1571" s="91" t="s">
        <v>2527</v>
      </c>
      <c r="E1571" s="91" t="b">
        <v>0</v>
      </c>
      <c r="F1571" s="91" t="b">
        <v>0</v>
      </c>
      <c r="G1571" s="91" t="b">
        <v>0</v>
      </c>
    </row>
    <row r="1572" spans="1:7" ht="15">
      <c r="A1572" s="92" t="s">
        <v>2566</v>
      </c>
      <c r="B1572" s="91">
        <v>4</v>
      </c>
      <c r="C1572" s="114">
        <v>0</v>
      </c>
      <c r="D1572" s="91" t="s">
        <v>2527</v>
      </c>
      <c r="E1572" s="91" t="b">
        <v>0</v>
      </c>
      <c r="F1572" s="91" t="b">
        <v>0</v>
      </c>
      <c r="G1572" s="91" t="b">
        <v>0</v>
      </c>
    </row>
    <row r="1573" spans="1:7" ht="15">
      <c r="A1573" s="92" t="s">
        <v>2746</v>
      </c>
      <c r="B1573" s="91">
        <v>4</v>
      </c>
      <c r="C1573" s="114">
        <v>0</v>
      </c>
      <c r="D1573" s="91" t="s">
        <v>2527</v>
      </c>
      <c r="E1573" s="91" t="b">
        <v>0</v>
      </c>
      <c r="F1573" s="91" t="b">
        <v>0</v>
      </c>
      <c r="G1573" s="91" t="b">
        <v>0</v>
      </c>
    </row>
    <row r="1574" spans="1:7" ht="15">
      <c r="A1574" s="92" t="s">
        <v>2728</v>
      </c>
      <c r="B1574" s="91">
        <v>4</v>
      </c>
      <c r="C1574" s="114">
        <v>0</v>
      </c>
      <c r="D1574" s="91" t="s">
        <v>2527</v>
      </c>
      <c r="E1574" s="91" t="b">
        <v>0</v>
      </c>
      <c r="F1574" s="91" t="b">
        <v>0</v>
      </c>
      <c r="G1574" s="91" t="b">
        <v>0</v>
      </c>
    </row>
    <row r="1575" spans="1:7" ht="15">
      <c r="A1575" s="92" t="s">
        <v>2568</v>
      </c>
      <c r="B1575" s="91">
        <v>4</v>
      </c>
      <c r="C1575" s="114">
        <v>0</v>
      </c>
      <c r="D1575" s="91" t="s">
        <v>2528</v>
      </c>
      <c r="E1575" s="91" t="b">
        <v>0</v>
      </c>
      <c r="F1575" s="91" t="b">
        <v>0</v>
      </c>
      <c r="G1575" s="91" t="b">
        <v>0</v>
      </c>
    </row>
    <row r="1576" spans="1:7" ht="15">
      <c r="A1576" s="92" t="s">
        <v>2564</v>
      </c>
      <c r="B1576" s="91">
        <v>4</v>
      </c>
      <c r="C1576" s="114">
        <v>0</v>
      </c>
      <c r="D1576" s="91" t="s">
        <v>2528</v>
      </c>
      <c r="E1576" s="91" t="b">
        <v>0</v>
      </c>
      <c r="F1576" s="91" t="b">
        <v>0</v>
      </c>
      <c r="G1576" s="91" t="b">
        <v>0</v>
      </c>
    </row>
    <row r="1577" spans="1:7" ht="15">
      <c r="A1577" s="92" t="s">
        <v>2670</v>
      </c>
      <c r="B1577" s="91">
        <v>3</v>
      </c>
      <c r="C1577" s="114">
        <v>0.002974731824007141</v>
      </c>
      <c r="D1577" s="91" t="s">
        <v>2528</v>
      </c>
      <c r="E1577" s="91" t="b">
        <v>0</v>
      </c>
      <c r="F1577" s="91" t="b">
        <v>0</v>
      </c>
      <c r="G1577" s="91" t="b">
        <v>0</v>
      </c>
    </row>
    <row r="1578" spans="1:7" ht="15">
      <c r="A1578" s="92" t="s">
        <v>2969</v>
      </c>
      <c r="B1578" s="91">
        <v>3</v>
      </c>
      <c r="C1578" s="114">
        <v>0.002974731824007141</v>
      </c>
      <c r="D1578" s="91" t="s">
        <v>2528</v>
      </c>
      <c r="E1578" s="91" t="b">
        <v>0</v>
      </c>
      <c r="F1578" s="91" t="b">
        <v>0</v>
      </c>
      <c r="G1578" s="91" t="b">
        <v>0</v>
      </c>
    </row>
    <row r="1579" spans="1:7" ht="15">
      <c r="A1579" s="92" t="s">
        <v>2750</v>
      </c>
      <c r="B1579" s="91">
        <v>3</v>
      </c>
      <c r="C1579" s="114">
        <v>0.002974731824007141</v>
      </c>
      <c r="D1579" s="91" t="s">
        <v>2528</v>
      </c>
      <c r="E1579" s="91" t="b">
        <v>0</v>
      </c>
      <c r="F1579" s="91" t="b">
        <v>0</v>
      </c>
      <c r="G1579" s="91" t="b">
        <v>0</v>
      </c>
    </row>
    <row r="1580" spans="1:7" ht="15">
      <c r="A1580" s="92" t="s">
        <v>2933</v>
      </c>
      <c r="B1580" s="91">
        <v>3</v>
      </c>
      <c r="C1580" s="114">
        <v>0.002974731824007141</v>
      </c>
      <c r="D1580" s="91" t="s">
        <v>2528</v>
      </c>
      <c r="E1580" s="91" t="b">
        <v>0</v>
      </c>
      <c r="F1580" s="91" t="b">
        <v>0</v>
      </c>
      <c r="G1580" s="91" t="b">
        <v>0</v>
      </c>
    </row>
    <row r="1581" spans="1:7" ht="15">
      <c r="A1581" s="92" t="s">
        <v>2716</v>
      </c>
      <c r="B1581" s="91">
        <v>3</v>
      </c>
      <c r="C1581" s="114">
        <v>0.002974731824007141</v>
      </c>
      <c r="D1581" s="91" t="s">
        <v>2528</v>
      </c>
      <c r="E1581" s="91" t="b">
        <v>0</v>
      </c>
      <c r="F1581" s="91" t="b">
        <v>0</v>
      </c>
      <c r="G1581" s="91" t="b">
        <v>0</v>
      </c>
    </row>
    <row r="1582" spans="1:7" ht="15">
      <c r="A1582" s="92" t="s">
        <v>2733</v>
      </c>
      <c r="B1582" s="91">
        <v>3</v>
      </c>
      <c r="C1582" s="114">
        <v>0.002974731824007141</v>
      </c>
      <c r="D1582" s="91" t="s">
        <v>2528</v>
      </c>
      <c r="E1582" s="91" t="b">
        <v>0</v>
      </c>
      <c r="F1582" s="91" t="b">
        <v>0</v>
      </c>
      <c r="G1582" s="91" t="b">
        <v>0</v>
      </c>
    </row>
    <row r="1583" spans="1:7" ht="15">
      <c r="A1583" s="92" t="s">
        <v>2569</v>
      </c>
      <c r="B1583" s="91">
        <v>3</v>
      </c>
      <c r="C1583" s="114">
        <v>0.002974731824007141</v>
      </c>
      <c r="D1583" s="91" t="s">
        <v>2528</v>
      </c>
      <c r="E1583" s="91" t="b">
        <v>0</v>
      </c>
      <c r="F1583" s="91" t="b">
        <v>0</v>
      </c>
      <c r="G1583" s="91" t="b">
        <v>0</v>
      </c>
    </row>
    <row r="1584" spans="1:7" ht="15">
      <c r="A1584" s="92" t="s">
        <v>2572</v>
      </c>
      <c r="B1584" s="91">
        <v>3</v>
      </c>
      <c r="C1584" s="114">
        <v>0.002974731824007141</v>
      </c>
      <c r="D1584" s="91" t="s">
        <v>2528</v>
      </c>
      <c r="E1584" s="91" t="b">
        <v>0</v>
      </c>
      <c r="F1584" s="91" t="b">
        <v>0</v>
      </c>
      <c r="G1584" s="91" t="b">
        <v>0</v>
      </c>
    </row>
    <row r="1585" spans="1:7" ht="15">
      <c r="A1585" s="92" t="s">
        <v>2672</v>
      </c>
      <c r="B1585" s="91">
        <v>3</v>
      </c>
      <c r="C1585" s="114">
        <v>0.002974731824007141</v>
      </c>
      <c r="D1585" s="91" t="s">
        <v>2528</v>
      </c>
      <c r="E1585" s="91" t="b">
        <v>0</v>
      </c>
      <c r="F1585" s="91" t="b">
        <v>0</v>
      </c>
      <c r="G1585" s="91" t="b">
        <v>0</v>
      </c>
    </row>
    <row r="1586" spans="1:7" ht="15">
      <c r="A1586" s="92" t="s">
        <v>3030</v>
      </c>
      <c r="B1586" s="91">
        <v>3</v>
      </c>
      <c r="C1586" s="114">
        <v>0.002974731824007141</v>
      </c>
      <c r="D1586" s="91" t="s">
        <v>2528</v>
      </c>
      <c r="E1586" s="91" t="b">
        <v>0</v>
      </c>
      <c r="F1586" s="91" t="b">
        <v>0</v>
      </c>
      <c r="G1586" s="91" t="b">
        <v>0</v>
      </c>
    </row>
    <row r="1587" spans="1:7" ht="15">
      <c r="A1587" s="92" t="s">
        <v>3031</v>
      </c>
      <c r="B1587" s="91">
        <v>3</v>
      </c>
      <c r="C1587" s="114">
        <v>0.002974731824007141</v>
      </c>
      <c r="D1587" s="91" t="s">
        <v>2528</v>
      </c>
      <c r="E1587" s="91" t="b">
        <v>0</v>
      </c>
      <c r="F1587" s="91" t="b">
        <v>0</v>
      </c>
      <c r="G1587" s="91" t="b">
        <v>0</v>
      </c>
    </row>
    <row r="1588" spans="1:7" ht="15">
      <c r="A1588" s="92" t="s">
        <v>2580</v>
      </c>
      <c r="B1588" s="91">
        <v>3</v>
      </c>
      <c r="C1588" s="114">
        <v>0.002974731824007141</v>
      </c>
      <c r="D1588" s="91" t="s">
        <v>2528</v>
      </c>
      <c r="E1588" s="91" t="b">
        <v>0</v>
      </c>
      <c r="F1588" s="91" t="b">
        <v>0</v>
      </c>
      <c r="G1588" s="91" t="b">
        <v>0</v>
      </c>
    </row>
    <row r="1589" spans="1:7" ht="15">
      <c r="A1589" s="92" t="s">
        <v>3032</v>
      </c>
      <c r="B1589" s="91">
        <v>3</v>
      </c>
      <c r="C1589" s="114">
        <v>0.002974731824007141</v>
      </c>
      <c r="D1589" s="91" t="s">
        <v>2528</v>
      </c>
      <c r="E1589" s="91" t="b">
        <v>0</v>
      </c>
      <c r="F1589" s="91" t="b">
        <v>0</v>
      </c>
      <c r="G1589" s="91" t="b">
        <v>0</v>
      </c>
    </row>
    <row r="1590" spans="1:7" ht="15">
      <c r="A1590" s="92" t="s">
        <v>2647</v>
      </c>
      <c r="B1590" s="91">
        <v>3</v>
      </c>
      <c r="C1590" s="114">
        <v>0.002974731824007141</v>
      </c>
      <c r="D1590" s="91" t="s">
        <v>2528</v>
      </c>
      <c r="E1590" s="91" t="b">
        <v>0</v>
      </c>
      <c r="F1590" s="91" t="b">
        <v>0</v>
      </c>
      <c r="G1590" s="91" t="b">
        <v>0</v>
      </c>
    </row>
    <row r="1591" spans="1:7" ht="15">
      <c r="A1591" s="92" t="s">
        <v>3033</v>
      </c>
      <c r="B1591" s="91">
        <v>3</v>
      </c>
      <c r="C1591" s="114">
        <v>0.002974731824007141</v>
      </c>
      <c r="D1591" s="91" t="s">
        <v>2528</v>
      </c>
      <c r="E1591" s="91" t="b">
        <v>0</v>
      </c>
      <c r="F1591" s="91" t="b">
        <v>0</v>
      </c>
      <c r="G1591" s="91" t="b">
        <v>0</v>
      </c>
    </row>
    <row r="1592" spans="1:7" ht="15">
      <c r="A1592" s="92" t="s">
        <v>2737</v>
      </c>
      <c r="B1592" s="91">
        <v>3</v>
      </c>
      <c r="C1592" s="114">
        <v>0.002974731824007141</v>
      </c>
      <c r="D1592" s="91" t="s">
        <v>2528</v>
      </c>
      <c r="E1592" s="91" t="b">
        <v>0</v>
      </c>
      <c r="F1592" s="91" t="b">
        <v>0</v>
      </c>
      <c r="G1592" s="91" t="b">
        <v>0</v>
      </c>
    </row>
    <row r="1593" spans="1:7" ht="15">
      <c r="A1593" s="92" t="s">
        <v>2590</v>
      </c>
      <c r="B1593" s="91">
        <v>3</v>
      </c>
      <c r="C1593" s="114">
        <v>0.002974731824007141</v>
      </c>
      <c r="D1593" s="91" t="s">
        <v>2528</v>
      </c>
      <c r="E1593" s="91" t="b">
        <v>0</v>
      </c>
      <c r="F1593" s="91" t="b">
        <v>0</v>
      </c>
      <c r="G1593" s="91" t="b">
        <v>0</v>
      </c>
    </row>
    <row r="1594" spans="1:7" ht="15">
      <c r="A1594" s="92" t="s">
        <v>2799</v>
      </c>
      <c r="B1594" s="91">
        <v>3</v>
      </c>
      <c r="C1594" s="114">
        <v>0.002974731824007141</v>
      </c>
      <c r="D1594" s="91" t="s">
        <v>2528</v>
      </c>
      <c r="E1594" s="91" t="b">
        <v>0</v>
      </c>
      <c r="F1594" s="91" t="b">
        <v>0</v>
      </c>
      <c r="G1594" s="91" t="b">
        <v>0</v>
      </c>
    </row>
    <row r="1595" spans="1:7" ht="15">
      <c r="A1595" s="92" t="s">
        <v>2650</v>
      </c>
      <c r="B1595" s="91">
        <v>3</v>
      </c>
      <c r="C1595" s="114">
        <v>0.002974731824007141</v>
      </c>
      <c r="D1595" s="91" t="s">
        <v>2528</v>
      </c>
      <c r="E1595" s="91" t="b">
        <v>0</v>
      </c>
      <c r="F1595" s="91" t="b">
        <v>0</v>
      </c>
      <c r="G1595" s="91" t="b">
        <v>0</v>
      </c>
    </row>
    <row r="1596" spans="1:7" ht="15">
      <c r="A1596" s="92" t="s">
        <v>3034</v>
      </c>
      <c r="B1596" s="91">
        <v>3</v>
      </c>
      <c r="C1596" s="114">
        <v>0.002974731824007141</v>
      </c>
      <c r="D1596" s="91" t="s">
        <v>2528</v>
      </c>
      <c r="E1596" s="91" t="b">
        <v>0</v>
      </c>
      <c r="F1596" s="91" t="b">
        <v>0</v>
      </c>
      <c r="G1596" s="91" t="b">
        <v>0</v>
      </c>
    </row>
    <row r="1597" spans="1:7" ht="15">
      <c r="A1597" s="92" t="s">
        <v>2693</v>
      </c>
      <c r="B1597" s="91">
        <v>3</v>
      </c>
      <c r="C1597" s="114">
        <v>0.002974731824007141</v>
      </c>
      <c r="D1597" s="91" t="s">
        <v>2528</v>
      </c>
      <c r="E1597" s="91" t="b">
        <v>0</v>
      </c>
      <c r="F1597" s="91" t="b">
        <v>0</v>
      </c>
      <c r="G1597" s="91" t="b">
        <v>0</v>
      </c>
    </row>
    <row r="1598" spans="1:7" ht="15">
      <c r="A1598" s="92" t="s">
        <v>3035</v>
      </c>
      <c r="B1598" s="91">
        <v>3</v>
      </c>
      <c r="C1598" s="114">
        <v>0.002974731824007141</v>
      </c>
      <c r="D1598" s="91" t="s">
        <v>2528</v>
      </c>
      <c r="E1598" s="91" t="b">
        <v>0</v>
      </c>
      <c r="F1598" s="91" t="b">
        <v>0</v>
      </c>
      <c r="G1598" s="91" t="b">
        <v>0</v>
      </c>
    </row>
    <row r="1599" spans="1:7" ht="15">
      <c r="A1599" s="92" t="s">
        <v>2589</v>
      </c>
      <c r="B1599" s="91">
        <v>3</v>
      </c>
      <c r="C1599" s="114">
        <v>0.002974731824007141</v>
      </c>
      <c r="D1599" s="91" t="s">
        <v>2528</v>
      </c>
      <c r="E1599" s="91" t="b">
        <v>0</v>
      </c>
      <c r="F1599" s="91" t="b">
        <v>0</v>
      </c>
      <c r="G1599" s="91" t="b">
        <v>0</v>
      </c>
    </row>
    <row r="1600" spans="1:7" ht="15">
      <c r="A1600" s="92" t="s">
        <v>3036</v>
      </c>
      <c r="B1600" s="91">
        <v>3</v>
      </c>
      <c r="C1600" s="114">
        <v>0.002974731824007141</v>
      </c>
      <c r="D1600" s="91" t="s">
        <v>2528</v>
      </c>
      <c r="E1600" s="91" t="b">
        <v>0</v>
      </c>
      <c r="F1600" s="91" t="b">
        <v>0</v>
      </c>
      <c r="G1600" s="91" t="b">
        <v>0</v>
      </c>
    </row>
    <row r="1601" spans="1:7" ht="15">
      <c r="A1601" s="92" t="s">
        <v>3037</v>
      </c>
      <c r="B1601" s="91">
        <v>3</v>
      </c>
      <c r="C1601" s="114">
        <v>0.002974731824007141</v>
      </c>
      <c r="D1601" s="91" t="s">
        <v>2528</v>
      </c>
      <c r="E1601" s="91" t="b">
        <v>0</v>
      </c>
      <c r="F1601" s="91" t="b">
        <v>0</v>
      </c>
      <c r="G1601" s="91" t="b">
        <v>0</v>
      </c>
    </row>
    <row r="1602" spans="1:7" ht="15">
      <c r="A1602" s="92" t="s">
        <v>2616</v>
      </c>
      <c r="B1602" s="91">
        <v>3</v>
      </c>
      <c r="C1602" s="114">
        <v>0.002974731824007141</v>
      </c>
      <c r="D1602" s="91" t="s">
        <v>2528</v>
      </c>
      <c r="E1602" s="91" t="b">
        <v>0</v>
      </c>
      <c r="F1602" s="91" t="b">
        <v>0</v>
      </c>
      <c r="G1602" s="91" t="b">
        <v>0</v>
      </c>
    </row>
    <row r="1603" spans="1:7" ht="15">
      <c r="A1603" s="92" t="s">
        <v>3038</v>
      </c>
      <c r="B1603" s="91">
        <v>3</v>
      </c>
      <c r="C1603" s="114">
        <v>0.002974731824007141</v>
      </c>
      <c r="D1603" s="91" t="s">
        <v>2528</v>
      </c>
      <c r="E1603" s="91" t="b">
        <v>0</v>
      </c>
      <c r="F1603" s="91" t="b">
        <v>0</v>
      </c>
      <c r="G1603" s="91" t="b">
        <v>0</v>
      </c>
    </row>
    <row r="1604" spans="1:7" ht="15">
      <c r="A1604" s="92" t="s">
        <v>3039</v>
      </c>
      <c r="B1604" s="91">
        <v>3</v>
      </c>
      <c r="C1604" s="114">
        <v>0.002974731824007141</v>
      </c>
      <c r="D1604" s="91" t="s">
        <v>2528</v>
      </c>
      <c r="E1604" s="91" t="b">
        <v>0</v>
      </c>
      <c r="F1604" s="91" t="b">
        <v>0</v>
      </c>
      <c r="G1604" s="91" t="b">
        <v>0</v>
      </c>
    </row>
    <row r="1605" spans="1:7" ht="15">
      <c r="A1605" s="92" t="s">
        <v>2766</v>
      </c>
      <c r="B1605" s="91">
        <v>3</v>
      </c>
      <c r="C1605" s="114">
        <v>0.002974731824007141</v>
      </c>
      <c r="D1605" s="91" t="s">
        <v>2528</v>
      </c>
      <c r="E1605" s="91" t="b">
        <v>0</v>
      </c>
      <c r="F1605" s="91" t="b">
        <v>0</v>
      </c>
      <c r="G1605" s="91" t="b">
        <v>0</v>
      </c>
    </row>
    <row r="1606" spans="1:7" ht="15">
      <c r="A1606" s="92" t="s">
        <v>2893</v>
      </c>
      <c r="B1606" s="91">
        <v>3</v>
      </c>
      <c r="C1606" s="114">
        <v>0.002974731824007141</v>
      </c>
      <c r="D1606" s="91" t="s">
        <v>2528</v>
      </c>
      <c r="E1606" s="91" t="b">
        <v>0</v>
      </c>
      <c r="F1606" s="91" t="b">
        <v>0</v>
      </c>
      <c r="G1606" s="91" t="b">
        <v>0</v>
      </c>
    </row>
    <row r="1607" spans="1:7" ht="15">
      <c r="A1607" s="92" t="s">
        <v>2564</v>
      </c>
      <c r="B1607" s="91">
        <v>4</v>
      </c>
      <c r="C1607" s="114">
        <v>0</v>
      </c>
      <c r="D1607" s="91" t="s">
        <v>2529</v>
      </c>
      <c r="E1607" s="91" t="b">
        <v>0</v>
      </c>
      <c r="F1607" s="91" t="b">
        <v>0</v>
      </c>
      <c r="G1607" s="91" t="b">
        <v>0</v>
      </c>
    </row>
    <row r="1608" spans="1:7" ht="15">
      <c r="A1608" s="92" t="s">
        <v>2567</v>
      </c>
      <c r="B1608" s="91">
        <v>4</v>
      </c>
      <c r="C1608" s="114">
        <v>0</v>
      </c>
      <c r="D1608" s="91" t="s">
        <v>2529</v>
      </c>
      <c r="E1608" s="91" t="b">
        <v>0</v>
      </c>
      <c r="F1608" s="91" t="b">
        <v>0</v>
      </c>
      <c r="G1608" s="91" t="b">
        <v>0</v>
      </c>
    </row>
    <row r="1609" spans="1:7" ht="15">
      <c r="A1609" s="92" t="s">
        <v>3041</v>
      </c>
      <c r="B1609" s="91">
        <v>3</v>
      </c>
      <c r="C1609" s="114">
        <v>0.004570929388108534</v>
      </c>
      <c r="D1609" s="91" t="s">
        <v>2529</v>
      </c>
      <c r="E1609" s="91" t="b">
        <v>0</v>
      </c>
      <c r="F1609" s="91" t="b">
        <v>0</v>
      </c>
      <c r="G1609" s="91" t="b">
        <v>0</v>
      </c>
    </row>
    <row r="1610" spans="1:7" ht="15">
      <c r="A1610" s="92" t="s">
        <v>3042</v>
      </c>
      <c r="B1610" s="91">
        <v>3</v>
      </c>
      <c r="C1610" s="114">
        <v>0.004570929388108534</v>
      </c>
      <c r="D1610" s="91" t="s">
        <v>2529</v>
      </c>
      <c r="E1610" s="91" t="b">
        <v>0</v>
      </c>
      <c r="F1610" s="91" t="b">
        <v>0</v>
      </c>
      <c r="G1610" s="91" t="b">
        <v>0</v>
      </c>
    </row>
    <row r="1611" spans="1:7" ht="15">
      <c r="A1611" s="92" t="s">
        <v>3043</v>
      </c>
      <c r="B1611" s="91">
        <v>3</v>
      </c>
      <c r="C1611" s="114">
        <v>0.004570929388108534</v>
      </c>
      <c r="D1611" s="91" t="s">
        <v>2529</v>
      </c>
      <c r="E1611" s="91" t="b">
        <v>0</v>
      </c>
      <c r="F1611" s="91" t="b">
        <v>0</v>
      </c>
      <c r="G1611" s="91" t="b">
        <v>0</v>
      </c>
    </row>
    <row r="1612" spans="1:7" ht="15">
      <c r="A1612" s="92" t="s">
        <v>2734</v>
      </c>
      <c r="B1612" s="91">
        <v>3</v>
      </c>
      <c r="C1612" s="114">
        <v>0.004570929388108534</v>
      </c>
      <c r="D1612" s="91" t="s">
        <v>2529</v>
      </c>
      <c r="E1612" s="91" t="b">
        <v>0</v>
      </c>
      <c r="F1612" s="91" t="b">
        <v>0</v>
      </c>
      <c r="G1612" s="91" t="b">
        <v>0</v>
      </c>
    </row>
    <row r="1613" spans="1:7" ht="15">
      <c r="A1613" s="92" t="s">
        <v>2720</v>
      </c>
      <c r="B1613" s="91">
        <v>3</v>
      </c>
      <c r="C1613" s="114">
        <v>0.004570929388108534</v>
      </c>
      <c r="D1613" s="91" t="s">
        <v>2529</v>
      </c>
      <c r="E1613" s="91" t="b">
        <v>0</v>
      </c>
      <c r="F1613" s="91" t="b">
        <v>0</v>
      </c>
      <c r="G1613" s="91" t="b">
        <v>0</v>
      </c>
    </row>
    <row r="1614" spans="1:7" ht="15">
      <c r="A1614" s="92" t="s">
        <v>2874</v>
      </c>
      <c r="B1614" s="91">
        <v>3</v>
      </c>
      <c r="C1614" s="114">
        <v>0.004570929388108534</v>
      </c>
      <c r="D1614" s="91" t="s">
        <v>2529</v>
      </c>
      <c r="E1614" s="91" t="b">
        <v>0</v>
      </c>
      <c r="F1614" s="91" t="b">
        <v>0</v>
      </c>
      <c r="G1614" s="91" t="b">
        <v>0</v>
      </c>
    </row>
    <row r="1615" spans="1:7" ht="15">
      <c r="A1615" s="92" t="s">
        <v>3044</v>
      </c>
      <c r="B1615" s="91">
        <v>3</v>
      </c>
      <c r="C1615" s="114">
        <v>0.004570929388108534</v>
      </c>
      <c r="D1615" s="91" t="s">
        <v>2529</v>
      </c>
      <c r="E1615" s="91" t="b">
        <v>0</v>
      </c>
      <c r="F1615" s="91" t="b">
        <v>0</v>
      </c>
      <c r="G1615" s="91" t="b">
        <v>0</v>
      </c>
    </row>
    <row r="1616" spans="1:7" ht="15">
      <c r="A1616" s="92" t="s">
        <v>3045</v>
      </c>
      <c r="B1616" s="91">
        <v>3</v>
      </c>
      <c r="C1616" s="114">
        <v>0.004570929388108534</v>
      </c>
      <c r="D1616" s="91" t="s">
        <v>2529</v>
      </c>
      <c r="E1616" s="91" t="b">
        <v>0</v>
      </c>
      <c r="F1616" s="91" t="b">
        <v>0</v>
      </c>
      <c r="G1616" s="91" t="b">
        <v>0</v>
      </c>
    </row>
    <row r="1617" spans="1:7" ht="15">
      <c r="A1617" s="92" t="s">
        <v>2903</v>
      </c>
      <c r="B1617" s="91">
        <v>3</v>
      </c>
      <c r="C1617" s="114">
        <v>0.004570929388108534</v>
      </c>
      <c r="D1617" s="91" t="s">
        <v>2529</v>
      </c>
      <c r="E1617" s="91" t="b">
        <v>0</v>
      </c>
      <c r="F1617" s="91" t="b">
        <v>0</v>
      </c>
      <c r="G1617" s="91" t="b">
        <v>0</v>
      </c>
    </row>
    <row r="1618" spans="1:7" ht="15">
      <c r="A1618" s="92" t="s">
        <v>2571</v>
      </c>
      <c r="B1618" s="91">
        <v>3</v>
      </c>
      <c r="C1618" s="114">
        <v>0.004570929388108534</v>
      </c>
      <c r="D1618" s="91" t="s">
        <v>2529</v>
      </c>
      <c r="E1618" s="91" t="b">
        <v>0</v>
      </c>
      <c r="F1618" s="91" t="b">
        <v>0</v>
      </c>
      <c r="G1618" s="91" t="b">
        <v>0</v>
      </c>
    </row>
    <row r="1619" spans="1:7" ht="15">
      <c r="A1619" s="92" t="s">
        <v>2617</v>
      </c>
      <c r="B1619" s="91">
        <v>3</v>
      </c>
      <c r="C1619" s="114">
        <v>0.004570929388108534</v>
      </c>
      <c r="D1619" s="91" t="s">
        <v>2529</v>
      </c>
      <c r="E1619" s="91" t="b">
        <v>0</v>
      </c>
      <c r="F1619" s="91" t="b">
        <v>0</v>
      </c>
      <c r="G1619" s="91" t="b">
        <v>0</v>
      </c>
    </row>
    <row r="1620" spans="1:7" ht="15">
      <c r="A1620" s="92" t="s">
        <v>2616</v>
      </c>
      <c r="B1620" s="91">
        <v>3</v>
      </c>
      <c r="C1620" s="114">
        <v>0.004570929388108534</v>
      </c>
      <c r="D1620" s="91" t="s">
        <v>2529</v>
      </c>
      <c r="E1620" s="91" t="b">
        <v>0</v>
      </c>
      <c r="F1620" s="91" t="b">
        <v>0</v>
      </c>
      <c r="G1620" s="91" t="b">
        <v>0</v>
      </c>
    </row>
    <row r="1621" spans="1:7" ht="15">
      <c r="A1621" s="92" t="s">
        <v>2587</v>
      </c>
      <c r="B1621" s="91">
        <v>3</v>
      </c>
      <c r="C1621" s="114">
        <v>0.004570929388108534</v>
      </c>
      <c r="D1621" s="91" t="s">
        <v>2529</v>
      </c>
      <c r="E1621" s="91" t="b">
        <v>0</v>
      </c>
      <c r="F1621" s="91" t="b">
        <v>0</v>
      </c>
      <c r="G1621" s="91" t="b">
        <v>0</v>
      </c>
    </row>
    <row r="1622" spans="1:7" ht="15">
      <c r="A1622" s="92" t="s">
        <v>2607</v>
      </c>
      <c r="B1622" s="91">
        <v>3</v>
      </c>
      <c r="C1622" s="114">
        <v>0.02202658504858399</v>
      </c>
      <c r="D1622" s="91" t="s">
        <v>2529</v>
      </c>
      <c r="E1622" s="91" t="b">
        <v>0</v>
      </c>
      <c r="F1622" s="91" t="b">
        <v>0</v>
      </c>
      <c r="G1622" s="91" t="b">
        <v>0</v>
      </c>
    </row>
    <row r="1623" spans="1:7" ht="15">
      <c r="A1623" s="92" t="s">
        <v>2577</v>
      </c>
      <c r="B1623" s="91">
        <v>3</v>
      </c>
      <c r="C1623" s="114">
        <v>0.02202658504858399</v>
      </c>
      <c r="D1623" s="91" t="s">
        <v>2529</v>
      </c>
      <c r="E1623" s="91" t="b">
        <v>0</v>
      </c>
      <c r="F1623" s="91" t="b">
        <v>0</v>
      </c>
      <c r="G1623" s="91" t="b">
        <v>0</v>
      </c>
    </row>
    <row r="1624" spans="1:7" ht="15">
      <c r="A1624" s="92" t="s">
        <v>3060</v>
      </c>
      <c r="B1624" s="91">
        <v>3</v>
      </c>
      <c r="C1624" s="114">
        <v>0</v>
      </c>
      <c r="D1624" s="91" t="s">
        <v>2530</v>
      </c>
      <c r="E1624" s="91" t="b">
        <v>0</v>
      </c>
      <c r="F1624" s="91" t="b">
        <v>0</v>
      </c>
      <c r="G1624" s="91" t="b">
        <v>0</v>
      </c>
    </row>
    <row r="1625" spans="1:7" ht="15">
      <c r="A1625" s="92" t="s">
        <v>2801</v>
      </c>
      <c r="B1625" s="91">
        <v>3</v>
      </c>
      <c r="C1625" s="114">
        <v>0</v>
      </c>
      <c r="D1625" s="91" t="s">
        <v>2530</v>
      </c>
      <c r="E1625" s="91" t="b">
        <v>0</v>
      </c>
      <c r="F1625" s="91" t="b">
        <v>0</v>
      </c>
      <c r="G1625" s="91" t="b">
        <v>0</v>
      </c>
    </row>
    <row r="1626" spans="1:7" ht="15">
      <c r="A1626" s="92" t="s">
        <v>3061</v>
      </c>
      <c r="B1626" s="91">
        <v>3</v>
      </c>
      <c r="C1626" s="114">
        <v>0</v>
      </c>
      <c r="D1626" s="91" t="s">
        <v>2530</v>
      </c>
      <c r="E1626" s="91" t="b">
        <v>0</v>
      </c>
      <c r="F1626" s="91" t="b">
        <v>0</v>
      </c>
      <c r="G1626" s="91" t="b">
        <v>0</v>
      </c>
    </row>
    <row r="1627" spans="1:7" ht="15">
      <c r="A1627" s="92" t="s">
        <v>2847</v>
      </c>
      <c r="B1627" s="91">
        <v>3</v>
      </c>
      <c r="C1627" s="114">
        <v>0</v>
      </c>
      <c r="D1627" s="91" t="s">
        <v>2530</v>
      </c>
      <c r="E1627" s="91" t="b">
        <v>0</v>
      </c>
      <c r="F1627" s="91" t="b">
        <v>0</v>
      </c>
      <c r="G1627" s="91" t="b">
        <v>0</v>
      </c>
    </row>
    <row r="1628" spans="1:7" ht="15">
      <c r="A1628" s="92" t="s">
        <v>2613</v>
      </c>
      <c r="B1628" s="91">
        <v>3</v>
      </c>
      <c r="C1628" s="114">
        <v>0</v>
      </c>
      <c r="D1628" s="91" t="s">
        <v>2530</v>
      </c>
      <c r="E1628" s="91" t="b">
        <v>0</v>
      </c>
      <c r="F1628" s="91" t="b">
        <v>0</v>
      </c>
      <c r="G1628" s="91" t="b">
        <v>0</v>
      </c>
    </row>
    <row r="1629" spans="1:7" ht="15">
      <c r="A1629" s="92" t="s">
        <v>3062</v>
      </c>
      <c r="B1629" s="91">
        <v>3</v>
      </c>
      <c r="C1629" s="114">
        <v>0</v>
      </c>
      <c r="D1629" s="91" t="s">
        <v>2530</v>
      </c>
      <c r="E1629" s="91" t="b">
        <v>0</v>
      </c>
      <c r="F1629" s="91" t="b">
        <v>0</v>
      </c>
      <c r="G1629" s="91" t="b">
        <v>0</v>
      </c>
    </row>
    <row r="1630" spans="1:7" ht="15">
      <c r="A1630" s="92" t="s">
        <v>3063</v>
      </c>
      <c r="B1630" s="91">
        <v>3</v>
      </c>
      <c r="C1630" s="114">
        <v>0</v>
      </c>
      <c r="D1630" s="91" t="s">
        <v>2530</v>
      </c>
      <c r="E1630" s="91" t="b">
        <v>0</v>
      </c>
      <c r="F1630" s="91" t="b">
        <v>0</v>
      </c>
      <c r="G1630" s="91" t="b">
        <v>0</v>
      </c>
    </row>
    <row r="1631" spans="1:7" ht="15">
      <c r="A1631" s="92" t="s">
        <v>3064</v>
      </c>
      <c r="B1631" s="91">
        <v>3</v>
      </c>
      <c r="C1631" s="114">
        <v>0</v>
      </c>
      <c r="D1631" s="91" t="s">
        <v>2530</v>
      </c>
      <c r="E1631" s="91" t="b">
        <v>0</v>
      </c>
      <c r="F1631" s="91" t="b">
        <v>0</v>
      </c>
      <c r="G1631" s="91" t="b">
        <v>0</v>
      </c>
    </row>
    <row r="1632" spans="1:7" ht="15">
      <c r="A1632" s="92" t="s">
        <v>2612</v>
      </c>
      <c r="B1632" s="91">
        <v>3</v>
      </c>
      <c r="C1632" s="114">
        <v>0</v>
      </c>
      <c r="D1632" s="91" t="s">
        <v>2530</v>
      </c>
      <c r="E1632" s="91" t="b">
        <v>0</v>
      </c>
      <c r="F1632" s="91" t="b">
        <v>0</v>
      </c>
      <c r="G1632" s="91" t="b">
        <v>0</v>
      </c>
    </row>
    <row r="1633" spans="1:7" ht="15">
      <c r="A1633" s="92" t="s">
        <v>2892</v>
      </c>
      <c r="B1633" s="91">
        <v>3</v>
      </c>
      <c r="C1633" s="114">
        <v>0</v>
      </c>
      <c r="D1633" s="91" t="s">
        <v>2530</v>
      </c>
      <c r="E1633" s="91" t="b">
        <v>0</v>
      </c>
      <c r="F1633" s="91" t="b">
        <v>0</v>
      </c>
      <c r="G1633" s="91" t="b">
        <v>0</v>
      </c>
    </row>
    <row r="1634" spans="1:7" ht="15">
      <c r="A1634" s="92" t="s">
        <v>2731</v>
      </c>
      <c r="B1634" s="91">
        <v>3</v>
      </c>
      <c r="C1634" s="114">
        <v>0</v>
      </c>
      <c r="D1634" s="91" t="s">
        <v>2530</v>
      </c>
      <c r="E1634" s="91" t="b">
        <v>0</v>
      </c>
      <c r="F1634" s="91" t="b">
        <v>0</v>
      </c>
      <c r="G1634" s="91" t="b">
        <v>0</v>
      </c>
    </row>
    <row r="1635" spans="1:7" ht="15">
      <c r="A1635" s="92" t="s">
        <v>2643</v>
      </c>
      <c r="B1635" s="91">
        <v>3</v>
      </c>
      <c r="C1635" s="114">
        <v>0</v>
      </c>
      <c r="D1635" s="91" t="s">
        <v>2530</v>
      </c>
      <c r="E1635" s="91" t="b">
        <v>0</v>
      </c>
      <c r="F1635" s="91" t="b">
        <v>0</v>
      </c>
      <c r="G1635" s="91" t="b">
        <v>0</v>
      </c>
    </row>
    <row r="1636" spans="1:7" ht="15">
      <c r="A1636" s="92" t="s">
        <v>3065</v>
      </c>
      <c r="B1636" s="91">
        <v>3</v>
      </c>
      <c r="C1636" s="114">
        <v>0</v>
      </c>
      <c r="D1636" s="91" t="s">
        <v>2530</v>
      </c>
      <c r="E1636" s="91" t="b">
        <v>0</v>
      </c>
      <c r="F1636" s="91" t="b">
        <v>0</v>
      </c>
      <c r="G1636" s="91" t="b">
        <v>0</v>
      </c>
    </row>
    <row r="1637" spans="1:7" ht="15">
      <c r="A1637" s="92" t="s">
        <v>3066</v>
      </c>
      <c r="B1637" s="91">
        <v>3</v>
      </c>
      <c r="C1637" s="114">
        <v>0</v>
      </c>
      <c r="D1637" s="91" t="s">
        <v>2530</v>
      </c>
      <c r="E1637" s="91" t="b">
        <v>0</v>
      </c>
      <c r="F1637" s="91" t="b">
        <v>0</v>
      </c>
      <c r="G1637" s="91" t="b">
        <v>0</v>
      </c>
    </row>
    <row r="1638" spans="1:7" ht="15">
      <c r="A1638" s="92" t="s">
        <v>3067</v>
      </c>
      <c r="B1638" s="91">
        <v>3</v>
      </c>
      <c r="C1638" s="114">
        <v>0</v>
      </c>
      <c r="D1638" s="91" t="s">
        <v>2530</v>
      </c>
      <c r="E1638" s="91" t="b">
        <v>0</v>
      </c>
      <c r="F1638" s="91" t="b">
        <v>0</v>
      </c>
      <c r="G1638" s="91" t="b">
        <v>0</v>
      </c>
    </row>
    <row r="1639" spans="1:7" ht="15">
      <c r="A1639" s="92" t="s">
        <v>2585</v>
      </c>
      <c r="B1639" s="91">
        <v>3</v>
      </c>
      <c r="C1639" s="114">
        <v>0</v>
      </c>
      <c r="D1639" s="91" t="s">
        <v>2530</v>
      </c>
      <c r="E1639" s="91" t="b">
        <v>0</v>
      </c>
      <c r="F1639" s="91" t="b">
        <v>0</v>
      </c>
      <c r="G1639" s="91" t="b">
        <v>0</v>
      </c>
    </row>
    <row r="1640" spans="1:7" ht="15">
      <c r="A1640" s="92" t="s">
        <v>2802</v>
      </c>
      <c r="B1640" s="91">
        <v>3</v>
      </c>
      <c r="C1640" s="114">
        <v>0</v>
      </c>
      <c r="D1640" s="91" t="s">
        <v>2530</v>
      </c>
      <c r="E1640" s="91" t="b">
        <v>0</v>
      </c>
      <c r="F1640" s="91" t="b">
        <v>0</v>
      </c>
      <c r="G1640" s="91" t="b">
        <v>0</v>
      </c>
    </row>
    <row r="1641" spans="1:7" ht="15">
      <c r="A1641" s="92" t="s">
        <v>2800</v>
      </c>
      <c r="B1641" s="91">
        <v>3</v>
      </c>
      <c r="C1641" s="114">
        <v>0</v>
      </c>
      <c r="D1641" s="91" t="s">
        <v>2530</v>
      </c>
      <c r="E1641" s="91" t="b">
        <v>0</v>
      </c>
      <c r="F1641" s="91" t="b">
        <v>0</v>
      </c>
      <c r="G1641" s="91" t="b">
        <v>0</v>
      </c>
    </row>
    <row r="1642" spans="1:7" ht="15">
      <c r="A1642" s="92" t="s">
        <v>3068</v>
      </c>
      <c r="B1642" s="91">
        <v>3</v>
      </c>
      <c r="C1642" s="114">
        <v>0</v>
      </c>
      <c r="D1642" s="91" t="s">
        <v>2530</v>
      </c>
      <c r="E1642" s="91" t="b">
        <v>0</v>
      </c>
      <c r="F1642" s="91" t="b">
        <v>0</v>
      </c>
      <c r="G1642" s="91" t="b">
        <v>0</v>
      </c>
    </row>
    <row r="1643" spans="1:7" ht="15">
      <c r="A1643" s="92" t="s">
        <v>2620</v>
      </c>
      <c r="B1643" s="91">
        <v>3</v>
      </c>
      <c r="C1643" s="114">
        <v>0</v>
      </c>
      <c r="D1643" s="91" t="s">
        <v>2530</v>
      </c>
      <c r="E1643" s="91" t="b">
        <v>0</v>
      </c>
      <c r="F1643" s="91" t="b">
        <v>0</v>
      </c>
      <c r="G1643" s="91" t="b">
        <v>0</v>
      </c>
    </row>
    <row r="1644" spans="1:7" ht="15">
      <c r="A1644" s="92" t="s">
        <v>3069</v>
      </c>
      <c r="B1644" s="91">
        <v>3</v>
      </c>
      <c r="C1644" s="114">
        <v>0</v>
      </c>
      <c r="D1644" s="91" t="s">
        <v>2530</v>
      </c>
      <c r="E1644" s="91" t="b">
        <v>0</v>
      </c>
      <c r="F1644" s="91" t="b">
        <v>0</v>
      </c>
      <c r="G1644" s="91" t="b">
        <v>0</v>
      </c>
    </row>
    <row r="1645" spans="1:7" ht="15">
      <c r="A1645" s="92" t="s">
        <v>3070</v>
      </c>
      <c r="B1645" s="91">
        <v>3</v>
      </c>
      <c r="C1645" s="114">
        <v>0</v>
      </c>
      <c r="D1645" s="91" t="s">
        <v>2530</v>
      </c>
      <c r="E1645" s="91" t="b">
        <v>0</v>
      </c>
      <c r="F1645" s="91" t="b">
        <v>0</v>
      </c>
      <c r="G1645" s="91" t="b">
        <v>0</v>
      </c>
    </row>
    <row r="1646" spans="1:7" ht="15">
      <c r="A1646" s="92" t="s">
        <v>2564</v>
      </c>
      <c r="B1646" s="91">
        <v>3</v>
      </c>
      <c r="C1646" s="114">
        <v>0</v>
      </c>
      <c r="D1646" s="91" t="s">
        <v>2530</v>
      </c>
      <c r="E1646" s="91" t="b">
        <v>0</v>
      </c>
      <c r="F1646" s="91" t="b">
        <v>0</v>
      </c>
      <c r="G1646" s="91" t="b">
        <v>0</v>
      </c>
    </row>
    <row r="1647" spans="1:7" ht="15">
      <c r="A1647" s="92" t="s">
        <v>2728</v>
      </c>
      <c r="B1647" s="91">
        <v>3</v>
      </c>
      <c r="C1647" s="114">
        <v>0</v>
      </c>
      <c r="D1647" s="91" t="s">
        <v>2530</v>
      </c>
      <c r="E1647" s="91" t="b">
        <v>0</v>
      </c>
      <c r="F1647" s="91" t="b">
        <v>0</v>
      </c>
      <c r="G1647" s="91" t="b">
        <v>0</v>
      </c>
    </row>
    <row r="1648" spans="1:7" ht="15">
      <c r="A1648" s="92" t="s">
        <v>2589</v>
      </c>
      <c r="B1648" s="91">
        <v>6</v>
      </c>
      <c r="C1648" s="114">
        <v>0</v>
      </c>
      <c r="D1648" s="91" t="s">
        <v>2531</v>
      </c>
      <c r="E1648" s="91" t="b">
        <v>0</v>
      </c>
      <c r="F1648" s="91" t="b">
        <v>0</v>
      </c>
      <c r="G1648" s="91" t="b">
        <v>0</v>
      </c>
    </row>
    <row r="1649" spans="1:7" ht="15">
      <c r="A1649" s="92" t="s">
        <v>2776</v>
      </c>
      <c r="B1649" s="91">
        <v>6</v>
      </c>
      <c r="C1649" s="114">
        <v>0</v>
      </c>
      <c r="D1649" s="91" t="s">
        <v>2531</v>
      </c>
      <c r="E1649" s="91" t="b">
        <v>0</v>
      </c>
      <c r="F1649" s="91" t="b">
        <v>0</v>
      </c>
      <c r="G1649" s="91" t="b">
        <v>0</v>
      </c>
    </row>
    <row r="1650" spans="1:7" ht="15">
      <c r="A1650" s="92" t="s">
        <v>2932</v>
      </c>
      <c r="B1650" s="91">
        <v>6</v>
      </c>
      <c r="C1650" s="114">
        <v>0</v>
      </c>
      <c r="D1650" s="91" t="s">
        <v>2531</v>
      </c>
      <c r="E1650" s="91" t="b">
        <v>0</v>
      </c>
      <c r="F1650" s="91" t="b">
        <v>0</v>
      </c>
      <c r="G1650" s="91" t="b">
        <v>0</v>
      </c>
    </row>
    <row r="1651" spans="1:7" ht="15">
      <c r="A1651" s="92" t="s">
        <v>2607</v>
      </c>
      <c r="B1651" s="91">
        <v>4</v>
      </c>
      <c r="C1651" s="114">
        <v>0</v>
      </c>
      <c r="D1651" s="91" t="s">
        <v>2531</v>
      </c>
      <c r="E1651" s="91" t="b">
        <v>0</v>
      </c>
      <c r="F1651" s="91" t="b">
        <v>0</v>
      </c>
      <c r="G1651" s="91" t="b">
        <v>0</v>
      </c>
    </row>
    <row r="1652" spans="1:7" ht="15">
      <c r="A1652" s="92" t="s">
        <v>3079</v>
      </c>
      <c r="B1652" s="91">
        <v>2</v>
      </c>
      <c r="C1652" s="114">
        <v>0</v>
      </c>
      <c r="D1652" s="91" t="s">
        <v>2531</v>
      </c>
      <c r="E1652" s="91" t="b">
        <v>0</v>
      </c>
      <c r="F1652" s="91" t="b">
        <v>0</v>
      </c>
      <c r="G1652" s="91" t="b">
        <v>0</v>
      </c>
    </row>
    <row r="1653" spans="1:7" ht="15">
      <c r="A1653" s="92" t="s">
        <v>2773</v>
      </c>
      <c r="B1653" s="91">
        <v>2</v>
      </c>
      <c r="C1653" s="114">
        <v>0</v>
      </c>
      <c r="D1653" s="91" t="s">
        <v>2531</v>
      </c>
      <c r="E1653" s="91" t="b">
        <v>0</v>
      </c>
      <c r="F1653" s="91" t="b">
        <v>0</v>
      </c>
      <c r="G1653" s="91" t="b">
        <v>0</v>
      </c>
    </row>
    <row r="1654" spans="1:7" ht="15">
      <c r="A1654" s="92" t="s">
        <v>2893</v>
      </c>
      <c r="B1654" s="91">
        <v>2</v>
      </c>
      <c r="C1654" s="114">
        <v>0</v>
      </c>
      <c r="D1654" s="91" t="s">
        <v>2531</v>
      </c>
      <c r="E1654" s="91" t="b">
        <v>0</v>
      </c>
      <c r="F1654" s="91" t="b">
        <v>0</v>
      </c>
      <c r="G1654" s="91" t="b">
        <v>0</v>
      </c>
    </row>
    <row r="1655" spans="1:7" ht="15">
      <c r="A1655" s="92" t="s">
        <v>3080</v>
      </c>
      <c r="B1655" s="91">
        <v>2</v>
      </c>
      <c r="C1655" s="114">
        <v>0</v>
      </c>
      <c r="D1655" s="91" t="s">
        <v>2531</v>
      </c>
      <c r="E1655" s="91" t="b">
        <v>0</v>
      </c>
      <c r="F1655" s="91" t="b">
        <v>0</v>
      </c>
      <c r="G1655" s="91" t="b">
        <v>0</v>
      </c>
    </row>
    <row r="1656" spans="1:7" ht="15">
      <c r="A1656" s="92" t="s">
        <v>3081</v>
      </c>
      <c r="B1656" s="91">
        <v>2</v>
      </c>
      <c r="C1656" s="114">
        <v>0</v>
      </c>
      <c r="D1656" s="91" t="s">
        <v>2531</v>
      </c>
      <c r="E1656" s="91" t="b">
        <v>0</v>
      </c>
      <c r="F1656" s="91" t="b">
        <v>0</v>
      </c>
      <c r="G1656" s="91" t="b">
        <v>0</v>
      </c>
    </row>
    <row r="1657" spans="1:7" ht="15">
      <c r="A1657" s="92" t="s">
        <v>3082</v>
      </c>
      <c r="B1657" s="91">
        <v>2</v>
      </c>
      <c r="C1657" s="114">
        <v>0</v>
      </c>
      <c r="D1657" s="91" t="s">
        <v>2531</v>
      </c>
      <c r="E1657" s="91" t="b">
        <v>0</v>
      </c>
      <c r="F1657" s="91" t="b">
        <v>0</v>
      </c>
      <c r="G1657" s="91" t="b">
        <v>0</v>
      </c>
    </row>
    <row r="1658" spans="1:7" ht="15">
      <c r="A1658" s="92" t="s">
        <v>3083</v>
      </c>
      <c r="B1658" s="91">
        <v>2</v>
      </c>
      <c r="C1658" s="114">
        <v>0</v>
      </c>
      <c r="D1658" s="91" t="s">
        <v>2531</v>
      </c>
      <c r="E1658" s="91" t="b">
        <v>0</v>
      </c>
      <c r="F1658" s="91" t="b">
        <v>0</v>
      </c>
      <c r="G1658" s="91" t="b">
        <v>0</v>
      </c>
    </row>
    <row r="1659" spans="1:7" ht="15">
      <c r="A1659" s="92" t="s">
        <v>2663</v>
      </c>
      <c r="B1659" s="91">
        <v>2</v>
      </c>
      <c r="C1659" s="114">
        <v>0</v>
      </c>
      <c r="D1659" s="91" t="s">
        <v>2531</v>
      </c>
      <c r="E1659" s="91" t="b">
        <v>0</v>
      </c>
      <c r="F1659" s="91" t="b">
        <v>0</v>
      </c>
      <c r="G1659" s="91" t="b">
        <v>0</v>
      </c>
    </row>
    <row r="1660" spans="1:7" ht="15">
      <c r="A1660" s="92" t="s">
        <v>2568</v>
      </c>
      <c r="B1660" s="91">
        <v>2</v>
      </c>
      <c r="C1660" s="114">
        <v>0</v>
      </c>
      <c r="D1660" s="91" t="s">
        <v>2531</v>
      </c>
      <c r="E1660" s="91" t="b">
        <v>0</v>
      </c>
      <c r="F1660" s="91" t="b">
        <v>0</v>
      </c>
      <c r="G1660" s="91" t="b">
        <v>0</v>
      </c>
    </row>
    <row r="1661" spans="1:7" ht="15">
      <c r="A1661" s="92" t="s">
        <v>2569</v>
      </c>
      <c r="B1661" s="91">
        <v>2</v>
      </c>
      <c r="C1661" s="114">
        <v>0</v>
      </c>
      <c r="D1661" s="91" t="s">
        <v>2531</v>
      </c>
      <c r="E1661" s="91" t="b">
        <v>0</v>
      </c>
      <c r="F1661" s="91" t="b">
        <v>0</v>
      </c>
      <c r="G1661" s="91" t="b">
        <v>0</v>
      </c>
    </row>
    <row r="1662" spans="1:7" ht="15">
      <c r="A1662" s="92" t="s">
        <v>2572</v>
      </c>
      <c r="B1662" s="91">
        <v>2</v>
      </c>
      <c r="C1662" s="114">
        <v>0</v>
      </c>
      <c r="D1662" s="91" t="s">
        <v>2531</v>
      </c>
      <c r="E1662" s="91" t="b">
        <v>0</v>
      </c>
      <c r="F1662" s="91" t="b">
        <v>0</v>
      </c>
      <c r="G1662" s="91" t="b">
        <v>0</v>
      </c>
    </row>
    <row r="1663" spans="1:7" ht="15">
      <c r="A1663" s="92" t="s">
        <v>2767</v>
      </c>
      <c r="B1663" s="91">
        <v>2</v>
      </c>
      <c r="C1663" s="114">
        <v>0</v>
      </c>
      <c r="D1663" s="91" t="s">
        <v>2531</v>
      </c>
      <c r="E1663" s="91" t="b">
        <v>0</v>
      </c>
      <c r="F1663" s="91" t="b">
        <v>0</v>
      </c>
      <c r="G1663" s="91" t="b">
        <v>0</v>
      </c>
    </row>
    <row r="1664" spans="1:7" ht="15">
      <c r="A1664" s="92" t="s">
        <v>3084</v>
      </c>
      <c r="B1664" s="91">
        <v>2</v>
      </c>
      <c r="C1664" s="114">
        <v>0</v>
      </c>
      <c r="D1664" s="91" t="s">
        <v>2531</v>
      </c>
      <c r="E1664" s="91" t="b">
        <v>0</v>
      </c>
      <c r="F1664" s="91" t="b">
        <v>0</v>
      </c>
      <c r="G1664" s="91" t="b">
        <v>0</v>
      </c>
    </row>
    <row r="1665" spans="1:7" ht="15">
      <c r="A1665" s="92" t="s">
        <v>2933</v>
      </c>
      <c r="B1665" s="91">
        <v>2</v>
      </c>
      <c r="C1665" s="114">
        <v>0</v>
      </c>
      <c r="D1665" s="91" t="s">
        <v>2531</v>
      </c>
      <c r="E1665" s="91" t="b">
        <v>0</v>
      </c>
      <c r="F1665" s="91" t="b">
        <v>0</v>
      </c>
      <c r="G1665" s="91" t="b">
        <v>0</v>
      </c>
    </row>
    <row r="1666" spans="1:7" ht="15">
      <c r="A1666" s="92" t="s">
        <v>3085</v>
      </c>
      <c r="B1666" s="91">
        <v>2</v>
      </c>
      <c r="C1666" s="114">
        <v>0</v>
      </c>
      <c r="D1666" s="91" t="s">
        <v>2531</v>
      </c>
      <c r="E1666" s="91" t="b">
        <v>0</v>
      </c>
      <c r="F1666" s="91" t="b">
        <v>0</v>
      </c>
      <c r="G1666" s="91" t="b">
        <v>0</v>
      </c>
    </row>
    <row r="1667" spans="1:7" ht="15">
      <c r="A1667" s="92" t="s">
        <v>2772</v>
      </c>
      <c r="B1667" s="91">
        <v>2</v>
      </c>
      <c r="C1667" s="114">
        <v>0</v>
      </c>
      <c r="D1667" s="91" t="s">
        <v>2531</v>
      </c>
      <c r="E1667" s="91" t="b">
        <v>0</v>
      </c>
      <c r="F1667" s="91" t="b">
        <v>0</v>
      </c>
      <c r="G1667" s="91" t="b">
        <v>0</v>
      </c>
    </row>
    <row r="1668" spans="1:7" ht="15">
      <c r="A1668" s="92" t="s">
        <v>3086</v>
      </c>
      <c r="B1668" s="91">
        <v>2</v>
      </c>
      <c r="C1668" s="114">
        <v>0</v>
      </c>
      <c r="D1668" s="91" t="s">
        <v>2531</v>
      </c>
      <c r="E1668" s="91" t="b">
        <v>0</v>
      </c>
      <c r="F1668" s="91" t="b">
        <v>0</v>
      </c>
      <c r="G1668" s="91" t="b">
        <v>0</v>
      </c>
    </row>
    <row r="1669" spans="1:7" ht="15">
      <c r="A1669" s="92" t="s">
        <v>2577</v>
      </c>
      <c r="B1669" s="91">
        <v>2</v>
      </c>
      <c r="C1669" s="114">
        <v>0</v>
      </c>
      <c r="D1669" s="91" t="s">
        <v>2531</v>
      </c>
      <c r="E1669" s="91" t="b">
        <v>0</v>
      </c>
      <c r="F1669" s="91" t="b">
        <v>0</v>
      </c>
      <c r="G1669" s="91" t="b">
        <v>0</v>
      </c>
    </row>
    <row r="1670" spans="1:7" ht="15">
      <c r="A1670" s="92" t="s">
        <v>2610</v>
      </c>
      <c r="B1670" s="91">
        <v>2</v>
      </c>
      <c r="C1670" s="114">
        <v>0</v>
      </c>
      <c r="D1670" s="91" t="s">
        <v>2531</v>
      </c>
      <c r="E1670" s="91" t="b">
        <v>0</v>
      </c>
      <c r="F1670" s="91" t="b">
        <v>0</v>
      </c>
      <c r="G1670" s="91" t="b">
        <v>0</v>
      </c>
    </row>
    <row r="1671" spans="1:7" ht="15">
      <c r="A1671" s="92" t="s">
        <v>3087</v>
      </c>
      <c r="B1671" s="91">
        <v>2</v>
      </c>
      <c r="C1671" s="114">
        <v>0</v>
      </c>
      <c r="D1671" s="91" t="s">
        <v>2531</v>
      </c>
      <c r="E1671" s="91" t="b">
        <v>0</v>
      </c>
      <c r="F1671" s="91" t="b">
        <v>0</v>
      </c>
      <c r="G1671" s="91" t="b">
        <v>0</v>
      </c>
    </row>
    <row r="1672" spans="1:7" ht="15">
      <c r="A1672" s="92" t="s">
        <v>3088</v>
      </c>
      <c r="B1672" s="91">
        <v>2</v>
      </c>
      <c r="C1672" s="114">
        <v>0</v>
      </c>
      <c r="D1672" s="91" t="s">
        <v>2531</v>
      </c>
      <c r="E1672" s="91" t="b">
        <v>0</v>
      </c>
      <c r="F1672" s="91" t="b">
        <v>0</v>
      </c>
      <c r="G1672" s="91" t="b">
        <v>0</v>
      </c>
    </row>
    <row r="1673" spans="1:7" ht="15">
      <c r="A1673" s="92" t="s">
        <v>2590</v>
      </c>
      <c r="B1673" s="91">
        <v>2</v>
      </c>
      <c r="C1673" s="114">
        <v>0</v>
      </c>
      <c r="D1673" s="91" t="s">
        <v>2531</v>
      </c>
      <c r="E1673" s="91" t="b">
        <v>0</v>
      </c>
      <c r="F1673" s="91" t="b">
        <v>0</v>
      </c>
      <c r="G1673" s="91" t="b">
        <v>0</v>
      </c>
    </row>
    <row r="1674" spans="1:7" ht="15">
      <c r="A1674" s="92" t="s">
        <v>3089</v>
      </c>
      <c r="B1674" s="91">
        <v>2</v>
      </c>
      <c r="C1674" s="114">
        <v>0</v>
      </c>
      <c r="D1674" s="91" t="s">
        <v>2531</v>
      </c>
      <c r="E1674" s="91" t="b">
        <v>0</v>
      </c>
      <c r="F1674" s="91" t="b">
        <v>0</v>
      </c>
      <c r="G1674" s="91" t="b">
        <v>0</v>
      </c>
    </row>
    <row r="1675" spans="1:7" ht="15">
      <c r="A1675" s="92" t="s">
        <v>3090</v>
      </c>
      <c r="B1675" s="91">
        <v>2</v>
      </c>
      <c r="C1675" s="114">
        <v>0</v>
      </c>
      <c r="D1675" s="91" t="s">
        <v>2531</v>
      </c>
      <c r="E1675" s="91" t="b">
        <v>0</v>
      </c>
      <c r="F1675" s="91" t="b">
        <v>0</v>
      </c>
      <c r="G1675" s="91" t="b">
        <v>0</v>
      </c>
    </row>
    <row r="1676" spans="1:7" ht="15">
      <c r="A1676" s="92" t="s">
        <v>2637</v>
      </c>
      <c r="B1676" s="91">
        <v>2</v>
      </c>
      <c r="C1676" s="114">
        <v>0</v>
      </c>
      <c r="D1676" s="91" t="s">
        <v>2531</v>
      </c>
      <c r="E1676" s="91" t="b">
        <v>0</v>
      </c>
      <c r="F1676" s="91" t="b">
        <v>0</v>
      </c>
      <c r="G1676" s="91" t="b">
        <v>0</v>
      </c>
    </row>
    <row r="1677" spans="1:7" ht="15">
      <c r="A1677" s="92" t="s">
        <v>3091</v>
      </c>
      <c r="B1677" s="91">
        <v>2</v>
      </c>
      <c r="C1677" s="114">
        <v>0</v>
      </c>
      <c r="D1677" s="91" t="s">
        <v>2531</v>
      </c>
      <c r="E1677" s="91" t="b">
        <v>0</v>
      </c>
      <c r="F1677" s="91" t="b">
        <v>0</v>
      </c>
      <c r="G1677" s="91" t="b">
        <v>0</v>
      </c>
    </row>
    <row r="1678" spans="1:7" ht="15">
      <c r="A1678" s="92" t="s">
        <v>2576</v>
      </c>
      <c r="B1678" s="91">
        <v>2</v>
      </c>
      <c r="C1678" s="114">
        <v>0</v>
      </c>
      <c r="D1678" s="91" t="s">
        <v>2531</v>
      </c>
      <c r="E1678" s="91" t="b">
        <v>0</v>
      </c>
      <c r="F1678" s="91" t="b">
        <v>0</v>
      </c>
      <c r="G1678" s="91" t="b">
        <v>0</v>
      </c>
    </row>
    <row r="1679" spans="1:7" ht="15">
      <c r="A1679" s="92" t="s">
        <v>3092</v>
      </c>
      <c r="B1679" s="91">
        <v>2</v>
      </c>
      <c r="C1679" s="114">
        <v>0</v>
      </c>
      <c r="D1679" s="91" t="s">
        <v>2531</v>
      </c>
      <c r="E1679" s="91" t="b">
        <v>0</v>
      </c>
      <c r="F1679" s="91" t="b">
        <v>0</v>
      </c>
      <c r="G1679" s="91" t="b">
        <v>0</v>
      </c>
    </row>
    <row r="1680" spans="1:7" ht="15">
      <c r="A1680" s="92" t="s">
        <v>3093</v>
      </c>
      <c r="B1680" s="91">
        <v>2</v>
      </c>
      <c r="C1680" s="114">
        <v>0</v>
      </c>
      <c r="D1680" s="91" t="s">
        <v>2531</v>
      </c>
      <c r="E1680" s="91" t="b">
        <v>0</v>
      </c>
      <c r="F1680" s="91" t="b">
        <v>0</v>
      </c>
      <c r="G1680" s="91" t="b">
        <v>0</v>
      </c>
    </row>
    <row r="1681" spans="1:7" ht="15">
      <c r="A1681" s="92" t="s">
        <v>2564</v>
      </c>
      <c r="B1681" s="91">
        <v>2</v>
      </c>
      <c r="C1681" s="114">
        <v>0</v>
      </c>
      <c r="D1681" s="91" t="s">
        <v>2531</v>
      </c>
      <c r="E1681" s="91" t="b">
        <v>0</v>
      </c>
      <c r="F1681" s="91" t="b">
        <v>0</v>
      </c>
      <c r="G1681" s="91" t="b">
        <v>0</v>
      </c>
    </row>
    <row r="1682" spans="1:7" ht="15">
      <c r="A1682" s="92" t="s">
        <v>2721</v>
      </c>
      <c r="B1682" s="91">
        <v>2</v>
      </c>
      <c r="C1682" s="114">
        <v>0</v>
      </c>
      <c r="D1682" s="91" t="s">
        <v>2532</v>
      </c>
      <c r="E1682" s="91" t="b">
        <v>0</v>
      </c>
      <c r="F1682" s="91" t="b">
        <v>0</v>
      </c>
      <c r="G1682" s="91" t="b">
        <v>0</v>
      </c>
    </row>
    <row r="1683" spans="1:7" ht="15">
      <c r="A1683" s="92" t="s">
        <v>3094</v>
      </c>
      <c r="B1683" s="91">
        <v>2</v>
      </c>
      <c r="C1683" s="114">
        <v>0</v>
      </c>
      <c r="D1683" s="91" t="s">
        <v>2532</v>
      </c>
      <c r="E1683" s="91" t="b">
        <v>0</v>
      </c>
      <c r="F1683" s="91" t="b">
        <v>0</v>
      </c>
      <c r="G1683" s="91" t="b">
        <v>0</v>
      </c>
    </row>
    <row r="1684" spans="1:7" ht="15">
      <c r="A1684" s="92" t="s">
        <v>3095</v>
      </c>
      <c r="B1684" s="91">
        <v>2</v>
      </c>
      <c r="C1684" s="114">
        <v>0</v>
      </c>
      <c r="D1684" s="91" t="s">
        <v>2532</v>
      </c>
      <c r="E1684" s="91" t="b">
        <v>0</v>
      </c>
      <c r="F1684" s="91" t="b">
        <v>0</v>
      </c>
      <c r="G1684" s="91" t="b">
        <v>0</v>
      </c>
    </row>
    <row r="1685" spans="1:7" ht="15">
      <c r="A1685" s="92" t="s">
        <v>2569</v>
      </c>
      <c r="B1685" s="91">
        <v>2</v>
      </c>
      <c r="C1685" s="114">
        <v>0</v>
      </c>
      <c r="D1685" s="91" t="s">
        <v>2532</v>
      </c>
      <c r="E1685" s="91" t="b">
        <v>0</v>
      </c>
      <c r="F1685" s="91" t="b">
        <v>0</v>
      </c>
      <c r="G1685" s="91" t="b">
        <v>0</v>
      </c>
    </row>
    <row r="1686" spans="1:7" ht="15">
      <c r="A1686" s="92" t="s">
        <v>2572</v>
      </c>
      <c r="B1686" s="91">
        <v>2</v>
      </c>
      <c r="C1686" s="114">
        <v>0</v>
      </c>
      <c r="D1686" s="91" t="s">
        <v>2532</v>
      </c>
      <c r="E1686" s="91" t="b">
        <v>0</v>
      </c>
      <c r="F1686" s="91" t="b">
        <v>0</v>
      </c>
      <c r="G1686" s="91" t="b">
        <v>0</v>
      </c>
    </row>
    <row r="1687" spans="1:7" ht="15">
      <c r="A1687" s="92" t="s">
        <v>2590</v>
      </c>
      <c r="B1687" s="91">
        <v>2</v>
      </c>
      <c r="C1687" s="114">
        <v>0</v>
      </c>
      <c r="D1687" s="91" t="s">
        <v>2532</v>
      </c>
      <c r="E1687" s="91" t="b">
        <v>0</v>
      </c>
      <c r="F1687" s="91" t="b">
        <v>0</v>
      </c>
      <c r="G1687" s="91" t="b">
        <v>0</v>
      </c>
    </row>
    <row r="1688" spans="1:7" ht="15">
      <c r="A1688" s="92" t="s">
        <v>2848</v>
      </c>
      <c r="B1688" s="91">
        <v>2</v>
      </c>
      <c r="C1688" s="114">
        <v>0</v>
      </c>
      <c r="D1688" s="91" t="s">
        <v>2532</v>
      </c>
      <c r="E1688" s="91" t="b">
        <v>0</v>
      </c>
      <c r="F1688" s="91" t="b">
        <v>0</v>
      </c>
      <c r="G1688" s="91" t="b">
        <v>0</v>
      </c>
    </row>
    <row r="1689" spans="1:7" ht="15">
      <c r="A1689" s="92" t="s">
        <v>2849</v>
      </c>
      <c r="B1689" s="91">
        <v>2</v>
      </c>
      <c r="C1689" s="114">
        <v>0</v>
      </c>
      <c r="D1689" s="91" t="s">
        <v>2532</v>
      </c>
      <c r="E1689" s="91" t="b">
        <v>0</v>
      </c>
      <c r="F1689" s="91" t="b">
        <v>0</v>
      </c>
      <c r="G1689" s="91" t="b">
        <v>0</v>
      </c>
    </row>
    <row r="1690" spans="1:7" ht="15">
      <c r="A1690" s="92" t="s">
        <v>2850</v>
      </c>
      <c r="B1690" s="91">
        <v>2</v>
      </c>
      <c r="C1690" s="114">
        <v>0</v>
      </c>
      <c r="D1690" s="91" t="s">
        <v>2532</v>
      </c>
      <c r="E1690" s="91" t="b">
        <v>0</v>
      </c>
      <c r="F1690" s="91" t="b">
        <v>0</v>
      </c>
      <c r="G1690" s="91" t="b">
        <v>0</v>
      </c>
    </row>
    <row r="1691" spans="1:7" ht="15">
      <c r="A1691" s="92" t="s">
        <v>2718</v>
      </c>
      <c r="B1691" s="91">
        <v>2</v>
      </c>
      <c r="C1691" s="114">
        <v>0</v>
      </c>
      <c r="D1691" s="91" t="s">
        <v>2532</v>
      </c>
      <c r="E1691" s="91" t="b">
        <v>0</v>
      </c>
      <c r="F1691" s="91" t="b">
        <v>0</v>
      </c>
      <c r="G1691" s="91" t="b">
        <v>0</v>
      </c>
    </row>
    <row r="1692" spans="1:7" ht="15">
      <c r="A1692" s="92" t="s">
        <v>3096</v>
      </c>
      <c r="B1692" s="91">
        <v>2</v>
      </c>
      <c r="C1692" s="114">
        <v>0</v>
      </c>
      <c r="D1692" s="91" t="s">
        <v>2532</v>
      </c>
      <c r="E1692" s="91" t="b">
        <v>0</v>
      </c>
      <c r="F1692" s="91" t="b">
        <v>0</v>
      </c>
      <c r="G1692" s="91" t="b">
        <v>0</v>
      </c>
    </row>
    <row r="1693" spans="1:7" ht="15">
      <c r="A1693" s="92" t="s">
        <v>3097</v>
      </c>
      <c r="B1693" s="91">
        <v>2</v>
      </c>
      <c r="C1693" s="114">
        <v>0</v>
      </c>
      <c r="D1693" s="91" t="s">
        <v>2532</v>
      </c>
      <c r="E1693" s="91" t="b">
        <v>0</v>
      </c>
      <c r="F1693" s="91" t="b">
        <v>0</v>
      </c>
      <c r="G1693" s="91" t="b">
        <v>0</v>
      </c>
    </row>
    <row r="1694" spans="1:7" ht="15">
      <c r="A1694" s="92" t="s">
        <v>3098</v>
      </c>
      <c r="B1694" s="91">
        <v>2</v>
      </c>
      <c r="C1694" s="114">
        <v>0</v>
      </c>
      <c r="D1694" s="91" t="s">
        <v>2532</v>
      </c>
      <c r="E1694" s="91" t="b">
        <v>0</v>
      </c>
      <c r="F1694" s="91" t="b">
        <v>0</v>
      </c>
      <c r="G1694" s="91" t="b">
        <v>0</v>
      </c>
    </row>
    <row r="1695" spans="1:7" ht="15">
      <c r="A1695" s="92" t="s">
        <v>2661</v>
      </c>
      <c r="B1695" s="91">
        <v>2</v>
      </c>
      <c r="C1695" s="114">
        <v>0</v>
      </c>
      <c r="D1695" s="91" t="s">
        <v>2532</v>
      </c>
      <c r="E1695" s="91" t="b">
        <v>0</v>
      </c>
      <c r="F1695" s="91" t="b">
        <v>0</v>
      </c>
      <c r="G1695" s="91" t="b">
        <v>0</v>
      </c>
    </row>
    <row r="1696" spans="1:7" ht="15">
      <c r="A1696" s="92" t="s">
        <v>3099</v>
      </c>
      <c r="B1696" s="91">
        <v>2</v>
      </c>
      <c r="C1696" s="114">
        <v>0</v>
      </c>
      <c r="D1696" s="91" t="s">
        <v>2532</v>
      </c>
      <c r="E1696" s="91" t="b">
        <v>0</v>
      </c>
      <c r="F1696" s="91" t="b">
        <v>0</v>
      </c>
      <c r="G1696" s="91" t="b">
        <v>0</v>
      </c>
    </row>
    <row r="1697" spans="1:7" ht="15">
      <c r="A1697" s="92" t="s">
        <v>3100</v>
      </c>
      <c r="B1697" s="91">
        <v>2</v>
      </c>
      <c r="C1697" s="114">
        <v>0</v>
      </c>
      <c r="D1697" s="91" t="s">
        <v>2532</v>
      </c>
      <c r="E1697" s="91" t="b">
        <v>0</v>
      </c>
      <c r="F1697" s="91" t="b">
        <v>0</v>
      </c>
      <c r="G1697" s="91" t="b">
        <v>0</v>
      </c>
    </row>
    <row r="1698" spans="1:7" ht="15">
      <c r="A1698" s="92" t="s">
        <v>2564</v>
      </c>
      <c r="B1698" s="91">
        <v>2</v>
      </c>
      <c r="C1698" s="114">
        <v>0</v>
      </c>
      <c r="D1698" s="91" t="s">
        <v>2532</v>
      </c>
      <c r="E1698" s="91" t="b">
        <v>0</v>
      </c>
      <c r="F1698" s="91" t="b">
        <v>0</v>
      </c>
      <c r="G1698" s="91" t="b">
        <v>0</v>
      </c>
    </row>
    <row r="1699" spans="1:7" ht="15">
      <c r="A1699" s="92" t="s">
        <v>2594</v>
      </c>
      <c r="B1699" s="91">
        <v>2</v>
      </c>
      <c r="C1699" s="114">
        <v>0</v>
      </c>
      <c r="D1699" s="91" t="s">
        <v>2532</v>
      </c>
      <c r="E1699" s="91" t="b">
        <v>0</v>
      </c>
      <c r="F1699" s="91" t="b">
        <v>0</v>
      </c>
      <c r="G1699" s="91" t="b">
        <v>0</v>
      </c>
    </row>
    <row r="1700" spans="1:7" ht="15">
      <c r="A1700" s="92" t="s">
        <v>2769</v>
      </c>
      <c r="B1700" s="91">
        <v>2</v>
      </c>
      <c r="C1700" s="114">
        <v>0</v>
      </c>
      <c r="D1700" s="91" t="s">
        <v>2532</v>
      </c>
      <c r="E1700" s="91" t="b">
        <v>0</v>
      </c>
      <c r="F1700" s="91" t="b">
        <v>0</v>
      </c>
      <c r="G1700" s="91" t="b">
        <v>0</v>
      </c>
    </row>
    <row r="1701" spans="1:7" ht="15">
      <c r="A1701" s="92" t="s">
        <v>2589</v>
      </c>
      <c r="B1701" s="91">
        <v>6</v>
      </c>
      <c r="C1701" s="114">
        <v>0</v>
      </c>
      <c r="D1701" s="91" t="s">
        <v>2533</v>
      </c>
      <c r="E1701" s="91" t="b">
        <v>0</v>
      </c>
      <c r="F1701" s="91" t="b">
        <v>0</v>
      </c>
      <c r="G1701" s="91" t="b">
        <v>0</v>
      </c>
    </row>
    <row r="1702" spans="1:7" ht="15">
      <c r="A1702" s="92" t="s">
        <v>2590</v>
      </c>
      <c r="B1702" s="91">
        <v>6</v>
      </c>
      <c r="C1702" s="114">
        <v>0</v>
      </c>
      <c r="D1702" s="91" t="s">
        <v>2533</v>
      </c>
      <c r="E1702" s="91" t="b">
        <v>0</v>
      </c>
      <c r="F1702" s="91" t="b">
        <v>0</v>
      </c>
      <c r="G1702" s="91" t="b">
        <v>0</v>
      </c>
    </row>
    <row r="1703" spans="1:7" ht="15">
      <c r="A1703" s="92" t="s">
        <v>2989</v>
      </c>
      <c r="B1703" s="91">
        <v>4</v>
      </c>
      <c r="C1703" s="114">
        <v>0</v>
      </c>
      <c r="D1703" s="91" t="s">
        <v>2533</v>
      </c>
      <c r="E1703" s="91" t="b">
        <v>0</v>
      </c>
      <c r="F1703" s="91" t="b">
        <v>0</v>
      </c>
      <c r="G1703" s="91" t="b">
        <v>0</v>
      </c>
    </row>
    <row r="1704" spans="1:7" ht="15">
      <c r="A1704" s="92" t="s">
        <v>2578</v>
      </c>
      <c r="B1704" s="91">
        <v>4</v>
      </c>
      <c r="C1704" s="114">
        <v>0</v>
      </c>
      <c r="D1704" s="91" t="s">
        <v>2533</v>
      </c>
      <c r="E1704" s="91" t="b">
        <v>0</v>
      </c>
      <c r="F1704" s="91" t="b">
        <v>0</v>
      </c>
      <c r="G1704" s="91" t="b">
        <v>0</v>
      </c>
    </row>
    <row r="1705" spans="1:7" ht="15">
      <c r="A1705" s="92" t="s">
        <v>2580</v>
      </c>
      <c r="B1705" s="91">
        <v>4</v>
      </c>
      <c r="C1705" s="114">
        <v>0</v>
      </c>
      <c r="D1705" s="91" t="s">
        <v>2533</v>
      </c>
      <c r="E1705" s="91" t="b">
        <v>0</v>
      </c>
      <c r="F1705" s="91" t="b">
        <v>0</v>
      </c>
      <c r="G1705" s="91" t="b">
        <v>0</v>
      </c>
    </row>
    <row r="1706" spans="1:7" ht="15">
      <c r="A1706" s="92" t="s">
        <v>2729</v>
      </c>
      <c r="B1706" s="91">
        <v>4</v>
      </c>
      <c r="C1706" s="114">
        <v>0</v>
      </c>
      <c r="D1706" s="91" t="s">
        <v>2533</v>
      </c>
      <c r="E1706" s="91" t="b">
        <v>0</v>
      </c>
      <c r="F1706" s="91" t="b">
        <v>0</v>
      </c>
      <c r="G1706" s="91" t="b">
        <v>0</v>
      </c>
    </row>
    <row r="1707" spans="1:7" ht="15">
      <c r="A1707" s="92" t="s">
        <v>2661</v>
      </c>
      <c r="B1707" s="91">
        <v>4</v>
      </c>
      <c r="C1707" s="114">
        <v>0</v>
      </c>
      <c r="D1707" s="91" t="s">
        <v>2533</v>
      </c>
      <c r="E1707" s="91" t="b">
        <v>0</v>
      </c>
      <c r="F1707" s="91" t="b">
        <v>0</v>
      </c>
      <c r="G1707" s="91" t="b">
        <v>0</v>
      </c>
    </row>
    <row r="1708" spans="1:7" ht="15">
      <c r="A1708" s="92" t="s">
        <v>2569</v>
      </c>
      <c r="B1708" s="91">
        <v>2</v>
      </c>
      <c r="C1708" s="114">
        <v>0</v>
      </c>
      <c r="D1708" s="91" t="s">
        <v>2533</v>
      </c>
      <c r="E1708" s="91" t="b">
        <v>0</v>
      </c>
      <c r="F1708" s="91" t="b">
        <v>0</v>
      </c>
      <c r="G1708" s="91" t="b">
        <v>0</v>
      </c>
    </row>
    <row r="1709" spans="1:7" ht="15">
      <c r="A1709" s="92" t="s">
        <v>2572</v>
      </c>
      <c r="B1709" s="91">
        <v>2</v>
      </c>
      <c r="C1709" s="114">
        <v>0</v>
      </c>
      <c r="D1709" s="91" t="s">
        <v>2533</v>
      </c>
      <c r="E1709" s="91" t="b">
        <v>0</v>
      </c>
      <c r="F1709" s="91" t="b">
        <v>0</v>
      </c>
      <c r="G1709" s="91" t="b">
        <v>0</v>
      </c>
    </row>
    <row r="1710" spans="1:7" ht="15">
      <c r="A1710" s="92" t="s">
        <v>3102</v>
      </c>
      <c r="B1710" s="91">
        <v>2</v>
      </c>
      <c r="C1710" s="114">
        <v>0</v>
      </c>
      <c r="D1710" s="91" t="s">
        <v>2533</v>
      </c>
      <c r="E1710" s="91" t="b">
        <v>0</v>
      </c>
      <c r="F1710" s="91" t="b">
        <v>0</v>
      </c>
      <c r="G1710" s="91" t="b">
        <v>0</v>
      </c>
    </row>
    <row r="1711" spans="1:7" ht="15">
      <c r="A1711" s="92" t="s">
        <v>3103</v>
      </c>
      <c r="B1711" s="91">
        <v>2</v>
      </c>
      <c r="C1711" s="114">
        <v>0</v>
      </c>
      <c r="D1711" s="91" t="s">
        <v>2533</v>
      </c>
      <c r="E1711" s="91" t="b">
        <v>0</v>
      </c>
      <c r="F1711" s="91" t="b">
        <v>0</v>
      </c>
      <c r="G1711" s="91" t="b">
        <v>0</v>
      </c>
    </row>
    <row r="1712" spans="1:7" ht="15">
      <c r="A1712" s="92" t="s">
        <v>2734</v>
      </c>
      <c r="B1712" s="91">
        <v>2</v>
      </c>
      <c r="C1712" s="114">
        <v>0</v>
      </c>
      <c r="D1712" s="91" t="s">
        <v>2533</v>
      </c>
      <c r="E1712" s="91" t="b">
        <v>0</v>
      </c>
      <c r="F1712" s="91" t="b">
        <v>0</v>
      </c>
      <c r="G1712" s="91" t="b">
        <v>0</v>
      </c>
    </row>
    <row r="1713" spans="1:7" ht="15">
      <c r="A1713" s="92" t="s">
        <v>2730</v>
      </c>
      <c r="B1713" s="91">
        <v>2</v>
      </c>
      <c r="C1713" s="114">
        <v>0</v>
      </c>
      <c r="D1713" s="91" t="s">
        <v>2533</v>
      </c>
      <c r="E1713" s="91" t="b">
        <v>0</v>
      </c>
      <c r="F1713" s="91" t="b">
        <v>0</v>
      </c>
      <c r="G1713" s="91" t="b">
        <v>0</v>
      </c>
    </row>
    <row r="1714" spans="1:7" ht="15">
      <c r="A1714" s="92" t="s">
        <v>2893</v>
      </c>
      <c r="B1714" s="91">
        <v>2</v>
      </c>
      <c r="C1714" s="114">
        <v>0</v>
      </c>
      <c r="D1714" s="91" t="s">
        <v>2533</v>
      </c>
      <c r="E1714" s="91" t="b">
        <v>0</v>
      </c>
      <c r="F1714" s="91" t="b">
        <v>0</v>
      </c>
      <c r="G1714" s="91" t="b">
        <v>0</v>
      </c>
    </row>
    <row r="1715" spans="1:7" ht="15">
      <c r="A1715" s="92" t="s">
        <v>3104</v>
      </c>
      <c r="B1715" s="91">
        <v>2</v>
      </c>
      <c r="C1715" s="114">
        <v>0</v>
      </c>
      <c r="D1715" s="91" t="s">
        <v>2533</v>
      </c>
      <c r="E1715" s="91" t="b">
        <v>0</v>
      </c>
      <c r="F1715" s="91" t="b">
        <v>0</v>
      </c>
      <c r="G1715" s="91" t="b">
        <v>0</v>
      </c>
    </row>
    <row r="1716" spans="1:7" ht="15">
      <c r="A1716" s="92" t="s">
        <v>2668</v>
      </c>
      <c r="B1716" s="91">
        <v>2</v>
      </c>
      <c r="C1716" s="114">
        <v>0</v>
      </c>
      <c r="D1716" s="91" t="s">
        <v>2533</v>
      </c>
      <c r="E1716" s="91" t="b">
        <v>0</v>
      </c>
      <c r="F1716" s="91" t="b">
        <v>0</v>
      </c>
      <c r="G1716" s="91" t="b">
        <v>0</v>
      </c>
    </row>
    <row r="1717" spans="1:7" ht="15">
      <c r="A1717" s="92" t="s">
        <v>3105</v>
      </c>
      <c r="B1717" s="91">
        <v>2</v>
      </c>
      <c r="C1717" s="114">
        <v>0</v>
      </c>
      <c r="D1717" s="91" t="s">
        <v>2533</v>
      </c>
      <c r="E1717" s="91" t="b">
        <v>0</v>
      </c>
      <c r="F1717" s="91" t="b">
        <v>0</v>
      </c>
      <c r="G1717" s="91" t="b">
        <v>0</v>
      </c>
    </row>
    <row r="1718" spans="1:7" ht="15">
      <c r="A1718" s="92" t="s">
        <v>2721</v>
      </c>
      <c r="B1718" s="91">
        <v>2</v>
      </c>
      <c r="C1718" s="114">
        <v>0</v>
      </c>
      <c r="D1718" s="91" t="s">
        <v>2533</v>
      </c>
      <c r="E1718" s="91" t="b">
        <v>0</v>
      </c>
      <c r="F1718" s="91" t="b">
        <v>0</v>
      </c>
      <c r="G1718" s="91" t="b">
        <v>0</v>
      </c>
    </row>
    <row r="1719" spans="1:7" ht="15">
      <c r="A1719" s="92" t="s">
        <v>3106</v>
      </c>
      <c r="B1719" s="91">
        <v>2</v>
      </c>
      <c r="C1719" s="114">
        <v>0</v>
      </c>
      <c r="D1719" s="91" t="s">
        <v>2533</v>
      </c>
      <c r="E1719" s="91" t="b">
        <v>0</v>
      </c>
      <c r="F1719" s="91" t="b">
        <v>0</v>
      </c>
      <c r="G1719" s="91" t="b">
        <v>0</v>
      </c>
    </row>
    <row r="1720" spans="1:7" ht="15">
      <c r="A1720" s="92" t="s">
        <v>3107</v>
      </c>
      <c r="B1720" s="91">
        <v>2</v>
      </c>
      <c r="C1720" s="114">
        <v>0</v>
      </c>
      <c r="D1720" s="91" t="s">
        <v>2533</v>
      </c>
      <c r="E1720" s="91" t="b">
        <v>0</v>
      </c>
      <c r="F1720" s="91" t="b">
        <v>0</v>
      </c>
      <c r="G1720" s="91" t="b">
        <v>0</v>
      </c>
    </row>
    <row r="1721" spans="1:7" ht="15">
      <c r="A1721" s="92" t="s">
        <v>2568</v>
      </c>
      <c r="B1721" s="91">
        <v>2</v>
      </c>
      <c r="C1721" s="114">
        <v>0</v>
      </c>
      <c r="D1721" s="91" t="s">
        <v>2533</v>
      </c>
      <c r="E1721" s="91" t="b">
        <v>0</v>
      </c>
      <c r="F1721" s="91" t="b">
        <v>0</v>
      </c>
      <c r="G1721" s="91" t="b">
        <v>0</v>
      </c>
    </row>
    <row r="1722" spans="1:7" ht="15">
      <c r="A1722" s="92" t="s">
        <v>2753</v>
      </c>
      <c r="B1722" s="91">
        <v>2</v>
      </c>
      <c r="C1722" s="114">
        <v>0</v>
      </c>
      <c r="D1722" s="91" t="s">
        <v>2533</v>
      </c>
      <c r="E1722" s="91" t="b">
        <v>0</v>
      </c>
      <c r="F1722" s="91" t="b">
        <v>0</v>
      </c>
      <c r="G1722" s="91" t="b">
        <v>0</v>
      </c>
    </row>
    <row r="1723" spans="1:7" ht="15">
      <c r="A1723" s="92" t="s">
        <v>3040</v>
      </c>
      <c r="B1723" s="91">
        <v>2</v>
      </c>
      <c r="C1723" s="114">
        <v>0</v>
      </c>
      <c r="D1723" s="91" t="s">
        <v>2533</v>
      </c>
      <c r="E1723" s="91" t="b">
        <v>0</v>
      </c>
      <c r="F1723" s="91" t="b">
        <v>0</v>
      </c>
      <c r="G1723" s="91" t="b">
        <v>0</v>
      </c>
    </row>
    <row r="1724" spans="1:7" ht="15">
      <c r="A1724" s="92" t="s">
        <v>3108</v>
      </c>
      <c r="B1724" s="91">
        <v>2</v>
      </c>
      <c r="C1724" s="114">
        <v>0</v>
      </c>
      <c r="D1724" s="91" t="s">
        <v>2533</v>
      </c>
      <c r="E1724" s="91" t="b">
        <v>0</v>
      </c>
      <c r="F1724" s="91" t="b">
        <v>0</v>
      </c>
      <c r="G1724" s="91" t="b">
        <v>0</v>
      </c>
    </row>
    <row r="1725" spans="1:7" ht="15">
      <c r="A1725" s="92" t="s">
        <v>3109</v>
      </c>
      <c r="B1725" s="91">
        <v>2</v>
      </c>
      <c r="C1725" s="114">
        <v>0</v>
      </c>
      <c r="D1725" s="91" t="s">
        <v>2533</v>
      </c>
      <c r="E1725" s="91" t="b">
        <v>0</v>
      </c>
      <c r="F1725" s="91" t="b">
        <v>0</v>
      </c>
      <c r="G1725" s="91" t="b">
        <v>0</v>
      </c>
    </row>
    <row r="1726" spans="1:7" ht="15">
      <c r="A1726" s="92" t="s">
        <v>3110</v>
      </c>
      <c r="B1726" s="91">
        <v>2</v>
      </c>
      <c r="C1726" s="114">
        <v>0</v>
      </c>
      <c r="D1726" s="91" t="s">
        <v>2533</v>
      </c>
      <c r="E1726" s="91" t="b">
        <v>0</v>
      </c>
      <c r="F1726" s="91" t="b">
        <v>0</v>
      </c>
      <c r="G1726" s="91" t="b">
        <v>0</v>
      </c>
    </row>
    <row r="1727" spans="1:7" ht="15">
      <c r="A1727" s="92" t="s">
        <v>3111</v>
      </c>
      <c r="B1727" s="91">
        <v>2</v>
      </c>
      <c r="C1727" s="114">
        <v>0</v>
      </c>
      <c r="D1727" s="91" t="s">
        <v>2533</v>
      </c>
      <c r="E1727" s="91" t="b">
        <v>0</v>
      </c>
      <c r="F1727" s="91" t="b">
        <v>0</v>
      </c>
      <c r="G1727" s="91" t="b">
        <v>0</v>
      </c>
    </row>
    <row r="1728" spans="1:7" ht="15">
      <c r="A1728" s="92" t="s">
        <v>3112</v>
      </c>
      <c r="B1728" s="91">
        <v>2</v>
      </c>
      <c r="C1728" s="114">
        <v>0</v>
      </c>
      <c r="D1728" s="91" t="s">
        <v>2533</v>
      </c>
      <c r="E1728" s="91" t="b">
        <v>0</v>
      </c>
      <c r="F1728" s="91" t="b">
        <v>0</v>
      </c>
      <c r="G1728" s="91" t="b">
        <v>0</v>
      </c>
    </row>
    <row r="1729" spans="1:7" ht="15">
      <c r="A1729" s="92" t="s">
        <v>3113</v>
      </c>
      <c r="B1729" s="91">
        <v>2</v>
      </c>
      <c r="C1729" s="114">
        <v>0</v>
      </c>
      <c r="D1729" s="91" t="s">
        <v>2533</v>
      </c>
      <c r="E1729" s="91" t="b">
        <v>0</v>
      </c>
      <c r="F1729" s="91" t="b">
        <v>0</v>
      </c>
      <c r="G1729" s="91" t="b">
        <v>0</v>
      </c>
    </row>
    <row r="1730" spans="1:7" ht="15">
      <c r="A1730" s="92" t="s">
        <v>2577</v>
      </c>
      <c r="B1730" s="91">
        <v>2</v>
      </c>
      <c r="C1730" s="114">
        <v>0</v>
      </c>
      <c r="D1730" s="91" t="s">
        <v>2533</v>
      </c>
      <c r="E1730" s="91" t="b">
        <v>0</v>
      </c>
      <c r="F1730" s="91" t="b">
        <v>0</v>
      </c>
      <c r="G1730" s="91" t="b">
        <v>0</v>
      </c>
    </row>
    <row r="1731" spans="1:7" ht="15">
      <c r="A1731" s="92" t="s">
        <v>3024</v>
      </c>
      <c r="B1731" s="91">
        <v>2</v>
      </c>
      <c r="C1731" s="114">
        <v>0</v>
      </c>
      <c r="D1731" s="91" t="s">
        <v>2533</v>
      </c>
      <c r="E1731" s="91" t="b">
        <v>0</v>
      </c>
      <c r="F1731" s="91" t="b">
        <v>0</v>
      </c>
      <c r="G1731" s="91" t="b">
        <v>0</v>
      </c>
    </row>
    <row r="1732" spans="1:7" ht="15">
      <c r="A1732" s="92" t="s">
        <v>2845</v>
      </c>
      <c r="B1732" s="91">
        <v>2</v>
      </c>
      <c r="C1732" s="114">
        <v>0</v>
      </c>
      <c r="D1732" s="91" t="s">
        <v>2533</v>
      </c>
      <c r="E1732" s="91" t="b">
        <v>0</v>
      </c>
      <c r="F1732" s="91" t="b">
        <v>0</v>
      </c>
      <c r="G1732" s="91" t="b">
        <v>0</v>
      </c>
    </row>
    <row r="1733" spans="1:7" ht="15">
      <c r="A1733" s="92" t="s">
        <v>3114</v>
      </c>
      <c r="B1733" s="91">
        <v>2</v>
      </c>
      <c r="C1733" s="114">
        <v>0</v>
      </c>
      <c r="D1733" s="91" t="s">
        <v>2533</v>
      </c>
      <c r="E1733" s="91" t="b">
        <v>0</v>
      </c>
      <c r="F1733" s="91" t="b">
        <v>0</v>
      </c>
      <c r="G1733" s="91" t="b">
        <v>0</v>
      </c>
    </row>
    <row r="1734" spans="1:7" ht="15">
      <c r="A1734" s="92" t="s">
        <v>2666</v>
      </c>
      <c r="B1734" s="91">
        <v>2</v>
      </c>
      <c r="C1734" s="114">
        <v>0</v>
      </c>
      <c r="D1734" s="91" t="s">
        <v>2533</v>
      </c>
      <c r="E1734" s="91" t="b">
        <v>0</v>
      </c>
      <c r="F1734" s="91" t="b">
        <v>0</v>
      </c>
      <c r="G1734" s="91" t="b">
        <v>0</v>
      </c>
    </row>
    <row r="1735" spans="1:7" ht="15">
      <c r="A1735" s="92" t="s">
        <v>3115</v>
      </c>
      <c r="B1735" s="91">
        <v>2</v>
      </c>
      <c r="C1735" s="114">
        <v>0</v>
      </c>
      <c r="D1735" s="91" t="s">
        <v>2533</v>
      </c>
      <c r="E1735" s="91" t="b">
        <v>0</v>
      </c>
      <c r="F1735" s="91" t="b">
        <v>0</v>
      </c>
      <c r="G1735" s="91" t="b">
        <v>0</v>
      </c>
    </row>
    <row r="1736" spans="1:7" ht="15">
      <c r="A1736" s="92" t="s">
        <v>2797</v>
      </c>
      <c r="B1736" s="91">
        <v>2</v>
      </c>
      <c r="C1736" s="114">
        <v>0</v>
      </c>
      <c r="D1736" s="91" t="s">
        <v>2533</v>
      </c>
      <c r="E1736" s="91" t="b">
        <v>0</v>
      </c>
      <c r="F1736" s="91" t="b">
        <v>0</v>
      </c>
      <c r="G1736" s="91" t="b">
        <v>0</v>
      </c>
    </row>
    <row r="1737" spans="1:7" ht="15">
      <c r="A1737" s="92" t="s">
        <v>2656</v>
      </c>
      <c r="B1737" s="91">
        <v>2</v>
      </c>
      <c r="C1737" s="114">
        <v>0</v>
      </c>
      <c r="D1737" s="91" t="s">
        <v>2533</v>
      </c>
      <c r="E1737" s="91" t="b">
        <v>0</v>
      </c>
      <c r="F1737" s="91" t="b">
        <v>0</v>
      </c>
      <c r="G1737" s="91" t="b">
        <v>0</v>
      </c>
    </row>
    <row r="1738" spans="1:7" ht="15">
      <c r="A1738" s="92" t="s">
        <v>3116</v>
      </c>
      <c r="B1738" s="91">
        <v>2</v>
      </c>
      <c r="C1738" s="114">
        <v>0</v>
      </c>
      <c r="D1738" s="91" t="s">
        <v>2533</v>
      </c>
      <c r="E1738" s="91" t="b">
        <v>0</v>
      </c>
      <c r="F1738" s="91" t="b">
        <v>0</v>
      </c>
      <c r="G1738" s="91" t="b">
        <v>0</v>
      </c>
    </row>
    <row r="1739" spans="1:7" ht="15">
      <c r="A1739" s="92" t="s">
        <v>2774</v>
      </c>
      <c r="B1739" s="91">
        <v>2</v>
      </c>
      <c r="C1739" s="114">
        <v>0</v>
      </c>
      <c r="D1739" s="91" t="s">
        <v>2533</v>
      </c>
      <c r="E1739" s="91" t="b">
        <v>0</v>
      </c>
      <c r="F1739" s="91" t="b">
        <v>0</v>
      </c>
      <c r="G1739" s="91" t="b">
        <v>0</v>
      </c>
    </row>
    <row r="1740" spans="1:7" ht="15">
      <c r="A1740" s="92" t="s">
        <v>2564</v>
      </c>
      <c r="B1740" s="91">
        <v>2</v>
      </c>
      <c r="C1740" s="114">
        <v>0</v>
      </c>
      <c r="D1740" s="91" t="s">
        <v>2533</v>
      </c>
      <c r="E1740" s="91" t="b">
        <v>0</v>
      </c>
      <c r="F1740" s="91" t="b">
        <v>0</v>
      </c>
      <c r="G1740" s="91" t="b">
        <v>0</v>
      </c>
    </row>
    <row r="1741" spans="1:7" ht="15">
      <c r="A1741" s="92" t="s">
        <v>3117</v>
      </c>
      <c r="B1741" s="91">
        <v>2</v>
      </c>
      <c r="C1741" s="114">
        <v>0</v>
      </c>
      <c r="D1741" s="91" t="s">
        <v>2533</v>
      </c>
      <c r="E1741" s="91" t="b">
        <v>0</v>
      </c>
      <c r="F1741" s="91" t="b">
        <v>0</v>
      </c>
      <c r="G1741" s="91" t="b">
        <v>0</v>
      </c>
    </row>
    <row r="1742" spans="1:7" ht="15">
      <c r="A1742" s="92" t="s">
        <v>3118</v>
      </c>
      <c r="B1742" s="91">
        <v>2</v>
      </c>
      <c r="C1742" s="114">
        <v>0</v>
      </c>
      <c r="D1742" s="91" t="s">
        <v>2533</v>
      </c>
      <c r="E1742" s="91" t="b">
        <v>0</v>
      </c>
      <c r="F1742" s="91" t="b">
        <v>0</v>
      </c>
      <c r="G1742" s="91" t="b">
        <v>0</v>
      </c>
    </row>
    <row r="1743" spans="1:7" ht="15">
      <c r="A1743" s="92" t="s">
        <v>2576</v>
      </c>
      <c r="B1743" s="91">
        <v>2</v>
      </c>
      <c r="C1743" s="114">
        <v>0</v>
      </c>
      <c r="D1743" s="91" t="s">
        <v>2534</v>
      </c>
      <c r="E1743" s="91" t="b">
        <v>0</v>
      </c>
      <c r="F1743" s="91" t="b">
        <v>0</v>
      </c>
      <c r="G1743" s="91" t="b">
        <v>0</v>
      </c>
    </row>
    <row r="1744" spans="1:7" ht="15">
      <c r="A1744" s="92" t="s">
        <v>2589</v>
      </c>
      <c r="B1744" s="91">
        <v>2</v>
      </c>
      <c r="C1744" s="114">
        <v>0</v>
      </c>
      <c r="D1744" s="91" t="s">
        <v>2534</v>
      </c>
      <c r="E1744" s="91" t="b">
        <v>0</v>
      </c>
      <c r="F1744" s="91" t="b">
        <v>0</v>
      </c>
      <c r="G1744" s="91" t="b">
        <v>0</v>
      </c>
    </row>
    <row r="1745" spans="1:7" ht="15">
      <c r="A1745" s="92" t="s">
        <v>2721</v>
      </c>
      <c r="B1745" s="91">
        <v>2</v>
      </c>
      <c r="C1745" s="114">
        <v>0</v>
      </c>
      <c r="D1745" s="91" t="s">
        <v>2534</v>
      </c>
      <c r="E1745" s="91" t="b">
        <v>0</v>
      </c>
      <c r="F1745" s="91" t="b">
        <v>0</v>
      </c>
      <c r="G1745" s="91" t="b">
        <v>0</v>
      </c>
    </row>
    <row r="1746" spans="1:7" ht="15">
      <c r="A1746" s="92" t="s">
        <v>2582</v>
      </c>
      <c r="B1746" s="91">
        <v>2</v>
      </c>
      <c r="C1746" s="114">
        <v>0</v>
      </c>
      <c r="D1746" s="91" t="s">
        <v>2534</v>
      </c>
      <c r="E1746" s="91" t="b">
        <v>0</v>
      </c>
      <c r="F1746" s="91" t="b">
        <v>0</v>
      </c>
      <c r="G1746" s="91" t="b">
        <v>0</v>
      </c>
    </row>
    <row r="1747" spans="1:7" ht="15">
      <c r="A1747" s="92" t="s">
        <v>2568</v>
      </c>
      <c r="B1747" s="91">
        <v>2</v>
      </c>
      <c r="C1747" s="114">
        <v>0</v>
      </c>
      <c r="D1747" s="91" t="s">
        <v>2534</v>
      </c>
      <c r="E1747" s="91" t="b">
        <v>0</v>
      </c>
      <c r="F1747" s="91" t="b">
        <v>0</v>
      </c>
      <c r="G1747" s="91" t="b">
        <v>0</v>
      </c>
    </row>
    <row r="1748" spans="1:7" ht="15">
      <c r="A1748" s="92" t="s">
        <v>2612</v>
      </c>
      <c r="B1748" s="91">
        <v>3</v>
      </c>
      <c r="C1748" s="114">
        <v>0</v>
      </c>
      <c r="D1748" s="91" t="s">
        <v>2535</v>
      </c>
      <c r="E1748" s="91" t="b">
        <v>0</v>
      </c>
      <c r="F1748" s="91" t="b">
        <v>0</v>
      </c>
      <c r="G1748" s="91" t="b">
        <v>0</v>
      </c>
    </row>
    <row r="1749" spans="1:7" ht="15">
      <c r="A1749" s="92" t="s">
        <v>3046</v>
      </c>
      <c r="B1749" s="91">
        <v>3</v>
      </c>
      <c r="C1749" s="114">
        <v>0</v>
      </c>
      <c r="D1749" s="91" t="s">
        <v>2535</v>
      </c>
      <c r="E1749" s="91" t="b">
        <v>0</v>
      </c>
      <c r="F1749" s="91" t="b">
        <v>0</v>
      </c>
      <c r="G1749" s="91" t="b">
        <v>0</v>
      </c>
    </row>
    <row r="1750" spans="1:7" ht="15">
      <c r="A1750" s="92" t="s">
        <v>3047</v>
      </c>
      <c r="B1750" s="91">
        <v>3</v>
      </c>
      <c r="C1750" s="114">
        <v>0</v>
      </c>
      <c r="D1750" s="91" t="s">
        <v>2535</v>
      </c>
      <c r="E1750" s="91" t="b">
        <v>0</v>
      </c>
      <c r="F1750" s="91" t="b">
        <v>0</v>
      </c>
      <c r="G1750" s="91" t="b">
        <v>0</v>
      </c>
    </row>
    <row r="1751" spans="1:7" ht="15">
      <c r="A1751" s="92" t="s">
        <v>3048</v>
      </c>
      <c r="B1751" s="91">
        <v>3</v>
      </c>
      <c r="C1751" s="114">
        <v>0</v>
      </c>
      <c r="D1751" s="91" t="s">
        <v>2535</v>
      </c>
      <c r="E1751" s="91" t="b">
        <v>0</v>
      </c>
      <c r="F1751" s="91" t="b">
        <v>0</v>
      </c>
      <c r="G1751" s="91" t="b">
        <v>0</v>
      </c>
    </row>
    <row r="1752" spans="1:7" ht="15">
      <c r="A1752" s="92" t="s">
        <v>3049</v>
      </c>
      <c r="B1752" s="91">
        <v>3</v>
      </c>
      <c r="C1752" s="114">
        <v>0</v>
      </c>
      <c r="D1752" s="91" t="s">
        <v>2535</v>
      </c>
      <c r="E1752" s="91" t="b">
        <v>0</v>
      </c>
      <c r="F1752" s="91" t="b">
        <v>0</v>
      </c>
      <c r="G1752" s="91" t="b">
        <v>0</v>
      </c>
    </row>
    <row r="1753" spans="1:7" ht="15">
      <c r="A1753" s="92" t="s">
        <v>2585</v>
      </c>
      <c r="B1753" s="91">
        <v>3</v>
      </c>
      <c r="C1753" s="114">
        <v>0</v>
      </c>
      <c r="D1753" s="91" t="s">
        <v>2535</v>
      </c>
      <c r="E1753" s="91" t="b">
        <v>0</v>
      </c>
      <c r="F1753" s="91" t="b">
        <v>0</v>
      </c>
      <c r="G1753" s="91" t="b">
        <v>0</v>
      </c>
    </row>
    <row r="1754" spans="1:7" ht="15">
      <c r="A1754" s="92" t="s">
        <v>2566</v>
      </c>
      <c r="B1754" s="91">
        <v>3</v>
      </c>
      <c r="C1754" s="114">
        <v>0</v>
      </c>
      <c r="D1754" s="91" t="s">
        <v>2535</v>
      </c>
      <c r="E1754" s="91" t="b">
        <v>0</v>
      </c>
      <c r="F1754" s="91" t="b">
        <v>0</v>
      </c>
      <c r="G1754" s="91" t="b">
        <v>0</v>
      </c>
    </row>
    <row r="1755" spans="1:7" ht="15">
      <c r="A1755" s="92" t="s">
        <v>2747</v>
      </c>
      <c r="B1755" s="91">
        <v>3</v>
      </c>
      <c r="C1755" s="114">
        <v>0</v>
      </c>
      <c r="D1755" s="91" t="s">
        <v>2535</v>
      </c>
      <c r="E1755" s="91" t="b">
        <v>0</v>
      </c>
      <c r="F1755" s="91" t="b">
        <v>0</v>
      </c>
      <c r="G1755" s="91" t="b">
        <v>0</v>
      </c>
    </row>
    <row r="1756" spans="1:7" ht="15">
      <c r="A1756" s="92" t="s">
        <v>2564</v>
      </c>
      <c r="B1756" s="91">
        <v>3</v>
      </c>
      <c r="C1756" s="114">
        <v>0</v>
      </c>
      <c r="D1756" s="91" t="s">
        <v>2535</v>
      </c>
      <c r="E1756" s="91" t="b">
        <v>0</v>
      </c>
      <c r="F1756" s="91" t="b">
        <v>0</v>
      </c>
      <c r="G1756" s="91" t="b">
        <v>0</v>
      </c>
    </row>
    <row r="1757" spans="1:7" ht="15">
      <c r="A1757" s="92" t="s">
        <v>3050</v>
      </c>
      <c r="B1757" s="91">
        <v>3</v>
      </c>
      <c r="C1757" s="114">
        <v>0</v>
      </c>
      <c r="D1757" s="91" t="s">
        <v>2535</v>
      </c>
      <c r="E1757" s="91" t="b">
        <v>0</v>
      </c>
      <c r="F1757" s="91" t="b">
        <v>0</v>
      </c>
      <c r="G1757" s="91" t="b">
        <v>0</v>
      </c>
    </row>
    <row r="1758" spans="1:7" ht="15">
      <c r="A1758" s="92" t="s">
        <v>3051</v>
      </c>
      <c r="B1758" s="91">
        <v>3</v>
      </c>
      <c r="C1758" s="114">
        <v>0</v>
      </c>
      <c r="D1758" s="91" t="s">
        <v>2535</v>
      </c>
      <c r="E1758" s="91" t="b">
        <v>0</v>
      </c>
      <c r="F1758" s="91" t="b">
        <v>0</v>
      </c>
      <c r="G1758" s="91" t="b">
        <v>0</v>
      </c>
    </row>
    <row r="1759" spans="1:7" ht="15">
      <c r="A1759" s="92" t="s">
        <v>2717</v>
      </c>
      <c r="B1759" s="91">
        <v>3</v>
      </c>
      <c r="C1759" s="114">
        <v>0</v>
      </c>
      <c r="D1759" s="91" t="s">
        <v>2535</v>
      </c>
      <c r="E1759" s="91" t="b">
        <v>0</v>
      </c>
      <c r="F1759" s="91" t="b">
        <v>0</v>
      </c>
      <c r="G1759" s="91" t="b">
        <v>0</v>
      </c>
    </row>
    <row r="1760" spans="1:7" ht="15">
      <c r="A1760" s="92" t="s">
        <v>2643</v>
      </c>
      <c r="B1760" s="91">
        <v>3</v>
      </c>
      <c r="C1760" s="114">
        <v>0</v>
      </c>
      <c r="D1760" s="91" t="s">
        <v>2535</v>
      </c>
      <c r="E1760" s="91" t="b">
        <v>0</v>
      </c>
      <c r="F1760" s="91" t="b">
        <v>0</v>
      </c>
      <c r="G1760" s="91" t="b">
        <v>0</v>
      </c>
    </row>
    <row r="1761" spans="1:7" ht="15">
      <c r="A1761" s="92" t="s">
        <v>3052</v>
      </c>
      <c r="B1761" s="91">
        <v>3</v>
      </c>
      <c r="C1761" s="114">
        <v>0</v>
      </c>
      <c r="D1761" s="91" t="s">
        <v>2535</v>
      </c>
      <c r="E1761" s="91" t="b">
        <v>0</v>
      </c>
      <c r="F1761" s="91" t="b">
        <v>0</v>
      </c>
      <c r="G1761" s="91" t="b">
        <v>0</v>
      </c>
    </row>
    <row r="1762" spans="1:7" ht="15">
      <c r="A1762" s="92" t="s">
        <v>2728</v>
      </c>
      <c r="B1762" s="91">
        <v>3</v>
      </c>
      <c r="C1762" s="114">
        <v>0</v>
      </c>
      <c r="D1762" s="91" t="s">
        <v>2535</v>
      </c>
      <c r="E1762" s="91" t="b">
        <v>0</v>
      </c>
      <c r="F1762" s="91" t="b">
        <v>0</v>
      </c>
      <c r="G1762" s="91" t="b">
        <v>0</v>
      </c>
    </row>
    <row r="1763" spans="1:7" ht="15">
      <c r="A1763" s="92" t="s">
        <v>2890</v>
      </c>
      <c r="B1763" s="91">
        <v>3</v>
      </c>
      <c r="C1763" s="114">
        <v>0</v>
      </c>
      <c r="D1763" s="91" t="s">
        <v>2535</v>
      </c>
      <c r="E1763" s="91" t="b">
        <v>0</v>
      </c>
      <c r="F1763" s="91" t="b">
        <v>0</v>
      </c>
      <c r="G1763" s="91" t="b">
        <v>0</v>
      </c>
    </row>
    <row r="1764" spans="1:7" ht="15">
      <c r="A1764" s="92" t="s">
        <v>2891</v>
      </c>
      <c r="B1764" s="91">
        <v>3</v>
      </c>
      <c r="C1764" s="114">
        <v>0</v>
      </c>
      <c r="D1764" s="91" t="s">
        <v>2535</v>
      </c>
      <c r="E1764" s="91" t="b">
        <v>0</v>
      </c>
      <c r="F1764" s="91" t="b">
        <v>0</v>
      </c>
      <c r="G1764" s="91" t="b">
        <v>0</v>
      </c>
    </row>
    <row r="1765" spans="1:7" ht="15">
      <c r="A1765" s="92" t="s">
        <v>3053</v>
      </c>
      <c r="B1765" s="91">
        <v>3</v>
      </c>
      <c r="C1765" s="114">
        <v>0</v>
      </c>
      <c r="D1765" s="91" t="s">
        <v>2535</v>
      </c>
      <c r="E1765" s="91" t="b">
        <v>0</v>
      </c>
      <c r="F1765" s="91" t="b">
        <v>0</v>
      </c>
      <c r="G1765" s="91" t="b">
        <v>0</v>
      </c>
    </row>
    <row r="1766" spans="1:7" ht="15">
      <c r="A1766" s="92" t="s">
        <v>3054</v>
      </c>
      <c r="B1766" s="91">
        <v>3</v>
      </c>
      <c r="C1766" s="114">
        <v>0</v>
      </c>
      <c r="D1766" s="91" t="s">
        <v>2535</v>
      </c>
      <c r="E1766" s="91" t="b">
        <v>0</v>
      </c>
      <c r="F1766" s="91" t="b">
        <v>0</v>
      </c>
      <c r="G1766" s="91" t="b">
        <v>0</v>
      </c>
    </row>
    <row r="1767" spans="1:7" ht="15">
      <c r="A1767" s="92" t="s">
        <v>3055</v>
      </c>
      <c r="B1767" s="91">
        <v>3</v>
      </c>
      <c r="C1767" s="114">
        <v>0</v>
      </c>
      <c r="D1767" s="91" t="s">
        <v>2535</v>
      </c>
      <c r="E1767" s="91" t="b">
        <v>0</v>
      </c>
      <c r="F1767" s="91" t="b">
        <v>0</v>
      </c>
      <c r="G1767" s="91" t="b">
        <v>0</v>
      </c>
    </row>
    <row r="1768" spans="1:7" ht="15">
      <c r="A1768" s="92" t="s">
        <v>2731</v>
      </c>
      <c r="B1768" s="91">
        <v>3</v>
      </c>
      <c r="C1768" s="114">
        <v>0</v>
      </c>
      <c r="D1768" s="91" t="s">
        <v>2535</v>
      </c>
      <c r="E1768" s="91" t="b">
        <v>0</v>
      </c>
      <c r="F1768" s="91" t="b">
        <v>0</v>
      </c>
      <c r="G1768" s="91" t="b">
        <v>0</v>
      </c>
    </row>
    <row r="1769" spans="1:7" ht="15">
      <c r="A1769" s="92" t="s">
        <v>3056</v>
      </c>
      <c r="B1769" s="91">
        <v>3</v>
      </c>
      <c r="C1769" s="114">
        <v>0</v>
      </c>
      <c r="D1769" s="91" t="s">
        <v>2535</v>
      </c>
      <c r="E1769" s="91" t="b">
        <v>0</v>
      </c>
      <c r="F1769" s="91" t="b">
        <v>0</v>
      </c>
      <c r="G1769" s="91" t="b">
        <v>0</v>
      </c>
    </row>
    <row r="1770" spans="1:7" ht="15">
      <c r="A1770" s="92" t="s">
        <v>3057</v>
      </c>
      <c r="B1770" s="91">
        <v>3</v>
      </c>
      <c r="C1770" s="114">
        <v>0</v>
      </c>
      <c r="D1770" s="91" t="s">
        <v>2535</v>
      </c>
      <c r="E1770" s="91" t="b">
        <v>0</v>
      </c>
      <c r="F1770" s="91" t="b">
        <v>0</v>
      </c>
      <c r="G1770" s="91" t="b">
        <v>0</v>
      </c>
    </row>
    <row r="1771" spans="1:7" ht="15">
      <c r="A1771" s="92" t="s">
        <v>3058</v>
      </c>
      <c r="B1771" s="91">
        <v>3</v>
      </c>
      <c r="C1771" s="114">
        <v>0</v>
      </c>
      <c r="D1771" s="91" t="s">
        <v>2535</v>
      </c>
      <c r="E1771" s="91" t="b">
        <v>0</v>
      </c>
      <c r="F1771" s="91" t="b">
        <v>0</v>
      </c>
      <c r="G1771" s="91" t="b">
        <v>0</v>
      </c>
    </row>
    <row r="1772" spans="1:7" ht="15">
      <c r="A1772" s="92" t="s">
        <v>2645</v>
      </c>
      <c r="B1772" s="91">
        <v>3</v>
      </c>
      <c r="C1772" s="114">
        <v>0</v>
      </c>
      <c r="D1772" s="91" t="s">
        <v>2535</v>
      </c>
      <c r="E1772" s="91" t="b">
        <v>0</v>
      </c>
      <c r="F1772" s="91" t="b">
        <v>0</v>
      </c>
      <c r="G1772" s="91" t="b">
        <v>0</v>
      </c>
    </row>
    <row r="1773" spans="1:7" ht="15">
      <c r="A1773" s="92" t="s">
        <v>3059</v>
      </c>
      <c r="B1773" s="91">
        <v>3</v>
      </c>
      <c r="C1773" s="114">
        <v>0</v>
      </c>
      <c r="D1773" s="91" t="s">
        <v>2535</v>
      </c>
      <c r="E1773" s="91" t="b">
        <v>0</v>
      </c>
      <c r="F1773" s="91" t="b">
        <v>0</v>
      </c>
      <c r="G1773" s="91" t="b">
        <v>0</v>
      </c>
    </row>
    <row r="1774" spans="1:7" ht="15">
      <c r="A1774" s="92" t="s">
        <v>2894</v>
      </c>
      <c r="B1774" s="91">
        <v>2</v>
      </c>
      <c r="C1774" s="114">
        <v>0.004192649025135268</v>
      </c>
      <c r="D1774" s="91" t="s">
        <v>2535</v>
      </c>
      <c r="E1774" s="91" t="b">
        <v>0</v>
      </c>
      <c r="F1774" s="91" t="b">
        <v>0</v>
      </c>
      <c r="G1774" s="91" t="b">
        <v>0</v>
      </c>
    </row>
    <row r="1775" spans="1:7" ht="15">
      <c r="A1775" s="92" t="s">
        <v>3120</v>
      </c>
      <c r="B1775" s="91">
        <v>2</v>
      </c>
      <c r="C1775" s="114">
        <v>0.004192649025135268</v>
      </c>
      <c r="D1775" s="91" t="s">
        <v>2535</v>
      </c>
      <c r="E1775" s="91" t="b">
        <v>0</v>
      </c>
      <c r="F1775" s="91" t="b">
        <v>0</v>
      </c>
      <c r="G1775" s="91" t="b">
        <v>0</v>
      </c>
    </row>
    <row r="1776" spans="1:7" ht="15">
      <c r="A1776" s="92" t="s">
        <v>2568</v>
      </c>
      <c r="B1776" s="91">
        <v>6</v>
      </c>
      <c r="C1776" s="114">
        <v>0</v>
      </c>
      <c r="D1776" s="91" t="s">
        <v>2536</v>
      </c>
      <c r="E1776" s="91" t="b">
        <v>0</v>
      </c>
      <c r="F1776" s="91" t="b">
        <v>0</v>
      </c>
      <c r="G1776" s="91" t="b">
        <v>0</v>
      </c>
    </row>
    <row r="1777" spans="1:7" ht="15">
      <c r="A1777" s="92" t="s">
        <v>2589</v>
      </c>
      <c r="B1777" s="91">
        <v>6</v>
      </c>
      <c r="C1777" s="114">
        <v>0</v>
      </c>
      <c r="D1777" s="91" t="s">
        <v>2536</v>
      </c>
      <c r="E1777" s="91" t="b">
        <v>0</v>
      </c>
      <c r="F1777" s="91" t="b">
        <v>0</v>
      </c>
      <c r="G1777" s="91" t="b">
        <v>0</v>
      </c>
    </row>
    <row r="1778" spans="1:7" ht="15">
      <c r="A1778" s="92" t="s">
        <v>2577</v>
      </c>
      <c r="B1778" s="91">
        <v>6</v>
      </c>
      <c r="C1778" s="114">
        <v>0</v>
      </c>
      <c r="D1778" s="91" t="s">
        <v>2536</v>
      </c>
      <c r="E1778" s="91" t="b">
        <v>0</v>
      </c>
      <c r="F1778" s="91" t="b">
        <v>0</v>
      </c>
      <c r="G1778" s="91" t="b">
        <v>0</v>
      </c>
    </row>
    <row r="1779" spans="1:7" ht="15">
      <c r="A1779" s="92" t="s">
        <v>3121</v>
      </c>
      <c r="B1779" s="91">
        <v>2</v>
      </c>
      <c r="C1779" s="114">
        <v>0</v>
      </c>
      <c r="D1779" s="91" t="s">
        <v>2536</v>
      </c>
      <c r="E1779" s="91" t="b">
        <v>0</v>
      </c>
      <c r="F1779" s="91" t="b">
        <v>0</v>
      </c>
      <c r="G1779" s="91" t="b">
        <v>0</v>
      </c>
    </row>
    <row r="1780" spans="1:7" ht="15">
      <c r="A1780" s="92" t="s">
        <v>3122</v>
      </c>
      <c r="B1780" s="91">
        <v>2</v>
      </c>
      <c r="C1780" s="114">
        <v>0</v>
      </c>
      <c r="D1780" s="91" t="s">
        <v>2536</v>
      </c>
      <c r="E1780" s="91" t="b">
        <v>0</v>
      </c>
      <c r="F1780" s="91" t="b">
        <v>0</v>
      </c>
      <c r="G1780" s="91" t="b">
        <v>0</v>
      </c>
    </row>
    <row r="1781" spans="1:7" ht="15">
      <c r="A1781" s="92" t="s">
        <v>3071</v>
      </c>
      <c r="B1781" s="91">
        <v>2</v>
      </c>
      <c r="C1781" s="114">
        <v>0</v>
      </c>
      <c r="D1781" s="91" t="s">
        <v>2536</v>
      </c>
      <c r="E1781" s="91" t="b">
        <v>0</v>
      </c>
      <c r="F1781" s="91" t="b">
        <v>0</v>
      </c>
      <c r="G1781" s="91" t="b">
        <v>0</v>
      </c>
    </row>
    <row r="1782" spans="1:7" ht="15">
      <c r="A1782" s="92" t="s">
        <v>3123</v>
      </c>
      <c r="B1782" s="91">
        <v>2</v>
      </c>
      <c r="C1782" s="114">
        <v>0</v>
      </c>
      <c r="D1782" s="91" t="s">
        <v>2536</v>
      </c>
      <c r="E1782" s="91" t="b">
        <v>0</v>
      </c>
      <c r="F1782" s="91" t="b">
        <v>0</v>
      </c>
      <c r="G1782" s="91" t="b">
        <v>0</v>
      </c>
    </row>
    <row r="1783" spans="1:7" ht="15">
      <c r="A1783" s="92" t="s">
        <v>3124</v>
      </c>
      <c r="B1783" s="91">
        <v>2</v>
      </c>
      <c r="C1783" s="114">
        <v>0</v>
      </c>
      <c r="D1783" s="91" t="s">
        <v>2536</v>
      </c>
      <c r="E1783" s="91" t="b">
        <v>0</v>
      </c>
      <c r="F1783" s="91" t="b">
        <v>0</v>
      </c>
      <c r="G1783" s="91" t="b">
        <v>0</v>
      </c>
    </row>
    <row r="1784" spans="1:7" ht="15">
      <c r="A1784" s="92" t="s">
        <v>2569</v>
      </c>
      <c r="B1784" s="91">
        <v>2</v>
      </c>
      <c r="C1784" s="114">
        <v>0</v>
      </c>
      <c r="D1784" s="91" t="s">
        <v>2536</v>
      </c>
      <c r="E1784" s="91" t="b">
        <v>0</v>
      </c>
      <c r="F1784" s="91" t="b">
        <v>0</v>
      </c>
      <c r="G1784" s="91" t="b">
        <v>0</v>
      </c>
    </row>
    <row r="1785" spans="1:7" ht="15">
      <c r="A1785" s="92" t="s">
        <v>3125</v>
      </c>
      <c r="B1785" s="91">
        <v>2</v>
      </c>
      <c r="C1785" s="114">
        <v>0</v>
      </c>
      <c r="D1785" s="91" t="s">
        <v>2536</v>
      </c>
      <c r="E1785" s="91" t="b">
        <v>0</v>
      </c>
      <c r="F1785" s="91" t="b">
        <v>0</v>
      </c>
      <c r="G1785" s="91" t="b">
        <v>0</v>
      </c>
    </row>
    <row r="1786" spans="1:7" ht="15">
      <c r="A1786" s="92" t="s">
        <v>3126</v>
      </c>
      <c r="B1786" s="91">
        <v>2</v>
      </c>
      <c r="C1786" s="114">
        <v>0</v>
      </c>
      <c r="D1786" s="91" t="s">
        <v>2536</v>
      </c>
      <c r="E1786" s="91" t="b">
        <v>0</v>
      </c>
      <c r="F1786" s="91" t="b">
        <v>0</v>
      </c>
      <c r="G1786" s="91" t="b">
        <v>0</v>
      </c>
    </row>
    <row r="1787" spans="1:7" ht="15">
      <c r="A1787" s="92" t="s">
        <v>3127</v>
      </c>
      <c r="B1787" s="91">
        <v>2</v>
      </c>
      <c r="C1787" s="114">
        <v>0</v>
      </c>
      <c r="D1787" s="91" t="s">
        <v>2536</v>
      </c>
      <c r="E1787" s="91" t="b">
        <v>0</v>
      </c>
      <c r="F1787" s="91" t="b">
        <v>0</v>
      </c>
      <c r="G1787" s="91" t="b">
        <v>0</v>
      </c>
    </row>
    <row r="1788" spans="1:7" ht="15">
      <c r="A1788" s="92" t="s">
        <v>3072</v>
      </c>
      <c r="B1788" s="91">
        <v>2</v>
      </c>
      <c r="C1788" s="114">
        <v>0</v>
      </c>
      <c r="D1788" s="91" t="s">
        <v>2536</v>
      </c>
      <c r="E1788" s="91" t="b">
        <v>0</v>
      </c>
      <c r="F1788" s="91" t="b">
        <v>0</v>
      </c>
      <c r="G1788" s="91" t="b">
        <v>0</v>
      </c>
    </row>
    <row r="1789" spans="1:7" ht="15">
      <c r="A1789" s="92" t="s">
        <v>2647</v>
      </c>
      <c r="B1789" s="91">
        <v>2</v>
      </c>
      <c r="C1789" s="114">
        <v>0</v>
      </c>
      <c r="D1789" s="91" t="s">
        <v>2536</v>
      </c>
      <c r="E1789" s="91" t="b">
        <v>0</v>
      </c>
      <c r="F1789" s="91" t="b">
        <v>0</v>
      </c>
      <c r="G1789" s="91" t="b">
        <v>0</v>
      </c>
    </row>
    <row r="1790" spans="1:7" ht="15">
      <c r="A1790" s="92" t="s">
        <v>3128</v>
      </c>
      <c r="B1790" s="91">
        <v>2</v>
      </c>
      <c r="C1790" s="114">
        <v>0</v>
      </c>
      <c r="D1790" s="91" t="s">
        <v>2536</v>
      </c>
      <c r="E1790" s="91" t="b">
        <v>0</v>
      </c>
      <c r="F1790" s="91" t="b">
        <v>0</v>
      </c>
      <c r="G1790" s="91" t="b">
        <v>0</v>
      </c>
    </row>
    <row r="1791" spans="1:7" ht="15">
      <c r="A1791" s="92" t="s">
        <v>2775</v>
      </c>
      <c r="B1791" s="91">
        <v>2</v>
      </c>
      <c r="C1791" s="114">
        <v>0</v>
      </c>
      <c r="D1791" s="91" t="s">
        <v>2536</v>
      </c>
      <c r="E1791" s="91" t="b">
        <v>0</v>
      </c>
      <c r="F1791" s="91" t="b">
        <v>0</v>
      </c>
      <c r="G1791" s="91" t="b">
        <v>0</v>
      </c>
    </row>
    <row r="1792" spans="1:7" ht="15">
      <c r="A1792" s="92" t="s">
        <v>3129</v>
      </c>
      <c r="B1792" s="91">
        <v>2</v>
      </c>
      <c r="C1792" s="114">
        <v>0</v>
      </c>
      <c r="D1792" s="91" t="s">
        <v>2536</v>
      </c>
      <c r="E1792" s="91" t="b">
        <v>0</v>
      </c>
      <c r="F1792" s="91" t="b">
        <v>0</v>
      </c>
      <c r="G1792" s="91" t="b">
        <v>0</v>
      </c>
    </row>
    <row r="1793" spans="1:7" ht="15">
      <c r="A1793" s="92" t="s">
        <v>3130</v>
      </c>
      <c r="B1793" s="91">
        <v>2</v>
      </c>
      <c r="C1793" s="114">
        <v>0</v>
      </c>
      <c r="D1793" s="91" t="s">
        <v>2536</v>
      </c>
      <c r="E1793" s="91" t="b">
        <v>0</v>
      </c>
      <c r="F1793" s="91" t="b">
        <v>0</v>
      </c>
      <c r="G1793" s="91" t="b">
        <v>0</v>
      </c>
    </row>
    <row r="1794" spans="1:7" ht="15">
      <c r="A1794" s="92" t="s">
        <v>3131</v>
      </c>
      <c r="B1794" s="91">
        <v>2</v>
      </c>
      <c r="C1794" s="114">
        <v>0</v>
      </c>
      <c r="D1794" s="91" t="s">
        <v>2536</v>
      </c>
      <c r="E1794" s="91" t="b">
        <v>0</v>
      </c>
      <c r="F1794" s="91" t="b">
        <v>0</v>
      </c>
      <c r="G1794" s="91" t="b">
        <v>0</v>
      </c>
    </row>
    <row r="1795" spans="1:7" ht="15">
      <c r="A1795" s="92" t="s">
        <v>3132</v>
      </c>
      <c r="B1795" s="91">
        <v>2</v>
      </c>
      <c r="C1795" s="114">
        <v>0</v>
      </c>
      <c r="D1795" s="91" t="s">
        <v>2536</v>
      </c>
      <c r="E1795" s="91" t="b">
        <v>0</v>
      </c>
      <c r="F1795" s="91" t="b">
        <v>0</v>
      </c>
      <c r="G1795" s="91" t="b">
        <v>0</v>
      </c>
    </row>
    <row r="1796" spans="1:7" ht="15">
      <c r="A1796" s="92" t="s">
        <v>3133</v>
      </c>
      <c r="B1796" s="91">
        <v>2</v>
      </c>
      <c r="C1796" s="114">
        <v>0</v>
      </c>
      <c r="D1796" s="91" t="s">
        <v>2536</v>
      </c>
      <c r="E1796" s="91" t="b">
        <v>0</v>
      </c>
      <c r="F1796" s="91" t="b">
        <v>0</v>
      </c>
      <c r="G1796" s="91" t="b">
        <v>0</v>
      </c>
    </row>
    <row r="1797" spans="1:7" ht="15">
      <c r="A1797" s="92" t="s">
        <v>2720</v>
      </c>
      <c r="B1797" s="91">
        <v>2</v>
      </c>
      <c r="C1797" s="114">
        <v>0</v>
      </c>
      <c r="D1797" s="91" t="s">
        <v>2536</v>
      </c>
      <c r="E1797" s="91" t="b">
        <v>0</v>
      </c>
      <c r="F1797" s="91" t="b">
        <v>0</v>
      </c>
      <c r="G1797" s="91" t="b">
        <v>0</v>
      </c>
    </row>
    <row r="1798" spans="1:7" ht="15">
      <c r="A1798" s="92" t="s">
        <v>3134</v>
      </c>
      <c r="B1798" s="91">
        <v>2</v>
      </c>
      <c r="C1798" s="114">
        <v>0</v>
      </c>
      <c r="D1798" s="91" t="s">
        <v>2536</v>
      </c>
      <c r="E1798" s="91" t="b">
        <v>0</v>
      </c>
      <c r="F1798" s="91" t="b">
        <v>0</v>
      </c>
      <c r="G1798" s="91" t="b">
        <v>0</v>
      </c>
    </row>
    <row r="1799" spans="1:7" ht="15">
      <c r="A1799" s="92" t="s">
        <v>2671</v>
      </c>
      <c r="B1799" s="91">
        <v>2</v>
      </c>
      <c r="C1799" s="114">
        <v>0</v>
      </c>
      <c r="D1799" s="91" t="s">
        <v>2536</v>
      </c>
      <c r="E1799" s="91" t="b">
        <v>0</v>
      </c>
      <c r="F1799" s="91" t="b">
        <v>0</v>
      </c>
      <c r="G1799" s="91" t="b">
        <v>0</v>
      </c>
    </row>
    <row r="1800" spans="1:7" ht="15">
      <c r="A1800" s="92" t="s">
        <v>3135</v>
      </c>
      <c r="B1800" s="91">
        <v>2</v>
      </c>
      <c r="C1800" s="114">
        <v>0</v>
      </c>
      <c r="D1800" s="91" t="s">
        <v>2536</v>
      </c>
      <c r="E1800" s="91" t="b">
        <v>0</v>
      </c>
      <c r="F1800" s="91" t="b">
        <v>0</v>
      </c>
      <c r="G1800" s="91" t="b">
        <v>0</v>
      </c>
    </row>
    <row r="1801" spans="1:7" ht="15">
      <c r="A1801" s="92" t="s">
        <v>2652</v>
      </c>
      <c r="B1801" s="91">
        <v>2</v>
      </c>
      <c r="C1801" s="114">
        <v>0</v>
      </c>
      <c r="D1801" s="91" t="s">
        <v>2536</v>
      </c>
      <c r="E1801" s="91" t="b">
        <v>0</v>
      </c>
      <c r="F1801" s="91" t="b">
        <v>0</v>
      </c>
      <c r="G1801" s="91" t="b">
        <v>0</v>
      </c>
    </row>
    <row r="1802" spans="1:7" ht="15">
      <c r="A1802" s="92" t="s">
        <v>3136</v>
      </c>
      <c r="B1802" s="91">
        <v>2</v>
      </c>
      <c r="C1802" s="114">
        <v>0</v>
      </c>
      <c r="D1802" s="91" t="s">
        <v>2536</v>
      </c>
      <c r="E1802" s="91" t="b">
        <v>0</v>
      </c>
      <c r="F1802" s="91" t="b">
        <v>0</v>
      </c>
      <c r="G1802" s="91" t="b">
        <v>0</v>
      </c>
    </row>
    <row r="1803" spans="1:7" ht="15">
      <c r="A1803" s="92" t="s">
        <v>2610</v>
      </c>
      <c r="B1803" s="91">
        <v>2</v>
      </c>
      <c r="C1803" s="114">
        <v>0</v>
      </c>
      <c r="D1803" s="91" t="s">
        <v>2536</v>
      </c>
      <c r="E1803" s="91" t="b">
        <v>0</v>
      </c>
      <c r="F1803" s="91" t="b">
        <v>0</v>
      </c>
      <c r="G1803" s="91" t="b">
        <v>0</v>
      </c>
    </row>
    <row r="1804" spans="1:7" ht="15">
      <c r="A1804" s="92" t="s">
        <v>2798</v>
      </c>
      <c r="B1804" s="91">
        <v>2</v>
      </c>
      <c r="C1804" s="114">
        <v>0</v>
      </c>
      <c r="D1804" s="91" t="s">
        <v>2536</v>
      </c>
      <c r="E1804" s="91" t="b">
        <v>0</v>
      </c>
      <c r="F1804" s="91" t="b">
        <v>0</v>
      </c>
      <c r="G1804" s="91" t="b">
        <v>0</v>
      </c>
    </row>
    <row r="1805" spans="1:7" ht="15">
      <c r="A1805" s="92" t="s">
        <v>3137</v>
      </c>
      <c r="B1805" s="91">
        <v>2</v>
      </c>
      <c r="C1805" s="114">
        <v>0</v>
      </c>
      <c r="D1805" s="91" t="s">
        <v>2536</v>
      </c>
      <c r="E1805" s="91" t="b">
        <v>0</v>
      </c>
      <c r="F1805" s="91" t="b">
        <v>0</v>
      </c>
      <c r="G1805" s="91" t="b">
        <v>0</v>
      </c>
    </row>
    <row r="1806" spans="1:7" ht="15">
      <c r="A1806" s="92" t="s">
        <v>3138</v>
      </c>
      <c r="B1806" s="91">
        <v>2</v>
      </c>
      <c r="C1806" s="114">
        <v>0</v>
      </c>
      <c r="D1806" s="91" t="s">
        <v>2536</v>
      </c>
      <c r="E1806" s="91" t="b">
        <v>0</v>
      </c>
      <c r="F1806" s="91" t="b">
        <v>0</v>
      </c>
      <c r="G1806" s="91" t="b">
        <v>0</v>
      </c>
    </row>
    <row r="1807" spans="1:7" ht="15">
      <c r="A1807" s="92" t="s">
        <v>2844</v>
      </c>
      <c r="B1807" s="91">
        <v>2</v>
      </c>
      <c r="C1807" s="114">
        <v>0</v>
      </c>
      <c r="D1807" s="91" t="s">
        <v>2536</v>
      </c>
      <c r="E1807" s="91" t="b">
        <v>0</v>
      </c>
      <c r="F1807" s="91" t="b">
        <v>0</v>
      </c>
      <c r="G1807" s="91" t="b">
        <v>0</v>
      </c>
    </row>
    <row r="1808" spans="1:7" ht="15">
      <c r="A1808" s="92" t="s">
        <v>2564</v>
      </c>
      <c r="B1808" s="91">
        <v>2</v>
      </c>
      <c r="C1808" s="114">
        <v>0</v>
      </c>
      <c r="D1808" s="91" t="s">
        <v>2536</v>
      </c>
      <c r="E1808" s="91" t="b">
        <v>0</v>
      </c>
      <c r="F1808" s="91" t="b">
        <v>0</v>
      </c>
      <c r="G1808" s="91" t="b">
        <v>0</v>
      </c>
    </row>
    <row r="1809" spans="1:7" ht="15">
      <c r="A1809" s="92" t="s">
        <v>2621</v>
      </c>
      <c r="B1809" s="91">
        <v>2</v>
      </c>
      <c r="C1809" s="114">
        <v>0</v>
      </c>
      <c r="D1809" s="91" t="s">
        <v>2536</v>
      </c>
      <c r="E1809" s="91" t="b">
        <v>0</v>
      </c>
      <c r="F1809" s="91" t="b">
        <v>0</v>
      </c>
      <c r="G1809" s="91" t="b">
        <v>0</v>
      </c>
    </row>
    <row r="1810" spans="1:7" ht="15">
      <c r="A1810" s="92" t="s">
        <v>3139</v>
      </c>
      <c r="B1810" s="91">
        <v>2</v>
      </c>
      <c r="C1810" s="114">
        <v>0</v>
      </c>
      <c r="D1810" s="91" t="s">
        <v>2536</v>
      </c>
      <c r="E1810" s="91" t="b">
        <v>0</v>
      </c>
      <c r="F1810" s="91" t="b">
        <v>0</v>
      </c>
      <c r="G1810" s="91" t="b">
        <v>0</v>
      </c>
    </row>
    <row r="1811" spans="1:7" ht="15">
      <c r="A1811" s="92" t="s">
        <v>2934</v>
      </c>
      <c r="B1811" s="91">
        <v>2</v>
      </c>
      <c r="C1811" s="114">
        <v>0</v>
      </c>
      <c r="D1811" s="91" t="s">
        <v>2536</v>
      </c>
      <c r="E1811" s="91" t="b">
        <v>0</v>
      </c>
      <c r="F1811" s="91" t="b">
        <v>0</v>
      </c>
      <c r="G1811" s="91" t="b">
        <v>0</v>
      </c>
    </row>
    <row r="1812" spans="1:7" ht="15">
      <c r="A1812" s="92" t="s">
        <v>3140</v>
      </c>
      <c r="B1812" s="91">
        <v>2</v>
      </c>
      <c r="C1812" s="114">
        <v>0</v>
      </c>
      <c r="D1812" s="91" t="s">
        <v>2536</v>
      </c>
      <c r="E1812" s="91" t="b">
        <v>0</v>
      </c>
      <c r="F1812" s="91" t="b">
        <v>0</v>
      </c>
      <c r="G1812" s="91" t="b">
        <v>0</v>
      </c>
    </row>
    <row r="1813" spans="1:7" ht="15">
      <c r="A1813" s="92" t="s">
        <v>3141</v>
      </c>
      <c r="B1813" s="91">
        <v>2</v>
      </c>
      <c r="C1813" s="114">
        <v>0</v>
      </c>
      <c r="D1813" s="91" t="s">
        <v>2536</v>
      </c>
      <c r="E1813" s="91" t="b">
        <v>0</v>
      </c>
      <c r="F1813" s="91" t="b">
        <v>0</v>
      </c>
      <c r="G1813" s="91" t="b">
        <v>0</v>
      </c>
    </row>
    <row r="1814" spans="1:7" ht="15">
      <c r="A1814" s="92" t="s">
        <v>3142</v>
      </c>
      <c r="B1814" s="91">
        <v>2</v>
      </c>
      <c r="C1814" s="114">
        <v>0</v>
      </c>
      <c r="D1814" s="91" t="s">
        <v>2536</v>
      </c>
      <c r="E1814" s="91" t="b">
        <v>0</v>
      </c>
      <c r="F1814" s="91" t="b">
        <v>0</v>
      </c>
      <c r="G1814" s="91" t="b">
        <v>0</v>
      </c>
    </row>
    <row r="1815" spans="1:7" ht="15">
      <c r="A1815" s="92" t="s">
        <v>2589</v>
      </c>
      <c r="B1815" s="91">
        <v>6</v>
      </c>
      <c r="C1815" s="114">
        <v>0</v>
      </c>
      <c r="D1815" s="91" t="s">
        <v>2538</v>
      </c>
      <c r="E1815" s="91" t="b">
        <v>0</v>
      </c>
      <c r="F1815" s="91" t="b">
        <v>0</v>
      </c>
      <c r="G1815" s="91" t="b">
        <v>0</v>
      </c>
    </row>
    <row r="1816" spans="1:7" ht="15">
      <c r="A1816" s="92" t="s">
        <v>3014</v>
      </c>
      <c r="B1816" s="91">
        <v>4</v>
      </c>
      <c r="C1816" s="114">
        <v>0</v>
      </c>
      <c r="D1816" s="91" t="s">
        <v>2538</v>
      </c>
      <c r="E1816" s="91" t="b">
        <v>0</v>
      </c>
      <c r="F1816" s="91" t="b">
        <v>0</v>
      </c>
      <c r="G1816" s="91" t="b">
        <v>0</v>
      </c>
    </row>
    <row r="1817" spans="1:7" ht="15">
      <c r="A1817" s="92" t="s">
        <v>2576</v>
      </c>
      <c r="B1817" s="91">
        <v>4</v>
      </c>
      <c r="C1817" s="114">
        <v>0</v>
      </c>
      <c r="D1817" s="91" t="s">
        <v>2538</v>
      </c>
      <c r="E1817" s="91" t="b">
        <v>0</v>
      </c>
      <c r="F1817" s="91" t="b">
        <v>0</v>
      </c>
      <c r="G1817" s="91" t="b">
        <v>0</v>
      </c>
    </row>
    <row r="1818" spans="1:7" ht="15">
      <c r="A1818" s="92" t="s">
        <v>2970</v>
      </c>
      <c r="B1818" s="91">
        <v>2</v>
      </c>
      <c r="C1818" s="114">
        <v>0</v>
      </c>
      <c r="D1818" s="91" t="s">
        <v>2538</v>
      </c>
      <c r="E1818" s="91" t="b">
        <v>0</v>
      </c>
      <c r="F1818" s="91" t="b">
        <v>0</v>
      </c>
      <c r="G1818" s="91" t="b">
        <v>0</v>
      </c>
    </row>
    <row r="1819" spans="1:7" ht="15">
      <c r="A1819" s="92" t="s">
        <v>2658</v>
      </c>
      <c r="B1819" s="91">
        <v>2</v>
      </c>
      <c r="C1819" s="114">
        <v>0</v>
      </c>
      <c r="D1819" s="91" t="s">
        <v>2538</v>
      </c>
      <c r="E1819" s="91" t="b">
        <v>0</v>
      </c>
      <c r="F1819" s="91" t="b">
        <v>0</v>
      </c>
      <c r="G1819" s="91" t="b">
        <v>0</v>
      </c>
    </row>
    <row r="1820" spans="1:7" ht="15">
      <c r="A1820" s="92" t="s">
        <v>2766</v>
      </c>
      <c r="B1820" s="91">
        <v>2</v>
      </c>
      <c r="C1820" s="114">
        <v>0</v>
      </c>
      <c r="D1820" s="91" t="s">
        <v>2538</v>
      </c>
      <c r="E1820" s="91" t="b">
        <v>0</v>
      </c>
      <c r="F1820" s="91" t="b">
        <v>0</v>
      </c>
      <c r="G1820" s="91" t="b">
        <v>0</v>
      </c>
    </row>
    <row r="1821" spans="1:7" ht="15">
      <c r="A1821" s="92" t="s">
        <v>3143</v>
      </c>
      <c r="B1821" s="91">
        <v>2</v>
      </c>
      <c r="C1821" s="114">
        <v>0</v>
      </c>
      <c r="D1821" s="91" t="s">
        <v>2538</v>
      </c>
      <c r="E1821" s="91" t="b">
        <v>0</v>
      </c>
      <c r="F1821" s="91" t="b">
        <v>0</v>
      </c>
      <c r="G1821" s="91" t="b">
        <v>0</v>
      </c>
    </row>
    <row r="1822" spans="1:7" ht="15">
      <c r="A1822" s="92" t="s">
        <v>2577</v>
      </c>
      <c r="B1822" s="91">
        <v>2</v>
      </c>
      <c r="C1822" s="114">
        <v>0</v>
      </c>
      <c r="D1822" s="91" t="s">
        <v>2538</v>
      </c>
      <c r="E1822" s="91" t="b">
        <v>0</v>
      </c>
      <c r="F1822" s="91" t="b">
        <v>0</v>
      </c>
      <c r="G1822" s="91" t="b">
        <v>0</v>
      </c>
    </row>
    <row r="1823" spans="1:7" ht="15">
      <c r="A1823" s="92" t="s">
        <v>3144</v>
      </c>
      <c r="B1823" s="91">
        <v>2</v>
      </c>
      <c r="C1823" s="114">
        <v>0</v>
      </c>
      <c r="D1823" s="91" t="s">
        <v>2538</v>
      </c>
      <c r="E1823" s="91" t="b">
        <v>0</v>
      </c>
      <c r="F1823" s="91" t="b">
        <v>0</v>
      </c>
      <c r="G1823" s="91" t="b">
        <v>0</v>
      </c>
    </row>
    <row r="1824" spans="1:7" ht="15">
      <c r="A1824" s="92" t="s">
        <v>3145</v>
      </c>
      <c r="B1824" s="91">
        <v>2</v>
      </c>
      <c r="C1824" s="114">
        <v>0</v>
      </c>
      <c r="D1824" s="91" t="s">
        <v>2538</v>
      </c>
      <c r="E1824" s="91" t="b">
        <v>0</v>
      </c>
      <c r="F1824" s="91" t="b">
        <v>0</v>
      </c>
      <c r="G1824" s="91" t="b">
        <v>0</v>
      </c>
    </row>
    <row r="1825" spans="1:7" ht="15">
      <c r="A1825" s="92" t="s">
        <v>2650</v>
      </c>
      <c r="B1825" s="91">
        <v>2</v>
      </c>
      <c r="C1825" s="114">
        <v>0</v>
      </c>
      <c r="D1825" s="91" t="s">
        <v>2538</v>
      </c>
      <c r="E1825" s="91" t="b">
        <v>0</v>
      </c>
      <c r="F1825" s="91" t="b">
        <v>0</v>
      </c>
      <c r="G1825" s="91" t="b">
        <v>0</v>
      </c>
    </row>
    <row r="1826" spans="1:7" ht="15">
      <c r="A1826" s="92" t="s">
        <v>3146</v>
      </c>
      <c r="B1826" s="91">
        <v>2</v>
      </c>
      <c r="C1826" s="114">
        <v>0</v>
      </c>
      <c r="D1826" s="91" t="s">
        <v>2538</v>
      </c>
      <c r="E1826" s="91" t="b">
        <v>0</v>
      </c>
      <c r="F1826" s="91" t="b">
        <v>0</v>
      </c>
      <c r="G1826" s="91" t="b">
        <v>0</v>
      </c>
    </row>
    <row r="1827" spans="1:7" ht="15">
      <c r="A1827" s="92" t="s">
        <v>586</v>
      </c>
      <c r="B1827" s="91">
        <v>2</v>
      </c>
      <c r="C1827" s="114">
        <v>0</v>
      </c>
      <c r="D1827" s="91" t="s">
        <v>2538</v>
      </c>
      <c r="E1827" s="91" t="b">
        <v>0</v>
      </c>
      <c r="F1827" s="91" t="b">
        <v>0</v>
      </c>
      <c r="G1827" s="91" t="b">
        <v>0</v>
      </c>
    </row>
    <row r="1828" spans="1:7" ht="15">
      <c r="A1828" s="92" t="s">
        <v>2871</v>
      </c>
      <c r="B1828" s="91">
        <v>2</v>
      </c>
      <c r="C1828" s="114">
        <v>0</v>
      </c>
      <c r="D1828" s="91" t="s">
        <v>2538</v>
      </c>
      <c r="E1828" s="91" t="b">
        <v>0</v>
      </c>
      <c r="F1828" s="91" t="b">
        <v>0</v>
      </c>
      <c r="G1828" s="91" t="b">
        <v>0</v>
      </c>
    </row>
    <row r="1829" spans="1:7" ht="15">
      <c r="A1829" s="92" t="s">
        <v>2872</v>
      </c>
      <c r="B1829" s="91">
        <v>2</v>
      </c>
      <c r="C1829" s="114">
        <v>0</v>
      </c>
      <c r="D1829" s="91" t="s">
        <v>2538</v>
      </c>
      <c r="E1829" s="91" t="b">
        <v>0</v>
      </c>
      <c r="F1829" s="91" t="b">
        <v>0</v>
      </c>
      <c r="G1829" s="91" t="b">
        <v>0</v>
      </c>
    </row>
    <row r="1830" spans="1:7" ht="15">
      <c r="A1830" s="92" t="s">
        <v>2652</v>
      </c>
      <c r="B1830" s="91">
        <v>2</v>
      </c>
      <c r="C1830" s="114">
        <v>0</v>
      </c>
      <c r="D1830" s="91" t="s">
        <v>2538</v>
      </c>
      <c r="E1830" s="91" t="b">
        <v>0</v>
      </c>
      <c r="F1830" s="91" t="b">
        <v>0</v>
      </c>
      <c r="G1830" s="91" t="b">
        <v>0</v>
      </c>
    </row>
    <row r="1831" spans="1:7" ht="15">
      <c r="A1831" s="92" t="s">
        <v>3147</v>
      </c>
      <c r="B1831" s="91">
        <v>2</v>
      </c>
      <c r="C1831" s="114">
        <v>0</v>
      </c>
      <c r="D1831" s="91" t="s">
        <v>2538</v>
      </c>
      <c r="E1831" s="91" t="b">
        <v>0</v>
      </c>
      <c r="F1831" s="91" t="b">
        <v>0</v>
      </c>
      <c r="G1831" s="91" t="b">
        <v>0</v>
      </c>
    </row>
    <row r="1832" spans="1:7" ht="15">
      <c r="A1832" s="92" t="s">
        <v>2580</v>
      </c>
      <c r="B1832" s="91">
        <v>2</v>
      </c>
      <c r="C1832" s="114">
        <v>0</v>
      </c>
      <c r="D1832" s="91" t="s">
        <v>2538</v>
      </c>
      <c r="E1832" s="91" t="b">
        <v>0</v>
      </c>
      <c r="F1832" s="91" t="b">
        <v>0</v>
      </c>
      <c r="G1832" s="91" t="b">
        <v>0</v>
      </c>
    </row>
    <row r="1833" spans="1:7" ht="15">
      <c r="A1833" s="92" t="s">
        <v>3148</v>
      </c>
      <c r="B1833" s="91">
        <v>2</v>
      </c>
      <c r="C1833" s="114">
        <v>0</v>
      </c>
      <c r="D1833" s="91" t="s">
        <v>2538</v>
      </c>
      <c r="E1833" s="91" t="b">
        <v>0</v>
      </c>
      <c r="F1833" s="91" t="b">
        <v>0</v>
      </c>
      <c r="G1833" s="91" t="b">
        <v>0</v>
      </c>
    </row>
    <row r="1834" spans="1:7" ht="15">
      <c r="A1834" s="92" t="s">
        <v>2636</v>
      </c>
      <c r="B1834" s="91">
        <v>2</v>
      </c>
      <c r="C1834" s="114">
        <v>0</v>
      </c>
      <c r="D1834" s="91" t="s">
        <v>2538</v>
      </c>
      <c r="E1834" s="91" t="b">
        <v>0</v>
      </c>
      <c r="F1834" s="91" t="b">
        <v>0</v>
      </c>
      <c r="G1834" s="91" t="b">
        <v>0</v>
      </c>
    </row>
    <row r="1835" spans="1:7" ht="15">
      <c r="A1835" s="92" t="s">
        <v>3149</v>
      </c>
      <c r="B1835" s="91">
        <v>2</v>
      </c>
      <c r="C1835" s="114">
        <v>0</v>
      </c>
      <c r="D1835" s="91" t="s">
        <v>2538</v>
      </c>
      <c r="E1835" s="91" t="b">
        <v>0</v>
      </c>
      <c r="F1835" s="91" t="b">
        <v>0</v>
      </c>
      <c r="G1835" s="91" t="b">
        <v>0</v>
      </c>
    </row>
    <row r="1836" spans="1:7" ht="15">
      <c r="A1836" s="92" t="s">
        <v>2895</v>
      </c>
      <c r="B1836" s="91">
        <v>2</v>
      </c>
      <c r="C1836" s="114">
        <v>0</v>
      </c>
      <c r="D1836" s="91" t="s">
        <v>2538</v>
      </c>
      <c r="E1836" s="91" t="b">
        <v>0</v>
      </c>
      <c r="F1836" s="91" t="b">
        <v>0</v>
      </c>
      <c r="G1836" s="91" t="b">
        <v>0</v>
      </c>
    </row>
    <row r="1837" spans="1:7" ht="15">
      <c r="A1837" s="92" t="s">
        <v>3150</v>
      </c>
      <c r="B1837" s="91">
        <v>2</v>
      </c>
      <c r="C1837" s="114">
        <v>0</v>
      </c>
      <c r="D1837" s="91" t="s">
        <v>2538</v>
      </c>
      <c r="E1837" s="91" t="b">
        <v>0</v>
      </c>
      <c r="F1837" s="91" t="b">
        <v>0</v>
      </c>
      <c r="G1837" s="91" t="b">
        <v>0</v>
      </c>
    </row>
    <row r="1838" spans="1:7" ht="15">
      <c r="A1838" s="92" t="s">
        <v>2608</v>
      </c>
      <c r="B1838" s="91">
        <v>2</v>
      </c>
      <c r="C1838" s="114">
        <v>0</v>
      </c>
      <c r="D1838" s="91" t="s">
        <v>2538</v>
      </c>
      <c r="E1838" s="91" t="b">
        <v>0</v>
      </c>
      <c r="F1838" s="91" t="b">
        <v>0</v>
      </c>
      <c r="G1838" s="91" t="b">
        <v>0</v>
      </c>
    </row>
    <row r="1839" spans="1:7" ht="15">
      <c r="A1839" s="92" t="s">
        <v>2573</v>
      </c>
      <c r="B1839" s="91">
        <v>2</v>
      </c>
      <c r="C1839" s="114">
        <v>0</v>
      </c>
      <c r="D1839" s="91" t="s">
        <v>2538</v>
      </c>
      <c r="E1839" s="91" t="b">
        <v>0</v>
      </c>
      <c r="F1839" s="91" t="b">
        <v>0</v>
      </c>
      <c r="G1839" s="91" t="b">
        <v>0</v>
      </c>
    </row>
    <row r="1840" spans="1:7" ht="15">
      <c r="A1840" s="92" t="s">
        <v>3151</v>
      </c>
      <c r="B1840" s="91">
        <v>2</v>
      </c>
      <c r="C1840" s="114">
        <v>0</v>
      </c>
      <c r="D1840" s="91" t="s">
        <v>2538</v>
      </c>
      <c r="E1840" s="91" t="b">
        <v>0</v>
      </c>
      <c r="F1840" s="91" t="b">
        <v>0</v>
      </c>
      <c r="G1840" s="91" t="b">
        <v>0</v>
      </c>
    </row>
    <row r="1841" spans="1:7" ht="15">
      <c r="A1841" s="92" t="s">
        <v>3152</v>
      </c>
      <c r="B1841" s="91">
        <v>2</v>
      </c>
      <c r="C1841" s="114">
        <v>0</v>
      </c>
      <c r="D1841" s="91" t="s">
        <v>2538</v>
      </c>
      <c r="E1841" s="91" t="b">
        <v>0</v>
      </c>
      <c r="F1841" s="91" t="b">
        <v>0</v>
      </c>
      <c r="G1841" s="91" t="b">
        <v>0</v>
      </c>
    </row>
    <row r="1842" spans="1:7" ht="15">
      <c r="A1842" s="92" t="s">
        <v>2564</v>
      </c>
      <c r="B1842" s="91">
        <v>2</v>
      </c>
      <c r="C1842" s="114">
        <v>0</v>
      </c>
      <c r="D1842" s="91" t="s">
        <v>2538</v>
      </c>
      <c r="E1842" s="91" t="b">
        <v>0</v>
      </c>
      <c r="F1842" s="91" t="b">
        <v>0</v>
      </c>
      <c r="G1842" s="91" t="b">
        <v>0</v>
      </c>
    </row>
    <row r="1843" spans="1:7" ht="15">
      <c r="A1843" s="92" t="s">
        <v>3153</v>
      </c>
      <c r="B1843" s="91">
        <v>2</v>
      </c>
      <c r="C1843" s="114">
        <v>0</v>
      </c>
      <c r="D1843" s="91" t="s">
        <v>2538</v>
      </c>
      <c r="E1843" s="91" t="b">
        <v>0</v>
      </c>
      <c r="F1843" s="91" t="b">
        <v>0</v>
      </c>
      <c r="G184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516B-357A-40BB-BE6C-A91A0A027E4F}">
  <dimension ref="A1:L255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3163</v>
      </c>
      <c r="B1" s="13" t="s">
        <v>3164</v>
      </c>
      <c r="C1" s="13" t="s">
        <v>3154</v>
      </c>
      <c r="D1" s="13" t="s">
        <v>3158</v>
      </c>
      <c r="E1" s="13" t="s">
        <v>3165</v>
      </c>
      <c r="F1" s="13" t="s">
        <v>144</v>
      </c>
      <c r="G1" s="13" t="s">
        <v>3166</v>
      </c>
      <c r="H1" s="13" t="s">
        <v>3167</v>
      </c>
      <c r="I1" s="13" t="s">
        <v>3168</v>
      </c>
      <c r="J1" s="13" t="s">
        <v>3169</v>
      </c>
      <c r="K1" s="13" t="s">
        <v>3170</v>
      </c>
      <c r="L1" s="13" t="s">
        <v>3171</v>
      </c>
    </row>
    <row r="2" spans="1:12" ht="15">
      <c r="A2" s="91" t="s">
        <v>2569</v>
      </c>
      <c r="B2" s="91" t="s">
        <v>2572</v>
      </c>
      <c r="C2" s="91">
        <v>174</v>
      </c>
      <c r="D2" s="114">
        <v>0.005590039629205642</v>
      </c>
      <c r="E2" s="114">
        <v>1.7432521670727719</v>
      </c>
      <c r="F2" s="91" t="s">
        <v>3159</v>
      </c>
      <c r="G2" s="91" t="b">
        <v>0</v>
      </c>
      <c r="H2" s="91" t="b">
        <v>0</v>
      </c>
      <c r="I2" s="91" t="b">
        <v>0</v>
      </c>
      <c r="J2" s="91" t="b">
        <v>0</v>
      </c>
      <c r="K2" s="91" t="b">
        <v>0</v>
      </c>
      <c r="L2" s="91" t="b">
        <v>0</v>
      </c>
    </row>
    <row r="3" spans="1:12" ht="15">
      <c r="A3" s="92" t="s">
        <v>2564</v>
      </c>
      <c r="B3" s="91" t="s">
        <v>2574</v>
      </c>
      <c r="C3" s="91">
        <v>114</v>
      </c>
      <c r="D3" s="114">
        <v>0.005424683970185167</v>
      </c>
      <c r="E3" s="114">
        <v>1.3387875540958156</v>
      </c>
      <c r="F3" s="91" t="s">
        <v>3159</v>
      </c>
      <c r="G3" s="91" t="b">
        <v>0</v>
      </c>
      <c r="H3" s="91" t="b">
        <v>0</v>
      </c>
      <c r="I3" s="91" t="b">
        <v>0</v>
      </c>
      <c r="J3" s="91" t="b">
        <v>0</v>
      </c>
      <c r="K3" s="91" t="b">
        <v>0</v>
      </c>
      <c r="L3" s="91" t="b">
        <v>0</v>
      </c>
    </row>
    <row r="4" spans="1:12" ht="15">
      <c r="A4" s="92" t="s">
        <v>2566</v>
      </c>
      <c r="B4" s="91" t="s">
        <v>2584</v>
      </c>
      <c r="C4" s="91">
        <v>106</v>
      </c>
      <c r="D4" s="114">
        <v>0.00532594820844795</v>
      </c>
      <c r="E4" s="114">
        <v>1.734940057231997</v>
      </c>
      <c r="F4" s="91" t="s">
        <v>3159</v>
      </c>
      <c r="G4" s="91" t="b">
        <v>0</v>
      </c>
      <c r="H4" s="91" t="b">
        <v>0</v>
      </c>
      <c r="I4" s="91" t="b">
        <v>0</v>
      </c>
      <c r="J4" s="91" t="b">
        <v>0</v>
      </c>
      <c r="K4" s="91" t="b">
        <v>0</v>
      </c>
      <c r="L4" s="91" t="b">
        <v>0</v>
      </c>
    </row>
    <row r="5" spans="1:12" ht="15">
      <c r="A5" s="92" t="s">
        <v>2575</v>
      </c>
      <c r="B5" s="91" t="s">
        <v>2570</v>
      </c>
      <c r="C5" s="91">
        <v>91</v>
      </c>
      <c r="D5" s="114">
        <v>0.005079857692652639</v>
      </c>
      <c r="E5" s="114">
        <v>1.5304187847393478</v>
      </c>
      <c r="F5" s="91" t="s">
        <v>3159</v>
      </c>
      <c r="G5" s="91" t="b">
        <v>0</v>
      </c>
      <c r="H5" s="91" t="b">
        <v>0</v>
      </c>
      <c r="I5" s="91" t="b">
        <v>0</v>
      </c>
      <c r="J5" s="91" t="b">
        <v>0</v>
      </c>
      <c r="K5" s="91" t="b">
        <v>0</v>
      </c>
      <c r="L5" s="91" t="b">
        <v>0</v>
      </c>
    </row>
    <row r="6" spans="1:12" ht="15">
      <c r="A6" s="92" t="s">
        <v>2581</v>
      </c>
      <c r="B6" s="91" t="s">
        <v>2586</v>
      </c>
      <c r="C6" s="91">
        <v>88</v>
      </c>
      <c r="D6" s="114">
        <v>0.005020232228267605</v>
      </c>
      <c r="E6" s="114">
        <v>1.9245239386322335</v>
      </c>
      <c r="F6" s="91" t="s">
        <v>3159</v>
      </c>
      <c r="G6" s="91" t="b">
        <v>0</v>
      </c>
      <c r="H6" s="91" t="b">
        <v>0</v>
      </c>
      <c r="I6" s="91" t="b">
        <v>0</v>
      </c>
      <c r="J6" s="91" t="b">
        <v>0</v>
      </c>
      <c r="K6" s="91" t="b">
        <v>0</v>
      </c>
      <c r="L6" s="91" t="b">
        <v>0</v>
      </c>
    </row>
    <row r="7" spans="1:12" ht="15">
      <c r="A7" s="92" t="s">
        <v>2585</v>
      </c>
      <c r="B7" s="91" t="s">
        <v>2566</v>
      </c>
      <c r="C7" s="91">
        <v>80</v>
      </c>
      <c r="D7" s="114">
        <v>0.004842586100837385</v>
      </c>
      <c r="E7" s="114">
        <v>1.6138129292377954</v>
      </c>
      <c r="F7" s="91" t="s">
        <v>3159</v>
      </c>
      <c r="G7" s="91" t="b">
        <v>0</v>
      </c>
      <c r="H7" s="91" t="b">
        <v>0</v>
      </c>
      <c r="I7" s="91" t="b">
        <v>0</v>
      </c>
      <c r="J7" s="91" t="b">
        <v>0</v>
      </c>
      <c r="K7" s="91" t="b">
        <v>0</v>
      </c>
      <c r="L7" s="91" t="b">
        <v>0</v>
      </c>
    </row>
    <row r="8" spans="1:12" ht="15">
      <c r="A8" s="92" t="s">
        <v>2568</v>
      </c>
      <c r="B8" s="91" t="s">
        <v>2592</v>
      </c>
      <c r="C8" s="91">
        <v>78</v>
      </c>
      <c r="D8" s="114">
        <v>0.0047937133654472695</v>
      </c>
      <c r="E8" s="114">
        <v>1.7328866516009382</v>
      </c>
      <c r="F8" s="91" t="s">
        <v>3159</v>
      </c>
      <c r="G8" s="91" t="b">
        <v>0</v>
      </c>
      <c r="H8" s="91" t="b">
        <v>0</v>
      </c>
      <c r="I8" s="91" t="b">
        <v>0</v>
      </c>
      <c r="J8" s="91" t="b">
        <v>0</v>
      </c>
      <c r="K8" s="91" t="b">
        <v>0</v>
      </c>
      <c r="L8" s="91" t="b">
        <v>0</v>
      </c>
    </row>
    <row r="9" spans="1:12" ht="15">
      <c r="A9" s="92" t="s">
        <v>2586</v>
      </c>
      <c r="B9" s="91" t="s">
        <v>2595</v>
      </c>
      <c r="C9" s="91">
        <v>69</v>
      </c>
      <c r="D9" s="114">
        <v>0.004549846828603011</v>
      </c>
      <c r="E9" s="114">
        <v>2.076951279490121</v>
      </c>
      <c r="F9" s="91" t="s">
        <v>3159</v>
      </c>
      <c r="G9" s="91" t="b">
        <v>0</v>
      </c>
      <c r="H9" s="91" t="b">
        <v>0</v>
      </c>
      <c r="I9" s="91" t="b">
        <v>0</v>
      </c>
      <c r="J9" s="91" t="b">
        <v>0</v>
      </c>
      <c r="K9" s="91" t="b">
        <v>0</v>
      </c>
      <c r="L9" s="91" t="b">
        <v>0</v>
      </c>
    </row>
    <row r="10" spans="1:12" ht="15">
      <c r="A10" s="92" t="s">
        <v>2595</v>
      </c>
      <c r="B10" s="91" t="s">
        <v>2568</v>
      </c>
      <c r="C10" s="91">
        <v>69</v>
      </c>
      <c r="D10" s="114">
        <v>0.004549846828603011</v>
      </c>
      <c r="E10" s="114">
        <v>1.7328866516009382</v>
      </c>
      <c r="F10" s="91" t="s">
        <v>3159</v>
      </c>
      <c r="G10" s="91" t="b">
        <v>0</v>
      </c>
      <c r="H10" s="91" t="b">
        <v>0</v>
      </c>
      <c r="I10" s="91" t="b">
        <v>0</v>
      </c>
      <c r="J10" s="91" t="b">
        <v>0</v>
      </c>
      <c r="K10" s="91" t="b">
        <v>0</v>
      </c>
      <c r="L10" s="91" t="b">
        <v>0</v>
      </c>
    </row>
    <row r="11" spans="1:12" ht="15">
      <c r="A11" s="92" t="s">
        <v>2592</v>
      </c>
      <c r="B11" s="91" t="s">
        <v>2567</v>
      </c>
      <c r="C11" s="91">
        <v>69</v>
      </c>
      <c r="D11" s="114">
        <v>0.004549846828603011</v>
      </c>
      <c r="E11" s="114">
        <v>1.669517266727935</v>
      </c>
      <c r="F11" s="91" t="s">
        <v>3159</v>
      </c>
      <c r="G11" s="91" t="b">
        <v>0</v>
      </c>
      <c r="H11" s="91" t="b">
        <v>0</v>
      </c>
      <c r="I11" s="91" t="b">
        <v>0</v>
      </c>
      <c r="J11" s="91" t="b">
        <v>0</v>
      </c>
      <c r="K11" s="91" t="b">
        <v>0</v>
      </c>
      <c r="L11" s="91" t="b">
        <v>0</v>
      </c>
    </row>
    <row r="12" spans="1:12" ht="15">
      <c r="A12" s="92" t="s">
        <v>2567</v>
      </c>
      <c r="B12" s="91" t="s">
        <v>2576</v>
      </c>
      <c r="C12" s="91">
        <v>69</v>
      </c>
      <c r="D12" s="114">
        <v>0.004549846828603011</v>
      </c>
      <c r="E12" s="114">
        <v>1.4044184075900175</v>
      </c>
      <c r="F12" s="91" t="s">
        <v>3159</v>
      </c>
      <c r="G12" s="91" t="b">
        <v>0</v>
      </c>
      <c r="H12" s="91" t="b">
        <v>0</v>
      </c>
      <c r="I12" s="91" t="b">
        <v>0</v>
      </c>
      <c r="J12" s="91" t="b">
        <v>0</v>
      </c>
      <c r="K12" s="91" t="b">
        <v>0</v>
      </c>
      <c r="L12" s="91" t="b">
        <v>0</v>
      </c>
    </row>
    <row r="13" spans="1:12" ht="15">
      <c r="A13" s="92" t="s">
        <v>2576</v>
      </c>
      <c r="B13" s="91" t="s">
        <v>2596</v>
      </c>
      <c r="C13" s="91">
        <v>69</v>
      </c>
      <c r="D13" s="114">
        <v>0.004549846828603011</v>
      </c>
      <c r="E13" s="114">
        <v>1.8919051777815137</v>
      </c>
      <c r="F13" s="91" t="s">
        <v>3159</v>
      </c>
      <c r="G13" s="91" t="b">
        <v>0</v>
      </c>
      <c r="H13" s="91" t="b">
        <v>0</v>
      </c>
      <c r="I13" s="91" t="b">
        <v>0</v>
      </c>
      <c r="J13" s="91" t="b">
        <v>0</v>
      </c>
      <c r="K13" s="91" t="b">
        <v>0</v>
      </c>
      <c r="L13" s="91" t="b">
        <v>0</v>
      </c>
    </row>
    <row r="14" spans="1:12" ht="15">
      <c r="A14" s="92" t="s">
        <v>2596</v>
      </c>
      <c r="B14" s="91" t="s">
        <v>2597</v>
      </c>
      <c r="C14" s="91">
        <v>69</v>
      </c>
      <c r="D14" s="114">
        <v>0.004549846828603011</v>
      </c>
      <c r="E14" s="114">
        <v>2.2203734217924342</v>
      </c>
      <c r="F14" s="91" t="s">
        <v>3159</v>
      </c>
      <c r="G14" s="91" t="b">
        <v>0</v>
      </c>
      <c r="H14" s="91" t="b">
        <v>0</v>
      </c>
      <c r="I14" s="91" t="b">
        <v>0</v>
      </c>
      <c r="J14" s="91" t="b">
        <v>0</v>
      </c>
      <c r="K14" s="91" t="b">
        <v>0</v>
      </c>
      <c r="L14" s="91" t="b">
        <v>0</v>
      </c>
    </row>
    <row r="15" spans="1:12" ht="15">
      <c r="A15" s="92" t="s">
        <v>2597</v>
      </c>
      <c r="B15" s="91" t="s">
        <v>2598</v>
      </c>
      <c r="C15" s="91">
        <v>69</v>
      </c>
      <c r="D15" s="114">
        <v>0.004549846828603011</v>
      </c>
      <c r="E15" s="114">
        <v>2.2203734217924342</v>
      </c>
      <c r="F15" s="91" t="s">
        <v>3159</v>
      </c>
      <c r="G15" s="91" t="b">
        <v>0</v>
      </c>
      <c r="H15" s="91" t="b">
        <v>0</v>
      </c>
      <c r="I15" s="91" t="b">
        <v>0</v>
      </c>
      <c r="J15" s="91" t="b">
        <v>0</v>
      </c>
      <c r="K15" s="91" t="b">
        <v>0</v>
      </c>
      <c r="L15" s="91" t="b">
        <v>0</v>
      </c>
    </row>
    <row r="16" spans="1:12" ht="15">
      <c r="A16" s="92" t="s">
        <v>2598</v>
      </c>
      <c r="B16" s="91" t="s">
        <v>2599</v>
      </c>
      <c r="C16" s="91">
        <v>69</v>
      </c>
      <c r="D16" s="114">
        <v>0.004549846828603011</v>
      </c>
      <c r="E16" s="114">
        <v>2.2203734217924342</v>
      </c>
      <c r="F16" s="91" t="s">
        <v>3159</v>
      </c>
      <c r="G16" s="91" t="b">
        <v>0</v>
      </c>
      <c r="H16" s="91" t="b">
        <v>0</v>
      </c>
      <c r="I16" s="91" t="b">
        <v>0</v>
      </c>
      <c r="J16" s="91" t="b">
        <v>0</v>
      </c>
      <c r="K16" s="91" t="b">
        <v>0</v>
      </c>
      <c r="L16" s="91" t="b">
        <v>0</v>
      </c>
    </row>
    <row r="17" spans="1:12" ht="15">
      <c r="A17" s="92" t="s">
        <v>2599</v>
      </c>
      <c r="B17" s="91" t="s">
        <v>2600</v>
      </c>
      <c r="C17" s="91">
        <v>69</v>
      </c>
      <c r="D17" s="114">
        <v>0.004549846828603011</v>
      </c>
      <c r="E17" s="114">
        <v>2.2203734217924342</v>
      </c>
      <c r="F17" s="91" t="s">
        <v>3159</v>
      </c>
      <c r="G17" s="91" t="b">
        <v>0</v>
      </c>
      <c r="H17" s="91" t="b">
        <v>0</v>
      </c>
      <c r="I17" s="91" t="b">
        <v>0</v>
      </c>
      <c r="J17" s="91" t="b">
        <v>0</v>
      </c>
      <c r="K17" s="91" t="b">
        <v>0</v>
      </c>
      <c r="L17" s="91" t="b">
        <v>0</v>
      </c>
    </row>
    <row r="18" spans="1:12" ht="15">
      <c r="A18" s="92" t="s">
        <v>2600</v>
      </c>
      <c r="B18" s="91" t="s">
        <v>2601</v>
      </c>
      <c r="C18" s="91">
        <v>69</v>
      </c>
      <c r="D18" s="114">
        <v>0.004549846828603011</v>
      </c>
      <c r="E18" s="114">
        <v>2.2203734217924342</v>
      </c>
      <c r="F18" s="91" t="s">
        <v>3159</v>
      </c>
      <c r="G18" s="91" t="b">
        <v>0</v>
      </c>
      <c r="H18" s="91" t="b">
        <v>0</v>
      </c>
      <c r="I18" s="91" t="b">
        <v>0</v>
      </c>
      <c r="J18" s="91" t="b">
        <v>0</v>
      </c>
      <c r="K18" s="91" t="b">
        <v>0</v>
      </c>
      <c r="L18" s="91" t="b">
        <v>0</v>
      </c>
    </row>
    <row r="19" spans="1:12" ht="15">
      <c r="A19" s="92" t="s">
        <v>2601</v>
      </c>
      <c r="B19" s="91" t="s">
        <v>2565</v>
      </c>
      <c r="C19" s="91">
        <v>69</v>
      </c>
      <c r="D19" s="114">
        <v>0.004549846828603011</v>
      </c>
      <c r="E19" s="114">
        <v>1.69373452763879</v>
      </c>
      <c r="F19" s="91" t="s">
        <v>3159</v>
      </c>
      <c r="G19" s="91" t="b">
        <v>0</v>
      </c>
      <c r="H19" s="91" t="b">
        <v>0</v>
      </c>
      <c r="I19" s="91" t="b">
        <v>0</v>
      </c>
      <c r="J19" s="91" t="b">
        <v>0</v>
      </c>
      <c r="K19" s="91" t="b">
        <v>0</v>
      </c>
      <c r="L19" s="91" t="b">
        <v>0</v>
      </c>
    </row>
    <row r="20" spans="1:12" ht="15">
      <c r="A20" s="92" t="s">
        <v>2565</v>
      </c>
      <c r="B20" s="91" t="s">
        <v>2564</v>
      </c>
      <c r="C20" s="91">
        <v>69</v>
      </c>
      <c r="D20" s="114">
        <v>0.004549846828603011</v>
      </c>
      <c r="E20" s="114">
        <v>0.91036959540975</v>
      </c>
      <c r="F20" s="91" t="s">
        <v>3159</v>
      </c>
      <c r="G20" s="91" t="b">
        <v>0</v>
      </c>
      <c r="H20" s="91" t="b">
        <v>0</v>
      </c>
      <c r="I20" s="91" t="b">
        <v>0</v>
      </c>
      <c r="J20" s="91" t="b">
        <v>0</v>
      </c>
      <c r="K20" s="91" t="b">
        <v>0</v>
      </c>
      <c r="L20" s="91" t="b">
        <v>0</v>
      </c>
    </row>
    <row r="21" spans="1:12" ht="15">
      <c r="A21" s="92" t="s">
        <v>2574</v>
      </c>
      <c r="B21" s="91" t="s">
        <v>2585</v>
      </c>
      <c r="C21" s="91">
        <v>69</v>
      </c>
      <c r="D21" s="114">
        <v>0.004549846828603011</v>
      </c>
      <c r="E21" s="114">
        <v>1.7294562810559275</v>
      </c>
      <c r="F21" s="91" t="s">
        <v>3159</v>
      </c>
      <c r="G21" s="91" t="b">
        <v>0</v>
      </c>
      <c r="H21" s="91" t="b">
        <v>0</v>
      </c>
      <c r="I21" s="91" t="b">
        <v>0</v>
      </c>
      <c r="J21" s="91" t="b">
        <v>0</v>
      </c>
      <c r="K21" s="91" t="b">
        <v>0</v>
      </c>
      <c r="L21" s="91" t="b">
        <v>0</v>
      </c>
    </row>
    <row r="22" spans="1:12" ht="15">
      <c r="A22" s="92" t="s">
        <v>2584</v>
      </c>
      <c r="B22" s="91" t="s">
        <v>2575</v>
      </c>
      <c r="C22" s="91">
        <v>69</v>
      </c>
      <c r="D22" s="114">
        <v>0.004549846828603011</v>
      </c>
      <c r="E22" s="114">
        <v>1.6966744789464936</v>
      </c>
      <c r="F22" s="91" t="s">
        <v>3159</v>
      </c>
      <c r="G22" s="91" t="b">
        <v>0</v>
      </c>
      <c r="H22" s="91" t="b">
        <v>0</v>
      </c>
      <c r="I22" s="91" t="b">
        <v>0</v>
      </c>
      <c r="J22" s="91" t="b">
        <v>0</v>
      </c>
      <c r="K22" s="91" t="b">
        <v>0</v>
      </c>
      <c r="L22" s="91" t="b">
        <v>0</v>
      </c>
    </row>
    <row r="23" spans="1:12" ht="15">
      <c r="A23" s="92" t="s">
        <v>2570</v>
      </c>
      <c r="B23" s="91" t="s">
        <v>2602</v>
      </c>
      <c r="C23" s="91">
        <v>69</v>
      </c>
      <c r="D23" s="114">
        <v>0.004549846828603011</v>
      </c>
      <c r="E23" s="114">
        <v>1.7581925168657084</v>
      </c>
      <c r="F23" s="91" t="s">
        <v>3159</v>
      </c>
      <c r="G23" s="91" t="b">
        <v>0</v>
      </c>
      <c r="H23" s="91" t="b">
        <v>0</v>
      </c>
      <c r="I23" s="91" t="b">
        <v>0</v>
      </c>
      <c r="J23" s="91" t="b">
        <v>0</v>
      </c>
      <c r="K23" s="91" t="b">
        <v>0</v>
      </c>
      <c r="L23" s="91" t="b">
        <v>0</v>
      </c>
    </row>
    <row r="24" spans="1:12" ht="15">
      <c r="A24" s="92" t="s">
        <v>2602</v>
      </c>
      <c r="B24" s="91" t="s">
        <v>2603</v>
      </c>
      <c r="C24" s="91">
        <v>69</v>
      </c>
      <c r="D24" s="114">
        <v>0.004549846828603011</v>
      </c>
      <c r="E24" s="114">
        <v>2.2203734217924342</v>
      </c>
      <c r="F24" s="91" t="s">
        <v>3159</v>
      </c>
      <c r="G24" s="91" t="b">
        <v>0</v>
      </c>
      <c r="H24" s="91" t="b">
        <v>0</v>
      </c>
      <c r="I24" s="91" t="b">
        <v>0</v>
      </c>
      <c r="J24" s="91" t="b">
        <v>0</v>
      </c>
      <c r="K24" s="91" t="b">
        <v>0</v>
      </c>
      <c r="L24" s="91" t="b">
        <v>0</v>
      </c>
    </row>
    <row r="25" spans="1:12" ht="15">
      <c r="A25" s="92" t="s">
        <v>2603</v>
      </c>
      <c r="B25" s="91" t="s">
        <v>2604</v>
      </c>
      <c r="C25" s="91">
        <v>69</v>
      </c>
      <c r="D25" s="114">
        <v>0.004549846828603011</v>
      </c>
      <c r="E25" s="114">
        <v>2.2203734217924342</v>
      </c>
      <c r="F25" s="91" t="s">
        <v>3159</v>
      </c>
      <c r="G25" s="91" t="b">
        <v>0</v>
      </c>
      <c r="H25" s="91" t="b">
        <v>0</v>
      </c>
      <c r="I25" s="91" t="b">
        <v>0</v>
      </c>
      <c r="J25" s="91" t="b">
        <v>0</v>
      </c>
      <c r="K25" s="91" t="b">
        <v>0</v>
      </c>
      <c r="L25" s="91" t="b">
        <v>0</v>
      </c>
    </row>
    <row r="26" spans="1:12" ht="15">
      <c r="A26" s="92" t="s">
        <v>2604</v>
      </c>
      <c r="B26" s="91" t="s">
        <v>2587</v>
      </c>
      <c r="C26" s="91">
        <v>69</v>
      </c>
      <c r="D26" s="114">
        <v>0.004549846828603011</v>
      </c>
      <c r="E26" s="114">
        <v>2.100181120208596</v>
      </c>
      <c r="F26" s="91" t="s">
        <v>3159</v>
      </c>
      <c r="G26" s="91" t="b">
        <v>0</v>
      </c>
      <c r="H26" s="91" t="b">
        <v>0</v>
      </c>
      <c r="I26" s="91" t="b">
        <v>0</v>
      </c>
      <c r="J26" s="91" t="b">
        <v>0</v>
      </c>
      <c r="K26" s="91" t="b">
        <v>0</v>
      </c>
      <c r="L26" s="91" t="b">
        <v>0</v>
      </c>
    </row>
    <row r="27" spans="1:12" ht="15">
      <c r="A27" s="92" t="s">
        <v>2587</v>
      </c>
      <c r="B27" s="91" t="s">
        <v>2593</v>
      </c>
      <c r="C27" s="91">
        <v>69</v>
      </c>
      <c r="D27" s="114">
        <v>0.004549846828603011</v>
      </c>
      <c r="E27" s="114">
        <v>2.1084908911025195</v>
      </c>
      <c r="F27" s="91" t="s">
        <v>3159</v>
      </c>
      <c r="G27" s="91" t="b">
        <v>0</v>
      </c>
      <c r="H27" s="91" t="b">
        <v>0</v>
      </c>
      <c r="I27" s="91" t="b">
        <v>0</v>
      </c>
      <c r="J27" s="91" t="b">
        <v>0</v>
      </c>
      <c r="K27" s="91" t="b">
        <v>0</v>
      </c>
      <c r="L27" s="91" t="b">
        <v>0</v>
      </c>
    </row>
    <row r="28" spans="1:12" ht="15">
      <c r="A28" s="92" t="s">
        <v>2593</v>
      </c>
      <c r="B28" s="91" t="s">
        <v>2605</v>
      </c>
      <c r="C28" s="91">
        <v>69</v>
      </c>
      <c r="D28" s="114">
        <v>0.004549846828603011</v>
      </c>
      <c r="E28" s="114">
        <v>2.214124472515433</v>
      </c>
      <c r="F28" s="91" t="s">
        <v>3159</v>
      </c>
      <c r="G28" s="91" t="b">
        <v>0</v>
      </c>
      <c r="H28" s="91" t="b">
        <v>0</v>
      </c>
      <c r="I28" s="91" t="b">
        <v>0</v>
      </c>
      <c r="J28" s="91" t="b">
        <v>0</v>
      </c>
      <c r="K28" s="91" t="b">
        <v>0</v>
      </c>
      <c r="L28" s="91" t="b">
        <v>0</v>
      </c>
    </row>
    <row r="29" spans="1:12" ht="15">
      <c r="A29" s="92" t="s">
        <v>2605</v>
      </c>
      <c r="B29" s="91" t="s">
        <v>2606</v>
      </c>
      <c r="C29" s="91">
        <v>69</v>
      </c>
      <c r="D29" s="114">
        <v>0.004549846828603011</v>
      </c>
      <c r="E29" s="114">
        <v>2.2203734217924342</v>
      </c>
      <c r="F29" s="91" t="s">
        <v>3159</v>
      </c>
      <c r="G29" s="91" t="b">
        <v>0</v>
      </c>
      <c r="H29" s="91" t="b">
        <v>0</v>
      </c>
      <c r="I29" s="91" t="b">
        <v>0</v>
      </c>
      <c r="J29" s="91" t="b">
        <v>0</v>
      </c>
      <c r="K29" s="91" t="b">
        <v>0</v>
      </c>
      <c r="L29" s="91" t="b">
        <v>0</v>
      </c>
    </row>
    <row r="30" spans="1:12" ht="15">
      <c r="A30" s="92" t="s">
        <v>2574</v>
      </c>
      <c r="B30" s="91" t="s">
        <v>2566</v>
      </c>
      <c r="C30" s="91">
        <v>51</v>
      </c>
      <c r="D30" s="114">
        <v>0.003926501362818712</v>
      </c>
      <c r="E30" s="114">
        <v>1.2232212646652605</v>
      </c>
      <c r="F30" s="91" t="s">
        <v>3159</v>
      </c>
      <c r="G30" s="91" t="b">
        <v>0</v>
      </c>
      <c r="H30" s="91" t="b">
        <v>0</v>
      </c>
      <c r="I30" s="91" t="b">
        <v>0</v>
      </c>
      <c r="J30" s="91" t="b">
        <v>0</v>
      </c>
      <c r="K30" s="91" t="b">
        <v>0</v>
      </c>
      <c r="L30" s="91" t="b">
        <v>0</v>
      </c>
    </row>
    <row r="31" spans="1:12" ht="15">
      <c r="A31" s="92" t="s">
        <v>2606</v>
      </c>
      <c r="B31" s="91" t="s">
        <v>2583</v>
      </c>
      <c r="C31" s="91">
        <v>50</v>
      </c>
      <c r="D31" s="114">
        <v>0.0038857071491173252</v>
      </c>
      <c r="E31" s="114">
        <v>2.021796014589066</v>
      </c>
      <c r="F31" s="91" t="s">
        <v>3159</v>
      </c>
      <c r="G31" s="91" t="b">
        <v>0</v>
      </c>
      <c r="H31" s="91" t="b">
        <v>0</v>
      </c>
      <c r="I31" s="91" t="b">
        <v>0</v>
      </c>
      <c r="J31" s="91" t="b">
        <v>0</v>
      </c>
      <c r="K31" s="91" t="b">
        <v>0</v>
      </c>
      <c r="L31" s="91" t="b">
        <v>0</v>
      </c>
    </row>
    <row r="32" spans="1:12" ht="15">
      <c r="A32" s="92" t="s">
        <v>2576</v>
      </c>
      <c r="B32" s="91" t="s">
        <v>2569</v>
      </c>
      <c r="C32" s="91">
        <v>45</v>
      </c>
      <c r="D32" s="114">
        <v>0.003670460262086938</v>
      </c>
      <c r="E32" s="114">
        <v>1.2462646151471506</v>
      </c>
      <c r="F32" s="91" t="s">
        <v>3159</v>
      </c>
      <c r="G32" s="91" t="b">
        <v>0</v>
      </c>
      <c r="H32" s="91" t="b">
        <v>0</v>
      </c>
      <c r="I32" s="91" t="b">
        <v>0</v>
      </c>
      <c r="J32" s="91" t="b">
        <v>0</v>
      </c>
      <c r="K32" s="91" t="b">
        <v>0</v>
      </c>
      <c r="L32" s="91" t="b">
        <v>0</v>
      </c>
    </row>
    <row r="33" spans="1:12" ht="15">
      <c r="A33" s="92" t="s">
        <v>2564</v>
      </c>
      <c r="B33" s="91" t="s">
        <v>2566</v>
      </c>
      <c r="C33" s="91">
        <v>45</v>
      </c>
      <c r="D33" s="114">
        <v>0.003670460262086938</v>
      </c>
      <c r="E33" s="114">
        <v>0.7552109684618663</v>
      </c>
      <c r="F33" s="91" t="s">
        <v>3159</v>
      </c>
      <c r="G33" s="91" t="b">
        <v>0</v>
      </c>
      <c r="H33" s="91" t="b">
        <v>0</v>
      </c>
      <c r="I33" s="91" t="b">
        <v>0</v>
      </c>
      <c r="J33" s="91" t="b">
        <v>0</v>
      </c>
      <c r="K33" s="91" t="b">
        <v>0</v>
      </c>
      <c r="L33" s="91" t="b">
        <v>0</v>
      </c>
    </row>
    <row r="34" spans="1:12" ht="15">
      <c r="A34" s="92" t="s">
        <v>2608</v>
      </c>
      <c r="B34" s="91" t="s">
        <v>2623</v>
      </c>
      <c r="C34" s="91">
        <v>45</v>
      </c>
      <c r="D34" s="114">
        <v>0.003670460262086938</v>
      </c>
      <c r="E34" s="114">
        <v>2.2267135998234533</v>
      </c>
      <c r="F34" s="91" t="s">
        <v>3159</v>
      </c>
      <c r="G34" s="91" t="b">
        <v>0</v>
      </c>
      <c r="H34" s="91" t="b">
        <v>0</v>
      </c>
      <c r="I34" s="91" t="b">
        <v>0</v>
      </c>
      <c r="J34" s="91" t="b">
        <v>0</v>
      </c>
      <c r="K34" s="91" t="b">
        <v>0</v>
      </c>
      <c r="L34" s="91" t="b">
        <v>0</v>
      </c>
    </row>
    <row r="35" spans="1:12" ht="15">
      <c r="A35" s="92" t="s">
        <v>2623</v>
      </c>
      <c r="B35" s="91" t="s">
        <v>2579</v>
      </c>
      <c r="C35" s="91">
        <v>45</v>
      </c>
      <c r="D35" s="114">
        <v>0.003670460262086938</v>
      </c>
      <c r="E35" s="114">
        <v>1.9386485813238397</v>
      </c>
      <c r="F35" s="91" t="s">
        <v>3159</v>
      </c>
      <c r="G35" s="91" t="b">
        <v>0</v>
      </c>
      <c r="H35" s="91" t="b">
        <v>0</v>
      </c>
      <c r="I35" s="91" t="b">
        <v>0</v>
      </c>
      <c r="J35" s="91" t="b">
        <v>0</v>
      </c>
      <c r="K35" s="91" t="b">
        <v>0</v>
      </c>
      <c r="L35" s="91" t="b">
        <v>0</v>
      </c>
    </row>
    <row r="36" spans="1:12" ht="15">
      <c r="A36" s="92" t="s">
        <v>2624</v>
      </c>
      <c r="B36" s="91" t="s">
        <v>2625</v>
      </c>
      <c r="C36" s="91">
        <v>45</v>
      </c>
      <c r="D36" s="114">
        <v>0.003670460262086938</v>
      </c>
      <c r="E36" s="114">
        <v>2.406009998754346</v>
      </c>
      <c r="F36" s="91" t="s">
        <v>3159</v>
      </c>
      <c r="G36" s="91" t="b">
        <v>0</v>
      </c>
      <c r="H36" s="91" t="b">
        <v>0</v>
      </c>
      <c r="I36" s="91" t="b">
        <v>0</v>
      </c>
      <c r="J36" s="91" t="b">
        <v>0</v>
      </c>
      <c r="K36" s="91" t="b">
        <v>0</v>
      </c>
      <c r="L36" s="91" t="b">
        <v>0</v>
      </c>
    </row>
    <row r="37" spans="1:12" ht="15">
      <c r="A37" s="92" t="s">
        <v>2625</v>
      </c>
      <c r="B37" s="91" t="s">
        <v>2626</v>
      </c>
      <c r="C37" s="91">
        <v>45</v>
      </c>
      <c r="D37" s="114">
        <v>0.003670460262086938</v>
      </c>
      <c r="E37" s="114">
        <v>2.406009998754346</v>
      </c>
      <c r="F37" s="91" t="s">
        <v>3159</v>
      </c>
      <c r="G37" s="91" t="b">
        <v>0</v>
      </c>
      <c r="H37" s="91" t="b">
        <v>0</v>
      </c>
      <c r="I37" s="91" t="b">
        <v>0</v>
      </c>
      <c r="J37" s="91" t="b">
        <v>0</v>
      </c>
      <c r="K37" s="91" t="b">
        <v>0</v>
      </c>
      <c r="L37" s="91" t="b">
        <v>0</v>
      </c>
    </row>
    <row r="38" spans="1:12" ht="15">
      <c r="A38" s="92" t="s">
        <v>2626</v>
      </c>
      <c r="B38" s="91" t="s">
        <v>2627</v>
      </c>
      <c r="C38" s="91">
        <v>45</v>
      </c>
      <c r="D38" s="114">
        <v>0.003670460262086938</v>
      </c>
      <c r="E38" s="114">
        <v>2.406009998754346</v>
      </c>
      <c r="F38" s="91" t="s">
        <v>3159</v>
      </c>
      <c r="G38" s="91" t="b">
        <v>0</v>
      </c>
      <c r="H38" s="91" t="b">
        <v>0</v>
      </c>
      <c r="I38" s="91" t="b">
        <v>0</v>
      </c>
      <c r="J38" s="91" t="b">
        <v>0</v>
      </c>
      <c r="K38" s="91" t="b">
        <v>0</v>
      </c>
      <c r="L38" s="91" t="b">
        <v>0</v>
      </c>
    </row>
    <row r="39" spans="1:12" ht="15">
      <c r="A39" s="92" t="s">
        <v>2609</v>
      </c>
      <c r="B39" s="91" t="s">
        <v>2588</v>
      </c>
      <c r="C39" s="91">
        <v>45</v>
      </c>
      <c r="D39" s="114">
        <v>0.003670460262086938</v>
      </c>
      <c r="E39" s="114">
        <v>1.994764523302771</v>
      </c>
      <c r="F39" s="91" t="s">
        <v>3159</v>
      </c>
      <c r="G39" s="91" t="b">
        <v>0</v>
      </c>
      <c r="H39" s="91" t="b">
        <v>0</v>
      </c>
      <c r="I39" s="91" t="b">
        <v>0</v>
      </c>
      <c r="J39" s="91" t="b">
        <v>0</v>
      </c>
      <c r="K39" s="91" t="b">
        <v>0</v>
      </c>
      <c r="L39" s="91" t="b">
        <v>0</v>
      </c>
    </row>
    <row r="40" spans="1:12" ht="15">
      <c r="A40" s="92" t="s">
        <v>2588</v>
      </c>
      <c r="B40" s="91" t="s">
        <v>2619</v>
      </c>
      <c r="C40" s="91">
        <v>45</v>
      </c>
      <c r="D40" s="114">
        <v>0.003670460262086938</v>
      </c>
      <c r="E40" s="114">
        <v>2.067996436837195</v>
      </c>
      <c r="F40" s="91" t="s">
        <v>3159</v>
      </c>
      <c r="G40" s="91" t="b">
        <v>0</v>
      </c>
      <c r="H40" s="91" t="b">
        <v>0</v>
      </c>
      <c r="I40" s="91" t="b">
        <v>0</v>
      </c>
      <c r="J40" s="91" t="b">
        <v>0</v>
      </c>
      <c r="K40" s="91" t="b">
        <v>0</v>
      </c>
      <c r="L40" s="91" t="b">
        <v>0</v>
      </c>
    </row>
    <row r="41" spans="1:12" ht="15">
      <c r="A41" s="92" t="s">
        <v>2621</v>
      </c>
      <c r="B41" s="91" t="s">
        <v>2564</v>
      </c>
      <c r="C41" s="91">
        <v>45</v>
      </c>
      <c r="D41" s="114">
        <v>0.003670460262086938</v>
      </c>
      <c r="E41" s="114">
        <v>1.4089797659631509</v>
      </c>
      <c r="F41" s="91" t="s">
        <v>3159</v>
      </c>
      <c r="G41" s="91" t="b">
        <v>0</v>
      </c>
      <c r="H41" s="91" t="b">
        <v>0</v>
      </c>
      <c r="I41" s="91" t="b">
        <v>0</v>
      </c>
      <c r="J41" s="91" t="b">
        <v>0</v>
      </c>
      <c r="K41" s="91" t="b">
        <v>0</v>
      </c>
      <c r="L41" s="91" t="b">
        <v>0</v>
      </c>
    </row>
    <row r="42" spans="1:12" ht="15">
      <c r="A42" s="92" t="s">
        <v>2564</v>
      </c>
      <c r="B42" s="91" t="s">
        <v>2618</v>
      </c>
      <c r="C42" s="91">
        <v>45</v>
      </c>
      <c r="D42" s="114">
        <v>0.003670460262086938</v>
      </c>
      <c r="E42" s="114">
        <v>1.4179688001434403</v>
      </c>
      <c r="F42" s="91" t="s">
        <v>3159</v>
      </c>
      <c r="G42" s="91" t="b">
        <v>0</v>
      </c>
      <c r="H42" s="91" t="b">
        <v>0</v>
      </c>
      <c r="I42" s="91" t="b">
        <v>0</v>
      </c>
      <c r="J42" s="91" t="b">
        <v>0</v>
      </c>
      <c r="K42" s="91" t="b">
        <v>0</v>
      </c>
      <c r="L42" s="91" t="b">
        <v>0</v>
      </c>
    </row>
    <row r="43" spans="1:12" ht="15">
      <c r="A43" s="92" t="s">
        <v>2627</v>
      </c>
      <c r="B43" s="91" t="s">
        <v>2609</v>
      </c>
      <c r="C43" s="91">
        <v>42</v>
      </c>
      <c r="D43" s="114">
        <v>0.0035316934989791738</v>
      </c>
      <c r="E43" s="114">
        <v>2.2097153536103775</v>
      </c>
      <c r="F43" s="91" t="s">
        <v>3159</v>
      </c>
      <c r="G43" s="91" t="b">
        <v>0</v>
      </c>
      <c r="H43" s="91" t="b">
        <v>0</v>
      </c>
      <c r="I43" s="91" t="b">
        <v>0</v>
      </c>
      <c r="J43" s="91" t="b">
        <v>0</v>
      </c>
      <c r="K43" s="91" t="b">
        <v>0</v>
      </c>
      <c r="L43" s="91" t="b">
        <v>0</v>
      </c>
    </row>
    <row r="44" spans="1:12" ht="15">
      <c r="A44" s="92" t="s">
        <v>2618</v>
      </c>
      <c r="B44" s="91" t="s">
        <v>2633</v>
      </c>
      <c r="C44" s="91">
        <v>42</v>
      </c>
      <c r="D44" s="114">
        <v>0.0035316934989791738</v>
      </c>
      <c r="E44" s="114">
        <v>2.387124654593972</v>
      </c>
      <c r="F44" s="91" t="s">
        <v>3159</v>
      </c>
      <c r="G44" s="91" t="b">
        <v>0</v>
      </c>
      <c r="H44" s="91" t="b">
        <v>0</v>
      </c>
      <c r="I44" s="91" t="b">
        <v>0</v>
      </c>
      <c r="J44" s="91" t="b">
        <v>0</v>
      </c>
      <c r="K44" s="91" t="b">
        <v>0</v>
      </c>
      <c r="L44" s="91" t="b">
        <v>0</v>
      </c>
    </row>
    <row r="45" spans="1:12" ht="15">
      <c r="A45" s="92" t="s">
        <v>2565</v>
      </c>
      <c r="B45" s="91" t="s">
        <v>2624</v>
      </c>
      <c r="C45" s="91">
        <v>41</v>
      </c>
      <c r="D45" s="114">
        <v>0.0034837236377196082</v>
      </c>
      <c r="E45" s="114">
        <v>1.6533058705831818</v>
      </c>
      <c r="F45" s="91" t="s">
        <v>3159</v>
      </c>
      <c r="G45" s="91" t="b">
        <v>0</v>
      </c>
      <c r="H45" s="91" t="b">
        <v>0</v>
      </c>
      <c r="I45" s="91" t="b">
        <v>0</v>
      </c>
      <c r="J45" s="91" t="b">
        <v>0</v>
      </c>
      <c r="K45" s="91" t="b">
        <v>0</v>
      </c>
      <c r="L45" s="91" t="b">
        <v>0</v>
      </c>
    </row>
    <row r="46" spans="1:12" ht="15">
      <c r="A46" s="92" t="s">
        <v>2635</v>
      </c>
      <c r="B46" s="91" t="s">
        <v>2581</v>
      </c>
      <c r="C46" s="91">
        <v>40</v>
      </c>
      <c r="D46" s="114">
        <v>0.0034348620593883258</v>
      </c>
      <c r="E46" s="114">
        <v>1.9623124995216332</v>
      </c>
      <c r="F46" s="91" t="s">
        <v>3159</v>
      </c>
      <c r="G46" s="91" t="b">
        <v>0</v>
      </c>
      <c r="H46" s="91" t="b">
        <v>0</v>
      </c>
      <c r="I46" s="91" t="b">
        <v>0</v>
      </c>
      <c r="J46" s="91" t="b">
        <v>0</v>
      </c>
      <c r="K46" s="91" t="b">
        <v>0</v>
      </c>
      <c r="L46" s="91" t="b">
        <v>0</v>
      </c>
    </row>
    <row r="47" spans="1:12" ht="15">
      <c r="A47" s="92" t="s">
        <v>2567</v>
      </c>
      <c r="B47" s="91" t="s">
        <v>2579</v>
      </c>
      <c r="C47" s="91">
        <v>38</v>
      </c>
      <c r="D47" s="114">
        <v>0.0033343734176161984</v>
      </c>
      <c r="E47" s="114">
        <v>1.1920963170118986</v>
      </c>
      <c r="F47" s="91" t="s">
        <v>3159</v>
      </c>
      <c r="G47" s="91" t="b">
        <v>0</v>
      </c>
      <c r="H47" s="91" t="b">
        <v>0</v>
      </c>
      <c r="I47" s="91" t="b">
        <v>0</v>
      </c>
      <c r="J47" s="91" t="b">
        <v>0</v>
      </c>
      <c r="K47" s="91" t="b">
        <v>0</v>
      </c>
      <c r="L47" s="91" t="b">
        <v>0</v>
      </c>
    </row>
    <row r="48" spans="1:12" ht="15">
      <c r="A48" s="92" t="s">
        <v>2579</v>
      </c>
      <c r="B48" s="91" t="s">
        <v>2613</v>
      </c>
      <c r="C48" s="91">
        <v>38</v>
      </c>
      <c r="D48" s="114">
        <v>0.0033343734176161984</v>
      </c>
      <c r="E48" s="114">
        <v>1.778069488446406</v>
      </c>
      <c r="F48" s="91" t="s">
        <v>3159</v>
      </c>
      <c r="G48" s="91" t="b">
        <v>0</v>
      </c>
      <c r="H48" s="91" t="b">
        <v>0</v>
      </c>
      <c r="I48" s="91" t="b">
        <v>0</v>
      </c>
      <c r="J48" s="91" t="b">
        <v>0</v>
      </c>
      <c r="K48" s="91" t="b">
        <v>0</v>
      </c>
      <c r="L48" s="91" t="b">
        <v>0</v>
      </c>
    </row>
    <row r="49" spans="1:12" ht="15">
      <c r="A49" s="92" t="s">
        <v>2615</v>
      </c>
      <c r="B49" s="91" t="s">
        <v>2571</v>
      </c>
      <c r="C49" s="91">
        <v>38</v>
      </c>
      <c r="D49" s="114">
        <v>0.0033343734176161984</v>
      </c>
      <c r="E49" s="114">
        <v>1.6155067275984876</v>
      </c>
      <c r="F49" s="91" t="s">
        <v>3159</v>
      </c>
      <c r="G49" s="91" t="b">
        <v>0</v>
      </c>
      <c r="H49" s="91" t="b">
        <v>0</v>
      </c>
      <c r="I49" s="91" t="b">
        <v>0</v>
      </c>
      <c r="J49" s="91" t="b">
        <v>0</v>
      </c>
      <c r="K49" s="91" t="b">
        <v>0</v>
      </c>
      <c r="L49" s="91" t="b">
        <v>0</v>
      </c>
    </row>
    <row r="50" spans="1:12" ht="15">
      <c r="A50" s="92" t="s">
        <v>2571</v>
      </c>
      <c r="B50" s="91" t="s">
        <v>2575</v>
      </c>
      <c r="C50" s="91">
        <v>38</v>
      </c>
      <c r="D50" s="114">
        <v>0.0033343734176161984</v>
      </c>
      <c r="E50" s="114">
        <v>1.1575634806441948</v>
      </c>
      <c r="F50" s="91" t="s">
        <v>3159</v>
      </c>
      <c r="G50" s="91" t="b">
        <v>0</v>
      </c>
      <c r="H50" s="91" t="b">
        <v>0</v>
      </c>
      <c r="I50" s="91" t="b">
        <v>0</v>
      </c>
      <c r="J50" s="91" t="b">
        <v>0</v>
      </c>
      <c r="K50" s="91" t="b">
        <v>0</v>
      </c>
      <c r="L50" s="91" t="b">
        <v>0</v>
      </c>
    </row>
    <row r="51" spans="1:12" ht="15">
      <c r="A51" s="92" t="s">
        <v>2575</v>
      </c>
      <c r="B51" s="91" t="s">
        <v>2638</v>
      </c>
      <c r="C51" s="91">
        <v>38</v>
      </c>
      <c r="D51" s="114">
        <v>0.0033343734176161984</v>
      </c>
      <c r="E51" s="114">
        <v>1.8831312534740083</v>
      </c>
      <c r="F51" s="91" t="s">
        <v>3159</v>
      </c>
      <c r="G51" s="91" t="b">
        <v>0</v>
      </c>
      <c r="H51" s="91" t="b">
        <v>0</v>
      </c>
      <c r="I51" s="91" t="b">
        <v>0</v>
      </c>
      <c r="J51" s="91" t="b">
        <v>0</v>
      </c>
      <c r="K51" s="91" t="b">
        <v>0</v>
      </c>
      <c r="L51" s="91" t="b">
        <v>0</v>
      </c>
    </row>
    <row r="52" spans="1:12" ht="15">
      <c r="A52" s="92" t="s">
        <v>2638</v>
      </c>
      <c r="B52" s="91" t="s">
        <v>2570</v>
      </c>
      <c r="C52" s="91">
        <v>38</v>
      </c>
      <c r="D52" s="114">
        <v>0.0033343734176161984</v>
      </c>
      <c r="E52" s="114">
        <v>1.7474686514739353</v>
      </c>
      <c r="F52" s="91" t="s">
        <v>3159</v>
      </c>
      <c r="G52" s="91" t="b">
        <v>0</v>
      </c>
      <c r="H52" s="91" t="b">
        <v>0</v>
      </c>
      <c r="I52" s="91" t="b">
        <v>0</v>
      </c>
      <c r="J52" s="91" t="b">
        <v>0</v>
      </c>
      <c r="K52" s="91" t="b">
        <v>0</v>
      </c>
      <c r="L52" s="91" t="b">
        <v>0</v>
      </c>
    </row>
    <row r="53" spans="1:12" ht="15">
      <c r="A53" s="92" t="s">
        <v>2570</v>
      </c>
      <c r="B53" s="91" t="s">
        <v>2574</v>
      </c>
      <c r="C53" s="91">
        <v>38</v>
      </c>
      <c r="D53" s="114">
        <v>0.0033343734176161984</v>
      </c>
      <c r="E53" s="114">
        <v>1.1561325255377461</v>
      </c>
      <c r="F53" s="91" t="s">
        <v>3159</v>
      </c>
      <c r="G53" s="91" t="b">
        <v>0</v>
      </c>
      <c r="H53" s="91" t="b">
        <v>0</v>
      </c>
      <c r="I53" s="91" t="b">
        <v>0</v>
      </c>
      <c r="J53" s="91" t="b">
        <v>0</v>
      </c>
      <c r="K53" s="91" t="b">
        <v>0</v>
      </c>
      <c r="L53" s="91" t="b">
        <v>0</v>
      </c>
    </row>
    <row r="54" spans="1:12" ht="15">
      <c r="A54" s="92" t="s">
        <v>2566</v>
      </c>
      <c r="B54" s="91" t="s">
        <v>2639</v>
      </c>
      <c r="C54" s="91">
        <v>38</v>
      </c>
      <c r="D54" s="114">
        <v>0.0033343734176161984</v>
      </c>
      <c r="E54" s="114">
        <v>1.734940057231997</v>
      </c>
      <c r="F54" s="91" t="s">
        <v>3159</v>
      </c>
      <c r="G54" s="91" t="b">
        <v>0</v>
      </c>
      <c r="H54" s="91" t="b">
        <v>0</v>
      </c>
      <c r="I54" s="91" t="b">
        <v>0</v>
      </c>
      <c r="J54" s="91" t="b">
        <v>0</v>
      </c>
      <c r="K54" s="91" t="b">
        <v>0</v>
      </c>
      <c r="L54" s="91" t="b">
        <v>0</v>
      </c>
    </row>
    <row r="55" spans="1:12" ht="15">
      <c r="A55" s="92" t="s">
        <v>2611</v>
      </c>
      <c r="B55" s="91" t="s">
        <v>2642</v>
      </c>
      <c r="C55" s="91">
        <v>38</v>
      </c>
      <c r="D55" s="114">
        <v>0.0033343734176161984</v>
      </c>
      <c r="E55" s="114">
        <v>2.369026432501176</v>
      </c>
      <c r="F55" s="91" t="s">
        <v>3159</v>
      </c>
      <c r="G55" s="91" t="b">
        <v>0</v>
      </c>
      <c r="H55" s="91" t="b">
        <v>0</v>
      </c>
      <c r="I55" s="91" t="b">
        <v>0</v>
      </c>
      <c r="J55" s="91" t="b">
        <v>0</v>
      </c>
      <c r="K55" s="91" t="b">
        <v>0</v>
      </c>
      <c r="L55" s="91" t="b">
        <v>0</v>
      </c>
    </row>
    <row r="56" spans="1:12" ht="15">
      <c r="A56" s="92" t="s">
        <v>2579</v>
      </c>
      <c r="B56" s="91" t="s">
        <v>2565</v>
      </c>
      <c r="C56" s="91">
        <v>38</v>
      </c>
      <c r="D56" s="114">
        <v>0.0033343734176161984</v>
      </c>
      <c r="E56" s="114">
        <v>1.1529441930497502</v>
      </c>
      <c r="F56" s="91" t="s">
        <v>3159</v>
      </c>
      <c r="G56" s="91" t="b">
        <v>0</v>
      </c>
      <c r="H56" s="91" t="b">
        <v>0</v>
      </c>
      <c r="I56" s="91" t="b">
        <v>0</v>
      </c>
      <c r="J56" s="91" t="b">
        <v>0</v>
      </c>
      <c r="K56" s="91" t="b">
        <v>0</v>
      </c>
      <c r="L56" s="91" t="b">
        <v>0</v>
      </c>
    </row>
    <row r="57" spans="1:12" ht="15">
      <c r="A57" s="92" t="s">
        <v>2644</v>
      </c>
      <c r="B57" s="91" t="s">
        <v>2588</v>
      </c>
      <c r="C57" s="91">
        <v>35</v>
      </c>
      <c r="D57" s="114">
        <v>0.0031763559976061184</v>
      </c>
      <c r="E57" s="114">
        <v>2.1049800030903647</v>
      </c>
      <c r="F57" s="91" t="s">
        <v>3159</v>
      </c>
      <c r="G57" s="91" t="b">
        <v>0</v>
      </c>
      <c r="H57" s="91" t="b">
        <v>0</v>
      </c>
      <c r="I57" s="91" t="b">
        <v>0</v>
      </c>
      <c r="J57" s="91" t="b">
        <v>0</v>
      </c>
      <c r="K57" s="91" t="b">
        <v>0</v>
      </c>
      <c r="L57" s="91" t="b">
        <v>0</v>
      </c>
    </row>
    <row r="58" spans="1:12" ht="15">
      <c r="A58" s="92" t="s">
        <v>2570</v>
      </c>
      <c r="B58" s="91" t="s">
        <v>2564</v>
      </c>
      <c r="C58" s="91">
        <v>35</v>
      </c>
      <c r="D58" s="114">
        <v>0.0031763559976061184</v>
      </c>
      <c r="E58" s="114">
        <v>0.6800465382496887</v>
      </c>
      <c r="F58" s="91" t="s">
        <v>3159</v>
      </c>
      <c r="G58" s="91" t="b">
        <v>0</v>
      </c>
      <c r="H58" s="91" t="b">
        <v>0</v>
      </c>
      <c r="I58" s="91" t="b">
        <v>0</v>
      </c>
      <c r="J58" s="91" t="b">
        <v>0</v>
      </c>
      <c r="K58" s="91" t="b">
        <v>0</v>
      </c>
      <c r="L58" s="91" t="b">
        <v>0</v>
      </c>
    </row>
    <row r="59" spans="1:12" ht="15">
      <c r="A59" s="92" t="s">
        <v>2571</v>
      </c>
      <c r="B59" s="91" t="s">
        <v>2573</v>
      </c>
      <c r="C59" s="91">
        <v>35</v>
      </c>
      <c r="D59" s="114">
        <v>0.0031763559976061184</v>
      </c>
      <c r="E59" s="114">
        <v>1.0804552432194352</v>
      </c>
      <c r="F59" s="91" t="s">
        <v>3159</v>
      </c>
      <c r="G59" s="91" t="b">
        <v>0</v>
      </c>
      <c r="H59" s="91" t="b">
        <v>0</v>
      </c>
      <c r="I59" s="91" t="b">
        <v>0</v>
      </c>
      <c r="J59" s="91" t="b">
        <v>0</v>
      </c>
      <c r="K59" s="91" t="b">
        <v>0</v>
      </c>
      <c r="L59" s="91" t="b">
        <v>0</v>
      </c>
    </row>
    <row r="60" spans="1:12" ht="15">
      <c r="A60" s="92" t="s">
        <v>2613</v>
      </c>
      <c r="B60" s="91" t="s">
        <v>2614</v>
      </c>
      <c r="C60" s="91">
        <v>30</v>
      </c>
      <c r="D60" s="114">
        <v>0.002891648404663215</v>
      </c>
      <c r="E60" s="114">
        <v>2.06358731793214</v>
      </c>
      <c r="F60" s="91" t="s">
        <v>3159</v>
      </c>
      <c r="G60" s="91" t="b">
        <v>0</v>
      </c>
      <c r="H60" s="91" t="b">
        <v>0</v>
      </c>
      <c r="I60" s="91" t="b">
        <v>0</v>
      </c>
      <c r="J60" s="91" t="b">
        <v>0</v>
      </c>
      <c r="K60" s="91" t="b">
        <v>0</v>
      </c>
      <c r="L60" s="91" t="b">
        <v>0</v>
      </c>
    </row>
    <row r="61" spans="1:12" ht="15">
      <c r="A61" s="92" t="s">
        <v>2614</v>
      </c>
      <c r="B61" s="91" t="s">
        <v>2615</v>
      </c>
      <c r="C61" s="91">
        <v>30</v>
      </c>
      <c r="D61" s="114">
        <v>0.002891648404663215</v>
      </c>
      <c r="E61" s="114">
        <v>2.0796741378255947</v>
      </c>
      <c r="F61" s="91" t="s">
        <v>3159</v>
      </c>
      <c r="G61" s="91" t="b">
        <v>0</v>
      </c>
      <c r="H61" s="91" t="b">
        <v>0</v>
      </c>
      <c r="I61" s="91" t="b">
        <v>0</v>
      </c>
      <c r="J61" s="91" t="b">
        <v>0</v>
      </c>
      <c r="K61" s="91" t="b">
        <v>0</v>
      </c>
      <c r="L61" s="91" t="b">
        <v>0</v>
      </c>
    </row>
    <row r="62" spans="1:12" ht="15">
      <c r="A62" s="92" t="s">
        <v>2640</v>
      </c>
      <c r="B62" s="91" t="s">
        <v>2649</v>
      </c>
      <c r="C62" s="91">
        <v>30</v>
      </c>
      <c r="D62" s="114">
        <v>0.002891648404663215</v>
      </c>
      <c r="E62" s="114">
        <v>2.4794389159128793</v>
      </c>
      <c r="F62" s="91" t="s">
        <v>3159</v>
      </c>
      <c r="G62" s="91" t="b">
        <v>0</v>
      </c>
      <c r="H62" s="91" t="b">
        <v>0</v>
      </c>
      <c r="I62" s="91" t="b">
        <v>0</v>
      </c>
      <c r="J62" s="91" t="b">
        <v>0</v>
      </c>
      <c r="K62" s="91" t="b">
        <v>0</v>
      </c>
      <c r="L62" s="91" t="b">
        <v>0</v>
      </c>
    </row>
    <row r="63" spans="1:12" ht="15">
      <c r="A63" s="92" t="s">
        <v>2649</v>
      </c>
      <c r="B63" s="91" t="s">
        <v>2641</v>
      </c>
      <c r="C63" s="91">
        <v>30</v>
      </c>
      <c r="D63" s="114">
        <v>0.002891648404663215</v>
      </c>
      <c r="E63" s="114">
        <v>2.4794389159128793</v>
      </c>
      <c r="F63" s="91" t="s">
        <v>3159</v>
      </c>
      <c r="G63" s="91" t="b">
        <v>0</v>
      </c>
      <c r="H63" s="91" t="b">
        <v>0</v>
      </c>
      <c r="I63" s="91" t="b">
        <v>0</v>
      </c>
      <c r="J63" s="91" t="b">
        <v>0</v>
      </c>
      <c r="K63" s="91" t="b">
        <v>0</v>
      </c>
      <c r="L63" s="91" t="b">
        <v>0</v>
      </c>
    </row>
    <row r="64" spans="1:12" ht="15">
      <c r="A64" s="92" t="s">
        <v>2651</v>
      </c>
      <c r="B64" s="91" t="s">
        <v>2581</v>
      </c>
      <c r="C64" s="91">
        <v>29</v>
      </c>
      <c r="D64" s="114">
        <v>0.0028312007345919895</v>
      </c>
      <c r="E64" s="114">
        <v>1.9623124995216332</v>
      </c>
      <c r="F64" s="91" t="s">
        <v>3159</v>
      </c>
      <c r="G64" s="91" t="b">
        <v>0</v>
      </c>
      <c r="H64" s="91" t="b">
        <v>0</v>
      </c>
      <c r="I64" s="91" t="b">
        <v>0</v>
      </c>
      <c r="J64" s="91" t="b">
        <v>0</v>
      </c>
      <c r="K64" s="91" t="b">
        <v>0</v>
      </c>
      <c r="L64" s="91" t="b">
        <v>0</v>
      </c>
    </row>
    <row r="65" spans="1:12" ht="15">
      <c r="A65" s="92" t="s">
        <v>2588</v>
      </c>
      <c r="B65" s="91" t="s">
        <v>2575</v>
      </c>
      <c r="C65" s="91">
        <v>27</v>
      </c>
      <c r="D65" s="114">
        <v>0.0027064778609256998</v>
      </c>
      <c r="E65" s="114">
        <v>1.360252508193671</v>
      </c>
      <c r="F65" s="91" t="s">
        <v>3159</v>
      </c>
      <c r="G65" s="91" t="b">
        <v>0</v>
      </c>
      <c r="H65" s="91" t="b">
        <v>0</v>
      </c>
      <c r="I65" s="91" t="b">
        <v>0</v>
      </c>
      <c r="J65" s="91" t="b">
        <v>0</v>
      </c>
      <c r="K65" s="91" t="b">
        <v>0</v>
      </c>
      <c r="L65" s="91" t="b">
        <v>0</v>
      </c>
    </row>
    <row r="66" spans="1:12" ht="15">
      <c r="A66" s="92" t="s">
        <v>2565</v>
      </c>
      <c r="B66" s="91" t="s">
        <v>2567</v>
      </c>
      <c r="C66" s="91">
        <v>27</v>
      </c>
      <c r="D66" s="114">
        <v>0.0027064778609256998</v>
      </c>
      <c r="E66" s="114">
        <v>0.7886385579492478</v>
      </c>
      <c r="F66" s="91" t="s">
        <v>3159</v>
      </c>
      <c r="G66" s="91" t="b">
        <v>0</v>
      </c>
      <c r="H66" s="91" t="b">
        <v>0</v>
      </c>
      <c r="I66" s="91" t="b">
        <v>0</v>
      </c>
      <c r="J66" s="91" t="b">
        <v>0</v>
      </c>
      <c r="K66" s="91" t="b">
        <v>0</v>
      </c>
      <c r="L66" s="91" t="b">
        <v>0</v>
      </c>
    </row>
    <row r="67" spans="1:12" ht="15">
      <c r="A67" s="92" t="s">
        <v>2568</v>
      </c>
      <c r="B67" s="91" t="s">
        <v>2569</v>
      </c>
      <c r="C67" s="91">
        <v>27</v>
      </c>
      <c r="D67" s="114">
        <v>0.0027064778609256998</v>
      </c>
      <c r="E67" s="114">
        <v>0.8653973393502189</v>
      </c>
      <c r="F67" s="91" t="s">
        <v>3159</v>
      </c>
      <c r="G67" s="91" t="b">
        <v>0</v>
      </c>
      <c r="H67" s="91" t="b">
        <v>0</v>
      </c>
      <c r="I67" s="91" t="b">
        <v>0</v>
      </c>
      <c r="J67" s="91" t="b">
        <v>0</v>
      </c>
      <c r="K67" s="91" t="b">
        <v>0</v>
      </c>
      <c r="L67" s="91" t="b">
        <v>0</v>
      </c>
    </row>
    <row r="68" spans="1:12" ht="15">
      <c r="A68" s="92" t="s">
        <v>2622</v>
      </c>
      <c r="B68" s="91" t="s">
        <v>2567</v>
      </c>
      <c r="C68" s="91">
        <v>27</v>
      </c>
      <c r="D68" s="114">
        <v>0.0027064778609256998</v>
      </c>
      <c r="E68" s="114">
        <v>1.5009140290648038</v>
      </c>
      <c r="F68" s="91" t="s">
        <v>3159</v>
      </c>
      <c r="G68" s="91" t="b">
        <v>0</v>
      </c>
      <c r="H68" s="91" t="b">
        <v>0</v>
      </c>
      <c r="I68" s="91" t="b">
        <v>0</v>
      </c>
      <c r="J68" s="91" t="b">
        <v>0</v>
      </c>
      <c r="K68" s="91" t="b">
        <v>0</v>
      </c>
      <c r="L68" s="91" t="b">
        <v>0</v>
      </c>
    </row>
    <row r="69" spans="1:12" ht="15">
      <c r="A69" s="92" t="s">
        <v>2567</v>
      </c>
      <c r="B69" s="91" t="s">
        <v>2564</v>
      </c>
      <c r="C69" s="91">
        <v>27</v>
      </c>
      <c r="D69" s="114">
        <v>0.0027064778609256998</v>
      </c>
      <c r="E69" s="114">
        <v>0.5420363927936303</v>
      </c>
      <c r="F69" s="91" t="s">
        <v>3159</v>
      </c>
      <c r="G69" s="91" t="b">
        <v>0</v>
      </c>
      <c r="H69" s="91" t="b">
        <v>0</v>
      </c>
      <c r="I69" s="91" t="b">
        <v>0</v>
      </c>
      <c r="J69" s="91" t="b">
        <v>0</v>
      </c>
      <c r="K69" s="91" t="b">
        <v>0</v>
      </c>
      <c r="L69" s="91" t="b">
        <v>0</v>
      </c>
    </row>
    <row r="70" spans="1:12" ht="15">
      <c r="A70" s="92" t="s">
        <v>2654</v>
      </c>
      <c r="B70" s="91" t="s">
        <v>2591</v>
      </c>
      <c r="C70" s="91">
        <v>27</v>
      </c>
      <c r="D70" s="114">
        <v>0.0027064778609256998</v>
      </c>
      <c r="E70" s="114">
        <v>2.167127909839209</v>
      </c>
      <c r="F70" s="91" t="s">
        <v>3159</v>
      </c>
      <c r="G70" s="91" t="b">
        <v>0</v>
      </c>
      <c r="H70" s="91" t="b">
        <v>0</v>
      </c>
      <c r="I70" s="91" t="b">
        <v>0</v>
      </c>
      <c r="J70" s="91" t="b">
        <v>0</v>
      </c>
      <c r="K70" s="91" t="b">
        <v>0</v>
      </c>
      <c r="L70" s="91" t="b">
        <v>0</v>
      </c>
    </row>
    <row r="71" spans="1:12" ht="15">
      <c r="A71" s="92" t="s">
        <v>2594</v>
      </c>
      <c r="B71" s="91" t="s">
        <v>2583</v>
      </c>
      <c r="C71" s="91">
        <v>27</v>
      </c>
      <c r="D71" s="114">
        <v>0.0027064778609256998</v>
      </c>
      <c r="E71" s="114">
        <v>1.6607680892497994</v>
      </c>
      <c r="F71" s="91" t="s">
        <v>3159</v>
      </c>
      <c r="G71" s="91" t="b">
        <v>0</v>
      </c>
      <c r="H71" s="91" t="b">
        <v>0</v>
      </c>
      <c r="I71" s="91" t="b">
        <v>0</v>
      </c>
      <c r="J71" s="91" t="b">
        <v>0</v>
      </c>
      <c r="K71" s="91" t="b">
        <v>0</v>
      </c>
      <c r="L71" s="91" t="b">
        <v>0</v>
      </c>
    </row>
    <row r="72" spans="1:12" ht="15">
      <c r="A72" s="92" t="s">
        <v>2579</v>
      </c>
      <c r="B72" s="91" t="s">
        <v>2564</v>
      </c>
      <c r="C72" s="91">
        <v>26</v>
      </c>
      <c r="D72" s="114">
        <v>0.0026421092213705735</v>
      </c>
      <c r="E72" s="114">
        <v>0.7314079063283625</v>
      </c>
      <c r="F72" s="91" t="s">
        <v>3159</v>
      </c>
      <c r="G72" s="91" t="b">
        <v>0</v>
      </c>
      <c r="H72" s="91" t="b">
        <v>0</v>
      </c>
      <c r="I72" s="91" t="b">
        <v>0</v>
      </c>
      <c r="J72" s="91" t="b">
        <v>0</v>
      </c>
      <c r="K72" s="91" t="b">
        <v>0</v>
      </c>
      <c r="L72" s="91" t="b">
        <v>0</v>
      </c>
    </row>
    <row r="73" spans="1:12" ht="15">
      <c r="A73" s="92" t="s">
        <v>2573</v>
      </c>
      <c r="B73" s="91" t="s">
        <v>2594</v>
      </c>
      <c r="C73" s="91">
        <v>26</v>
      </c>
      <c r="D73" s="114">
        <v>0.0026421092213705735</v>
      </c>
      <c r="E73" s="114">
        <v>1.4116138762723445</v>
      </c>
      <c r="F73" s="91" t="s">
        <v>3159</v>
      </c>
      <c r="G73" s="91" t="b">
        <v>0</v>
      </c>
      <c r="H73" s="91" t="b">
        <v>0</v>
      </c>
      <c r="I73" s="91" t="b">
        <v>0</v>
      </c>
      <c r="J73" s="91" t="b">
        <v>0</v>
      </c>
      <c r="K73" s="91" t="b">
        <v>0</v>
      </c>
      <c r="L73" s="91" t="b">
        <v>0</v>
      </c>
    </row>
    <row r="74" spans="1:12" ht="15">
      <c r="A74" s="92" t="s">
        <v>2655</v>
      </c>
      <c r="B74" s="91" t="s">
        <v>2580</v>
      </c>
      <c r="C74" s="91">
        <v>25</v>
      </c>
      <c r="D74" s="114">
        <v>0.0025763342051646834</v>
      </c>
      <c r="E74" s="114">
        <v>1.9315994629316602</v>
      </c>
      <c r="F74" s="91" t="s">
        <v>3159</v>
      </c>
      <c r="G74" s="91" t="b">
        <v>0</v>
      </c>
      <c r="H74" s="91" t="b">
        <v>0</v>
      </c>
      <c r="I74" s="91" t="b">
        <v>0</v>
      </c>
      <c r="J74" s="91" t="b">
        <v>0</v>
      </c>
      <c r="K74" s="91" t="b">
        <v>0</v>
      </c>
      <c r="L74" s="91" t="b">
        <v>0</v>
      </c>
    </row>
    <row r="75" spans="1:12" ht="15">
      <c r="A75" s="92" t="s">
        <v>2568</v>
      </c>
      <c r="B75" s="91" t="s">
        <v>2662</v>
      </c>
      <c r="C75" s="91">
        <v>25</v>
      </c>
      <c r="D75" s="114">
        <v>0.0025763342051646834</v>
      </c>
      <c r="E75" s="114">
        <v>1.7328866516009382</v>
      </c>
      <c r="F75" s="91" t="s">
        <v>3159</v>
      </c>
      <c r="G75" s="91" t="b">
        <v>0</v>
      </c>
      <c r="H75" s="91" t="b">
        <v>0</v>
      </c>
      <c r="I75" s="91" t="b">
        <v>0</v>
      </c>
      <c r="J75" s="91" t="b">
        <v>0</v>
      </c>
      <c r="K75" s="91" t="b">
        <v>0</v>
      </c>
      <c r="L75" s="91" t="b">
        <v>0</v>
      </c>
    </row>
    <row r="76" spans="1:12" ht="15">
      <c r="A76" s="92" t="s">
        <v>2564</v>
      </c>
      <c r="B76" s="91" t="s">
        <v>2573</v>
      </c>
      <c r="C76" s="91">
        <v>25</v>
      </c>
      <c r="D76" s="114">
        <v>0.0025763342051646834</v>
      </c>
      <c r="E76" s="114">
        <v>0.6441823551622469</v>
      </c>
      <c r="F76" s="91" t="s">
        <v>3159</v>
      </c>
      <c r="G76" s="91" t="b">
        <v>0</v>
      </c>
      <c r="H76" s="91" t="b">
        <v>0</v>
      </c>
      <c r="I76" s="91" t="b">
        <v>0</v>
      </c>
      <c r="J76" s="91" t="b">
        <v>0</v>
      </c>
      <c r="K76" s="91" t="b">
        <v>0</v>
      </c>
      <c r="L76" s="91" t="b">
        <v>0</v>
      </c>
    </row>
    <row r="77" spans="1:12" ht="15">
      <c r="A77" s="92" t="s">
        <v>2663</v>
      </c>
      <c r="B77" s="91" t="s">
        <v>2568</v>
      </c>
      <c r="C77" s="91">
        <v>25</v>
      </c>
      <c r="D77" s="114">
        <v>0.0025763342051646834</v>
      </c>
      <c r="E77" s="114">
        <v>1.7328866516009382</v>
      </c>
      <c r="F77" s="91" t="s">
        <v>3159</v>
      </c>
      <c r="G77" s="91" t="b">
        <v>0</v>
      </c>
      <c r="H77" s="91" t="b">
        <v>0</v>
      </c>
      <c r="I77" s="91" t="b">
        <v>0</v>
      </c>
      <c r="J77" s="91" t="b">
        <v>0</v>
      </c>
      <c r="K77" s="91" t="b">
        <v>0</v>
      </c>
      <c r="L77" s="91" t="b">
        <v>0</v>
      </c>
    </row>
    <row r="78" spans="1:12" ht="15">
      <c r="A78" s="92" t="s">
        <v>2619</v>
      </c>
      <c r="B78" s="91" t="s">
        <v>2628</v>
      </c>
      <c r="C78" s="91">
        <v>25</v>
      </c>
      <c r="D78" s="114">
        <v>0.0025763342051646834</v>
      </c>
      <c r="E78" s="114">
        <v>2.11375392739787</v>
      </c>
      <c r="F78" s="91" t="s">
        <v>3159</v>
      </c>
      <c r="G78" s="91" t="b">
        <v>0</v>
      </c>
      <c r="H78" s="91" t="b">
        <v>0</v>
      </c>
      <c r="I78" s="91" t="b">
        <v>0</v>
      </c>
      <c r="J78" s="91" t="b">
        <v>0</v>
      </c>
      <c r="K78" s="91" t="b">
        <v>0</v>
      </c>
      <c r="L78" s="91" t="b">
        <v>0</v>
      </c>
    </row>
    <row r="79" spans="1:12" ht="15">
      <c r="A79" s="92" t="s">
        <v>2628</v>
      </c>
      <c r="B79" s="91" t="s">
        <v>2621</v>
      </c>
      <c r="C79" s="91">
        <v>25</v>
      </c>
      <c r="D79" s="114">
        <v>0.0025763342051646834</v>
      </c>
      <c r="E79" s="114">
        <v>2.3779812751541023</v>
      </c>
      <c r="F79" s="91" t="s">
        <v>3159</v>
      </c>
      <c r="G79" s="91" t="b">
        <v>0</v>
      </c>
      <c r="H79" s="91" t="b">
        <v>0</v>
      </c>
      <c r="I79" s="91" t="b">
        <v>0</v>
      </c>
      <c r="J79" s="91" t="b">
        <v>0</v>
      </c>
      <c r="K79" s="91" t="b">
        <v>0</v>
      </c>
      <c r="L79" s="91" t="b">
        <v>0</v>
      </c>
    </row>
    <row r="80" spans="1:12" ht="15">
      <c r="A80" s="92" t="s">
        <v>2571</v>
      </c>
      <c r="B80" s="91" t="s">
        <v>2594</v>
      </c>
      <c r="C80" s="91">
        <v>24</v>
      </c>
      <c r="D80" s="114">
        <v>0.002509096527787251</v>
      </c>
      <c r="E80" s="114">
        <v>1.288984344780415</v>
      </c>
      <c r="F80" s="91" t="s">
        <v>3159</v>
      </c>
      <c r="G80" s="91" t="b">
        <v>0</v>
      </c>
      <c r="H80" s="91" t="b">
        <v>0</v>
      </c>
      <c r="I80" s="91" t="b">
        <v>0</v>
      </c>
      <c r="J80" s="91" t="b">
        <v>0</v>
      </c>
      <c r="K80" s="91" t="b">
        <v>0</v>
      </c>
      <c r="L80" s="91" t="b">
        <v>0</v>
      </c>
    </row>
    <row r="81" spans="1:12" ht="15">
      <c r="A81" s="92" t="s">
        <v>2565</v>
      </c>
      <c r="B81" s="91" t="s">
        <v>2622</v>
      </c>
      <c r="C81" s="91">
        <v>23</v>
      </c>
      <c r="D81" s="114">
        <v>0.002440335210422572</v>
      </c>
      <c r="E81" s="114">
        <v>1.4022498498810392</v>
      </c>
      <c r="F81" s="91" t="s">
        <v>3159</v>
      </c>
      <c r="G81" s="91" t="b">
        <v>0</v>
      </c>
      <c r="H81" s="91" t="b">
        <v>0</v>
      </c>
      <c r="I81" s="91" t="b">
        <v>0</v>
      </c>
      <c r="J81" s="91" t="b">
        <v>0</v>
      </c>
      <c r="K81" s="91" t="b">
        <v>0</v>
      </c>
      <c r="L81" s="91" t="b">
        <v>0</v>
      </c>
    </row>
    <row r="82" spans="1:12" ht="15">
      <c r="A82" s="92" t="s">
        <v>2673</v>
      </c>
      <c r="B82" s="91" t="s">
        <v>2674</v>
      </c>
      <c r="C82" s="91">
        <v>22</v>
      </c>
      <c r="D82" s="114">
        <v>0.0023699839669334985</v>
      </c>
      <c r="E82" s="114">
        <v>2.7167998317074833</v>
      </c>
      <c r="F82" s="91" t="s">
        <v>3159</v>
      </c>
      <c r="G82" s="91" t="b">
        <v>0</v>
      </c>
      <c r="H82" s="91" t="b">
        <v>0</v>
      </c>
      <c r="I82" s="91" t="b">
        <v>0</v>
      </c>
      <c r="J82" s="91" t="b">
        <v>0</v>
      </c>
      <c r="K82" s="91" t="b">
        <v>0</v>
      </c>
      <c r="L82" s="91" t="b">
        <v>0</v>
      </c>
    </row>
    <row r="83" spans="1:12" ht="15">
      <c r="A83" s="92" t="s">
        <v>2674</v>
      </c>
      <c r="B83" s="91" t="s">
        <v>2581</v>
      </c>
      <c r="C83" s="91">
        <v>22</v>
      </c>
      <c r="D83" s="114">
        <v>0.0023699839669334985</v>
      </c>
      <c r="E83" s="114">
        <v>1.9623124995216332</v>
      </c>
      <c r="F83" s="91" t="s">
        <v>3159</v>
      </c>
      <c r="G83" s="91" t="b">
        <v>0</v>
      </c>
      <c r="H83" s="91" t="b">
        <v>0</v>
      </c>
      <c r="I83" s="91" t="b">
        <v>0</v>
      </c>
      <c r="J83" s="91" t="b">
        <v>0</v>
      </c>
      <c r="K83" s="91" t="b">
        <v>0</v>
      </c>
      <c r="L83" s="91" t="b">
        <v>0</v>
      </c>
    </row>
    <row r="84" spans="1:12" ht="15">
      <c r="A84" s="92" t="s">
        <v>2581</v>
      </c>
      <c r="B84" s="91" t="s">
        <v>2675</v>
      </c>
      <c r="C84" s="91">
        <v>22</v>
      </c>
      <c r="D84" s="114">
        <v>0.0023699839669334985</v>
      </c>
      <c r="E84" s="114">
        <v>1.9623124995216332</v>
      </c>
      <c r="F84" s="91" t="s">
        <v>3159</v>
      </c>
      <c r="G84" s="91" t="b">
        <v>0</v>
      </c>
      <c r="H84" s="91" t="b">
        <v>0</v>
      </c>
      <c r="I84" s="91" t="b">
        <v>0</v>
      </c>
      <c r="J84" s="91" t="b">
        <v>0</v>
      </c>
      <c r="K84" s="91" t="b">
        <v>0</v>
      </c>
      <c r="L84" s="91" t="b">
        <v>0</v>
      </c>
    </row>
    <row r="85" spans="1:12" ht="15">
      <c r="A85" s="92" t="s">
        <v>2675</v>
      </c>
      <c r="B85" s="91" t="s">
        <v>2610</v>
      </c>
      <c r="C85" s="91">
        <v>22</v>
      </c>
      <c r="D85" s="114">
        <v>0.0023699839669334985</v>
      </c>
      <c r="E85" s="114">
        <v>2.281071262146046</v>
      </c>
      <c r="F85" s="91" t="s">
        <v>3159</v>
      </c>
      <c r="G85" s="91" t="b">
        <v>0</v>
      </c>
      <c r="H85" s="91" t="b">
        <v>0</v>
      </c>
      <c r="I85" s="91" t="b">
        <v>0</v>
      </c>
      <c r="J85" s="91" t="b">
        <v>0</v>
      </c>
      <c r="K85" s="91" t="b">
        <v>0</v>
      </c>
      <c r="L85" s="91" t="b">
        <v>0</v>
      </c>
    </row>
    <row r="86" spans="1:12" ht="15">
      <c r="A86" s="92" t="s">
        <v>2610</v>
      </c>
      <c r="B86" s="91" t="s">
        <v>2567</v>
      </c>
      <c r="C86" s="91">
        <v>22</v>
      </c>
      <c r="D86" s="114">
        <v>0.0023699839669334985</v>
      </c>
      <c r="E86" s="114">
        <v>1.2870342091197227</v>
      </c>
      <c r="F86" s="91" t="s">
        <v>3159</v>
      </c>
      <c r="G86" s="91" t="b">
        <v>0</v>
      </c>
      <c r="H86" s="91" t="b">
        <v>0</v>
      </c>
      <c r="I86" s="91" t="b">
        <v>0</v>
      </c>
      <c r="J86" s="91" t="b">
        <v>0</v>
      </c>
      <c r="K86" s="91" t="b">
        <v>0</v>
      </c>
      <c r="L86" s="91" t="b">
        <v>0</v>
      </c>
    </row>
    <row r="87" spans="1:12" ht="15">
      <c r="A87" s="92" t="s">
        <v>2567</v>
      </c>
      <c r="B87" s="91" t="s">
        <v>2617</v>
      </c>
      <c r="C87" s="91">
        <v>22</v>
      </c>
      <c r="D87" s="114">
        <v>0.0023699839669334985</v>
      </c>
      <c r="E87" s="114">
        <v>1.3763393280871257</v>
      </c>
      <c r="F87" s="91" t="s">
        <v>3159</v>
      </c>
      <c r="G87" s="91" t="b">
        <v>0</v>
      </c>
      <c r="H87" s="91" t="b">
        <v>0</v>
      </c>
      <c r="I87" s="91" t="b">
        <v>0</v>
      </c>
      <c r="J87" s="91" t="b">
        <v>0</v>
      </c>
      <c r="K87" s="91" t="b">
        <v>0</v>
      </c>
      <c r="L87" s="91" t="b">
        <v>0</v>
      </c>
    </row>
    <row r="88" spans="1:12" ht="15">
      <c r="A88" s="92" t="s">
        <v>2617</v>
      </c>
      <c r="B88" s="91" t="s">
        <v>2577</v>
      </c>
      <c r="C88" s="91">
        <v>22</v>
      </c>
      <c r="D88" s="114">
        <v>0.0023699839669334985</v>
      </c>
      <c r="E88" s="114">
        <v>1.7962323951988446</v>
      </c>
      <c r="F88" s="91" t="s">
        <v>3159</v>
      </c>
      <c r="G88" s="91" t="b">
        <v>0</v>
      </c>
      <c r="H88" s="91" t="b">
        <v>0</v>
      </c>
      <c r="I88" s="91" t="b">
        <v>0</v>
      </c>
      <c r="J88" s="91" t="b">
        <v>0</v>
      </c>
      <c r="K88" s="91" t="b">
        <v>0</v>
      </c>
      <c r="L88" s="91" t="b">
        <v>0</v>
      </c>
    </row>
    <row r="89" spans="1:12" ht="15">
      <c r="A89" s="92" t="s">
        <v>2577</v>
      </c>
      <c r="B89" s="91" t="s">
        <v>2571</v>
      </c>
      <c r="C89" s="91">
        <v>22</v>
      </c>
      <c r="D89" s="114">
        <v>0.0023699839669334985</v>
      </c>
      <c r="E89" s="114">
        <v>0.9511343551845878</v>
      </c>
      <c r="F89" s="91" t="s">
        <v>3159</v>
      </c>
      <c r="G89" s="91" t="b">
        <v>0</v>
      </c>
      <c r="H89" s="91" t="b">
        <v>0</v>
      </c>
      <c r="I89" s="91" t="b">
        <v>0</v>
      </c>
      <c r="J89" s="91" t="b">
        <v>0</v>
      </c>
      <c r="K89" s="91" t="b">
        <v>0</v>
      </c>
      <c r="L89" s="91" t="b">
        <v>0</v>
      </c>
    </row>
    <row r="90" spans="1:12" ht="15">
      <c r="A90" s="92" t="s">
        <v>2571</v>
      </c>
      <c r="B90" s="91" t="s">
        <v>2631</v>
      </c>
      <c r="C90" s="91">
        <v>22</v>
      </c>
      <c r="D90" s="114">
        <v>0.0023699839669334985</v>
      </c>
      <c r="E90" s="114">
        <v>1.4528411474190848</v>
      </c>
      <c r="F90" s="91" t="s">
        <v>3159</v>
      </c>
      <c r="G90" s="91" t="b">
        <v>0</v>
      </c>
      <c r="H90" s="91" t="b">
        <v>0</v>
      </c>
      <c r="I90" s="91" t="b">
        <v>0</v>
      </c>
      <c r="J90" s="91" t="b">
        <v>0</v>
      </c>
      <c r="K90" s="91" t="b">
        <v>0</v>
      </c>
      <c r="L90" s="91" t="b">
        <v>0</v>
      </c>
    </row>
    <row r="91" spans="1:12" ht="15">
      <c r="A91" s="92" t="s">
        <v>2631</v>
      </c>
      <c r="B91" s="91" t="s">
        <v>2659</v>
      </c>
      <c r="C91" s="91">
        <v>22</v>
      </c>
      <c r="D91" s="114">
        <v>0.0023699839669334985</v>
      </c>
      <c r="E91" s="114">
        <v>2.3602525081936707</v>
      </c>
      <c r="F91" s="91" t="s">
        <v>3159</v>
      </c>
      <c r="G91" s="91" t="b">
        <v>0</v>
      </c>
      <c r="H91" s="91" t="b">
        <v>0</v>
      </c>
      <c r="I91" s="91" t="b">
        <v>0</v>
      </c>
      <c r="J91" s="91" t="b">
        <v>0</v>
      </c>
      <c r="K91" s="91" t="b">
        <v>0</v>
      </c>
      <c r="L91" s="91" t="b">
        <v>0</v>
      </c>
    </row>
    <row r="92" spans="1:12" ht="15">
      <c r="A92" s="92" t="s">
        <v>2659</v>
      </c>
      <c r="B92" s="91" t="s">
        <v>2573</v>
      </c>
      <c r="C92" s="91">
        <v>22</v>
      </c>
      <c r="D92" s="114">
        <v>0.0023699839669334985</v>
      </c>
      <c r="E92" s="114">
        <v>1.7862212404659519</v>
      </c>
      <c r="F92" s="91" t="s">
        <v>3159</v>
      </c>
      <c r="G92" s="91" t="b">
        <v>0</v>
      </c>
      <c r="H92" s="91" t="b">
        <v>0</v>
      </c>
      <c r="I92" s="91" t="b">
        <v>0</v>
      </c>
      <c r="J92" s="91" t="b">
        <v>0</v>
      </c>
      <c r="K92" s="91" t="b">
        <v>0</v>
      </c>
      <c r="L92" s="91" t="b">
        <v>0</v>
      </c>
    </row>
    <row r="93" spans="1:12" ht="15">
      <c r="A93" s="92" t="s">
        <v>2573</v>
      </c>
      <c r="B93" s="91" t="s">
        <v>2565</v>
      </c>
      <c r="C93" s="91">
        <v>22</v>
      </c>
      <c r="D93" s="114">
        <v>0.0023699839669334985</v>
      </c>
      <c r="E93" s="114">
        <v>0.81867326424709</v>
      </c>
      <c r="F93" s="91" t="s">
        <v>3159</v>
      </c>
      <c r="G93" s="91" t="b">
        <v>0</v>
      </c>
      <c r="H93" s="91" t="b">
        <v>0</v>
      </c>
      <c r="I93" s="91" t="b">
        <v>0</v>
      </c>
      <c r="J93" s="91" t="b">
        <v>0</v>
      </c>
      <c r="K93" s="91" t="b">
        <v>0</v>
      </c>
      <c r="L93" s="91" t="b">
        <v>0</v>
      </c>
    </row>
    <row r="94" spans="1:12" ht="15">
      <c r="A94" s="92" t="s">
        <v>2565</v>
      </c>
      <c r="B94" s="91" t="s">
        <v>2579</v>
      </c>
      <c r="C94" s="91">
        <v>22</v>
      </c>
      <c r="D94" s="114">
        <v>0.0023699839669334985</v>
      </c>
      <c r="E94" s="114">
        <v>0.9155832772551463</v>
      </c>
      <c r="F94" s="91" t="s">
        <v>3159</v>
      </c>
      <c r="G94" s="91" t="b">
        <v>0</v>
      </c>
      <c r="H94" s="91" t="b">
        <v>0</v>
      </c>
      <c r="I94" s="91" t="b">
        <v>0</v>
      </c>
      <c r="J94" s="91" t="b">
        <v>0</v>
      </c>
      <c r="K94" s="91" t="b">
        <v>0</v>
      </c>
      <c r="L94" s="91" t="b">
        <v>0</v>
      </c>
    </row>
    <row r="95" spans="1:12" ht="15">
      <c r="A95" s="92" t="s">
        <v>2584</v>
      </c>
      <c r="B95" s="91" t="s">
        <v>2644</v>
      </c>
      <c r="C95" s="91">
        <v>22</v>
      </c>
      <c r="D95" s="114">
        <v>0.0023699839669334985</v>
      </c>
      <c r="E95" s="114">
        <v>1.83227128373685</v>
      </c>
      <c r="F95" s="91" t="s">
        <v>3159</v>
      </c>
      <c r="G95" s="91" t="b">
        <v>0</v>
      </c>
      <c r="H95" s="91" t="b">
        <v>0</v>
      </c>
      <c r="I95" s="91" t="b">
        <v>0</v>
      </c>
      <c r="J95" s="91" t="b">
        <v>0</v>
      </c>
      <c r="K95" s="91" t="b">
        <v>0</v>
      </c>
      <c r="L95" s="91" t="b">
        <v>0</v>
      </c>
    </row>
    <row r="96" spans="1:12" ht="15">
      <c r="A96" s="92" t="s">
        <v>2570</v>
      </c>
      <c r="B96" s="91" t="s">
        <v>2645</v>
      </c>
      <c r="C96" s="91">
        <v>22</v>
      </c>
      <c r="D96" s="114">
        <v>0.0023699839669334985</v>
      </c>
      <c r="E96" s="114">
        <v>1.5565471533376392</v>
      </c>
      <c r="F96" s="91" t="s">
        <v>3159</v>
      </c>
      <c r="G96" s="91" t="b">
        <v>0</v>
      </c>
      <c r="H96" s="91" t="b">
        <v>0</v>
      </c>
      <c r="I96" s="91" t="b">
        <v>0</v>
      </c>
      <c r="J96" s="91" t="b">
        <v>0</v>
      </c>
      <c r="K96" s="91" t="b">
        <v>0</v>
      </c>
      <c r="L96" s="91" t="b">
        <v>0</v>
      </c>
    </row>
    <row r="97" spans="1:12" ht="15">
      <c r="A97" s="92" t="s">
        <v>2645</v>
      </c>
      <c r="B97" s="91" t="s">
        <v>2632</v>
      </c>
      <c r="C97" s="91">
        <v>22</v>
      </c>
      <c r="D97" s="114">
        <v>0.0023699839669334985</v>
      </c>
      <c r="E97" s="114">
        <v>2.2469169859117404</v>
      </c>
      <c r="F97" s="91" t="s">
        <v>3159</v>
      </c>
      <c r="G97" s="91" t="b">
        <v>0</v>
      </c>
      <c r="H97" s="91" t="b">
        <v>0</v>
      </c>
      <c r="I97" s="91" t="b">
        <v>0</v>
      </c>
      <c r="J97" s="91" t="b">
        <v>0</v>
      </c>
      <c r="K97" s="91" t="b">
        <v>0</v>
      </c>
      <c r="L97" s="91" t="b">
        <v>0</v>
      </c>
    </row>
    <row r="98" spans="1:12" ht="15">
      <c r="A98" s="92" t="s">
        <v>2632</v>
      </c>
      <c r="B98" s="91" t="s">
        <v>436</v>
      </c>
      <c r="C98" s="91">
        <v>22</v>
      </c>
      <c r="D98" s="114">
        <v>0.0023699839669334985</v>
      </c>
      <c r="E98" s="114">
        <v>2.435973222131789</v>
      </c>
      <c r="F98" s="91" t="s">
        <v>3159</v>
      </c>
      <c r="G98" s="91" t="b">
        <v>0</v>
      </c>
      <c r="H98" s="91" t="b">
        <v>0</v>
      </c>
      <c r="I98" s="91" t="b">
        <v>0</v>
      </c>
      <c r="J98" s="91" t="b">
        <v>0</v>
      </c>
      <c r="K98" s="91" t="b">
        <v>0</v>
      </c>
      <c r="L98" s="91" t="b">
        <v>0</v>
      </c>
    </row>
    <row r="99" spans="1:12" ht="15">
      <c r="A99" s="92" t="s">
        <v>2572</v>
      </c>
      <c r="B99" s="91" t="s">
        <v>611</v>
      </c>
      <c r="C99" s="91">
        <v>22</v>
      </c>
      <c r="D99" s="114">
        <v>0.0023699839669334985</v>
      </c>
      <c r="E99" s="114">
        <v>1.81867326424709</v>
      </c>
      <c r="F99" s="91" t="s">
        <v>3159</v>
      </c>
      <c r="G99" s="91" t="b">
        <v>0</v>
      </c>
      <c r="H99" s="91" t="b">
        <v>0</v>
      </c>
      <c r="I99" s="91" t="b">
        <v>0</v>
      </c>
      <c r="J99" s="91" t="b">
        <v>0</v>
      </c>
      <c r="K99" s="91" t="b">
        <v>0</v>
      </c>
      <c r="L99" s="91" t="b">
        <v>0</v>
      </c>
    </row>
    <row r="100" spans="1:12" ht="15">
      <c r="A100" s="92" t="s">
        <v>611</v>
      </c>
      <c r="B100" s="91" t="s">
        <v>2666</v>
      </c>
      <c r="C100" s="91">
        <v>22</v>
      </c>
      <c r="D100" s="114">
        <v>0.0023699839669334985</v>
      </c>
      <c r="E100" s="114">
        <v>2.6790112708180835</v>
      </c>
      <c r="F100" s="91" t="s">
        <v>3159</v>
      </c>
      <c r="G100" s="91" t="b">
        <v>0</v>
      </c>
      <c r="H100" s="91" t="b">
        <v>0</v>
      </c>
      <c r="I100" s="91" t="b">
        <v>0</v>
      </c>
      <c r="J100" s="91" t="b">
        <v>0</v>
      </c>
      <c r="K100" s="91" t="b">
        <v>0</v>
      </c>
      <c r="L100" s="91" t="b">
        <v>0</v>
      </c>
    </row>
    <row r="101" spans="1:12" ht="15">
      <c r="A101" s="92" t="s">
        <v>2666</v>
      </c>
      <c r="B101" s="91" t="s">
        <v>2630</v>
      </c>
      <c r="C101" s="91">
        <v>22</v>
      </c>
      <c r="D101" s="114">
        <v>0.0023699839669334985</v>
      </c>
      <c r="E101" s="114">
        <v>2.3779812751541023</v>
      </c>
      <c r="F101" s="91" t="s">
        <v>3159</v>
      </c>
      <c r="G101" s="91" t="b">
        <v>0</v>
      </c>
      <c r="H101" s="91" t="b">
        <v>0</v>
      </c>
      <c r="I101" s="91" t="b">
        <v>0</v>
      </c>
      <c r="J101" s="91" t="b">
        <v>0</v>
      </c>
      <c r="K101" s="91" t="b">
        <v>0</v>
      </c>
      <c r="L101" s="91" t="b">
        <v>0</v>
      </c>
    </row>
    <row r="102" spans="1:12" ht="15">
      <c r="A102" s="92" t="s">
        <v>2630</v>
      </c>
      <c r="B102" s="91" t="s">
        <v>2676</v>
      </c>
      <c r="C102" s="91">
        <v>22</v>
      </c>
      <c r="D102" s="114">
        <v>0.0023699839669334985</v>
      </c>
      <c r="E102" s="114">
        <v>2.415769836043502</v>
      </c>
      <c r="F102" s="91" t="s">
        <v>3159</v>
      </c>
      <c r="G102" s="91" t="b">
        <v>0</v>
      </c>
      <c r="H102" s="91" t="b">
        <v>0</v>
      </c>
      <c r="I102" s="91" t="b">
        <v>0</v>
      </c>
      <c r="J102" s="91" t="b">
        <v>0</v>
      </c>
      <c r="K102" s="91" t="b">
        <v>0</v>
      </c>
      <c r="L102" s="91" t="b">
        <v>0</v>
      </c>
    </row>
    <row r="103" spans="1:12" ht="15">
      <c r="A103" s="92" t="s">
        <v>2676</v>
      </c>
      <c r="B103" s="91" t="s">
        <v>2580</v>
      </c>
      <c r="C103" s="91">
        <v>22</v>
      </c>
      <c r="D103" s="114">
        <v>0.0023699839669334985</v>
      </c>
      <c r="E103" s="114">
        <v>1.9486328022304407</v>
      </c>
      <c r="F103" s="91" t="s">
        <v>3159</v>
      </c>
      <c r="G103" s="91" t="b">
        <v>0</v>
      </c>
      <c r="H103" s="91" t="b">
        <v>0</v>
      </c>
      <c r="I103" s="91" t="b">
        <v>0</v>
      </c>
      <c r="J103" s="91" t="b">
        <v>0</v>
      </c>
      <c r="K103" s="91" t="b">
        <v>0</v>
      </c>
      <c r="L103" s="91" t="b">
        <v>0</v>
      </c>
    </row>
    <row r="104" spans="1:12" ht="15">
      <c r="A104" s="92" t="s">
        <v>2580</v>
      </c>
      <c r="B104" s="91" t="s">
        <v>2677</v>
      </c>
      <c r="C104" s="91">
        <v>22</v>
      </c>
      <c r="D104" s="114">
        <v>0.0023699839669334985</v>
      </c>
      <c r="E104" s="114">
        <v>1.9486328022304407</v>
      </c>
      <c r="F104" s="91" t="s">
        <v>3159</v>
      </c>
      <c r="G104" s="91" t="b">
        <v>0</v>
      </c>
      <c r="H104" s="91" t="b">
        <v>0</v>
      </c>
      <c r="I104" s="91" t="b">
        <v>0</v>
      </c>
      <c r="J104" s="91" t="b">
        <v>0</v>
      </c>
      <c r="K104" s="91" t="b">
        <v>0</v>
      </c>
      <c r="L104" s="91" t="b">
        <v>0</v>
      </c>
    </row>
    <row r="105" spans="1:12" ht="15">
      <c r="A105" s="92" t="s">
        <v>2677</v>
      </c>
      <c r="B105" s="91" t="s">
        <v>2678</v>
      </c>
      <c r="C105" s="91">
        <v>22</v>
      </c>
      <c r="D105" s="114">
        <v>0.0023699839669334985</v>
      </c>
      <c r="E105" s="114">
        <v>2.7167998317074833</v>
      </c>
      <c r="F105" s="91" t="s">
        <v>3159</v>
      </c>
      <c r="G105" s="91" t="b">
        <v>0</v>
      </c>
      <c r="H105" s="91" t="b">
        <v>0</v>
      </c>
      <c r="I105" s="91" t="b">
        <v>0</v>
      </c>
      <c r="J105" s="91" t="b">
        <v>0</v>
      </c>
      <c r="K105" s="91" t="b">
        <v>0</v>
      </c>
      <c r="L105" s="91" t="b">
        <v>0</v>
      </c>
    </row>
    <row r="106" spans="1:12" ht="15">
      <c r="A106" s="92" t="s">
        <v>2678</v>
      </c>
      <c r="B106" s="91" t="s">
        <v>2631</v>
      </c>
      <c r="C106" s="91">
        <v>22</v>
      </c>
      <c r="D106" s="114">
        <v>0.0023699839669334985</v>
      </c>
      <c r="E106" s="114">
        <v>2.415769836043502</v>
      </c>
      <c r="F106" s="91" t="s">
        <v>3159</v>
      </c>
      <c r="G106" s="91" t="b">
        <v>0</v>
      </c>
      <c r="H106" s="91" t="b">
        <v>0</v>
      </c>
      <c r="I106" s="91" t="b">
        <v>0</v>
      </c>
      <c r="J106" s="91" t="b">
        <v>0</v>
      </c>
      <c r="K106" s="91" t="b">
        <v>0</v>
      </c>
      <c r="L106" s="91" t="b">
        <v>0</v>
      </c>
    </row>
    <row r="107" spans="1:12" ht="15">
      <c r="A107" s="92" t="s">
        <v>2631</v>
      </c>
      <c r="B107" s="91" t="s">
        <v>2610</v>
      </c>
      <c r="C107" s="91">
        <v>22</v>
      </c>
      <c r="D107" s="114">
        <v>0.0023699839669334985</v>
      </c>
      <c r="E107" s="114">
        <v>1.9800412664820648</v>
      </c>
      <c r="F107" s="91" t="s">
        <v>3159</v>
      </c>
      <c r="G107" s="91" t="b">
        <v>0</v>
      </c>
      <c r="H107" s="91" t="b">
        <v>0</v>
      </c>
      <c r="I107" s="91" t="b">
        <v>0</v>
      </c>
      <c r="J107" s="91" t="b">
        <v>0</v>
      </c>
      <c r="K107" s="91" t="b">
        <v>0</v>
      </c>
      <c r="L107" s="91" t="b">
        <v>0</v>
      </c>
    </row>
    <row r="108" spans="1:12" ht="15">
      <c r="A108" s="92" t="s">
        <v>2610</v>
      </c>
      <c r="B108" s="91" t="s">
        <v>2577</v>
      </c>
      <c r="C108" s="91">
        <v>22</v>
      </c>
      <c r="D108" s="114">
        <v>0.0023699839669334985</v>
      </c>
      <c r="E108" s="114">
        <v>1.4804791427141573</v>
      </c>
      <c r="F108" s="91" t="s">
        <v>3159</v>
      </c>
      <c r="G108" s="91" t="b">
        <v>0</v>
      </c>
      <c r="H108" s="91" t="b">
        <v>0</v>
      </c>
      <c r="I108" s="91" t="b">
        <v>0</v>
      </c>
      <c r="J108" s="91" t="b">
        <v>0</v>
      </c>
      <c r="K108" s="91" t="b">
        <v>0</v>
      </c>
      <c r="L108" s="91" t="b">
        <v>0</v>
      </c>
    </row>
    <row r="109" spans="1:12" ht="15">
      <c r="A109" s="92" t="s">
        <v>2577</v>
      </c>
      <c r="B109" s="91" t="s">
        <v>2658</v>
      </c>
      <c r="C109" s="91">
        <v>22</v>
      </c>
      <c r="D109" s="114">
        <v>0.0023699839669334985</v>
      </c>
      <c r="E109" s="114">
        <v>1.8436570451269827</v>
      </c>
      <c r="F109" s="91" t="s">
        <v>3159</v>
      </c>
      <c r="G109" s="91" t="b">
        <v>0</v>
      </c>
      <c r="H109" s="91" t="b">
        <v>0</v>
      </c>
      <c r="I109" s="91" t="b">
        <v>0</v>
      </c>
      <c r="J109" s="91" t="b">
        <v>0</v>
      </c>
      <c r="K109" s="91" t="b">
        <v>0</v>
      </c>
      <c r="L109" s="91" t="b">
        <v>0</v>
      </c>
    </row>
    <row r="110" spans="1:12" ht="15">
      <c r="A110" s="92" t="s">
        <v>2658</v>
      </c>
      <c r="B110" s="91" t="s">
        <v>2653</v>
      </c>
      <c r="C110" s="91">
        <v>22</v>
      </c>
      <c r="D110" s="114">
        <v>0.0023699839669334985</v>
      </c>
      <c r="E110" s="114">
        <v>2.5553080812220905</v>
      </c>
      <c r="F110" s="91" t="s">
        <v>3159</v>
      </c>
      <c r="G110" s="91" t="b">
        <v>0</v>
      </c>
      <c r="H110" s="91" t="b">
        <v>0</v>
      </c>
      <c r="I110" s="91" t="b">
        <v>0</v>
      </c>
      <c r="J110" s="91" t="b">
        <v>0</v>
      </c>
      <c r="K110" s="91" t="b">
        <v>0</v>
      </c>
      <c r="L110" s="91" t="b">
        <v>0</v>
      </c>
    </row>
    <row r="111" spans="1:12" ht="15">
      <c r="A111" s="92" t="s">
        <v>2653</v>
      </c>
      <c r="B111" s="91" t="s">
        <v>2667</v>
      </c>
      <c r="C111" s="91">
        <v>22</v>
      </c>
      <c r="D111" s="114">
        <v>0.0023699839669334985</v>
      </c>
      <c r="E111" s="114">
        <v>2.6085535931753157</v>
      </c>
      <c r="F111" s="91" t="s">
        <v>3159</v>
      </c>
      <c r="G111" s="91" t="b">
        <v>0</v>
      </c>
      <c r="H111" s="91" t="b">
        <v>0</v>
      </c>
      <c r="I111" s="91" t="b">
        <v>0</v>
      </c>
      <c r="J111" s="91" t="b">
        <v>0</v>
      </c>
      <c r="K111" s="91" t="b">
        <v>0</v>
      </c>
      <c r="L111" s="91" t="b">
        <v>0</v>
      </c>
    </row>
    <row r="112" spans="1:12" ht="15">
      <c r="A112" s="92" t="s">
        <v>2667</v>
      </c>
      <c r="B112" s="91" t="s">
        <v>2578</v>
      </c>
      <c r="C112" s="91">
        <v>22</v>
      </c>
      <c r="D112" s="114">
        <v>0.0023699839669334985</v>
      </c>
      <c r="E112" s="114">
        <v>1.9327073876864347</v>
      </c>
      <c r="F112" s="91" t="s">
        <v>3159</v>
      </c>
      <c r="G112" s="91" t="b">
        <v>0</v>
      </c>
      <c r="H112" s="91" t="b">
        <v>0</v>
      </c>
      <c r="I112" s="91" t="b">
        <v>0</v>
      </c>
      <c r="J112" s="91" t="b">
        <v>0</v>
      </c>
      <c r="K112" s="91" t="b">
        <v>0</v>
      </c>
      <c r="L112" s="91" t="b">
        <v>0</v>
      </c>
    </row>
    <row r="113" spans="1:12" ht="15">
      <c r="A113" s="92" t="s">
        <v>2578</v>
      </c>
      <c r="B113" s="91" t="s">
        <v>2612</v>
      </c>
      <c r="C113" s="91">
        <v>22</v>
      </c>
      <c r="D113" s="114">
        <v>0.0023699839669334985</v>
      </c>
      <c r="E113" s="114">
        <v>1.5154365691843985</v>
      </c>
      <c r="F113" s="91" t="s">
        <v>3159</v>
      </c>
      <c r="G113" s="91" t="b">
        <v>0</v>
      </c>
      <c r="H113" s="91" t="b">
        <v>0</v>
      </c>
      <c r="I113" s="91" t="b">
        <v>0</v>
      </c>
      <c r="J113" s="91" t="b">
        <v>0</v>
      </c>
      <c r="K113" s="91" t="b">
        <v>0</v>
      </c>
      <c r="L113" s="91" t="b">
        <v>0</v>
      </c>
    </row>
    <row r="114" spans="1:12" ht="15">
      <c r="A114" s="92" t="s">
        <v>2612</v>
      </c>
      <c r="B114" s="91" t="s">
        <v>2679</v>
      </c>
      <c r="C114" s="91">
        <v>22</v>
      </c>
      <c r="D114" s="114">
        <v>0.0023699839669334985</v>
      </c>
      <c r="E114" s="114">
        <v>2.351652336431753</v>
      </c>
      <c r="F114" s="91" t="s">
        <v>3159</v>
      </c>
      <c r="G114" s="91" t="b">
        <v>0</v>
      </c>
      <c r="H114" s="91" t="b">
        <v>0</v>
      </c>
      <c r="I114" s="91" t="b">
        <v>0</v>
      </c>
      <c r="J114" s="91" t="b">
        <v>0</v>
      </c>
      <c r="K114" s="91" t="b">
        <v>0</v>
      </c>
      <c r="L114" s="91" t="b">
        <v>0</v>
      </c>
    </row>
    <row r="115" spans="1:12" ht="15">
      <c r="A115" s="92" t="s">
        <v>2679</v>
      </c>
      <c r="B115" s="91" t="s">
        <v>2565</v>
      </c>
      <c r="C115" s="91">
        <v>22</v>
      </c>
      <c r="D115" s="114">
        <v>0.0023699839669334985</v>
      </c>
      <c r="E115" s="114">
        <v>1.69373452763879</v>
      </c>
      <c r="F115" s="91" t="s">
        <v>3159</v>
      </c>
      <c r="G115" s="91" t="b">
        <v>0</v>
      </c>
      <c r="H115" s="91" t="b">
        <v>0</v>
      </c>
      <c r="I115" s="91" t="b">
        <v>0</v>
      </c>
      <c r="J115" s="91" t="b">
        <v>0</v>
      </c>
      <c r="K115" s="91" t="b">
        <v>0</v>
      </c>
      <c r="L115" s="91" t="b">
        <v>0</v>
      </c>
    </row>
    <row r="116" spans="1:12" ht="15">
      <c r="A116" s="92" t="s">
        <v>2565</v>
      </c>
      <c r="B116" s="91" t="s">
        <v>2571</v>
      </c>
      <c r="C116" s="91">
        <v>22</v>
      </c>
      <c r="D116" s="114">
        <v>0.0023699839669334985</v>
      </c>
      <c r="E116" s="114">
        <v>0.7286611705477833</v>
      </c>
      <c r="F116" s="91" t="s">
        <v>3159</v>
      </c>
      <c r="G116" s="91" t="b">
        <v>0</v>
      </c>
      <c r="H116" s="91" t="b">
        <v>0</v>
      </c>
      <c r="I116" s="91" t="b">
        <v>0</v>
      </c>
      <c r="J116" s="91" t="b">
        <v>0</v>
      </c>
      <c r="K116" s="91" t="b">
        <v>0</v>
      </c>
      <c r="L116" s="91" t="b">
        <v>0</v>
      </c>
    </row>
    <row r="117" spans="1:12" ht="15">
      <c r="A117" s="92" t="s">
        <v>2571</v>
      </c>
      <c r="B117" s="91" t="s">
        <v>2622</v>
      </c>
      <c r="C117" s="91">
        <v>22</v>
      </c>
      <c r="D117" s="114">
        <v>0.0023699839669334985</v>
      </c>
      <c r="E117" s="114">
        <v>1.4430813101299285</v>
      </c>
      <c r="F117" s="91" t="s">
        <v>3159</v>
      </c>
      <c r="G117" s="91" t="b">
        <v>0</v>
      </c>
      <c r="H117" s="91" t="b">
        <v>0</v>
      </c>
      <c r="I117" s="91" t="b">
        <v>0</v>
      </c>
      <c r="J117" s="91" t="b">
        <v>0</v>
      </c>
      <c r="K117" s="91" t="b">
        <v>0</v>
      </c>
      <c r="L117" s="91" t="b">
        <v>0</v>
      </c>
    </row>
    <row r="118" spans="1:12" ht="15">
      <c r="A118" s="92" t="s">
        <v>2616</v>
      </c>
      <c r="B118" s="91" t="s">
        <v>2564</v>
      </c>
      <c r="C118" s="91">
        <v>21</v>
      </c>
      <c r="D118" s="114">
        <v>0.0022979704791986446</v>
      </c>
      <c r="E118" s="114">
        <v>1.0432244406625144</v>
      </c>
      <c r="F118" s="91" t="s">
        <v>3159</v>
      </c>
      <c r="G118" s="91" t="b">
        <v>0</v>
      </c>
      <c r="H118" s="91" t="b">
        <v>0</v>
      </c>
      <c r="I118" s="91" t="b">
        <v>0</v>
      </c>
      <c r="J118" s="91" t="b">
        <v>0</v>
      </c>
      <c r="K118" s="91" t="b">
        <v>0</v>
      </c>
      <c r="L118" s="91" t="b">
        <v>0</v>
      </c>
    </row>
    <row r="119" spans="1:12" ht="15">
      <c r="A119" s="92" t="s">
        <v>2661</v>
      </c>
      <c r="B119" s="91" t="s">
        <v>2656</v>
      </c>
      <c r="C119" s="91">
        <v>21</v>
      </c>
      <c r="D119" s="114">
        <v>0.0022979704791986446</v>
      </c>
      <c r="E119" s="114">
        <v>2.5685284506207533</v>
      </c>
      <c r="F119" s="91" t="s">
        <v>3159</v>
      </c>
      <c r="G119" s="91" t="b">
        <v>0</v>
      </c>
      <c r="H119" s="91" t="b">
        <v>0</v>
      </c>
      <c r="I119" s="91" t="b">
        <v>0</v>
      </c>
      <c r="J119" s="91" t="b">
        <v>0</v>
      </c>
      <c r="K119" s="91" t="b">
        <v>0</v>
      </c>
      <c r="L119" s="91" t="b">
        <v>0</v>
      </c>
    </row>
    <row r="120" spans="1:12" ht="15">
      <c r="A120" s="92" t="s">
        <v>2583</v>
      </c>
      <c r="B120" s="91" t="s">
        <v>2617</v>
      </c>
      <c r="C120" s="91">
        <v>21</v>
      </c>
      <c r="D120" s="114">
        <v>0.0022979704791986446</v>
      </c>
      <c r="E120" s="114">
        <v>1.7903772002371097</v>
      </c>
      <c r="F120" s="91" t="s">
        <v>3159</v>
      </c>
      <c r="G120" s="91" t="b">
        <v>0</v>
      </c>
      <c r="H120" s="91" t="b">
        <v>0</v>
      </c>
      <c r="I120" s="91" t="b">
        <v>0</v>
      </c>
      <c r="J120" s="91" t="b">
        <v>0</v>
      </c>
      <c r="K120" s="91" t="b">
        <v>0</v>
      </c>
      <c r="L120" s="91" t="b">
        <v>0</v>
      </c>
    </row>
    <row r="121" spans="1:12" ht="15">
      <c r="A121" s="92" t="s">
        <v>2582</v>
      </c>
      <c r="B121" s="91" t="s">
        <v>2589</v>
      </c>
      <c r="C121" s="91">
        <v>21</v>
      </c>
      <c r="D121" s="114">
        <v>0.0022979704791986446</v>
      </c>
      <c r="E121" s="114">
        <v>1.436663126140102</v>
      </c>
      <c r="F121" s="91" t="s">
        <v>3159</v>
      </c>
      <c r="G121" s="91" t="b">
        <v>0</v>
      </c>
      <c r="H121" s="91" t="b">
        <v>0</v>
      </c>
      <c r="I121" s="91" t="b">
        <v>0</v>
      </c>
      <c r="J121" s="91" t="b">
        <v>0</v>
      </c>
      <c r="K121" s="91" t="b">
        <v>0</v>
      </c>
      <c r="L121" s="91" t="b">
        <v>0</v>
      </c>
    </row>
    <row r="122" spans="1:12" ht="15">
      <c r="A122" s="92" t="s">
        <v>2681</v>
      </c>
      <c r="B122" s="91" t="s">
        <v>2682</v>
      </c>
      <c r="C122" s="91">
        <v>21</v>
      </c>
      <c r="D122" s="114">
        <v>0.0022979704791986446</v>
      </c>
      <c r="E122" s="114">
        <v>2.7370032177957704</v>
      </c>
      <c r="F122" s="91" t="s">
        <v>3159</v>
      </c>
      <c r="G122" s="91" t="b">
        <v>0</v>
      </c>
      <c r="H122" s="91" t="b">
        <v>0</v>
      </c>
      <c r="I122" s="91" t="b">
        <v>0</v>
      </c>
      <c r="J122" s="91" t="b">
        <v>0</v>
      </c>
      <c r="K122" s="91" t="b">
        <v>0</v>
      </c>
      <c r="L122" s="91" t="b">
        <v>0</v>
      </c>
    </row>
    <row r="123" spans="1:12" ht="15">
      <c r="A123" s="92" t="s">
        <v>2682</v>
      </c>
      <c r="B123" s="91" t="s">
        <v>2582</v>
      </c>
      <c r="C123" s="91">
        <v>21</v>
      </c>
      <c r="D123" s="114">
        <v>0.0022979704791986446</v>
      </c>
      <c r="E123" s="114">
        <v>1.9836755511371589</v>
      </c>
      <c r="F123" s="91" t="s">
        <v>3159</v>
      </c>
      <c r="G123" s="91" t="b">
        <v>0</v>
      </c>
      <c r="H123" s="91" t="b">
        <v>0</v>
      </c>
      <c r="I123" s="91" t="b">
        <v>0</v>
      </c>
      <c r="J123" s="91" t="b">
        <v>0</v>
      </c>
      <c r="K123" s="91" t="b">
        <v>0</v>
      </c>
      <c r="L123" s="91" t="b">
        <v>0</v>
      </c>
    </row>
    <row r="124" spans="1:12" ht="15">
      <c r="A124" s="92" t="s">
        <v>2582</v>
      </c>
      <c r="B124" s="91" t="s">
        <v>2683</v>
      </c>
      <c r="C124" s="91">
        <v>21</v>
      </c>
      <c r="D124" s="114">
        <v>0.0022979704791986446</v>
      </c>
      <c r="E124" s="114">
        <v>1.9836755511371589</v>
      </c>
      <c r="F124" s="91" t="s">
        <v>3159</v>
      </c>
      <c r="G124" s="91" t="b">
        <v>0</v>
      </c>
      <c r="H124" s="91" t="b">
        <v>0</v>
      </c>
      <c r="I124" s="91" t="b">
        <v>0</v>
      </c>
      <c r="J124" s="91" t="b">
        <v>0</v>
      </c>
      <c r="K124" s="91" t="b">
        <v>0</v>
      </c>
      <c r="L124" s="91" t="b">
        <v>0</v>
      </c>
    </row>
    <row r="125" spans="1:12" ht="15">
      <c r="A125" s="92" t="s">
        <v>2683</v>
      </c>
      <c r="B125" s="91" t="s">
        <v>2684</v>
      </c>
      <c r="C125" s="91">
        <v>21</v>
      </c>
      <c r="D125" s="114">
        <v>0.0022979704791986446</v>
      </c>
      <c r="E125" s="114">
        <v>2.7370032177957704</v>
      </c>
      <c r="F125" s="91" t="s">
        <v>3159</v>
      </c>
      <c r="G125" s="91" t="b">
        <v>0</v>
      </c>
      <c r="H125" s="91" t="b">
        <v>0</v>
      </c>
      <c r="I125" s="91" t="b">
        <v>0</v>
      </c>
      <c r="J125" s="91" t="b">
        <v>0</v>
      </c>
      <c r="K125" s="91" t="b">
        <v>0</v>
      </c>
      <c r="L125" s="91" t="b">
        <v>0</v>
      </c>
    </row>
    <row r="126" spans="1:12" ht="15">
      <c r="A126" s="92" t="s">
        <v>2684</v>
      </c>
      <c r="B126" s="91" t="s">
        <v>2685</v>
      </c>
      <c r="C126" s="91">
        <v>21</v>
      </c>
      <c r="D126" s="114">
        <v>0.0022979704791986446</v>
      </c>
      <c r="E126" s="114">
        <v>2.7370032177957704</v>
      </c>
      <c r="F126" s="91" t="s">
        <v>3159</v>
      </c>
      <c r="G126" s="91" t="b">
        <v>0</v>
      </c>
      <c r="H126" s="91" t="b">
        <v>0</v>
      </c>
      <c r="I126" s="91" t="b">
        <v>0</v>
      </c>
      <c r="J126" s="91" t="b">
        <v>0</v>
      </c>
      <c r="K126" s="91" t="b">
        <v>0</v>
      </c>
      <c r="L126" s="91" t="b">
        <v>0</v>
      </c>
    </row>
    <row r="127" spans="1:12" ht="15">
      <c r="A127" s="92" t="s">
        <v>2685</v>
      </c>
      <c r="B127" s="91" t="s">
        <v>2686</v>
      </c>
      <c r="C127" s="91">
        <v>21</v>
      </c>
      <c r="D127" s="114">
        <v>0.0022979704791986446</v>
      </c>
      <c r="E127" s="114">
        <v>2.7370032177957704</v>
      </c>
      <c r="F127" s="91" t="s">
        <v>3159</v>
      </c>
      <c r="G127" s="91" t="b">
        <v>0</v>
      </c>
      <c r="H127" s="91" t="b">
        <v>0</v>
      </c>
      <c r="I127" s="91" t="b">
        <v>0</v>
      </c>
      <c r="J127" s="91" t="b">
        <v>0</v>
      </c>
      <c r="K127" s="91" t="b">
        <v>0</v>
      </c>
      <c r="L127" s="91" t="b">
        <v>0</v>
      </c>
    </row>
    <row r="128" spans="1:12" ht="15">
      <c r="A128" s="92" t="s">
        <v>2686</v>
      </c>
      <c r="B128" s="91" t="s">
        <v>2582</v>
      </c>
      <c r="C128" s="91">
        <v>21</v>
      </c>
      <c r="D128" s="114">
        <v>0.0022979704791986446</v>
      </c>
      <c r="E128" s="114">
        <v>1.9836755511371589</v>
      </c>
      <c r="F128" s="91" t="s">
        <v>3159</v>
      </c>
      <c r="G128" s="91" t="b">
        <v>0</v>
      </c>
      <c r="H128" s="91" t="b">
        <v>0</v>
      </c>
      <c r="I128" s="91" t="b">
        <v>0</v>
      </c>
      <c r="J128" s="91" t="b">
        <v>0</v>
      </c>
      <c r="K128" s="91" t="b">
        <v>0</v>
      </c>
      <c r="L128" s="91" t="b">
        <v>0</v>
      </c>
    </row>
    <row r="129" spans="1:12" ht="15">
      <c r="A129" s="92" t="s">
        <v>2582</v>
      </c>
      <c r="B129" s="91" t="s">
        <v>2687</v>
      </c>
      <c r="C129" s="91">
        <v>21</v>
      </c>
      <c r="D129" s="114">
        <v>0.0022979704791986446</v>
      </c>
      <c r="E129" s="114">
        <v>1.9836755511371589</v>
      </c>
      <c r="F129" s="91" t="s">
        <v>3159</v>
      </c>
      <c r="G129" s="91" t="b">
        <v>0</v>
      </c>
      <c r="H129" s="91" t="b">
        <v>0</v>
      </c>
      <c r="I129" s="91" t="b">
        <v>0</v>
      </c>
      <c r="J129" s="91" t="b">
        <v>0</v>
      </c>
      <c r="K129" s="91" t="b">
        <v>0</v>
      </c>
      <c r="L129" s="91" t="b">
        <v>0</v>
      </c>
    </row>
    <row r="130" spans="1:12" ht="15">
      <c r="A130" s="92" t="s">
        <v>2687</v>
      </c>
      <c r="B130" s="91" t="s">
        <v>2688</v>
      </c>
      <c r="C130" s="91">
        <v>21</v>
      </c>
      <c r="D130" s="114">
        <v>0.0022979704791986446</v>
      </c>
      <c r="E130" s="114">
        <v>2.7370032177957704</v>
      </c>
      <c r="F130" s="91" t="s">
        <v>3159</v>
      </c>
      <c r="G130" s="91" t="b">
        <v>0</v>
      </c>
      <c r="H130" s="91" t="b">
        <v>0</v>
      </c>
      <c r="I130" s="91" t="b">
        <v>0</v>
      </c>
      <c r="J130" s="91" t="b">
        <v>0</v>
      </c>
      <c r="K130" s="91" t="b">
        <v>0</v>
      </c>
      <c r="L130" s="91" t="b">
        <v>0</v>
      </c>
    </row>
    <row r="131" spans="1:12" ht="15">
      <c r="A131" s="92" t="s">
        <v>2688</v>
      </c>
      <c r="B131" s="91" t="s">
        <v>2647</v>
      </c>
      <c r="C131" s="91">
        <v>21</v>
      </c>
      <c r="D131" s="114">
        <v>0.0022979704791986446</v>
      </c>
      <c r="E131" s="114">
        <v>2.5540725342097836</v>
      </c>
      <c r="F131" s="91" t="s">
        <v>3159</v>
      </c>
      <c r="G131" s="91" t="b">
        <v>0</v>
      </c>
      <c r="H131" s="91" t="b">
        <v>0</v>
      </c>
      <c r="I131" s="91" t="b">
        <v>0</v>
      </c>
      <c r="J131" s="91" t="b">
        <v>0</v>
      </c>
      <c r="K131" s="91" t="b">
        <v>0</v>
      </c>
      <c r="L131" s="91" t="b">
        <v>0</v>
      </c>
    </row>
    <row r="132" spans="1:12" ht="15">
      <c r="A132" s="92" t="s">
        <v>2647</v>
      </c>
      <c r="B132" s="91" t="s">
        <v>432</v>
      </c>
      <c r="C132" s="91">
        <v>21</v>
      </c>
      <c r="D132" s="114">
        <v>0.0022979704791986446</v>
      </c>
      <c r="E132" s="114">
        <v>2.5540725342097836</v>
      </c>
      <c r="F132" s="91" t="s">
        <v>3159</v>
      </c>
      <c r="G132" s="91" t="b">
        <v>0</v>
      </c>
      <c r="H132" s="91" t="b">
        <v>0</v>
      </c>
      <c r="I132" s="91" t="b">
        <v>0</v>
      </c>
      <c r="J132" s="91" t="b">
        <v>0</v>
      </c>
      <c r="K132" s="91" t="b">
        <v>0</v>
      </c>
      <c r="L132" s="91" t="b">
        <v>0</v>
      </c>
    </row>
    <row r="133" spans="1:12" ht="15">
      <c r="A133" s="92" t="s">
        <v>432</v>
      </c>
      <c r="B133" s="91" t="s">
        <v>2567</v>
      </c>
      <c r="C133" s="91">
        <v>21</v>
      </c>
      <c r="D133" s="114">
        <v>0.0022979704791986446</v>
      </c>
      <c r="E133" s="114">
        <v>1.7227627786811601</v>
      </c>
      <c r="F133" s="91" t="s">
        <v>3159</v>
      </c>
      <c r="G133" s="91" t="b">
        <v>0</v>
      </c>
      <c r="H133" s="91" t="b">
        <v>0</v>
      </c>
      <c r="I133" s="91" t="b">
        <v>0</v>
      </c>
      <c r="J133" s="91" t="b">
        <v>0</v>
      </c>
      <c r="K133" s="91" t="b">
        <v>0</v>
      </c>
      <c r="L133" s="91" t="b">
        <v>0</v>
      </c>
    </row>
    <row r="134" spans="1:12" ht="15">
      <c r="A134" s="92" t="s">
        <v>2567</v>
      </c>
      <c r="B134" s="91" t="s">
        <v>2646</v>
      </c>
      <c r="C134" s="91">
        <v>21</v>
      </c>
      <c r="D134" s="114">
        <v>0.0022979704791986446</v>
      </c>
      <c r="E134" s="114">
        <v>1.5236270292926024</v>
      </c>
      <c r="F134" s="91" t="s">
        <v>3159</v>
      </c>
      <c r="G134" s="91" t="b">
        <v>0</v>
      </c>
      <c r="H134" s="91" t="b">
        <v>0</v>
      </c>
      <c r="I134" s="91" t="b">
        <v>0</v>
      </c>
      <c r="J134" s="91" t="b">
        <v>0</v>
      </c>
      <c r="K134" s="91" t="b">
        <v>0</v>
      </c>
      <c r="L134" s="91" t="b">
        <v>0</v>
      </c>
    </row>
    <row r="135" spans="1:12" ht="15">
      <c r="A135" s="92" t="s">
        <v>2646</v>
      </c>
      <c r="B135" s="91" t="s">
        <v>2573</v>
      </c>
      <c r="C135" s="91">
        <v>21</v>
      </c>
      <c r="D135" s="114">
        <v>0.0022979704791986446</v>
      </c>
      <c r="E135" s="114">
        <v>1.6324789460074474</v>
      </c>
      <c r="F135" s="91" t="s">
        <v>3159</v>
      </c>
      <c r="G135" s="91" t="b">
        <v>0</v>
      </c>
      <c r="H135" s="91" t="b">
        <v>0</v>
      </c>
      <c r="I135" s="91" t="b">
        <v>0</v>
      </c>
      <c r="J135" s="91" t="b">
        <v>0</v>
      </c>
      <c r="K135" s="91" t="b">
        <v>0</v>
      </c>
      <c r="L135" s="91" t="b">
        <v>0</v>
      </c>
    </row>
    <row r="136" spans="1:12" ht="15">
      <c r="A136" s="92" t="s">
        <v>2573</v>
      </c>
      <c r="B136" s="91" t="s">
        <v>2689</v>
      </c>
      <c r="C136" s="91">
        <v>21</v>
      </c>
      <c r="D136" s="114">
        <v>0.0022979704791986446</v>
      </c>
      <c r="E136" s="114">
        <v>1.8417385683157834</v>
      </c>
      <c r="F136" s="91" t="s">
        <v>3159</v>
      </c>
      <c r="G136" s="91" t="b">
        <v>0</v>
      </c>
      <c r="H136" s="91" t="b">
        <v>0</v>
      </c>
      <c r="I136" s="91" t="b">
        <v>0</v>
      </c>
      <c r="J136" s="91" t="b">
        <v>0</v>
      </c>
      <c r="K136" s="91" t="b">
        <v>0</v>
      </c>
      <c r="L136" s="91" t="b">
        <v>0</v>
      </c>
    </row>
    <row r="137" spans="1:12" ht="15">
      <c r="A137" s="92" t="s">
        <v>2689</v>
      </c>
      <c r="B137" s="91" t="s">
        <v>2608</v>
      </c>
      <c r="C137" s="91">
        <v>21</v>
      </c>
      <c r="D137" s="114">
        <v>0.0022979704791986446</v>
      </c>
      <c r="E137" s="114">
        <v>2.2267135998234533</v>
      </c>
      <c r="F137" s="91" t="s">
        <v>3159</v>
      </c>
      <c r="G137" s="91" t="b">
        <v>0</v>
      </c>
      <c r="H137" s="91" t="b">
        <v>0</v>
      </c>
      <c r="I137" s="91" t="b">
        <v>0</v>
      </c>
      <c r="J137" s="91" t="b">
        <v>0</v>
      </c>
      <c r="K137" s="91" t="b">
        <v>0</v>
      </c>
      <c r="L137" s="91" t="b">
        <v>0</v>
      </c>
    </row>
    <row r="138" spans="1:12" ht="15">
      <c r="A138" s="92" t="s">
        <v>2608</v>
      </c>
      <c r="B138" s="91" t="s">
        <v>2564</v>
      </c>
      <c r="C138" s="91">
        <v>21</v>
      </c>
      <c r="D138" s="114">
        <v>0.0022979704791986446</v>
      </c>
      <c r="E138" s="114">
        <v>0.9267188715910772</v>
      </c>
      <c r="F138" s="91" t="s">
        <v>3159</v>
      </c>
      <c r="G138" s="91" t="b">
        <v>0</v>
      </c>
      <c r="H138" s="91" t="b">
        <v>0</v>
      </c>
      <c r="I138" s="91" t="b">
        <v>0</v>
      </c>
      <c r="J138" s="91" t="b">
        <v>0</v>
      </c>
      <c r="K138" s="91" t="b">
        <v>0</v>
      </c>
      <c r="L138" s="91" t="b">
        <v>0</v>
      </c>
    </row>
    <row r="139" spans="1:12" ht="15">
      <c r="A139" s="92" t="s">
        <v>2564</v>
      </c>
      <c r="B139" s="91" t="s">
        <v>2690</v>
      </c>
      <c r="C139" s="91">
        <v>21</v>
      </c>
      <c r="D139" s="114">
        <v>0.0022979704791986446</v>
      </c>
      <c r="E139" s="114">
        <v>1.4637262907041155</v>
      </c>
      <c r="F139" s="91" t="s">
        <v>3159</v>
      </c>
      <c r="G139" s="91" t="b">
        <v>0</v>
      </c>
      <c r="H139" s="91" t="b">
        <v>0</v>
      </c>
      <c r="I139" s="91" t="b">
        <v>0</v>
      </c>
      <c r="J139" s="91" t="b">
        <v>0</v>
      </c>
      <c r="K139" s="91" t="b">
        <v>0</v>
      </c>
      <c r="L139" s="91" t="b">
        <v>0</v>
      </c>
    </row>
    <row r="140" spans="1:12" ht="15">
      <c r="A140" s="92" t="s">
        <v>2690</v>
      </c>
      <c r="B140" s="91" t="s">
        <v>2583</v>
      </c>
      <c r="C140" s="91">
        <v>21</v>
      </c>
      <c r="D140" s="114">
        <v>0.0022979704791986446</v>
      </c>
      <c r="E140" s="114">
        <v>2.021796014589066</v>
      </c>
      <c r="F140" s="91" t="s">
        <v>3159</v>
      </c>
      <c r="G140" s="91" t="b">
        <v>0</v>
      </c>
      <c r="H140" s="91" t="b">
        <v>0</v>
      </c>
      <c r="I140" s="91" t="b">
        <v>0</v>
      </c>
      <c r="J140" s="91" t="b">
        <v>0</v>
      </c>
      <c r="K140" s="91" t="b">
        <v>0</v>
      </c>
      <c r="L140" s="91" t="b">
        <v>0</v>
      </c>
    </row>
    <row r="141" spans="1:12" ht="15">
      <c r="A141" s="92" t="s">
        <v>2583</v>
      </c>
      <c r="B141" s="91" t="s">
        <v>2691</v>
      </c>
      <c r="C141" s="91">
        <v>21</v>
      </c>
      <c r="D141" s="114">
        <v>0.0022979704791986446</v>
      </c>
      <c r="E141" s="114">
        <v>2.167127909839209</v>
      </c>
      <c r="F141" s="91" t="s">
        <v>3159</v>
      </c>
      <c r="G141" s="91" t="b">
        <v>0</v>
      </c>
      <c r="H141" s="91" t="b">
        <v>0</v>
      </c>
      <c r="I141" s="91" t="b">
        <v>0</v>
      </c>
      <c r="J141" s="91" t="b">
        <v>0</v>
      </c>
      <c r="K141" s="91" t="b">
        <v>0</v>
      </c>
      <c r="L141" s="91" t="b">
        <v>0</v>
      </c>
    </row>
    <row r="142" spans="1:12" ht="15">
      <c r="A142" s="92" t="s">
        <v>2691</v>
      </c>
      <c r="B142" s="91" t="s">
        <v>431</v>
      </c>
      <c r="C142" s="91">
        <v>21</v>
      </c>
      <c r="D142" s="114">
        <v>0.0022979704791986446</v>
      </c>
      <c r="E142" s="114">
        <v>2.7370032177957704</v>
      </c>
      <c r="F142" s="91" t="s">
        <v>3159</v>
      </c>
      <c r="G142" s="91" t="b">
        <v>0</v>
      </c>
      <c r="H142" s="91" t="b">
        <v>0</v>
      </c>
      <c r="I142" s="91" t="b">
        <v>0</v>
      </c>
      <c r="J142" s="91" t="b">
        <v>0</v>
      </c>
      <c r="K142" s="91" t="b">
        <v>0</v>
      </c>
      <c r="L142" s="91" t="b">
        <v>0</v>
      </c>
    </row>
    <row r="143" spans="1:12" ht="15">
      <c r="A143" s="92" t="s">
        <v>431</v>
      </c>
      <c r="B143" s="91" t="s">
        <v>381</v>
      </c>
      <c r="C143" s="91">
        <v>21</v>
      </c>
      <c r="D143" s="114">
        <v>0.0022979704791986446</v>
      </c>
      <c r="E143" s="114">
        <v>2.7370032177957704</v>
      </c>
      <c r="F143" s="91" t="s">
        <v>3159</v>
      </c>
      <c r="G143" s="91" t="b">
        <v>0</v>
      </c>
      <c r="H143" s="91" t="b">
        <v>0</v>
      </c>
      <c r="I143" s="91" t="b">
        <v>0</v>
      </c>
      <c r="J143" s="91" t="b">
        <v>0</v>
      </c>
      <c r="K143" s="91" t="b">
        <v>0</v>
      </c>
      <c r="L143" s="91" t="b">
        <v>0</v>
      </c>
    </row>
    <row r="144" spans="1:12" ht="15">
      <c r="A144" s="92" t="s">
        <v>381</v>
      </c>
      <c r="B144" s="91" t="s">
        <v>380</v>
      </c>
      <c r="C144" s="91">
        <v>21</v>
      </c>
      <c r="D144" s="114">
        <v>0.0022979704791986446</v>
      </c>
      <c r="E144" s="114">
        <v>2.7370032177957704</v>
      </c>
      <c r="F144" s="91" t="s">
        <v>3159</v>
      </c>
      <c r="G144" s="91" t="b">
        <v>0</v>
      </c>
      <c r="H144" s="91" t="b">
        <v>0</v>
      </c>
      <c r="I144" s="91" t="b">
        <v>0</v>
      </c>
      <c r="J144" s="91" t="b">
        <v>0</v>
      </c>
      <c r="K144" s="91" t="b">
        <v>0</v>
      </c>
      <c r="L144" s="91" t="b">
        <v>0</v>
      </c>
    </row>
    <row r="145" spans="1:12" ht="15">
      <c r="A145" s="92" t="s">
        <v>380</v>
      </c>
      <c r="B145" s="91" t="s">
        <v>383</v>
      </c>
      <c r="C145" s="91">
        <v>21</v>
      </c>
      <c r="D145" s="114">
        <v>0.0022979704791986446</v>
      </c>
      <c r="E145" s="114">
        <v>2.7370032177957704</v>
      </c>
      <c r="F145" s="91" t="s">
        <v>3159</v>
      </c>
      <c r="G145" s="91" t="b">
        <v>0</v>
      </c>
      <c r="H145" s="91" t="b">
        <v>0</v>
      </c>
      <c r="I145" s="91" t="b">
        <v>0</v>
      </c>
      <c r="J145" s="91" t="b">
        <v>0</v>
      </c>
      <c r="K145" s="91" t="b">
        <v>0</v>
      </c>
      <c r="L145" s="91" t="b">
        <v>0</v>
      </c>
    </row>
    <row r="146" spans="1:12" ht="15">
      <c r="A146" s="92" t="s">
        <v>383</v>
      </c>
      <c r="B146" s="91" t="s">
        <v>430</v>
      </c>
      <c r="C146" s="91">
        <v>21</v>
      </c>
      <c r="D146" s="114">
        <v>0.0022979704791986446</v>
      </c>
      <c r="E146" s="114">
        <v>2.7370032177957704</v>
      </c>
      <c r="F146" s="91" t="s">
        <v>3159</v>
      </c>
      <c r="G146" s="91" t="b">
        <v>0</v>
      </c>
      <c r="H146" s="91" t="b">
        <v>0</v>
      </c>
      <c r="I146" s="91" t="b">
        <v>0</v>
      </c>
      <c r="J146" s="91" t="b">
        <v>0</v>
      </c>
      <c r="K146" s="91" t="b">
        <v>0</v>
      </c>
      <c r="L146" s="91" t="b">
        <v>0</v>
      </c>
    </row>
    <row r="147" spans="1:12" ht="15">
      <c r="A147" s="92" t="s">
        <v>430</v>
      </c>
      <c r="B147" s="91" t="s">
        <v>385</v>
      </c>
      <c r="C147" s="91">
        <v>21</v>
      </c>
      <c r="D147" s="114">
        <v>0.0022979704791986446</v>
      </c>
      <c r="E147" s="114">
        <v>2.7370032177957704</v>
      </c>
      <c r="F147" s="91" t="s">
        <v>3159</v>
      </c>
      <c r="G147" s="91" t="b">
        <v>0</v>
      </c>
      <c r="H147" s="91" t="b">
        <v>0</v>
      </c>
      <c r="I147" s="91" t="b">
        <v>0</v>
      </c>
      <c r="J147" s="91" t="b">
        <v>0</v>
      </c>
      <c r="K147" s="91" t="b">
        <v>0</v>
      </c>
      <c r="L147" s="91" t="b">
        <v>0</v>
      </c>
    </row>
    <row r="148" spans="1:12" ht="15">
      <c r="A148" s="92" t="s">
        <v>385</v>
      </c>
      <c r="B148" s="91" t="s">
        <v>382</v>
      </c>
      <c r="C148" s="91">
        <v>21</v>
      </c>
      <c r="D148" s="114">
        <v>0.0022979704791986446</v>
      </c>
      <c r="E148" s="114">
        <v>2.7370032177957704</v>
      </c>
      <c r="F148" s="91" t="s">
        <v>3159</v>
      </c>
      <c r="G148" s="91" t="b">
        <v>0</v>
      </c>
      <c r="H148" s="91" t="b">
        <v>0</v>
      </c>
      <c r="I148" s="91" t="b">
        <v>0</v>
      </c>
      <c r="J148" s="91" t="b">
        <v>0</v>
      </c>
      <c r="K148" s="91" t="b">
        <v>0</v>
      </c>
      <c r="L148" s="91" t="b">
        <v>0</v>
      </c>
    </row>
    <row r="149" spans="1:12" ht="15">
      <c r="A149" s="92" t="s">
        <v>2572</v>
      </c>
      <c r="B149" s="91" t="s">
        <v>2629</v>
      </c>
      <c r="C149" s="91">
        <v>20</v>
      </c>
      <c r="D149" s="114">
        <v>0.00222421553417898</v>
      </c>
      <c r="E149" s="114">
        <v>1.4762505834248838</v>
      </c>
      <c r="F149" s="91" t="s">
        <v>3159</v>
      </c>
      <c r="G149" s="91" t="b">
        <v>0</v>
      </c>
      <c r="H149" s="91" t="b">
        <v>0</v>
      </c>
      <c r="I149" s="91" t="b">
        <v>0</v>
      </c>
      <c r="J149" s="91" t="b">
        <v>0</v>
      </c>
      <c r="K149" s="91" t="b">
        <v>0</v>
      </c>
      <c r="L149" s="91" t="b">
        <v>0</v>
      </c>
    </row>
    <row r="150" spans="1:12" ht="15">
      <c r="A150" s="92" t="s">
        <v>2680</v>
      </c>
      <c r="B150" s="91" t="s">
        <v>2578</v>
      </c>
      <c r="C150" s="91">
        <v>20</v>
      </c>
      <c r="D150" s="114">
        <v>0.00222421553417898</v>
      </c>
      <c r="E150" s="114">
        <v>1.9308232438118833</v>
      </c>
      <c r="F150" s="91" t="s">
        <v>3159</v>
      </c>
      <c r="G150" s="91" t="b">
        <v>0</v>
      </c>
      <c r="H150" s="91" t="b">
        <v>0</v>
      </c>
      <c r="I150" s="91" t="b">
        <v>0</v>
      </c>
      <c r="J150" s="91" t="b">
        <v>0</v>
      </c>
      <c r="K150" s="91" t="b">
        <v>0</v>
      </c>
      <c r="L150" s="91" t="b">
        <v>0</v>
      </c>
    </row>
    <row r="151" spans="1:12" ht="15">
      <c r="A151" s="92" t="s">
        <v>2696</v>
      </c>
      <c r="B151" s="91" t="s">
        <v>2569</v>
      </c>
      <c r="C151" s="91">
        <v>20</v>
      </c>
      <c r="D151" s="114">
        <v>0.00222421553417898</v>
      </c>
      <c r="E151" s="114">
        <v>1.760369436119983</v>
      </c>
      <c r="F151" s="91" t="s">
        <v>3159</v>
      </c>
      <c r="G151" s="91" t="b">
        <v>0</v>
      </c>
      <c r="H151" s="91" t="b">
        <v>0</v>
      </c>
      <c r="I151" s="91" t="b">
        <v>0</v>
      </c>
      <c r="J151" s="91" t="b">
        <v>0</v>
      </c>
      <c r="K151" s="91" t="b">
        <v>0</v>
      </c>
      <c r="L151" s="91" t="b">
        <v>0</v>
      </c>
    </row>
    <row r="152" spans="1:12" ht="15">
      <c r="A152" s="92" t="s">
        <v>2572</v>
      </c>
      <c r="B152" s="91" t="s">
        <v>2697</v>
      </c>
      <c r="C152" s="91">
        <v>20</v>
      </c>
      <c r="D152" s="114">
        <v>0.00222421553417898</v>
      </c>
      <c r="E152" s="114">
        <v>1.8186732642470897</v>
      </c>
      <c r="F152" s="91" t="s">
        <v>3159</v>
      </c>
      <c r="G152" s="91" t="b">
        <v>0</v>
      </c>
      <c r="H152" s="91" t="b">
        <v>0</v>
      </c>
      <c r="I152" s="91" t="b">
        <v>0</v>
      </c>
      <c r="J152" s="91" t="b">
        <v>0</v>
      </c>
      <c r="K152" s="91" t="b">
        <v>0</v>
      </c>
      <c r="L152" s="91" t="b">
        <v>0</v>
      </c>
    </row>
    <row r="153" spans="1:12" ht="15">
      <c r="A153" s="92" t="s">
        <v>2697</v>
      </c>
      <c r="B153" s="91" t="s">
        <v>2590</v>
      </c>
      <c r="C153" s="91">
        <v>20</v>
      </c>
      <c r="D153" s="114">
        <v>0.00222421553417898</v>
      </c>
      <c r="E153" s="114">
        <v>2.156132525537746</v>
      </c>
      <c r="F153" s="91" t="s">
        <v>3159</v>
      </c>
      <c r="G153" s="91" t="b">
        <v>0</v>
      </c>
      <c r="H153" s="91" t="b">
        <v>0</v>
      </c>
      <c r="I153" s="91" t="b">
        <v>0</v>
      </c>
      <c r="J153" s="91" t="b">
        <v>0</v>
      </c>
      <c r="K153" s="91" t="b">
        <v>0</v>
      </c>
      <c r="L153" s="91" t="b">
        <v>0</v>
      </c>
    </row>
    <row r="154" spans="1:12" ht="15">
      <c r="A154" s="92" t="s">
        <v>2590</v>
      </c>
      <c r="B154" s="91" t="s">
        <v>2573</v>
      </c>
      <c r="C154" s="91">
        <v>20</v>
      </c>
      <c r="D154" s="114">
        <v>0.00222421553417898</v>
      </c>
      <c r="E154" s="114">
        <v>1.239678576987821</v>
      </c>
      <c r="F154" s="91" t="s">
        <v>3159</v>
      </c>
      <c r="G154" s="91" t="b">
        <v>0</v>
      </c>
      <c r="H154" s="91" t="b">
        <v>0</v>
      </c>
      <c r="I154" s="91" t="b">
        <v>0</v>
      </c>
      <c r="J154" s="91" t="b">
        <v>0</v>
      </c>
      <c r="K154" s="91" t="b">
        <v>0</v>
      </c>
      <c r="L154" s="91" t="b">
        <v>0</v>
      </c>
    </row>
    <row r="155" spans="1:12" ht="15">
      <c r="A155" s="92" t="s">
        <v>2573</v>
      </c>
      <c r="B155" s="91" t="s">
        <v>2571</v>
      </c>
      <c r="C155" s="91">
        <v>20</v>
      </c>
      <c r="D155" s="114">
        <v>0.00222421553417898</v>
      </c>
      <c r="E155" s="114">
        <v>0.8352725260665517</v>
      </c>
      <c r="F155" s="91" t="s">
        <v>3159</v>
      </c>
      <c r="G155" s="91" t="b">
        <v>0</v>
      </c>
      <c r="H155" s="91" t="b">
        <v>0</v>
      </c>
      <c r="I155" s="91" t="b">
        <v>0</v>
      </c>
      <c r="J155" s="91" t="b">
        <v>0</v>
      </c>
      <c r="K155" s="91" t="b">
        <v>0</v>
      </c>
      <c r="L155" s="91" t="b">
        <v>0</v>
      </c>
    </row>
    <row r="156" spans="1:12" ht="15">
      <c r="A156" s="92" t="s">
        <v>2583</v>
      </c>
      <c r="B156" s="91" t="s">
        <v>2608</v>
      </c>
      <c r="C156" s="91">
        <v>20</v>
      </c>
      <c r="D156" s="114">
        <v>0.00222421553417898</v>
      </c>
      <c r="E156" s="114">
        <v>1.6356489927969542</v>
      </c>
      <c r="F156" s="91" t="s">
        <v>3159</v>
      </c>
      <c r="G156" s="91" t="b">
        <v>0</v>
      </c>
      <c r="H156" s="91" t="b">
        <v>0</v>
      </c>
      <c r="I156" s="91" t="b">
        <v>0</v>
      </c>
      <c r="J156" s="91" t="b">
        <v>0</v>
      </c>
      <c r="K156" s="91" t="b">
        <v>0</v>
      </c>
      <c r="L156" s="91" t="b">
        <v>0</v>
      </c>
    </row>
    <row r="157" spans="1:12" ht="15">
      <c r="A157" s="92" t="s">
        <v>2619</v>
      </c>
      <c r="B157" s="91" t="s">
        <v>2621</v>
      </c>
      <c r="C157" s="91">
        <v>20</v>
      </c>
      <c r="D157" s="114">
        <v>0.00222421553417898</v>
      </c>
      <c r="E157" s="114">
        <v>1.98881519078957</v>
      </c>
      <c r="F157" s="91" t="s">
        <v>3159</v>
      </c>
      <c r="G157" s="91" t="b">
        <v>0</v>
      </c>
      <c r="H157" s="91" t="b">
        <v>0</v>
      </c>
      <c r="I157" s="91" t="b">
        <v>0</v>
      </c>
      <c r="J157" s="91" t="b">
        <v>0</v>
      </c>
      <c r="K157" s="91" t="b">
        <v>0</v>
      </c>
      <c r="L157" s="91" t="b">
        <v>0</v>
      </c>
    </row>
    <row r="158" spans="1:12" ht="15">
      <c r="A158" s="92" t="s">
        <v>2633</v>
      </c>
      <c r="B158" s="91" t="s">
        <v>2628</v>
      </c>
      <c r="C158" s="91">
        <v>20</v>
      </c>
      <c r="D158" s="114">
        <v>0.00222421553417898</v>
      </c>
      <c r="E158" s="114">
        <v>2.406009998754346</v>
      </c>
      <c r="F158" s="91" t="s">
        <v>3159</v>
      </c>
      <c r="G158" s="91" t="b">
        <v>0</v>
      </c>
      <c r="H158" s="91" t="b">
        <v>0</v>
      </c>
      <c r="I158" s="91" t="b">
        <v>0</v>
      </c>
      <c r="J158" s="91" t="b">
        <v>0</v>
      </c>
      <c r="K158" s="91" t="b">
        <v>0</v>
      </c>
      <c r="L158" s="91" t="b">
        <v>0</v>
      </c>
    </row>
    <row r="159" spans="1:12" ht="15">
      <c r="A159" s="92" t="s">
        <v>2669</v>
      </c>
      <c r="B159" s="91" t="s">
        <v>2607</v>
      </c>
      <c r="C159" s="91">
        <v>19</v>
      </c>
      <c r="D159" s="114">
        <v>0.002148631988068675</v>
      </c>
      <c r="E159" s="114">
        <v>2.163044519954076</v>
      </c>
      <c r="F159" s="91" t="s">
        <v>3159</v>
      </c>
      <c r="G159" s="91" t="b">
        <v>0</v>
      </c>
      <c r="H159" s="91" t="b">
        <v>0</v>
      </c>
      <c r="I159" s="91" t="b">
        <v>0</v>
      </c>
      <c r="J159" s="91" t="b">
        <v>0</v>
      </c>
      <c r="K159" s="91" t="b">
        <v>0</v>
      </c>
      <c r="L159" s="91" t="b">
        <v>0</v>
      </c>
    </row>
    <row r="160" spans="1:12" ht="15">
      <c r="A160" s="92" t="s">
        <v>2607</v>
      </c>
      <c r="B160" s="91" t="s">
        <v>2698</v>
      </c>
      <c r="C160" s="91">
        <v>19</v>
      </c>
      <c r="D160" s="114">
        <v>0.002148631988068675</v>
      </c>
      <c r="E160" s="114">
        <v>2.2267135998234533</v>
      </c>
      <c r="F160" s="91" t="s">
        <v>3159</v>
      </c>
      <c r="G160" s="91" t="b">
        <v>0</v>
      </c>
      <c r="H160" s="91" t="b">
        <v>0</v>
      </c>
      <c r="I160" s="91" t="b">
        <v>0</v>
      </c>
      <c r="J160" s="91" t="b">
        <v>0</v>
      </c>
      <c r="K160" s="91" t="b">
        <v>0</v>
      </c>
      <c r="L160" s="91" t="b">
        <v>0</v>
      </c>
    </row>
    <row r="161" spans="1:12" ht="15">
      <c r="A161" s="92" t="s">
        <v>2698</v>
      </c>
      <c r="B161" s="91" t="s">
        <v>2699</v>
      </c>
      <c r="C161" s="91">
        <v>19</v>
      </c>
      <c r="D161" s="114">
        <v>0.002148631988068675</v>
      </c>
      <c r="E161" s="114">
        <v>2.7804689115768606</v>
      </c>
      <c r="F161" s="91" t="s">
        <v>3159</v>
      </c>
      <c r="G161" s="91" t="b">
        <v>0</v>
      </c>
      <c r="H161" s="91" t="b">
        <v>0</v>
      </c>
      <c r="I161" s="91" t="b">
        <v>0</v>
      </c>
      <c r="J161" s="91" t="b">
        <v>0</v>
      </c>
      <c r="K161" s="91" t="b">
        <v>0</v>
      </c>
      <c r="L161" s="91" t="b">
        <v>0</v>
      </c>
    </row>
    <row r="162" spans="1:12" ht="15">
      <c r="A162" s="92" t="s">
        <v>2699</v>
      </c>
      <c r="B162" s="91" t="s">
        <v>2635</v>
      </c>
      <c r="C162" s="91">
        <v>19</v>
      </c>
      <c r="D162" s="114">
        <v>0.002148631988068675</v>
      </c>
      <c r="E162" s="114">
        <v>2.7804689115768606</v>
      </c>
      <c r="F162" s="91" t="s">
        <v>3159</v>
      </c>
      <c r="G162" s="91" t="b">
        <v>0</v>
      </c>
      <c r="H162" s="91" t="b">
        <v>0</v>
      </c>
      <c r="I162" s="91" t="b">
        <v>0</v>
      </c>
      <c r="J162" s="91" t="b">
        <v>0</v>
      </c>
      <c r="K162" s="91" t="b">
        <v>0</v>
      </c>
      <c r="L162" s="91" t="b">
        <v>0</v>
      </c>
    </row>
    <row r="163" spans="1:12" ht="15">
      <c r="A163" s="92" t="s">
        <v>2660</v>
      </c>
      <c r="B163" s="91" t="s">
        <v>2581</v>
      </c>
      <c r="C163" s="91">
        <v>19</v>
      </c>
      <c r="D163" s="114">
        <v>0.002148631988068675</v>
      </c>
      <c r="E163" s="114">
        <v>1.8431260918024246</v>
      </c>
      <c r="F163" s="91" t="s">
        <v>3159</v>
      </c>
      <c r="G163" s="91" t="b">
        <v>0</v>
      </c>
      <c r="H163" s="91" t="b">
        <v>0</v>
      </c>
      <c r="I163" s="91" t="b">
        <v>0</v>
      </c>
      <c r="J163" s="91" t="b">
        <v>0</v>
      </c>
      <c r="K163" s="91" t="b">
        <v>0</v>
      </c>
      <c r="L163" s="91" t="b">
        <v>0</v>
      </c>
    </row>
    <row r="164" spans="1:12" ht="15">
      <c r="A164" s="92" t="s">
        <v>2586</v>
      </c>
      <c r="B164" s="91" t="s">
        <v>2670</v>
      </c>
      <c r="C164" s="91">
        <v>19</v>
      </c>
      <c r="D164" s="114">
        <v>0.002148631988068675</v>
      </c>
      <c r="E164" s="114">
        <v>2.076951279490121</v>
      </c>
      <c r="F164" s="91" t="s">
        <v>3159</v>
      </c>
      <c r="G164" s="91" t="b">
        <v>0</v>
      </c>
      <c r="H164" s="91" t="b">
        <v>0</v>
      </c>
      <c r="I164" s="91" t="b">
        <v>0</v>
      </c>
      <c r="J164" s="91" t="b">
        <v>0</v>
      </c>
      <c r="K164" s="91" t="b">
        <v>0</v>
      </c>
      <c r="L164" s="91" t="b">
        <v>0</v>
      </c>
    </row>
    <row r="165" spans="1:12" ht="15">
      <c r="A165" s="92" t="s">
        <v>2670</v>
      </c>
      <c r="B165" s="91" t="s">
        <v>2655</v>
      </c>
      <c r="C165" s="91">
        <v>19</v>
      </c>
      <c r="D165" s="114">
        <v>0.002148631988068675</v>
      </c>
      <c r="E165" s="114">
        <v>2.5805800846894944</v>
      </c>
      <c r="F165" s="91" t="s">
        <v>3159</v>
      </c>
      <c r="G165" s="91" t="b">
        <v>0</v>
      </c>
      <c r="H165" s="91" t="b">
        <v>0</v>
      </c>
      <c r="I165" s="91" t="b">
        <v>0</v>
      </c>
      <c r="J165" s="91" t="b">
        <v>0</v>
      </c>
      <c r="K165" s="91" t="b">
        <v>0</v>
      </c>
      <c r="L165" s="91" t="b">
        <v>0</v>
      </c>
    </row>
    <row r="166" spans="1:12" ht="15">
      <c r="A166" s="92" t="s">
        <v>2580</v>
      </c>
      <c r="B166" s="91" t="s">
        <v>2661</v>
      </c>
      <c r="C166" s="91">
        <v>19</v>
      </c>
      <c r="D166" s="114">
        <v>0.002148631988068675</v>
      </c>
      <c r="E166" s="114">
        <v>1.829446394511232</v>
      </c>
      <c r="F166" s="91" t="s">
        <v>3159</v>
      </c>
      <c r="G166" s="91" t="b">
        <v>0</v>
      </c>
      <c r="H166" s="91" t="b">
        <v>0</v>
      </c>
      <c r="I166" s="91" t="b">
        <v>0</v>
      </c>
      <c r="J166" s="91" t="b">
        <v>0</v>
      </c>
      <c r="K166" s="91" t="b">
        <v>0</v>
      </c>
      <c r="L166" s="91" t="b">
        <v>0</v>
      </c>
    </row>
    <row r="167" spans="1:12" ht="15">
      <c r="A167" s="92" t="s">
        <v>2656</v>
      </c>
      <c r="B167" s="91" t="s">
        <v>586</v>
      </c>
      <c r="C167" s="91">
        <v>19</v>
      </c>
      <c r="D167" s="114">
        <v>0.002148631988068675</v>
      </c>
      <c r="E167" s="114">
        <v>2.224032761175682</v>
      </c>
      <c r="F167" s="91" t="s">
        <v>3159</v>
      </c>
      <c r="G167" s="91" t="b">
        <v>0</v>
      </c>
      <c r="H167" s="91" t="b">
        <v>0</v>
      </c>
      <c r="I167" s="91" t="b">
        <v>0</v>
      </c>
      <c r="J167" s="91" t="b">
        <v>0</v>
      </c>
      <c r="K167" s="91" t="b">
        <v>0</v>
      </c>
      <c r="L167" s="91" t="b">
        <v>0</v>
      </c>
    </row>
    <row r="168" spans="1:12" ht="15">
      <c r="A168" s="92" t="s">
        <v>586</v>
      </c>
      <c r="B168" s="91" t="s">
        <v>2700</v>
      </c>
      <c r="C168" s="91">
        <v>19</v>
      </c>
      <c r="D168" s="114">
        <v>0.002148631988068675</v>
      </c>
      <c r="E168" s="114">
        <v>2.369026432501176</v>
      </c>
      <c r="F168" s="91" t="s">
        <v>3159</v>
      </c>
      <c r="G168" s="91" t="b">
        <v>0</v>
      </c>
      <c r="H168" s="91" t="b">
        <v>0</v>
      </c>
      <c r="I168" s="91" t="b">
        <v>0</v>
      </c>
      <c r="J168" s="91" t="b">
        <v>0</v>
      </c>
      <c r="K168" s="91" t="b">
        <v>0</v>
      </c>
      <c r="L168" s="91" t="b">
        <v>0</v>
      </c>
    </row>
    <row r="169" spans="1:12" ht="15">
      <c r="A169" s="92" t="s">
        <v>2700</v>
      </c>
      <c r="B169" s="91" t="s">
        <v>2657</v>
      </c>
      <c r="C169" s="91">
        <v>19</v>
      </c>
      <c r="D169" s="114">
        <v>0.002148631988068675</v>
      </c>
      <c r="E169" s="114">
        <v>2.6442491645588717</v>
      </c>
      <c r="F169" s="91" t="s">
        <v>3159</v>
      </c>
      <c r="G169" s="91" t="b">
        <v>0</v>
      </c>
      <c r="H169" s="91" t="b">
        <v>0</v>
      </c>
      <c r="I169" s="91" t="b">
        <v>0</v>
      </c>
      <c r="J169" s="91" t="b">
        <v>0</v>
      </c>
      <c r="K169" s="91" t="b">
        <v>0</v>
      </c>
      <c r="L169" s="91" t="b">
        <v>0</v>
      </c>
    </row>
    <row r="170" spans="1:12" ht="15">
      <c r="A170" s="92" t="s">
        <v>2657</v>
      </c>
      <c r="B170" s="91" t="s">
        <v>2576</v>
      </c>
      <c r="C170" s="91">
        <v>19</v>
      </c>
      <c r="D170" s="114">
        <v>0.002148631988068675</v>
      </c>
      <c r="E170" s="114">
        <v>1.7556854307635246</v>
      </c>
      <c r="F170" s="91" t="s">
        <v>3159</v>
      </c>
      <c r="G170" s="91" t="b">
        <v>0</v>
      </c>
      <c r="H170" s="91" t="b">
        <v>0</v>
      </c>
      <c r="I170" s="91" t="b">
        <v>0</v>
      </c>
      <c r="J170" s="91" t="b">
        <v>0</v>
      </c>
      <c r="K170" s="91" t="b">
        <v>0</v>
      </c>
      <c r="L170" s="91" t="b">
        <v>0</v>
      </c>
    </row>
    <row r="171" spans="1:12" ht="15">
      <c r="A171" s="92" t="s">
        <v>2629</v>
      </c>
      <c r="B171" s="91" t="s">
        <v>2701</v>
      </c>
      <c r="C171" s="91">
        <v>19</v>
      </c>
      <c r="D171" s="114">
        <v>0.002148631988068675</v>
      </c>
      <c r="E171" s="114">
        <v>2.415769836043502</v>
      </c>
      <c r="F171" s="91" t="s">
        <v>3159</v>
      </c>
      <c r="G171" s="91" t="b">
        <v>0</v>
      </c>
      <c r="H171" s="91" t="b">
        <v>0</v>
      </c>
      <c r="I171" s="91" t="b">
        <v>0</v>
      </c>
      <c r="J171" s="91" t="b">
        <v>0</v>
      </c>
      <c r="K171" s="91" t="b">
        <v>0</v>
      </c>
      <c r="L171" s="91" t="b">
        <v>0</v>
      </c>
    </row>
    <row r="172" spans="1:12" ht="15">
      <c r="A172" s="92" t="s">
        <v>2701</v>
      </c>
      <c r="B172" s="91" t="s">
        <v>2702</v>
      </c>
      <c r="C172" s="91">
        <v>19</v>
      </c>
      <c r="D172" s="114">
        <v>0.002148631988068675</v>
      </c>
      <c r="E172" s="114">
        <v>2.7804689115768606</v>
      </c>
      <c r="F172" s="91" t="s">
        <v>3159</v>
      </c>
      <c r="G172" s="91" t="b">
        <v>0</v>
      </c>
      <c r="H172" s="91" t="b">
        <v>0</v>
      </c>
      <c r="I172" s="91" t="b">
        <v>0</v>
      </c>
      <c r="J172" s="91" t="b">
        <v>0</v>
      </c>
      <c r="K172" s="91" t="b">
        <v>0</v>
      </c>
      <c r="L172" s="91" t="b">
        <v>0</v>
      </c>
    </row>
    <row r="173" spans="1:12" ht="15">
      <c r="A173" s="92" t="s">
        <v>2702</v>
      </c>
      <c r="B173" s="91" t="s">
        <v>2652</v>
      </c>
      <c r="C173" s="91">
        <v>19</v>
      </c>
      <c r="D173" s="114">
        <v>0.002148631988068675</v>
      </c>
      <c r="E173" s="114">
        <v>2.6120644811874705</v>
      </c>
      <c r="F173" s="91" t="s">
        <v>3159</v>
      </c>
      <c r="G173" s="91" t="b">
        <v>0</v>
      </c>
      <c r="H173" s="91" t="b">
        <v>0</v>
      </c>
      <c r="I173" s="91" t="b">
        <v>0</v>
      </c>
      <c r="J173" s="91" t="b">
        <v>0</v>
      </c>
      <c r="K173" s="91" t="b">
        <v>0</v>
      </c>
      <c r="L173" s="91" t="b">
        <v>0</v>
      </c>
    </row>
    <row r="174" spans="1:12" ht="15">
      <c r="A174" s="92" t="s">
        <v>2652</v>
      </c>
      <c r="B174" s="91" t="s">
        <v>2703</v>
      </c>
      <c r="C174" s="91">
        <v>19</v>
      </c>
      <c r="D174" s="114">
        <v>0.002148631988068675</v>
      </c>
      <c r="E174" s="114">
        <v>2.6120644811874705</v>
      </c>
      <c r="F174" s="91" t="s">
        <v>3159</v>
      </c>
      <c r="G174" s="91" t="b">
        <v>0</v>
      </c>
      <c r="H174" s="91" t="b">
        <v>0</v>
      </c>
      <c r="I174" s="91" t="b">
        <v>0</v>
      </c>
      <c r="J174" s="91" t="b">
        <v>0</v>
      </c>
      <c r="K174" s="91" t="b">
        <v>0</v>
      </c>
      <c r="L174" s="91" t="b">
        <v>0</v>
      </c>
    </row>
    <row r="175" spans="1:12" ht="15">
      <c r="A175" s="92" t="s">
        <v>2703</v>
      </c>
      <c r="B175" s="91" t="s">
        <v>2704</v>
      </c>
      <c r="C175" s="91">
        <v>19</v>
      </c>
      <c r="D175" s="114">
        <v>0.002148631988068675</v>
      </c>
      <c r="E175" s="114">
        <v>2.7804689115768606</v>
      </c>
      <c r="F175" s="91" t="s">
        <v>3159</v>
      </c>
      <c r="G175" s="91" t="b">
        <v>0</v>
      </c>
      <c r="H175" s="91" t="b">
        <v>0</v>
      </c>
      <c r="I175" s="91" t="b">
        <v>0</v>
      </c>
      <c r="J175" s="91" t="b">
        <v>0</v>
      </c>
      <c r="K175" s="91" t="b">
        <v>0</v>
      </c>
      <c r="L175" s="91" t="b">
        <v>0</v>
      </c>
    </row>
    <row r="176" spans="1:12" ht="15">
      <c r="A176" s="92" t="s">
        <v>2704</v>
      </c>
      <c r="B176" s="91" t="s">
        <v>2577</v>
      </c>
      <c r="C176" s="91">
        <v>19</v>
      </c>
      <c r="D176" s="114">
        <v>0.002148631988068675</v>
      </c>
      <c r="E176" s="114">
        <v>1.9162077122755945</v>
      </c>
      <c r="F176" s="91" t="s">
        <v>3159</v>
      </c>
      <c r="G176" s="91" t="b">
        <v>0</v>
      </c>
      <c r="H176" s="91" t="b">
        <v>0</v>
      </c>
      <c r="I176" s="91" t="b">
        <v>0</v>
      </c>
      <c r="J176" s="91" t="b">
        <v>0</v>
      </c>
      <c r="K176" s="91" t="b">
        <v>0</v>
      </c>
      <c r="L176" s="91" t="b">
        <v>0</v>
      </c>
    </row>
    <row r="177" spans="1:12" ht="15">
      <c r="A177" s="92" t="s">
        <v>2577</v>
      </c>
      <c r="B177" s="91" t="s">
        <v>2630</v>
      </c>
      <c r="C177" s="91">
        <v>19</v>
      </c>
      <c r="D177" s="114">
        <v>0.002148631988068675</v>
      </c>
      <c r="E177" s="114">
        <v>1.5515086367422362</v>
      </c>
      <c r="F177" s="91" t="s">
        <v>3159</v>
      </c>
      <c r="G177" s="91" t="b">
        <v>0</v>
      </c>
      <c r="H177" s="91" t="b">
        <v>0</v>
      </c>
      <c r="I177" s="91" t="b">
        <v>0</v>
      </c>
      <c r="J177" s="91" t="b">
        <v>0</v>
      </c>
      <c r="K177" s="91" t="b">
        <v>0</v>
      </c>
      <c r="L177" s="91" t="b">
        <v>0</v>
      </c>
    </row>
    <row r="178" spans="1:12" ht="15">
      <c r="A178" s="92" t="s">
        <v>2630</v>
      </c>
      <c r="B178" s="91" t="s">
        <v>2695</v>
      </c>
      <c r="C178" s="91">
        <v>19</v>
      </c>
      <c r="D178" s="114">
        <v>0.002148631988068675</v>
      </c>
      <c r="E178" s="114">
        <v>2.39349344133235</v>
      </c>
      <c r="F178" s="91" t="s">
        <v>3159</v>
      </c>
      <c r="G178" s="91" t="b">
        <v>0</v>
      </c>
      <c r="H178" s="91" t="b">
        <v>0</v>
      </c>
      <c r="I178" s="91" t="b">
        <v>0</v>
      </c>
      <c r="J178" s="91" t="b">
        <v>0</v>
      </c>
      <c r="K178" s="91" t="b">
        <v>0</v>
      </c>
      <c r="L178" s="91" t="b">
        <v>0</v>
      </c>
    </row>
    <row r="179" spans="1:12" ht="15">
      <c r="A179" s="92" t="s">
        <v>2695</v>
      </c>
      <c r="B179" s="91" t="s">
        <v>2705</v>
      </c>
      <c r="C179" s="91">
        <v>19</v>
      </c>
      <c r="D179" s="114">
        <v>0.002148631988068675</v>
      </c>
      <c r="E179" s="114">
        <v>2.758192516865708</v>
      </c>
      <c r="F179" s="91" t="s">
        <v>3159</v>
      </c>
      <c r="G179" s="91" t="b">
        <v>0</v>
      </c>
      <c r="H179" s="91" t="b">
        <v>0</v>
      </c>
      <c r="I179" s="91" t="b">
        <v>0</v>
      </c>
      <c r="J179" s="91" t="b">
        <v>0</v>
      </c>
      <c r="K179" s="91" t="b">
        <v>0</v>
      </c>
      <c r="L179" s="91" t="b">
        <v>0</v>
      </c>
    </row>
    <row r="180" spans="1:12" ht="15">
      <c r="A180" s="92" t="s">
        <v>2705</v>
      </c>
      <c r="B180" s="91" t="s">
        <v>2671</v>
      </c>
      <c r="C180" s="91">
        <v>19</v>
      </c>
      <c r="D180" s="114">
        <v>0.002148631988068675</v>
      </c>
      <c r="E180" s="114">
        <v>2.7167998317074833</v>
      </c>
      <c r="F180" s="91" t="s">
        <v>3159</v>
      </c>
      <c r="G180" s="91" t="b">
        <v>0</v>
      </c>
      <c r="H180" s="91" t="b">
        <v>0</v>
      </c>
      <c r="I180" s="91" t="b">
        <v>0</v>
      </c>
      <c r="J180" s="91" t="b">
        <v>0</v>
      </c>
      <c r="K180" s="91" t="b">
        <v>0</v>
      </c>
      <c r="L180" s="91" t="b">
        <v>0</v>
      </c>
    </row>
    <row r="181" spans="1:12" ht="15">
      <c r="A181" s="92" t="s">
        <v>2671</v>
      </c>
      <c r="B181" s="91" t="s">
        <v>2634</v>
      </c>
      <c r="C181" s="91">
        <v>19</v>
      </c>
      <c r="D181" s="114">
        <v>0.002148631988068675</v>
      </c>
      <c r="E181" s="114">
        <v>2.3827695759405767</v>
      </c>
      <c r="F181" s="91" t="s">
        <v>3159</v>
      </c>
      <c r="G181" s="91" t="b">
        <v>0</v>
      </c>
      <c r="H181" s="91" t="b">
        <v>0</v>
      </c>
      <c r="I181" s="91" t="b">
        <v>0</v>
      </c>
      <c r="J181" s="91" t="b">
        <v>0</v>
      </c>
      <c r="K181" s="91" t="b">
        <v>0</v>
      </c>
      <c r="L181" s="91" t="b">
        <v>0</v>
      </c>
    </row>
    <row r="182" spans="1:12" ht="15">
      <c r="A182" s="92" t="s">
        <v>2634</v>
      </c>
      <c r="B182" s="91" t="s">
        <v>2706</v>
      </c>
      <c r="C182" s="91">
        <v>19</v>
      </c>
      <c r="D182" s="114">
        <v>0.002148631988068675</v>
      </c>
      <c r="E182" s="114">
        <v>2.446438655809954</v>
      </c>
      <c r="F182" s="91" t="s">
        <v>3159</v>
      </c>
      <c r="G182" s="91" t="b">
        <v>0</v>
      </c>
      <c r="H182" s="91" t="b">
        <v>0</v>
      </c>
      <c r="I182" s="91" t="b">
        <v>0</v>
      </c>
      <c r="J182" s="91" t="b">
        <v>0</v>
      </c>
      <c r="K182" s="91" t="b">
        <v>0</v>
      </c>
      <c r="L182" s="91" t="b">
        <v>0</v>
      </c>
    </row>
    <row r="183" spans="1:12" ht="15">
      <c r="A183" s="92" t="s">
        <v>2706</v>
      </c>
      <c r="B183" s="91" t="s">
        <v>2580</v>
      </c>
      <c r="C183" s="91">
        <v>19</v>
      </c>
      <c r="D183" s="114">
        <v>0.002148631988068675</v>
      </c>
      <c r="E183" s="114">
        <v>1.9486328022304407</v>
      </c>
      <c r="F183" s="91" t="s">
        <v>3159</v>
      </c>
      <c r="G183" s="91" t="b">
        <v>0</v>
      </c>
      <c r="H183" s="91" t="b">
        <v>0</v>
      </c>
      <c r="I183" s="91" t="b">
        <v>0</v>
      </c>
      <c r="J183" s="91" t="b">
        <v>0</v>
      </c>
      <c r="K183" s="91" t="b">
        <v>0</v>
      </c>
      <c r="L183" s="91" t="b">
        <v>0</v>
      </c>
    </row>
    <row r="184" spans="1:12" ht="15">
      <c r="A184" s="92" t="s">
        <v>2580</v>
      </c>
      <c r="B184" s="91" t="s">
        <v>2707</v>
      </c>
      <c r="C184" s="91">
        <v>19</v>
      </c>
      <c r="D184" s="114">
        <v>0.002148631988068675</v>
      </c>
      <c r="E184" s="114">
        <v>1.9486328022304407</v>
      </c>
      <c r="F184" s="91" t="s">
        <v>3159</v>
      </c>
      <c r="G184" s="91" t="b">
        <v>0</v>
      </c>
      <c r="H184" s="91" t="b">
        <v>0</v>
      </c>
      <c r="I184" s="91" t="b">
        <v>0</v>
      </c>
      <c r="J184" s="91" t="b">
        <v>0</v>
      </c>
      <c r="K184" s="91" t="b">
        <v>0</v>
      </c>
      <c r="L184" s="91" t="b">
        <v>0</v>
      </c>
    </row>
    <row r="185" spans="1:12" ht="15">
      <c r="A185" s="92" t="s">
        <v>2707</v>
      </c>
      <c r="B185" s="91" t="s">
        <v>2568</v>
      </c>
      <c r="C185" s="91">
        <v>19</v>
      </c>
      <c r="D185" s="114">
        <v>0.002148631988068675</v>
      </c>
      <c r="E185" s="114">
        <v>1.7328866516009382</v>
      </c>
      <c r="F185" s="91" t="s">
        <v>3159</v>
      </c>
      <c r="G185" s="91" t="b">
        <v>0</v>
      </c>
      <c r="H185" s="91" t="b">
        <v>0</v>
      </c>
      <c r="I185" s="91" t="b">
        <v>0</v>
      </c>
      <c r="J185" s="91" t="b">
        <v>0</v>
      </c>
      <c r="K185" s="91" t="b">
        <v>0</v>
      </c>
      <c r="L185" s="91" t="b">
        <v>0</v>
      </c>
    </row>
    <row r="186" spans="1:12" ht="15">
      <c r="A186" s="92" t="s">
        <v>2662</v>
      </c>
      <c r="B186" s="91" t="s">
        <v>2577</v>
      </c>
      <c r="C186" s="91">
        <v>19</v>
      </c>
      <c r="D186" s="114">
        <v>0.002148631988068675</v>
      </c>
      <c r="E186" s="114">
        <v>1.7970213045563859</v>
      </c>
      <c r="F186" s="91" t="s">
        <v>3159</v>
      </c>
      <c r="G186" s="91" t="b">
        <v>0</v>
      </c>
      <c r="H186" s="91" t="b">
        <v>0</v>
      </c>
      <c r="I186" s="91" t="b">
        <v>0</v>
      </c>
      <c r="J186" s="91" t="b">
        <v>0</v>
      </c>
      <c r="K186" s="91" t="b">
        <v>0</v>
      </c>
      <c r="L186" s="91" t="b">
        <v>0</v>
      </c>
    </row>
    <row r="187" spans="1:12" ht="15">
      <c r="A187" s="92" t="s">
        <v>2577</v>
      </c>
      <c r="B187" s="91" t="s">
        <v>2708</v>
      </c>
      <c r="C187" s="91">
        <v>19</v>
      </c>
      <c r="D187" s="114">
        <v>0.002148631988068675</v>
      </c>
      <c r="E187" s="114">
        <v>1.9162077122755945</v>
      </c>
      <c r="F187" s="91" t="s">
        <v>3159</v>
      </c>
      <c r="G187" s="91" t="b">
        <v>0</v>
      </c>
      <c r="H187" s="91" t="b">
        <v>0</v>
      </c>
      <c r="I187" s="91" t="b">
        <v>0</v>
      </c>
      <c r="J187" s="91" t="b">
        <v>0</v>
      </c>
      <c r="K187" s="91" t="b">
        <v>0</v>
      </c>
      <c r="L187" s="91" t="b">
        <v>0</v>
      </c>
    </row>
    <row r="188" spans="1:12" ht="15">
      <c r="A188" s="92" t="s">
        <v>2708</v>
      </c>
      <c r="B188" s="91" t="s">
        <v>2568</v>
      </c>
      <c r="C188" s="91">
        <v>19</v>
      </c>
      <c r="D188" s="114">
        <v>0.002148631988068675</v>
      </c>
      <c r="E188" s="114">
        <v>1.7328866516009382</v>
      </c>
      <c r="F188" s="91" t="s">
        <v>3159</v>
      </c>
      <c r="G188" s="91" t="b">
        <v>0</v>
      </c>
      <c r="H188" s="91" t="b">
        <v>0</v>
      </c>
      <c r="I188" s="91" t="b">
        <v>0</v>
      </c>
      <c r="J188" s="91" t="b">
        <v>0</v>
      </c>
      <c r="K188" s="91" t="b">
        <v>0</v>
      </c>
      <c r="L188" s="91" t="b">
        <v>0</v>
      </c>
    </row>
    <row r="189" spans="1:12" ht="15">
      <c r="A189" s="92" t="s">
        <v>2568</v>
      </c>
      <c r="B189" s="91" t="s">
        <v>2709</v>
      </c>
      <c r="C189" s="91">
        <v>19</v>
      </c>
      <c r="D189" s="114">
        <v>0.002148631988068675</v>
      </c>
      <c r="E189" s="114">
        <v>1.7328866516009382</v>
      </c>
      <c r="F189" s="91" t="s">
        <v>3159</v>
      </c>
      <c r="G189" s="91" t="b">
        <v>0</v>
      </c>
      <c r="H189" s="91" t="b">
        <v>0</v>
      </c>
      <c r="I189" s="91" t="b">
        <v>0</v>
      </c>
      <c r="J189" s="91" t="b">
        <v>0</v>
      </c>
      <c r="K189" s="91" t="b">
        <v>0</v>
      </c>
      <c r="L189" s="91" t="b">
        <v>0</v>
      </c>
    </row>
    <row r="190" spans="1:12" ht="15">
      <c r="A190" s="92" t="s">
        <v>2709</v>
      </c>
      <c r="B190" s="91" t="s">
        <v>2680</v>
      </c>
      <c r="C190" s="91">
        <v>19</v>
      </c>
      <c r="D190" s="114">
        <v>0.002148631988068675</v>
      </c>
      <c r="E190" s="114">
        <v>2.7370032177957704</v>
      </c>
      <c r="F190" s="91" t="s">
        <v>3159</v>
      </c>
      <c r="G190" s="91" t="b">
        <v>0</v>
      </c>
      <c r="H190" s="91" t="b">
        <v>0</v>
      </c>
      <c r="I190" s="91" t="b">
        <v>0</v>
      </c>
      <c r="J190" s="91" t="b">
        <v>0</v>
      </c>
      <c r="K190" s="91" t="b">
        <v>0</v>
      </c>
      <c r="L190" s="91" t="b">
        <v>0</v>
      </c>
    </row>
    <row r="191" spans="1:12" ht="15">
      <c r="A191" s="92" t="s">
        <v>2578</v>
      </c>
      <c r="B191" s="91" t="s">
        <v>2710</v>
      </c>
      <c r="C191" s="91">
        <v>19</v>
      </c>
      <c r="D191" s="114">
        <v>0.002148631988068675</v>
      </c>
      <c r="E191" s="114">
        <v>1.9288887440346834</v>
      </c>
      <c r="F191" s="91" t="s">
        <v>3159</v>
      </c>
      <c r="G191" s="91" t="b">
        <v>0</v>
      </c>
      <c r="H191" s="91" t="b">
        <v>0</v>
      </c>
      <c r="I191" s="91" t="b">
        <v>0</v>
      </c>
      <c r="J191" s="91" t="b">
        <v>0</v>
      </c>
      <c r="K191" s="91" t="b">
        <v>0</v>
      </c>
      <c r="L191" s="91" t="b">
        <v>0</v>
      </c>
    </row>
    <row r="192" spans="1:12" ht="15">
      <c r="A192" s="92" t="s">
        <v>2710</v>
      </c>
      <c r="B192" s="91" t="s">
        <v>2570</v>
      </c>
      <c r="C192" s="91">
        <v>19</v>
      </c>
      <c r="D192" s="114">
        <v>0.002148631988068675</v>
      </c>
      <c r="E192" s="114">
        <v>1.7474686514739353</v>
      </c>
      <c r="F192" s="91" t="s">
        <v>3159</v>
      </c>
      <c r="G192" s="91" t="b">
        <v>0</v>
      </c>
      <c r="H192" s="91" t="b">
        <v>0</v>
      </c>
      <c r="I192" s="91" t="b">
        <v>0</v>
      </c>
      <c r="J192" s="91" t="b">
        <v>0</v>
      </c>
      <c r="K192" s="91" t="b">
        <v>0</v>
      </c>
      <c r="L192" s="91" t="b">
        <v>0</v>
      </c>
    </row>
    <row r="193" spans="1:12" ht="15">
      <c r="A193" s="92" t="s">
        <v>2566</v>
      </c>
      <c r="B193" s="91" t="s">
        <v>2711</v>
      </c>
      <c r="C193" s="91">
        <v>19</v>
      </c>
      <c r="D193" s="114">
        <v>0.002148631988068675</v>
      </c>
      <c r="E193" s="114">
        <v>1.734940057231997</v>
      </c>
      <c r="F193" s="91" t="s">
        <v>3159</v>
      </c>
      <c r="G193" s="91" t="b">
        <v>0</v>
      </c>
      <c r="H193" s="91" t="b">
        <v>0</v>
      </c>
      <c r="I193" s="91" t="b">
        <v>0</v>
      </c>
      <c r="J193" s="91" t="b">
        <v>0</v>
      </c>
      <c r="K193" s="91" t="b">
        <v>0</v>
      </c>
      <c r="L193" s="91" t="b">
        <v>0</v>
      </c>
    </row>
    <row r="194" spans="1:12" ht="15">
      <c r="A194" s="92" t="s">
        <v>2636</v>
      </c>
      <c r="B194" s="91" t="s">
        <v>2692</v>
      </c>
      <c r="C194" s="91">
        <v>19</v>
      </c>
      <c r="D194" s="114">
        <v>0.002148631988068675</v>
      </c>
      <c r="E194" s="114">
        <v>2.434886126490575</v>
      </c>
      <c r="F194" s="91" t="s">
        <v>3159</v>
      </c>
      <c r="G194" s="91" t="b">
        <v>0</v>
      </c>
      <c r="H194" s="91" t="b">
        <v>0</v>
      </c>
      <c r="I194" s="91" t="b">
        <v>0</v>
      </c>
      <c r="J194" s="91" t="b">
        <v>0</v>
      </c>
      <c r="K194" s="91" t="b">
        <v>0</v>
      </c>
      <c r="L194" s="91" t="b">
        <v>0</v>
      </c>
    </row>
    <row r="195" spans="1:12" ht="15">
      <c r="A195" s="92" t="s">
        <v>2692</v>
      </c>
      <c r="B195" s="91" t="s">
        <v>2712</v>
      </c>
      <c r="C195" s="91">
        <v>19</v>
      </c>
      <c r="D195" s="114">
        <v>0.002148631988068675</v>
      </c>
      <c r="E195" s="114">
        <v>2.758192516865708</v>
      </c>
      <c r="F195" s="91" t="s">
        <v>3159</v>
      </c>
      <c r="G195" s="91" t="b">
        <v>0</v>
      </c>
      <c r="H195" s="91" t="b">
        <v>0</v>
      </c>
      <c r="I195" s="91" t="b">
        <v>0</v>
      </c>
      <c r="J195" s="91" t="b">
        <v>0</v>
      </c>
      <c r="K195" s="91" t="b">
        <v>0</v>
      </c>
      <c r="L195" s="91" t="b">
        <v>0</v>
      </c>
    </row>
    <row r="196" spans="1:12" ht="15">
      <c r="A196" s="92" t="s">
        <v>2712</v>
      </c>
      <c r="B196" s="91" t="s">
        <v>2578</v>
      </c>
      <c r="C196" s="91">
        <v>19</v>
      </c>
      <c r="D196" s="114">
        <v>0.002148631988068675</v>
      </c>
      <c r="E196" s="114">
        <v>1.9520125428818214</v>
      </c>
      <c r="F196" s="91" t="s">
        <v>3159</v>
      </c>
      <c r="G196" s="91" t="b">
        <v>0</v>
      </c>
      <c r="H196" s="91" t="b">
        <v>0</v>
      </c>
      <c r="I196" s="91" t="b">
        <v>0</v>
      </c>
      <c r="J196" s="91" t="b">
        <v>0</v>
      </c>
      <c r="K196" s="91" t="b">
        <v>0</v>
      </c>
      <c r="L196" s="91" t="b">
        <v>0</v>
      </c>
    </row>
    <row r="197" spans="1:12" ht="15">
      <c r="A197" s="92" t="s">
        <v>2578</v>
      </c>
      <c r="B197" s="91" t="s">
        <v>2637</v>
      </c>
      <c r="C197" s="91">
        <v>19</v>
      </c>
      <c r="D197" s="114">
        <v>0.002148631988068675</v>
      </c>
      <c r="E197" s="114">
        <v>1.6165777379610133</v>
      </c>
      <c r="F197" s="91" t="s">
        <v>3159</v>
      </c>
      <c r="G197" s="91" t="b">
        <v>0</v>
      </c>
      <c r="H197" s="91" t="b">
        <v>0</v>
      </c>
      <c r="I197" s="91" t="b">
        <v>0</v>
      </c>
      <c r="J197" s="91" t="b">
        <v>0</v>
      </c>
      <c r="K197" s="91" t="b">
        <v>0</v>
      </c>
      <c r="L197" s="91" t="b">
        <v>0</v>
      </c>
    </row>
    <row r="198" spans="1:12" ht="15">
      <c r="A198" s="92" t="s">
        <v>2637</v>
      </c>
      <c r="B198" s="91" t="s">
        <v>2620</v>
      </c>
      <c r="C198" s="91">
        <v>19</v>
      </c>
      <c r="D198" s="114">
        <v>0.002148631988068675</v>
      </c>
      <c r="E198" s="114">
        <v>2.065670269080432</v>
      </c>
      <c r="F198" s="91" t="s">
        <v>3159</v>
      </c>
      <c r="G198" s="91" t="b">
        <v>0</v>
      </c>
      <c r="H198" s="91" t="b">
        <v>0</v>
      </c>
      <c r="I198" s="91" t="b">
        <v>0</v>
      </c>
      <c r="J198" s="91" t="b">
        <v>0</v>
      </c>
      <c r="K198" s="91" t="b">
        <v>0</v>
      </c>
      <c r="L198" s="91" t="b">
        <v>0</v>
      </c>
    </row>
    <row r="199" spans="1:12" ht="15">
      <c r="A199" s="92" t="s">
        <v>2620</v>
      </c>
      <c r="B199" s="91" t="s">
        <v>2713</v>
      </c>
      <c r="C199" s="91">
        <v>19</v>
      </c>
      <c r="D199" s="114">
        <v>0.002148631988068675</v>
      </c>
      <c r="E199" s="114">
        <v>2.3779812751541023</v>
      </c>
      <c r="F199" s="91" t="s">
        <v>3159</v>
      </c>
      <c r="G199" s="91" t="b">
        <v>0</v>
      </c>
      <c r="H199" s="91" t="b">
        <v>0</v>
      </c>
      <c r="I199" s="91" t="b">
        <v>0</v>
      </c>
      <c r="J199" s="91" t="b">
        <v>0</v>
      </c>
      <c r="K199" s="91" t="b">
        <v>0</v>
      </c>
      <c r="L199" s="91" t="b">
        <v>0</v>
      </c>
    </row>
    <row r="200" spans="1:12" ht="15">
      <c r="A200" s="92" t="s">
        <v>2713</v>
      </c>
      <c r="B200" s="91" t="s">
        <v>2714</v>
      </c>
      <c r="C200" s="91">
        <v>19</v>
      </c>
      <c r="D200" s="114">
        <v>0.002148631988068675</v>
      </c>
      <c r="E200" s="114">
        <v>2.7804689115768606</v>
      </c>
      <c r="F200" s="91" t="s">
        <v>3159</v>
      </c>
      <c r="G200" s="91" t="b">
        <v>0</v>
      </c>
      <c r="H200" s="91" t="b">
        <v>0</v>
      </c>
      <c r="I200" s="91" t="b">
        <v>0</v>
      </c>
      <c r="J200" s="91" t="b">
        <v>0</v>
      </c>
      <c r="K200" s="91" t="b">
        <v>0</v>
      </c>
      <c r="L200" s="91" t="b">
        <v>0</v>
      </c>
    </row>
    <row r="201" spans="1:12" ht="15">
      <c r="A201" s="92" t="s">
        <v>2714</v>
      </c>
      <c r="B201" s="91" t="s">
        <v>2715</v>
      </c>
      <c r="C201" s="91">
        <v>19</v>
      </c>
      <c r="D201" s="114">
        <v>0.002148631988068675</v>
      </c>
      <c r="E201" s="114">
        <v>2.7804689115768606</v>
      </c>
      <c r="F201" s="91" t="s">
        <v>3159</v>
      </c>
      <c r="G201" s="91" t="b">
        <v>0</v>
      </c>
      <c r="H201" s="91" t="b">
        <v>0</v>
      </c>
      <c r="I201" s="91" t="b">
        <v>0</v>
      </c>
      <c r="J201" s="91" t="b">
        <v>0</v>
      </c>
      <c r="K201" s="91" t="b">
        <v>0</v>
      </c>
      <c r="L201" s="91" t="b">
        <v>0</v>
      </c>
    </row>
    <row r="202" spans="1:12" ht="15">
      <c r="A202" s="92" t="s">
        <v>2715</v>
      </c>
      <c r="B202" s="91" t="s">
        <v>2632</v>
      </c>
      <c r="C202" s="91">
        <v>19</v>
      </c>
      <c r="D202" s="114">
        <v>0.002148631988068675</v>
      </c>
      <c r="E202" s="114">
        <v>2.435973222131789</v>
      </c>
      <c r="F202" s="91" t="s">
        <v>3159</v>
      </c>
      <c r="G202" s="91" t="b">
        <v>0</v>
      </c>
      <c r="H202" s="91" t="b">
        <v>0</v>
      </c>
      <c r="I202" s="91" t="b">
        <v>0</v>
      </c>
      <c r="J202" s="91" t="b">
        <v>0</v>
      </c>
      <c r="K202" s="91" t="b">
        <v>0</v>
      </c>
      <c r="L202" s="91" t="b">
        <v>0</v>
      </c>
    </row>
    <row r="203" spans="1:12" ht="15">
      <c r="A203" s="92" t="s">
        <v>2632</v>
      </c>
      <c r="B203" s="91" t="s">
        <v>435</v>
      </c>
      <c r="C203" s="91">
        <v>19</v>
      </c>
      <c r="D203" s="114">
        <v>0.002148631988068675</v>
      </c>
      <c r="E203" s="114">
        <v>2.435973222131789</v>
      </c>
      <c r="F203" s="91" t="s">
        <v>3159</v>
      </c>
      <c r="G203" s="91" t="b">
        <v>0</v>
      </c>
      <c r="H203" s="91" t="b">
        <v>0</v>
      </c>
      <c r="I203" s="91" t="b">
        <v>0</v>
      </c>
      <c r="J203" s="91" t="b">
        <v>0</v>
      </c>
      <c r="K203" s="91" t="b">
        <v>0</v>
      </c>
      <c r="L203" s="91" t="b">
        <v>0</v>
      </c>
    </row>
    <row r="204" spans="1:12" ht="15">
      <c r="A204" s="92" t="s">
        <v>435</v>
      </c>
      <c r="B204" s="91" t="s">
        <v>2565</v>
      </c>
      <c r="C204" s="91">
        <v>19</v>
      </c>
      <c r="D204" s="114">
        <v>0.002148631988068675</v>
      </c>
      <c r="E204" s="114">
        <v>1.69373452763879</v>
      </c>
      <c r="F204" s="91" t="s">
        <v>3159</v>
      </c>
      <c r="G204" s="91" t="b">
        <v>0</v>
      </c>
      <c r="H204" s="91" t="b">
        <v>0</v>
      </c>
      <c r="I204" s="91" t="b">
        <v>0</v>
      </c>
      <c r="J204" s="91" t="b">
        <v>0</v>
      </c>
      <c r="K204" s="91" t="b">
        <v>0</v>
      </c>
      <c r="L204" s="91" t="b">
        <v>0</v>
      </c>
    </row>
    <row r="205" spans="1:12" ht="15">
      <c r="A205" s="92" t="s">
        <v>2639</v>
      </c>
      <c r="B205" s="91" t="s">
        <v>2640</v>
      </c>
      <c r="C205" s="91">
        <v>19</v>
      </c>
      <c r="D205" s="114">
        <v>0.002148631988068675</v>
      </c>
      <c r="E205" s="114">
        <v>2.281071262146046</v>
      </c>
      <c r="F205" s="91" t="s">
        <v>3159</v>
      </c>
      <c r="G205" s="91" t="b">
        <v>0</v>
      </c>
      <c r="H205" s="91" t="b">
        <v>0</v>
      </c>
      <c r="I205" s="91" t="b">
        <v>0</v>
      </c>
      <c r="J205" s="91" t="b">
        <v>0</v>
      </c>
      <c r="K205" s="91" t="b">
        <v>0</v>
      </c>
      <c r="L205" s="91" t="b">
        <v>0</v>
      </c>
    </row>
    <row r="206" spans="1:12" ht="15">
      <c r="A206" s="92" t="s">
        <v>2641</v>
      </c>
      <c r="B206" s="91" t="s">
        <v>2564</v>
      </c>
      <c r="C206" s="91">
        <v>19</v>
      </c>
      <c r="D206" s="114">
        <v>0.002148631988068675</v>
      </c>
      <c r="E206" s="114">
        <v>1.135978493899413</v>
      </c>
      <c r="F206" s="91" t="s">
        <v>3159</v>
      </c>
      <c r="G206" s="91" t="b">
        <v>0</v>
      </c>
      <c r="H206" s="91" t="b">
        <v>0</v>
      </c>
      <c r="I206" s="91" t="b">
        <v>0</v>
      </c>
      <c r="J206" s="91" t="b">
        <v>0</v>
      </c>
      <c r="K206" s="91" t="b">
        <v>0</v>
      </c>
      <c r="L206" s="91" t="b">
        <v>0</v>
      </c>
    </row>
    <row r="207" spans="1:12" ht="15">
      <c r="A207" s="92" t="s">
        <v>2573</v>
      </c>
      <c r="B207" s="91" t="s">
        <v>2611</v>
      </c>
      <c r="C207" s="91">
        <v>19</v>
      </c>
      <c r="D207" s="114">
        <v>0.002148631988068675</v>
      </c>
      <c r="E207" s="114">
        <v>1.3646173135961208</v>
      </c>
      <c r="F207" s="91" t="s">
        <v>3159</v>
      </c>
      <c r="G207" s="91" t="b">
        <v>0</v>
      </c>
      <c r="H207" s="91" t="b">
        <v>0</v>
      </c>
      <c r="I207" s="91" t="b">
        <v>0</v>
      </c>
      <c r="J207" s="91" t="b">
        <v>0</v>
      </c>
      <c r="K207" s="91" t="b">
        <v>0</v>
      </c>
      <c r="L207" s="91" t="b">
        <v>0</v>
      </c>
    </row>
    <row r="208" spans="1:12" ht="15">
      <c r="A208" s="92" t="s">
        <v>2641</v>
      </c>
      <c r="B208" s="91" t="s">
        <v>2611</v>
      </c>
      <c r="C208" s="91">
        <v>19</v>
      </c>
      <c r="D208" s="114">
        <v>0.002148631988068675</v>
      </c>
      <c r="E208" s="114">
        <v>2.002317661193217</v>
      </c>
      <c r="F208" s="91" t="s">
        <v>3159</v>
      </c>
      <c r="G208" s="91" t="b">
        <v>0</v>
      </c>
      <c r="H208" s="91" t="b">
        <v>0</v>
      </c>
      <c r="I208" s="91" t="b">
        <v>0</v>
      </c>
      <c r="J208" s="91" t="b">
        <v>0</v>
      </c>
      <c r="K208" s="91" t="b">
        <v>0</v>
      </c>
      <c r="L208" s="91" t="b">
        <v>0</v>
      </c>
    </row>
    <row r="209" spans="1:12" ht="15">
      <c r="A209" s="92" t="s">
        <v>2591</v>
      </c>
      <c r="B209" s="91" t="s">
        <v>2648</v>
      </c>
      <c r="C209" s="91">
        <v>18</v>
      </c>
      <c r="D209" s="114">
        <v>0.0020711235119136202</v>
      </c>
      <c r="E209" s="114">
        <v>1.9310387211082427</v>
      </c>
      <c r="F209" s="91" t="s">
        <v>3159</v>
      </c>
      <c r="G209" s="91" t="b">
        <v>0</v>
      </c>
      <c r="H209" s="91" t="b">
        <v>0</v>
      </c>
      <c r="I209" s="91" t="b">
        <v>0</v>
      </c>
      <c r="J209" s="91" t="b">
        <v>0</v>
      </c>
      <c r="K209" s="91" t="b">
        <v>0</v>
      </c>
      <c r="L209" s="91" t="b">
        <v>0</v>
      </c>
    </row>
    <row r="210" spans="1:12" ht="15">
      <c r="A210" s="92" t="s">
        <v>2648</v>
      </c>
      <c r="B210" s="91" t="s">
        <v>2722</v>
      </c>
      <c r="C210" s="91">
        <v>18</v>
      </c>
      <c r="D210" s="114">
        <v>0.0020711235119136202</v>
      </c>
      <c r="E210" s="114">
        <v>2.567860818695417</v>
      </c>
      <c r="F210" s="91" t="s">
        <v>3159</v>
      </c>
      <c r="G210" s="91" t="b">
        <v>0</v>
      </c>
      <c r="H210" s="91" t="b">
        <v>0</v>
      </c>
      <c r="I210" s="91" t="b">
        <v>0</v>
      </c>
      <c r="J210" s="91" t="b">
        <v>0</v>
      </c>
      <c r="K210" s="91" t="b">
        <v>0</v>
      </c>
      <c r="L210" s="91" t="b">
        <v>0</v>
      </c>
    </row>
    <row r="211" spans="1:12" ht="15">
      <c r="A211" s="92" t="s">
        <v>2722</v>
      </c>
      <c r="B211" s="91" t="s">
        <v>2582</v>
      </c>
      <c r="C211" s="91">
        <v>18</v>
      </c>
      <c r="D211" s="114">
        <v>0.0020711235119136202</v>
      </c>
      <c r="E211" s="114">
        <v>1.9836755511371589</v>
      </c>
      <c r="F211" s="91" t="s">
        <v>3159</v>
      </c>
      <c r="G211" s="91" t="b">
        <v>0</v>
      </c>
      <c r="H211" s="91" t="b">
        <v>0</v>
      </c>
      <c r="I211" s="91" t="b">
        <v>0</v>
      </c>
      <c r="J211" s="91" t="b">
        <v>0</v>
      </c>
      <c r="K211" s="91" t="b">
        <v>0</v>
      </c>
      <c r="L211" s="91" t="b">
        <v>0</v>
      </c>
    </row>
    <row r="212" spans="1:12" ht="15">
      <c r="A212" s="92" t="s">
        <v>2589</v>
      </c>
      <c r="B212" s="91" t="s">
        <v>2637</v>
      </c>
      <c r="C212" s="91">
        <v>18</v>
      </c>
      <c r="D212" s="114">
        <v>0.0020711235119136202</v>
      </c>
      <c r="E212" s="114">
        <v>1.783911157987878</v>
      </c>
      <c r="F212" s="91" t="s">
        <v>3159</v>
      </c>
      <c r="G212" s="91" t="b">
        <v>0</v>
      </c>
      <c r="H212" s="91" t="b">
        <v>0</v>
      </c>
      <c r="I212" s="91" t="b">
        <v>0</v>
      </c>
      <c r="J212" s="91" t="b">
        <v>0</v>
      </c>
      <c r="K212" s="91" t="b">
        <v>0</v>
      </c>
      <c r="L212" s="91" t="b">
        <v>0</v>
      </c>
    </row>
    <row r="213" spans="1:12" ht="15">
      <c r="A213" s="92" t="s">
        <v>2637</v>
      </c>
      <c r="B213" s="91" t="s">
        <v>2569</v>
      </c>
      <c r="C213" s="91">
        <v>18</v>
      </c>
      <c r="D213" s="114">
        <v>0.0020711235119136202</v>
      </c>
      <c r="E213" s="114">
        <v>1.4245773341967898</v>
      </c>
      <c r="F213" s="91" t="s">
        <v>3159</v>
      </c>
      <c r="G213" s="91" t="b">
        <v>0</v>
      </c>
      <c r="H213" s="91" t="b">
        <v>0</v>
      </c>
      <c r="I213" s="91" t="b">
        <v>0</v>
      </c>
      <c r="J213" s="91" t="b">
        <v>0</v>
      </c>
      <c r="K213" s="91" t="b">
        <v>0</v>
      </c>
      <c r="L213" s="91" t="b">
        <v>0</v>
      </c>
    </row>
    <row r="214" spans="1:12" ht="15">
      <c r="A214" s="92" t="s">
        <v>2569</v>
      </c>
      <c r="B214" s="91" t="s">
        <v>2723</v>
      </c>
      <c r="C214" s="91">
        <v>18</v>
      </c>
      <c r="D214" s="114">
        <v>0.0020711235119136202</v>
      </c>
      <c r="E214" s="114">
        <v>1.7432521670727719</v>
      </c>
      <c r="F214" s="91" t="s">
        <v>3159</v>
      </c>
      <c r="G214" s="91" t="b">
        <v>0</v>
      </c>
      <c r="H214" s="91" t="b">
        <v>0</v>
      </c>
      <c r="I214" s="91" t="b">
        <v>0</v>
      </c>
      <c r="J214" s="91" t="b">
        <v>0</v>
      </c>
      <c r="K214" s="91" t="b">
        <v>0</v>
      </c>
      <c r="L214" s="91" t="b">
        <v>0</v>
      </c>
    </row>
    <row r="215" spans="1:12" ht="15">
      <c r="A215" s="92" t="s">
        <v>2723</v>
      </c>
      <c r="B215" s="91" t="s">
        <v>2571</v>
      </c>
      <c r="C215" s="91">
        <v>18</v>
      </c>
      <c r="D215" s="114">
        <v>0.0020711235119136202</v>
      </c>
      <c r="E215" s="114">
        <v>1.7517264746164767</v>
      </c>
      <c r="F215" s="91" t="s">
        <v>3159</v>
      </c>
      <c r="G215" s="91" t="b">
        <v>0</v>
      </c>
      <c r="H215" s="91" t="b">
        <v>0</v>
      </c>
      <c r="I215" s="91" t="b">
        <v>0</v>
      </c>
      <c r="J215" s="91" t="b">
        <v>0</v>
      </c>
      <c r="K215" s="91" t="b">
        <v>0</v>
      </c>
      <c r="L215" s="91" t="b">
        <v>0</v>
      </c>
    </row>
    <row r="216" spans="1:12" ht="15">
      <c r="A216" s="92" t="s">
        <v>2594</v>
      </c>
      <c r="B216" s="91" t="s">
        <v>2608</v>
      </c>
      <c r="C216" s="91">
        <v>18</v>
      </c>
      <c r="D216" s="114">
        <v>0.0020711235119136202</v>
      </c>
      <c r="E216" s="114">
        <v>1.6895944154285054</v>
      </c>
      <c r="F216" s="91" t="s">
        <v>3159</v>
      </c>
      <c r="G216" s="91" t="b">
        <v>0</v>
      </c>
      <c r="H216" s="91" t="b">
        <v>0</v>
      </c>
      <c r="I216" s="91" t="b">
        <v>0</v>
      </c>
      <c r="J216" s="91" t="b">
        <v>0</v>
      </c>
      <c r="K216" s="91" t="b">
        <v>0</v>
      </c>
      <c r="L216" s="91" t="b">
        <v>0</v>
      </c>
    </row>
    <row r="217" spans="1:12" ht="15">
      <c r="A217" s="92" t="s">
        <v>2724</v>
      </c>
      <c r="B217" s="91" t="s">
        <v>2725</v>
      </c>
      <c r="C217" s="91">
        <v>17</v>
      </c>
      <c r="D217" s="114">
        <v>0.001991583057827977</v>
      </c>
      <c r="E217" s="114">
        <v>2.828773591151416</v>
      </c>
      <c r="F217" s="91" t="s">
        <v>3159</v>
      </c>
      <c r="G217" s="91" t="b">
        <v>0</v>
      </c>
      <c r="H217" s="91" t="b">
        <v>0</v>
      </c>
      <c r="I217" s="91" t="b">
        <v>0</v>
      </c>
      <c r="J217" s="91" t="b">
        <v>0</v>
      </c>
      <c r="K217" s="91" t="b">
        <v>0</v>
      </c>
      <c r="L217" s="91" t="b">
        <v>0</v>
      </c>
    </row>
    <row r="218" spans="1:12" ht="15">
      <c r="A218" s="92" t="s">
        <v>2725</v>
      </c>
      <c r="B218" s="91" t="s">
        <v>2650</v>
      </c>
      <c r="C218" s="91">
        <v>17</v>
      </c>
      <c r="D218" s="114">
        <v>0.001991583057827977</v>
      </c>
      <c r="E218" s="114">
        <v>2.7167998317074833</v>
      </c>
      <c r="F218" s="91" t="s">
        <v>3159</v>
      </c>
      <c r="G218" s="91" t="b">
        <v>0</v>
      </c>
      <c r="H218" s="91" t="b">
        <v>0</v>
      </c>
      <c r="I218" s="91" t="b">
        <v>0</v>
      </c>
      <c r="J218" s="91" t="b">
        <v>0</v>
      </c>
      <c r="K218" s="91" t="b">
        <v>0</v>
      </c>
      <c r="L218" s="91" t="b">
        <v>0</v>
      </c>
    </row>
    <row r="219" spans="1:12" ht="15">
      <c r="A219" s="92" t="s">
        <v>2650</v>
      </c>
      <c r="B219" s="91" t="s">
        <v>2693</v>
      </c>
      <c r="C219" s="91">
        <v>17</v>
      </c>
      <c r="D219" s="114">
        <v>0.001991583057827977</v>
      </c>
      <c r="E219" s="114">
        <v>2.5262434403450262</v>
      </c>
      <c r="F219" s="91" t="s">
        <v>3159</v>
      </c>
      <c r="G219" s="91" t="b">
        <v>0</v>
      </c>
      <c r="H219" s="91" t="b">
        <v>0</v>
      </c>
      <c r="I219" s="91" t="b">
        <v>0</v>
      </c>
      <c r="J219" s="91" t="b">
        <v>0</v>
      </c>
      <c r="K219" s="91" t="b">
        <v>0</v>
      </c>
      <c r="L219" s="91" t="b">
        <v>0</v>
      </c>
    </row>
    <row r="220" spans="1:12" ht="15">
      <c r="A220" s="92" t="s">
        <v>2693</v>
      </c>
      <c r="B220" s="91" t="s">
        <v>2576</v>
      </c>
      <c r="C220" s="91">
        <v>17</v>
      </c>
      <c r="D220" s="114">
        <v>0.001991583057827977</v>
      </c>
      <c r="E220" s="114">
        <v>1.8213241034958063</v>
      </c>
      <c r="F220" s="91" t="s">
        <v>3159</v>
      </c>
      <c r="G220" s="91" t="b">
        <v>0</v>
      </c>
      <c r="H220" s="91" t="b">
        <v>0</v>
      </c>
      <c r="I220" s="91" t="b">
        <v>0</v>
      </c>
      <c r="J220" s="91" t="b">
        <v>0</v>
      </c>
      <c r="K220" s="91" t="b">
        <v>0</v>
      </c>
      <c r="L220" s="91" t="b">
        <v>0</v>
      </c>
    </row>
    <row r="221" spans="1:12" ht="15">
      <c r="A221" s="92" t="s">
        <v>2572</v>
      </c>
      <c r="B221" s="91" t="s">
        <v>2582</v>
      </c>
      <c r="C221" s="91">
        <v>17</v>
      </c>
      <c r="D221" s="114">
        <v>0.001991583057827977</v>
      </c>
      <c r="E221" s="114">
        <v>0.9735752242328332</v>
      </c>
      <c r="F221" s="91" t="s">
        <v>3159</v>
      </c>
      <c r="G221" s="91" t="b">
        <v>0</v>
      </c>
      <c r="H221" s="91" t="b">
        <v>0</v>
      </c>
      <c r="I221" s="91" t="b">
        <v>0</v>
      </c>
      <c r="J221" s="91" t="b">
        <v>0</v>
      </c>
      <c r="K221" s="91" t="b">
        <v>0</v>
      </c>
      <c r="L221" s="91" t="b">
        <v>0</v>
      </c>
    </row>
    <row r="222" spans="1:12" ht="15">
      <c r="A222" s="92" t="s">
        <v>2582</v>
      </c>
      <c r="B222" s="91" t="s">
        <v>2726</v>
      </c>
      <c r="C222" s="91">
        <v>17</v>
      </c>
      <c r="D222" s="114">
        <v>0.001991583057827977</v>
      </c>
      <c r="E222" s="114">
        <v>1.9836755511371589</v>
      </c>
      <c r="F222" s="91" t="s">
        <v>3159</v>
      </c>
      <c r="G222" s="91" t="b">
        <v>0</v>
      </c>
      <c r="H222" s="91" t="b">
        <v>0</v>
      </c>
      <c r="I222" s="91" t="b">
        <v>0</v>
      </c>
      <c r="J222" s="91" t="b">
        <v>0</v>
      </c>
      <c r="K222" s="91" t="b">
        <v>0</v>
      </c>
      <c r="L222" s="91" t="b">
        <v>0</v>
      </c>
    </row>
    <row r="223" spans="1:12" ht="15">
      <c r="A223" s="92" t="s">
        <v>2564</v>
      </c>
      <c r="B223" s="91" t="s">
        <v>2727</v>
      </c>
      <c r="C223" s="91">
        <v>17</v>
      </c>
      <c r="D223" s="114">
        <v>0.001991583057827977</v>
      </c>
      <c r="E223" s="114">
        <v>1.4637262907041155</v>
      </c>
      <c r="F223" s="91" t="s">
        <v>3159</v>
      </c>
      <c r="G223" s="91" t="b">
        <v>0</v>
      </c>
      <c r="H223" s="91" t="b">
        <v>0</v>
      </c>
      <c r="I223" s="91" t="b">
        <v>0</v>
      </c>
      <c r="J223" s="91" t="b">
        <v>0</v>
      </c>
      <c r="K223" s="91" t="b">
        <v>0</v>
      </c>
      <c r="L223" s="91" t="b">
        <v>0</v>
      </c>
    </row>
    <row r="224" spans="1:12" ht="15">
      <c r="A224" s="92" t="s">
        <v>2580</v>
      </c>
      <c r="B224" s="91" t="s">
        <v>2569</v>
      </c>
      <c r="C224" s="91">
        <v>16</v>
      </c>
      <c r="D224" s="114">
        <v>0.0019098909633809705</v>
      </c>
      <c r="E224" s="114">
        <v>0.8538997084766587</v>
      </c>
      <c r="F224" s="91" t="s">
        <v>3159</v>
      </c>
      <c r="G224" s="91" t="b">
        <v>0</v>
      </c>
      <c r="H224" s="91" t="b">
        <v>0</v>
      </c>
      <c r="I224" s="91" t="b">
        <v>0</v>
      </c>
      <c r="J224" s="91" t="b">
        <v>0</v>
      </c>
      <c r="K224" s="91" t="b">
        <v>0</v>
      </c>
      <c r="L224" s="91" t="b">
        <v>0</v>
      </c>
    </row>
    <row r="225" spans="1:12" ht="15">
      <c r="A225" s="92" t="s">
        <v>2571</v>
      </c>
      <c r="B225" s="91" t="s">
        <v>2564</v>
      </c>
      <c r="C225" s="91">
        <v>16</v>
      </c>
      <c r="D225" s="114">
        <v>0.0019098909633809705</v>
      </c>
      <c r="E225" s="114">
        <v>0.3357771027726953</v>
      </c>
      <c r="F225" s="91" t="s">
        <v>3159</v>
      </c>
      <c r="G225" s="91" t="b">
        <v>0</v>
      </c>
      <c r="H225" s="91" t="b">
        <v>0</v>
      </c>
      <c r="I225" s="91" t="b">
        <v>0</v>
      </c>
      <c r="J225" s="91" t="b">
        <v>0</v>
      </c>
      <c r="K225" s="91" t="b">
        <v>0</v>
      </c>
      <c r="L225" s="91" t="b">
        <v>0</v>
      </c>
    </row>
    <row r="226" spans="1:12" ht="15">
      <c r="A226" s="92" t="s">
        <v>2629</v>
      </c>
      <c r="B226" s="91" t="s">
        <v>2590</v>
      </c>
      <c r="C226" s="91">
        <v>16</v>
      </c>
      <c r="D226" s="114">
        <v>0.0019098909633809705</v>
      </c>
      <c r="E226" s="114">
        <v>1.7167998317074833</v>
      </c>
      <c r="F226" s="91" t="s">
        <v>3159</v>
      </c>
      <c r="G226" s="91" t="b">
        <v>0</v>
      </c>
      <c r="H226" s="91" t="b">
        <v>0</v>
      </c>
      <c r="I226" s="91" t="b">
        <v>0</v>
      </c>
      <c r="J226" s="91" t="b">
        <v>0</v>
      </c>
      <c r="K226" s="91" t="b">
        <v>0</v>
      </c>
      <c r="L226" s="91" t="b">
        <v>0</v>
      </c>
    </row>
    <row r="227" spans="1:12" ht="15">
      <c r="A227" s="92" t="s">
        <v>2572</v>
      </c>
      <c r="B227" s="91" t="s">
        <v>2591</v>
      </c>
      <c r="C227" s="91">
        <v>15</v>
      </c>
      <c r="D227" s="114">
        <v>0.0018259125806952198</v>
      </c>
      <c r="E227" s="114">
        <v>1.1026699206122907</v>
      </c>
      <c r="F227" s="91" t="s">
        <v>3159</v>
      </c>
      <c r="G227" s="91" t="b">
        <v>0</v>
      </c>
      <c r="H227" s="91" t="b">
        <v>0</v>
      </c>
      <c r="I227" s="91" t="b">
        <v>0</v>
      </c>
      <c r="J227" s="91" t="b">
        <v>0</v>
      </c>
      <c r="K227" s="91" t="b">
        <v>0</v>
      </c>
      <c r="L227" s="91" t="b">
        <v>0</v>
      </c>
    </row>
    <row r="228" spans="1:12" ht="15">
      <c r="A228" s="92" t="s">
        <v>2564</v>
      </c>
      <c r="B228" s="91" t="s">
        <v>2594</v>
      </c>
      <c r="C228" s="91">
        <v>15</v>
      </c>
      <c r="D228" s="114">
        <v>0.0018259125806952198</v>
      </c>
      <c r="E228" s="114">
        <v>0.79471950974554</v>
      </c>
      <c r="F228" s="91" t="s">
        <v>3159</v>
      </c>
      <c r="G228" s="91" t="b">
        <v>0</v>
      </c>
      <c r="H228" s="91" t="b">
        <v>0</v>
      </c>
      <c r="I228" s="91" t="b">
        <v>0</v>
      </c>
      <c r="J228" s="91" t="b">
        <v>0</v>
      </c>
      <c r="K228" s="91" t="b">
        <v>0</v>
      </c>
      <c r="L228" s="91" t="b">
        <v>0</v>
      </c>
    </row>
    <row r="229" spans="1:12" ht="15">
      <c r="A229" s="92" t="s">
        <v>2643</v>
      </c>
      <c r="B229" s="91" t="s">
        <v>2570</v>
      </c>
      <c r="C229" s="91">
        <v>14</v>
      </c>
      <c r="D229" s="114">
        <v>0.0017394952712148821</v>
      </c>
      <c r="E229" s="114">
        <v>1.3495286428018978</v>
      </c>
      <c r="F229" s="91" t="s">
        <v>3159</v>
      </c>
      <c r="G229" s="91" t="b">
        <v>0</v>
      </c>
      <c r="H229" s="91" t="b">
        <v>0</v>
      </c>
      <c r="I229" s="91" t="b">
        <v>0</v>
      </c>
      <c r="J229" s="91" t="b">
        <v>0</v>
      </c>
      <c r="K229" s="91" t="b">
        <v>0</v>
      </c>
      <c r="L229" s="91" t="b">
        <v>0</v>
      </c>
    </row>
    <row r="230" spans="1:12" ht="15">
      <c r="A230" s="92" t="s">
        <v>2620</v>
      </c>
      <c r="B230" s="91" t="s">
        <v>2732</v>
      </c>
      <c r="C230" s="91">
        <v>14</v>
      </c>
      <c r="D230" s="114">
        <v>0.0017394952712148821</v>
      </c>
      <c r="E230" s="114">
        <v>2.348018051776659</v>
      </c>
      <c r="F230" s="91" t="s">
        <v>3159</v>
      </c>
      <c r="G230" s="91" t="b">
        <v>0</v>
      </c>
      <c r="H230" s="91" t="b">
        <v>0</v>
      </c>
      <c r="I230" s="91" t="b">
        <v>0</v>
      </c>
      <c r="J230" s="91" t="b">
        <v>0</v>
      </c>
      <c r="K230" s="91" t="b">
        <v>0</v>
      </c>
      <c r="L230" s="91" t="b">
        <v>0</v>
      </c>
    </row>
    <row r="231" spans="1:12" ht="15">
      <c r="A231" s="92" t="s">
        <v>2738</v>
      </c>
      <c r="B231" s="91" t="s">
        <v>2569</v>
      </c>
      <c r="C231" s="91">
        <v>14</v>
      </c>
      <c r="D231" s="114">
        <v>0.0017394952712148821</v>
      </c>
      <c r="E231" s="114">
        <v>1.760369436119983</v>
      </c>
      <c r="F231" s="91" t="s">
        <v>3159</v>
      </c>
      <c r="G231" s="91" t="b">
        <v>0</v>
      </c>
      <c r="H231" s="91" t="b">
        <v>0</v>
      </c>
      <c r="I231" s="91" t="b">
        <v>0</v>
      </c>
      <c r="J231" s="91" t="b">
        <v>0</v>
      </c>
      <c r="K231" s="91" t="b">
        <v>0</v>
      </c>
      <c r="L231" s="91" t="b">
        <v>0</v>
      </c>
    </row>
    <row r="232" spans="1:12" ht="15">
      <c r="A232" s="92" t="s">
        <v>2591</v>
      </c>
      <c r="B232" s="91" t="s">
        <v>2718</v>
      </c>
      <c r="C232" s="91">
        <v>14</v>
      </c>
      <c r="D232" s="114">
        <v>0.0017394952712148821</v>
      </c>
      <c r="E232" s="114">
        <v>2.0345023445646184</v>
      </c>
      <c r="F232" s="91" t="s">
        <v>3159</v>
      </c>
      <c r="G232" s="91" t="b">
        <v>0</v>
      </c>
      <c r="H232" s="91" t="b">
        <v>0</v>
      </c>
      <c r="I232" s="91" t="b">
        <v>0</v>
      </c>
      <c r="J232" s="91" t="b">
        <v>0</v>
      </c>
      <c r="K232" s="91" t="b">
        <v>0</v>
      </c>
      <c r="L232" s="91" t="b">
        <v>0</v>
      </c>
    </row>
    <row r="233" spans="1:12" ht="15">
      <c r="A233" s="92" t="s">
        <v>2573</v>
      </c>
      <c r="B233" s="91" t="s">
        <v>2564</v>
      </c>
      <c r="C233" s="91">
        <v>14</v>
      </c>
      <c r="D233" s="114">
        <v>0.0017394952712148821</v>
      </c>
      <c r="E233" s="114">
        <v>0.365652581027726</v>
      </c>
      <c r="F233" s="91" t="s">
        <v>3159</v>
      </c>
      <c r="G233" s="91" t="b">
        <v>0</v>
      </c>
      <c r="H233" s="91" t="b">
        <v>0</v>
      </c>
      <c r="I233" s="91" t="b">
        <v>0</v>
      </c>
      <c r="J233" s="91" t="b">
        <v>0</v>
      </c>
      <c r="K233" s="91" t="b">
        <v>0</v>
      </c>
      <c r="L233" s="91" t="b">
        <v>0</v>
      </c>
    </row>
    <row r="234" spans="1:12" ht="15">
      <c r="A234" s="92" t="s">
        <v>2622</v>
      </c>
      <c r="B234" s="91" t="s">
        <v>2571</v>
      </c>
      <c r="C234" s="91">
        <v>13</v>
      </c>
      <c r="D234" s="114">
        <v>0.0016504645386004177</v>
      </c>
      <c r="E234" s="114">
        <v>1.2124573131479697</v>
      </c>
      <c r="F234" s="91" t="s">
        <v>3159</v>
      </c>
      <c r="G234" s="91" t="b">
        <v>0</v>
      </c>
      <c r="H234" s="91" t="b">
        <v>0</v>
      </c>
      <c r="I234" s="91" t="b">
        <v>0</v>
      </c>
      <c r="J234" s="91" t="b">
        <v>0</v>
      </c>
      <c r="K234" s="91" t="b">
        <v>0</v>
      </c>
      <c r="L234" s="91" t="b">
        <v>0</v>
      </c>
    </row>
    <row r="235" spans="1:12" ht="15">
      <c r="A235" s="92" t="s">
        <v>2571</v>
      </c>
      <c r="B235" s="91" t="s">
        <v>2567</v>
      </c>
      <c r="C235" s="91">
        <v>13</v>
      </c>
      <c r="D235" s="114">
        <v>0.0016504645386004177</v>
      </c>
      <c r="E235" s="114">
        <v>0.5313547615413731</v>
      </c>
      <c r="F235" s="91" t="s">
        <v>3159</v>
      </c>
      <c r="G235" s="91" t="b">
        <v>0</v>
      </c>
      <c r="H235" s="91" t="b">
        <v>0</v>
      </c>
      <c r="I235" s="91" t="b">
        <v>0</v>
      </c>
      <c r="J235" s="91" t="b">
        <v>0</v>
      </c>
      <c r="K235" s="91" t="b">
        <v>0</v>
      </c>
      <c r="L235" s="91" t="b">
        <v>0</v>
      </c>
    </row>
    <row r="236" spans="1:12" ht="15">
      <c r="A236" s="92" t="s">
        <v>2567</v>
      </c>
      <c r="B236" s="91" t="s">
        <v>2573</v>
      </c>
      <c r="C236" s="91">
        <v>13</v>
      </c>
      <c r="D236" s="114">
        <v>0.0016504645386004177</v>
      </c>
      <c r="E236" s="114">
        <v>0.6293460596938687</v>
      </c>
      <c r="F236" s="91" t="s">
        <v>3159</v>
      </c>
      <c r="G236" s="91" t="b">
        <v>0</v>
      </c>
      <c r="H236" s="91" t="b">
        <v>0</v>
      </c>
      <c r="I236" s="91" t="b">
        <v>0</v>
      </c>
      <c r="J236" s="91" t="b">
        <v>0</v>
      </c>
      <c r="K236" s="91" t="b">
        <v>0</v>
      </c>
      <c r="L236" s="91" t="b">
        <v>0</v>
      </c>
    </row>
    <row r="237" spans="1:12" ht="15">
      <c r="A237" s="92" t="s">
        <v>2573</v>
      </c>
      <c r="B237" s="91" t="s">
        <v>2579</v>
      </c>
      <c r="C237" s="91">
        <v>13</v>
      </c>
      <c r="D237" s="114">
        <v>0.0016504645386004177</v>
      </c>
      <c r="E237" s="114">
        <v>0.8351079894167703</v>
      </c>
      <c r="F237" s="91" t="s">
        <v>3159</v>
      </c>
      <c r="G237" s="91" t="b">
        <v>0</v>
      </c>
      <c r="H237" s="91" t="b">
        <v>0</v>
      </c>
      <c r="I237" s="91" t="b">
        <v>0</v>
      </c>
      <c r="J237" s="91" t="b">
        <v>0</v>
      </c>
      <c r="K237" s="91" t="b">
        <v>0</v>
      </c>
      <c r="L237" s="91" t="b">
        <v>0</v>
      </c>
    </row>
    <row r="238" spans="1:12" ht="15">
      <c r="A238" s="92" t="s">
        <v>2579</v>
      </c>
      <c r="B238" s="91" t="s">
        <v>2739</v>
      </c>
      <c r="C238" s="91">
        <v>13</v>
      </c>
      <c r="D238" s="114">
        <v>0.0016504645386004177</v>
      </c>
      <c r="E238" s="114">
        <v>1.9386485813238399</v>
      </c>
      <c r="F238" s="91" t="s">
        <v>3159</v>
      </c>
      <c r="G238" s="91" t="b">
        <v>0</v>
      </c>
      <c r="H238" s="91" t="b">
        <v>0</v>
      </c>
      <c r="I238" s="91" t="b">
        <v>0</v>
      </c>
      <c r="J238" s="91" t="b">
        <v>0</v>
      </c>
      <c r="K238" s="91" t="b">
        <v>0</v>
      </c>
      <c r="L238" s="91" t="b">
        <v>0</v>
      </c>
    </row>
    <row r="239" spans="1:12" ht="15">
      <c r="A239" s="92" t="s">
        <v>2574</v>
      </c>
      <c r="B239" s="91" t="s">
        <v>2609</v>
      </c>
      <c r="C239" s="91">
        <v>13</v>
      </c>
      <c r="D239" s="114">
        <v>0.0016504645386004177</v>
      </c>
      <c r="E239" s="114">
        <v>1.1717783413498852</v>
      </c>
      <c r="F239" s="91" t="s">
        <v>3159</v>
      </c>
      <c r="G239" s="91" t="b">
        <v>0</v>
      </c>
      <c r="H239" s="91" t="b">
        <v>0</v>
      </c>
      <c r="I239" s="91" t="b">
        <v>0</v>
      </c>
      <c r="J239" s="91" t="b">
        <v>0</v>
      </c>
      <c r="K239" s="91" t="b">
        <v>0</v>
      </c>
      <c r="L239" s="91" t="b">
        <v>0</v>
      </c>
    </row>
    <row r="240" spans="1:12" ht="15">
      <c r="A240" s="92" t="s">
        <v>2588</v>
      </c>
      <c r="B240" s="91" t="s">
        <v>2615</v>
      </c>
      <c r="C240" s="91">
        <v>13</v>
      </c>
      <c r="D240" s="114">
        <v>0.0016504645386004177</v>
      </c>
      <c r="E240" s="114">
        <v>1.4946474857964125</v>
      </c>
      <c r="F240" s="91" t="s">
        <v>3159</v>
      </c>
      <c r="G240" s="91" t="b">
        <v>0</v>
      </c>
      <c r="H240" s="91" t="b">
        <v>0</v>
      </c>
      <c r="I240" s="91" t="b">
        <v>0</v>
      </c>
      <c r="J240" s="91" t="b">
        <v>0</v>
      </c>
      <c r="K240" s="91" t="b">
        <v>0</v>
      </c>
      <c r="L240" s="91" t="b">
        <v>0</v>
      </c>
    </row>
    <row r="241" spans="1:12" ht="15">
      <c r="A241" s="92" t="s">
        <v>2564</v>
      </c>
      <c r="B241" s="91" t="s">
        <v>2570</v>
      </c>
      <c r="C241" s="91">
        <v>12</v>
      </c>
      <c r="D241" s="114">
        <v>0.0015586189665845157</v>
      </c>
      <c r="E241" s="114">
        <v>0.2311536756959861</v>
      </c>
      <c r="F241" s="91" t="s">
        <v>3159</v>
      </c>
      <c r="G241" s="91" t="b">
        <v>0</v>
      </c>
      <c r="H241" s="91" t="b">
        <v>0</v>
      </c>
      <c r="I241" s="91" t="b">
        <v>0</v>
      </c>
      <c r="J241" s="91" t="b">
        <v>0</v>
      </c>
      <c r="K241" s="91" t="b">
        <v>0</v>
      </c>
      <c r="L241" s="91" t="b">
        <v>0</v>
      </c>
    </row>
    <row r="242" spans="1:12" ht="15">
      <c r="A242" s="92" t="s">
        <v>2582</v>
      </c>
      <c r="B242" s="91" t="s">
        <v>586</v>
      </c>
      <c r="C242" s="91">
        <v>12</v>
      </c>
      <c r="D242" s="114">
        <v>0.0015586189665845157</v>
      </c>
      <c r="E242" s="114">
        <v>1.363886792848765</v>
      </c>
      <c r="F242" s="91" t="s">
        <v>3159</v>
      </c>
      <c r="G242" s="91" t="b">
        <v>0</v>
      </c>
      <c r="H242" s="91" t="b">
        <v>0</v>
      </c>
      <c r="I242" s="91" t="b">
        <v>0</v>
      </c>
      <c r="J242" s="91" t="b">
        <v>0</v>
      </c>
      <c r="K242" s="91" t="b">
        <v>0</v>
      </c>
      <c r="L242" s="91" t="b">
        <v>0</v>
      </c>
    </row>
    <row r="243" spans="1:12" ht="15">
      <c r="A243" s="92" t="s">
        <v>2694</v>
      </c>
      <c r="B243" s="91" t="s">
        <v>2636</v>
      </c>
      <c r="C243" s="91">
        <v>11</v>
      </c>
      <c r="D243" s="114">
        <v>0.0014637234609333983</v>
      </c>
      <c r="E243" s="114">
        <v>2.477365907290014</v>
      </c>
      <c r="F243" s="91" t="s">
        <v>3159</v>
      </c>
      <c r="G243" s="91" t="b">
        <v>0</v>
      </c>
      <c r="H243" s="91" t="b">
        <v>0</v>
      </c>
      <c r="I243" s="91" t="b">
        <v>0</v>
      </c>
      <c r="J243" s="91" t="b">
        <v>0</v>
      </c>
      <c r="K243" s="91" t="b">
        <v>0</v>
      </c>
      <c r="L243" s="91" t="b">
        <v>0</v>
      </c>
    </row>
    <row r="244" spans="1:12" ht="15">
      <c r="A244" s="92" t="s">
        <v>2754</v>
      </c>
      <c r="B244" s="91" t="s">
        <v>2580</v>
      </c>
      <c r="C244" s="91">
        <v>11</v>
      </c>
      <c r="D244" s="114">
        <v>0.0014637234609333983</v>
      </c>
      <c r="E244" s="114">
        <v>1.9486328022304407</v>
      </c>
      <c r="F244" s="91" t="s">
        <v>3159</v>
      </c>
      <c r="G244" s="91" t="b">
        <v>0</v>
      </c>
      <c r="H244" s="91" t="b">
        <v>0</v>
      </c>
      <c r="I244" s="91" t="b">
        <v>0</v>
      </c>
      <c r="J244" s="91" t="b">
        <v>0</v>
      </c>
      <c r="K244" s="91" t="b">
        <v>0</v>
      </c>
      <c r="L244" s="91" t="b">
        <v>0</v>
      </c>
    </row>
    <row r="245" spans="1:12" ht="15">
      <c r="A245" s="92" t="s">
        <v>2572</v>
      </c>
      <c r="B245" s="91" t="s">
        <v>2733</v>
      </c>
      <c r="C245" s="91">
        <v>11</v>
      </c>
      <c r="D245" s="114">
        <v>0.0014637234609333983</v>
      </c>
      <c r="E245" s="114">
        <v>1.713937913727077</v>
      </c>
      <c r="F245" s="91" t="s">
        <v>3159</v>
      </c>
      <c r="G245" s="91" t="b">
        <v>0</v>
      </c>
      <c r="H245" s="91" t="b">
        <v>0</v>
      </c>
      <c r="I245" s="91" t="b">
        <v>0</v>
      </c>
      <c r="J245" s="91" t="b">
        <v>0</v>
      </c>
      <c r="K245" s="91" t="b">
        <v>0</v>
      </c>
      <c r="L245" s="91" t="b">
        <v>0</v>
      </c>
    </row>
    <row r="246" spans="1:12" ht="15">
      <c r="A246" s="92" t="s">
        <v>2733</v>
      </c>
      <c r="B246" s="91" t="s">
        <v>2672</v>
      </c>
      <c r="C246" s="91">
        <v>11</v>
      </c>
      <c r="D246" s="114">
        <v>0.0014637234609333983</v>
      </c>
      <c r="E246" s="114">
        <v>2.6120644811874705</v>
      </c>
      <c r="F246" s="91" t="s">
        <v>3159</v>
      </c>
      <c r="G246" s="91" t="b">
        <v>0</v>
      </c>
      <c r="H246" s="91" t="b">
        <v>0</v>
      </c>
      <c r="I246" s="91" t="b">
        <v>0</v>
      </c>
      <c r="J246" s="91" t="b">
        <v>0</v>
      </c>
      <c r="K246" s="91" t="b">
        <v>0</v>
      </c>
      <c r="L246" s="91" t="b">
        <v>0</v>
      </c>
    </row>
    <row r="247" spans="1:12" ht="15">
      <c r="A247" s="92" t="s">
        <v>2672</v>
      </c>
      <c r="B247" s="91" t="s">
        <v>2755</v>
      </c>
      <c r="C247" s="91">
        <v>11</v>
      </c>
      <c r="D247" s="114">
        <v>0.0014637234609333983</v>
      </c>
      <c r="E247" s="114">
        <v>2.7167998317074833</v>
      </c>
      <c r="F247" s="91" t="s">
        <v>3159</v>
      </c>
      <c r="G247" s="91" t="b">
        <v>0</v>
      </c>
      <c r="H247" s="91" t="b">
        <v>0</v>
      </c>
      <c r="I247" s="91" t="b">
        <v>0</v>
      </c>
      <c r="J247" s="91" t="b">
        <v>0</v>
      </c>
      <c r="K247" s="91" t="b">
        <v>0</v>
      </c>
      <c r="L247" s="91" t="b">
        <v>0</v>
      </c>
    </row>
    <row r="248" spans="1:12" ht="15">
      <c r="A248" s="92" t="s">
        <v>2755</v>
      </c>
      <c r="B248" s="91" t="s">
        <v>2668</v>
      </c>
      <c r="C248" s="91">
        <v>11</v>
      </c>
      <c r="D248" s="114">
        <v>0.0014637234609333983</v>
      </c>
      <c r="E248" s="114">
        <v>2.7167998317074833</v>
      </c>
      <c r="F248" s="91" t="s">
        <v>3159</v>
      </c>
      <c r="G248" s="91" t="b">
        <v>0</v>
      </c>
      <c r="H248" s="91" t="b">
        <v>0</v>
      </c>
      <c r="I248" s="91" t="b">
        <v>0</v>
      </c>
      <c r="J248" s="91" t="b">
        <v>0</v>
      </c>
      <c r="K248" s="91" t="b">
        <v>0</v>
      </c>
      <c r="L248" s="91" t="b">
        <v>0</v>
      </c>
    </row>
    <row r="249" spans="1:12" ht="15">
      <c r="A249" s="92" t="s">
        <v>2668</v>
      </c>
      <c r="B249" s="91" t="s">
        <v>2582</v>
      </c>
      <c r="C249" s="91">
        <v>11</v>
      </c>
      <c r="D249" s="114">
        <v>0.0014637234609333983</v>
      </c>
      <c r="E249" s="114">
        <v>1.6826455554731776</v>
      </c>
      <c r="F249" s="91" t="s">
        <v>3159</v>
      </c>
      <c r="G249" s="91" t="b">
        <v>0</v>
      </c>
      <c r="H249" s="91" t="b">
        <v>0</v>
      </c>
      <c r="I249" s="91" t="b">
        <v>0</v>
      </c>
      <c r="J249" s="91" t="b">
        <v>0</v>
      </c>
      <c r="K249" s="91" t="b">
        <v>0</v>
      </c>
      <c r="L249" s="91" t="b">
        <v>0</v>
      </c>
    </row>
    <row r="250" spans="1:12" ht="15">
      <c r="A250" s="92" t="s">
        <v>586</v>
      </c>
      <c r="B250" s="91" t="s">
        <v>2566</v>
      </c>
      <c r="C250" s="91">
        <v>11</v>
      </c>
      <c r="D250" s="114">
        <v>0.0014637234609333983</v>
      </c>
      <c r="E250" s="114">
        <v>1.0486912816418081</v>
      </c>
      <c r="F250" s="91" t="s">
        <v>3159</v>
      </c>
      <c r="G250" s="91" t="b">
        <v>0</v>
      </c>
      <c r="H250" s="91" t="b">
        <v>0</v>
      </c>
      <c r="I250" s="91" t="b">
        <v>0</v>
      </c>
      <c r="J250" s="91" t="b">
        <v>0</v>
      </c>
      <c r="K250" s="91" t="b">
        <v>0</v>
      </c>
      <c r="L250" s="91" t="b">
        <v>0</v>
      </c>
    </row>
    <row r="251" spans="1:12" ht="15">
      <c r="A251" s="92" t="s">
        <v>2566</v>
      </c>
      <c r="B251" s="91" t="s">
        <v>2570</v>
      </c>
      <c r="C251" s="91">
        <v>11</v>
      </c>
      <c r="D251" s="114">
        <v>0.0014637234609333983</v>
      </c>
      <c r="E251" s="114">
        <v>0.46457888133446773</v>
      </c>
      <c r="F251" s="91" t="s">
        <v>3159</v>
      </c>
      <c r="G251" s="91" t="b">
        <v>0</v>
      </c>
      <c r="H251" s="91" t="b">
        <v>0</v>
      </c>
      <c r="I251" s="91" t="b">
        <v>0</v>
      </c>
      <c r="J251" s="91" t="b">
        <v>0</v>
      </c>
      <c r="K251" s="91" t="b">
        <v>0</v>
      </c>
      <c r="L251" s="91" t="b">
        <v>0</v>
      </c>
    </row>
    <row r="252" spans="1:12" ht="15">
      <c r="A252" s="92" t="s">
        <v>2570</v>
      </c>
      <c r="B252" s="91" t="s">
        <v>2611</v>
      </c>
      <c r="C252" s="91">
        <v>11</v>
      </c>
      <c r="D252" s="114">
        <v>0.0014637234609333983</v>
      </c>
      <c r="E252" s="114">
        <v>1.043710346351442</v>
      </c>
      <c r="F252" s="91" t="s">
        <v>3159</v>
      </c>
      <c r="G252" s="91" t="b">
        <v>0</v>
      </c>
      <c r="H252" s="91" t="b">
        <v>0</v>
      </c>
      <c r="I252" s="91" t="b">
        <v>0</v>
      </c>
      <c r="J252" s="91" t="b">
        <v>0</v>
      </c>
      <c r="K252" s="91" t="b">
        <v>0</v>
      </c>
      <c r="L252" s="91" t="b">
        <v>0</v>
      </c>
    </row>
    <row r="253" spans="1:12" ht="15">
      <c r="A253" s="92" t="s">
        <v>2611</v>
      </c>
      <c r="B253" s="91" t="s">
        <v>2740</v>
      </c>
      <c r="C253" s="91">
        <v>11</v>
      </c>
      <c r="D253" s="114">
        <v>0.0014637234609333983</v>
      </c>
      <c r="E253" s="114">
        <v>2.296475765352564</v>
      </c>
      <c r="F253" s="91" t="s">
        <v>3159</v>
      </c>
      <c r="G253" s="91" t="b">
        <v>0</v>
      </c>
      <c r="H253" s="91" t="b">
        <v>0</v>
      </c>
      <c r="I253" s="91" t="b">
        <v>0</v>
      </c>
      <c r="J253" s="91" t="b">
        <v>0</v>
      </c>
      <c r="K253" s="91" t="b">
        <v>0</v>
      </c>
      <c r="L253" s="91" t="b">
        <v>0</v>
      </c>
    </row>
    <row r="254" spans="1:12" ht="15">
      <c r="A254" s="92" t="s">
        <v>2740</v>
      </c>
      <c r="B254" s="91" t="s">
        <v>2756</v>
      </c>
      <c r="C254" s="91">
        <v>11</v>
      </c>
      <c r="D254" s="114">
        <v>0.0014637234609333983</v>
      </c>
      <c r="E254" s="114">
        <v>2.945279160222853</v>
      </c>
      <c r="F254" s="91" t="s">
        <v>3159</v>
      </c>
      <c r="G254" s="91" t="b">
        <v>0</v>
      </c>
      <c r="H254" s="91" t="b">
        <v>0</v>
      </c>
      <c r="I254" s="91" t="b">
        <v>0</v>
      </c>
      <c r="J254" s="91" t="b">
        <v>0</v>
      </c>
      <c r="K254" s="91" t="b">
        <v>0</v>
      </c>
      <c r="L254" s="91" t="b">
        <v>0</v>
      </c>
    </row>
    <row r="255" spans="1:12" ht="15">
      <c r="A255" s="92" t="s">
        <v>2756</v>
      </c>
      <c r="B255" s="91" t="s">
        <v>2757</v>
      </c>
      <c r="C255" s="91">
        <v>11</v>
      </c>
      <c r="D255" s="114">
        <v>0.0014637234609333983</v>
      </c>
      <c r="E255" s="114">
        <v>3.0178298273714645</v>
      </c>
      <c r="F255" s="91" t="s">
        <v>3159</v>
      </c>
      <c r="G255" s="91" t="b">
        <v>0</v>
      </c>
      <c r="H255" s="91" t="b">
        <v>0</v>
      </c>
      <c r="I255" s="91" t="b">
        <v>0</v>
      </c>
      <c r="J255" s="91" t="b">
        <v>0</v>
      </c>
      <c r="K255" s="91" t="b">
        <v>0</v>
      </c>
      <c r="L255" s="91" t="b">
        <v>0</v>
      </c>
    </row>
    <row r="256" spans="1:12" ht="15">
      <c r="A256" s="92" t="s">
        <v>2757</v>
      </c>
      <c r="B256" s="91" t="s">
        <v>2571</v>
      </c>
      <c r="C256" s="91">
        <v>11</v>
      </c>
      <c r="D256" s="114">
        <v>0.0014637234609333983</v>
      </c>
      <c r="E256" s="114">
        <v>1.7517264746164767</v>
      </c>
      <c r="F256" s="91" t="s">
        <v>3159</v>
      </c>
      <c r="G256" s="91" t="b">
        <v>0</v>
      </c>
      <c r="H256" s="91" t="b">
        <v>0</v>
      </c>
      <c r="I256" s="91" t="b">
        <v>0</v>
      </c>
      <c r="J256" s="91" t="b">
        <v>0</v>
      </c>
      <c r="K256" s="91" t="b">
        <v>0</v>
      </c>
      <c r="L256" s="91" t="b">
        <v>0</v>
      </c>
    </row>
    <row r="257" spans="1:12" ht="15">
      <c r="A257" s="92" t="s">
        <v>2564</v>
      </c>
      <c r="B257" s="91" t="s">
        <v>438</v>
      </c>
      <c r="C257" s="91">
        <v>11</v>
      </c>
      <c r="D257" s="114">
        <v>0.0014637234609333983</v>
      </c>
      <c r="E257" s="114">
        <v>1.4637262907041155</v>
      </c>
      <c r="F257" s="91" t="s">
        <v>3159</v>
      </c>
      <c r="G257" s="91" t="b">
        <v>0</v>
      </c>
      <c r="H257" s="91" t="b">
        <v>0</v>
      </c>
      <c r="I257" s="91" t="b">
        <v>0</v>
      </c>
      <c r="J257" s="91" t="b">
        <v>0</v>
      </c>
      <c r="K257" s="91" t="b">
        <v>0</v>
      </c>
      <c r="L257" s="91" t="b">
        <v>0</v>
      </c>
    </row>
    <row r="258" spans="1:12" ht="15">
      <c r="A258" s="92" t="s">
        <v>438</v>
      </c>
      <c r="B258" s="91" t="s">
        <v>420</v>
      </c>
      <c r="C258" s="91">
        <v>11</v>
      </c>
      <c r="D258" s="114">
        <v>0.0014637234609333983</v>
      </c>
      <c r="E258" s="114">
        <v>3.0178298273714645</v>
      </c>
      <c r="F258" s="91" t="s">
        <v>3159</v>
      </c>
      <c r="G258" s="91" t="b">
        <v>0</v>
      </c>
      <c r="H258" s="91" t="b">
        <v>0</v>
      </c>
      <c r="I258" s="91" t="b">
        <v>0</v>
      </c>
      <c r="J258" s="91" t="b">
        <v>0</v>
      </c>
      <c r="K258" s="91" t="b">
        <v>0</v>
      </c>
      <c r="L258" s="91" t="b">
        <v>0</v>
      </c>
    </row>
    <row r="259" spans="1:12" ht="15">
      <c r="A259" s="92" t="s">
        <v>2576</v>
      </c>
      <c r="B259" s="91" t="s">
        <v>2589</v>
      </c>
      <c r="C259" s="91">
        <v>11</v>
      </c>
      <c r="D259" s="114">
        <v>0.0014637234609333983</v>
      </c>
      <c r="E259" s="114">
        <v>1.0640661432087624</v>
      </c>
      <c r="F259" s="91" t="s">
        <v>3159</v>
      </c>
      <c r="G259" s="91" t="b">
        <v>0</v>
      </c>
      <c r="H259" s="91" t="b">
        <v>0</v>
      </c>
      <c r="I259" s="91" t="b">
        <v>0</v>
      </c>
      <c r="J259" s="91" t="b">
        <v>0</v>
      </c>
      <c r="K259" s="91" t="b">
        <v>0</v>
      </c>
      <c r="L259" s="91" t="b">
        <v>0</v>
      </c>
    </row>
    <row r="260" spans="1:12" ht="15">
      <c r="A260" s="92" t="s">
        <v>2616</v>
      </c>
      <c r="B260" s="91" t="s">
        <v>2567</v>
      </c>
      <c r="C260" s="91">
        <v>11</v>
      </c>
      <c r="D260" s="114">
        <v>0.0014637234609333983</v>
      </c>
      <c r="E260" s="114">
        <v>1.048152120204586</v>
      </c>
      <c r="F260" s="91" t="s">
        <v>3159</v>
      </c>
      <c r="G260" s="91" t="b">
        <v>0</v>
      </c>
      <c r="H260" s="91" t="b">
        <v>0</v>
      </c>
      <c r="I260" s="91" t="b">
        <v>0</v>
      </c>
      <c r="J260" s="91" t="b">
        <v>0</v>
      </c>
      <c r="K260" s="91" t="b">
        <v>0</v>
      </c>
      <c r="L260" s="91" t="b">
        <v>0</v>
      </c>
    </row>
    <row r="261" spans="1:12" ht="15">
      <c r="A261" s="92" t="s">
        <v>2567</v>
      </c>
      <c r="B261" s="91" t="s">
        <v>2759</v>
      </c>
      <c r="C261" s="91">
        <v>11</v>
      </c>
      <c r="D261" s="114">
        <v>0.0014637234609333983</v>
      </c>
      <c r="E261" s="114">
        <v>1.7328866516009382</v>
      </c>
      <c r="F261" s="91" t="s">
        <v>3159</v>
      </c>
      <c r="G261" s="91" t="b">
        <v>0</v>
      </c>
      <c r="H261" s="91" t="b">
        <v>0</v>
      </c>
      <c r="I261" s="91" t="b">
        <v>0</v>
      </c>
      <c r="J261" s="91" t="b">
        <v>0</v>
      </c>
      <c r="K261" s="91" t="b">
        <v>0</v>
      </c>
      <c r="L261" s="91" t="b">
        <v>0</v>
      </c>
    </row>
    <row r="262" spans="1:12" ht="15">
      <c r="A262" s="92" t="s">
        <v>2759</v>
      </c>
      <c r="B262" s="91" t="s">
        <v>2760</v>
      </c>
      <c r="C262" s="91">
        <v>11</v>
      </c>
      <c r="D262" s="114">
        <v>0.0014637234609333983</v>
      </c>
      <c r="E262" s="114">
        <v>3.0178298273714645</v>
      </c>
      <c r="F262" s="91" t="s">
        <v>3159</v>
      </c>
      <c r="G262" s="91" t="b">
        <v>0</v>
      </c>
      <c r="H262" s="91" t="b">
        <v>0</v>
      </c>
      <c r="I262" s="91" t="b">
        <v>0</v>
      </c>
      <c r="J262" s="91" t="b">
        <v>0</v>
      </c>
      <c r="K262" s="91" t="b">
        <v>0</v>
      </c>
      <c r="L262" s="91" t="b">
        <v>0</v>
      </c>
    </row>
    <row r="263" spans="1:12" ht="15">
      <c r="A263" s="92" t="s">
        <v>2760</v>
      </c>
      <c r="B263" s="91" t="s">
        <v>2761</v>
      </c>
      <c r="C263" s="91">
        <v>11</v>
      </c>
      <c r="D263" s="114">
        <v>0.0014637234609333983</v>
      </c>
      <c r="E263" s="114">
        <v>3.0178298273714645</v>
      </c>
      <c r="F263" s="91" t="s">
        <v>3159</v>
      </c>
      <c r="G263" s="91" t="b">
        <v>0</v>
      </c>
      <c r="H263" s="91" t="b">
        <v>0</v>
      </c>
      <c r="I263" s="91" t="b">
        <v>0</v>
      </c>
      <c r="J263" s="91" t="b">
        <v>0</v>
      </c>
      <c r="K263" s="91" t="b">
        <v>0</v>
      </c>
      <c r="L263" s="91" t="b">
        <v>0</v>
      </c>
    </row>
    <row r="264" spans="1:12" ht="15">
      <c r="A264" s="92" t="s">
        <v>2761</v>
      </c>
      <c r="B264" s="91" t="s">
        <v>2762</v>
      </c>
      <c r="C264" s="91">
        <v>11</v>
      </c>
      <c r="D264" s="114">
        <v>0.0014637234609333983</v>
      </c>
      <c r="E264" s="114">
        <v>3.0178298273714645</v>
      </c>
      <c r="F264" s="91" t="s">
        <v>3159</v>
      </c>
      <c r="G264" s="91" t="b">
        <v>0</v>
      </c>
      <c r="H264" s="91" t="b">
        <v>0</v>
      </c>
      <c r="I264" s="91" t="b">
        <v>0</v>
      </c>
      <c r="J264" s="91" t="b">
        <v>0</v>
      </c>
      <c r="K264" s="91" t="b">
        <v>0</v>
      </c>
      <c r="L264" s="91" t="b">
        <v>0</v>
      </c>
    </row>
    <row r="265" spans="1:12" ht="15">
      <c r="A265" s="92" t="s">
        <v>2762</v>
      </c>
      <c r="B265" s="91" t="s">
        <v>2763</v>
      </c>
      <c r="C265" s="91">
        <v>11</v>
      </c>
      <c r="D265" s="114">
        <v>0.0014637234609333983</v>
      </c>
      <c r="E265" s="114">
        <v>3.0178298273714645</v>
      </c>
      <c r="F265" s="91" t="s">
        <v>3159</v>
      </c>
      <c r="G265" s="91" t="b">
        <v>0</v>
      </c>
      <c r="H265" s="91" t="b">
        <v>0</v>
      </c>
      <c r="I265" s="91" t="b">
        <v>0</v>
      </c>
      <c r="J265" s="91" t="b">
        <v>0</v>
      </c>
      <c r="K265" s="91" t="b">
        <v>0</v>
      </c>
      <c r="L265" s="91" t="b">
        <v>0</v>
      </c>
    </row>
    <row r="266" spans="1:12" ht="15">
      <c r="A266" s="92" t="s">
        <v>2763</v>
      </c>
      <c r="B266" s="91" t="s">
        <v>2565</v>
      </c>
      <c r="C266" s="91">
        <v>11</v>
      </c>
      <c r="D266" s="114">
        <v>0.0014637234609333983</v>
      </c>
      <c r="E266" s="114">
        <v>1.69373452763879</v>
      </c>
      <c r="F266" s="91" t="s">
        <v>3159</v>
      </c>
      <c r="G266" s="91" t="b">
        <v>0</v>
      </c>
      <c r="H266" s="91" t="b">
        <v>0</v>
      </c>
      <c r="I266" s="91" t="b">
        <v>0</v>
      </c>
      <c r="J266" s="91" t="b">
        <v>0</v>
      </c>
      <c r="K266" s="91" t="b">
        <v>0</v>
      </c>
      <c r="L266" s="91" t="b">
        <v>0</v>
      </c>
    </row>
    <row r="267" spans="1:12" ht="15">
      <c r="A267" s="92" t="s">
        <v>2565</v>
      </c>
      <c r="B267" s="91" t="s">
        <v>2640</v>
      </c>
      <c r="C267" s="91">
        <v>11</v>
      </c>
      <c r="D267" s="114">
        <v>0.0014637234609333983</v>
      </c>
      <c r="E267" s="114">
        <v>1.1553436161802049</v>
      </c>
      <c r="F267" s="91" t="s">
        <v>3159</v>
      </c>
      <c r="G267" s="91" t="b">
        <v>0</v>
      </c>
      <c r="H267" s="91" t="b">
        <v>0</v>
      </c>
      <c r="I267" s="91" t="b">
        <v>0</v>
      </c>
      <c r="J267" s="91" t="b">
        <v>0</v>
      </c>
      <c r="K267" s="91" t="b">
        <v>0</v>
      </c>
      <c r="L267" s="91" t="b">
        <v>0</v>
      </c>
    </row>
    <row r="268" spans="1:12" ht="15">
      <c r="A268" s="92" t="s">
        <v>2642</v>
      </c>
      <c r="B268" s="91" t="s">
        <v>2567</v>
      </c>
      <c r="C268" s="91">
        <v>11</v>
      </c>
      <c r="D268" s="114">
        <v>0.0014637234609333983</v>
      </c>
      <c r="E268" s="114">
        <v>1.4854018628865562</v>
      </c>
      <c r="F268" s="91" t="s">
        <v>3159</v>
      </c>
      <c r="G268" s="91" t="b">
        <v>0</v>
      </c>
      <c r="H268" s="91" t="b">
        <v>0</v>
      </c>
      <c r="I268" s="91" t="b">
        <v>0</v>
      </c>
      <c r="J268" s="91" t="b">
        <v>0</v>
      </c>
      <c r="K268" s="91" t="b">
        <v>0</v>
      </c>
      <c r="L268" s="91" t="b">
        <v>0</v>
      </c>
    </row>
    <row r="269" spans="1:12" ht="15">
      <c r="A269" s="92" t="s">
        <v>2574</v>
      </c>
      <c r="B269" s="91" t="s">
        <v>2764</v>
      </c>
      <c r="C269" s="91">
        <v>11</v>
      </c>
      <c r="D269" s="114">
        <v>0.0014637234609333983</v>
      </c>
      <c r="E269" s="114">
        <v>1.877378924584917</v>
      </c>
      <c r="F269" s="91" t="s">
        <v>3159</v>
      </c>
      <c r="G269" s="91" t="b">
        <v>0</v>
      </c>
      <c r="H269" s="91" t="b">
        <v>0</v>
      </c>
      <c r="I269" s="91" t="b">
        <v>0</v>
      </c>
      <c r="J269" s="91" t="b">
        <v>0</v>
      </c>
      <c r="K269" s="91" t="b">
        <v>0</v>
      </c>
      <c r="L269" s="91" t="b">
        <v>0</v>
      </c>
    </row>
    <row r="270" spans="1:12" ht="15">
      <c r="A270" s="92" t="s">
        <v>2764</v>
      </c>
      <c r="B270" s="91" t="s">
        <v>2566</v>
      </c>
      <c r="C270" s="91">
        <v>11</v>
      </c>
      <c r="D270" s="114">
        <v>0.0014637234609333983</v>
      </c>
      <c r="E270" s="114">
        <v>1.6974946765120966</v>
      </c>
      <c r="F270" s="91" t="s">
        <v>3159</v>
      </c>
      <c r="G270" s="91" t="b">
        <v>0</v>
      </c>
      <c r="H270" s="91" t="b">
        <v>0</v>
      </c>
      <c r="I270" s="91" t="b">
        <v>0</v>
      </c>
      <c r="J270" s="91" t="b">
        <v>0</v>
      </c>
      <c r="K270" s="91" t="b">
        <v>0</v>
      </c>
      <c r="L270" s="91" t="b">
        <v>0</v>
      </c>
    </row>
    <row r="271" spans="1:12" ht="15">
      <c r="A271" s="92" t="s">
        <v>2639</v>
      </c>
      <c r="B271" s="91" t="s">
        <v>2564</v>
      </c>
      <c r="C271" s="91">
        <v>11</v>
      </c>
      <c r="D271" s="114">
        <v>0.0014637234609333983</v>
      </c>
      <c r="E271" s="114">
        <v>1.0012799200019569</v>
      </c>
      <c r="F271" s="91" t="s">
        <v>3159</v>
      </c>
      <c r="G271" s="91" t="b">
        <v>0</v>
      </c>
      <c r="H271" s="91" t="b">
        <v>0</v>
      </c>
      <c r="I271" s="91" t="b">
        <v>0</v>
      </c>
      <c r="J271" s="91" t="b">
        <v>0</v>
      </c>
      <c r="K271" s="91" t="b">
        <v>0</v>
      </c>
      <c r="L271" s="91" t="b">
        <v>0</v>
      </c>
    </row>
    <row r="272" spans="1:12" ht="15">
      <c r="A272" s="92" t="s">
        <v>2564</v>
      </c>
      <c r="B272" s="91" t="s">
        <v>2765</v>
      </c>
      <c r="C272" s="91">
        <v>11</v>
      </c>
      <c r="D272" s="114">
        <v>0.0014637234609333983</v>
      </c>
      <c r="E272" s="114">
        <v>1.4637262907041155</v>
      </c>
      <c r="F272" s="91" t="s">
        <v>3159</v>
      </c>
      <c r="G272" s="91" t="b">
        <v>0</v>
      </c>
      <c r="H272" s="91" t="b">
        <v>0</v>
      </c>
      <c r="I272" s="91" t="b">
        <v>0</v>
      </c>
      <c r="J272" s="91" t="b">
        <v>0</v>
      </c>
      <c r="K272" s="91" t="b">
        <v>0</v>
      </c>
      <c r="L272" s="91" t="b">
        <v>0</v>
      </c>
    </row>
    <row r="273" spans="1:12" ht="15">
      <c r="A273" s="92" t="s">
        <v>2571</v>
      </c>
      <c r="B273" s="91" t="s">
        <v>2565</v>
      </c>
      <c r="C273" s="91">
        <v>10</v>
      </c>
      <c r="D273" s="114">
        <v>0.0013655000193318985</v>
      </c>
      <c r="E273" s="114">
        <v>0.38838315819216623</v>
      </c>
      <c r="F273" s="91" t="s">
        <v>3159</v>
      </c>
      <c r="G273" s="91" t="b">
        <v>0</v>
      </c>
      <c r="H273" s="91" t="b">
        <v>0</v>
      </c>
      <c r="I273" s="91" t="b">
        <v>0</v>
      </c>
      <c r="J273" s="91" t="b">
        <v>0</v>
      </c>
      <c r="K273" s="91" t="b">
        <v>0</v>
      </c>
      <c r="L273" s="91" t="b">
        <v>0</v>
      </c>
    </row>
    <row r="274" spans="1:12" ht="15">
      <c r="A274" s="92" t="s">
        <v>2584</v>
      </c>
      <c r="B274" s="91" t="s">
        <v>2770</v>
      </c>
      <c r="C274" s="91">
        <v>10</v>
      </c>
      <c r="D274" s="114">
        <v>0.0013655000193318985</v>
      </c>
      <c r="E274" s="114">
        <v>2.0339166472649195</v>
      </c>
      <c r="F274" s="91" t="s">
        <v>3159</v>
      </c>
      <c r="G274" s="91" t="b">
        <v>0</v>
      </c>
      <c r="H274" s="91" t="b">
        <v>0</v>
      </c>
      <c r="I274" s="91" t="b">
        <v>0</v>
      </c>
      <c r="J274" s="91" t="b">
        <v>0</v>
      </c>
      <c r="K274" s="91" t="b">
        <v>0</v>
      </c>
      <c r="L274" s="91" t="b">
        <v>0</v>
      </c>
    </row>
    <row r="275" spans="1:12" ht="15">
      <c r="A275" s="92" t="s">
        <v>2579</v>
      </c>
      <c r="B275" s="91" t="s">
        <v>2575</v>
      </c>
      <c r="C275" s="91">
        <v>10</v>
      </c>
      <c r="D275" s="114">
        <v>0.0013655000193318985</v>
      </c>
      <c r="E275" s="114">
        <v>0.7625573222681585</v>
      </c>
      <c r="F275" s="91" t="s">
        <v>3159</v>
      </c>
      <c r="G275" s="91" t="b">
        <v>0</v>
      </c>
      <c r="H275" s="91" t="b">
        <v>0</v>
      </c>
      <c r="I275" s="91" t="b">
        <v>0</v>
      </c>
      <c r="J275" s="91" t="b">
        <v>0</v>
      </c>
      <c r="K275" s="91" t="b">
        <v>0</v>
      </c>
      <c r="L275" s="91" t="b">
        <v>0</v>
      </c>
    </row>
    <row r="276" spans="1:12" ht="15">
      <c r="A276" s="92" t="s">
        <v>2575</v>
      </c>
      <c r="B276" s="91" t="s">
        <v>2612</v>
      </c>
      <c r="C276" s="91">
        <v>10</v>
      </c>
      <c r="D276" s="114">
        <v>0.0013655000193318985</v>
      </c>
      <c r="E276" s="114">
        <v>1.127256397801517</v>
      </c>
      <c r="F276" s="91" t="s">
        <v>3159</v>
      </c>
      <c r="G276" s="91" t="b">
        <v>0</v>
      </c>
      <c r="H276" s="91" t="b">
        <v>0</v>
      </c>
      <c r="I276" s="91" t="b">
        <v>0</v>
      </c>
      <c r="J276" s="91" t="b">
        <v>0</v>
      </c>
      <c r="K276" s="91" t="b">
        <v>0</v>
      </c>
      <c r="L276" s="91" t="b">
        <v>0</v>
      </c>
    </row>
    <row r="277" spans="1:12" ht="15">
      <c r="A277" s="92" t="s">
        <v>2591</v>
      </c>
      <c r="B277" s="91" t="s">
        <v>2778</v>
      </c>
      <c r="C277" s="91">
        <v>9</v>
      </c>
      <c r="D277" s="114">
        <v>0.0012636147829749775</v>
      </c>
      <c r="E277" s="114">
        <v>2.167127909839209</v>
      </c>
      <c r="F277" s="91" t="s">
        <v>3159</v>
      </c>
      <c r="G277" s="91" t="b">
        <v>0</v>
      </c>
      <c r="H277" s="91" t="b">
        <v>0</v>
      </c>
      <c r="I277" s="91" t="b">
        <v>0</v>
      </c>
      <c r="J277" s="91" t="b">
        <v>0</v>
      </c>
      <c r="K277" s="91" t="b">
        <v>0</v>
      </c>
      <c r="L277" s="91" t="b">
        <v>0</v>
      </c>
    </row>
    <row r="278" spans="1:12" ht="15">
      <c r="A278" s="92" t="s">
        <v>2780</v>
      </c>
      <c r="B278" s="91" t="s">
        <v>2694</v>
      </c>
      <c r="C278" s="91">
        <v>9</v>
      </c>
      <c r="D278" s="114">
        <v>0.0012636147829749775</v>
      </c>
      <c r="E278" s="114">
        <v>2.758192516865708</v>
      </c>
      <c r="F278" s="91" t="s">
        <v>3159</v>
      </c>
      <c r="G278" s="91" t="b">
        <v>0</v>
      </c>
      <c r="H278" s="91" t="b">
        <v>0</v>
      </c>
      <c r="I278" s="91" t="b">
        <v>0</v>
      </c>
      <c r="J278" s="91" t="b">
        <v>0</v>
      </c>
      <c r="K278" s="91" t="b">
        <v>0</v>
      </c>
      <c r="L278" s="91" t="b">
        <v>0</v>
      </c>
    </row>
    <row r="279" spans="1:12" ht="15">
      <c r="A279" s="92" t="s">
        <v>2694</v>
      </c>
      <c r="B279" s="91" t="s">
        <v>2568</v>
      </c>
      <c r="C279" s="91">
        <v>9</v>
      </c>
      <c r="D279" s="114">
        <v>0.0012636147829749775</v>
      </c>
      <c r="E279" s="114">
        <v>1.3860991653762817</v>
      </c>
      <c r="F279" s="91" t="s">
        <v>3159</v>
      </c>
      <c r="G279" s="91" t="b">
        <v>0</v>
      </c>
      <c r="H279" s="91" t="b">
        <v>0</v>
      </c>
      <c r="I279" s="91" t="b">
        <v>0</v>
      </c>
      <c r="J279" s="91" t="b">
        <v>0</v>
      </c>
      <c r="K279" s="91" t="b">
        <v>0</v>
      </c>
      <c r="L279" s="91" t="b">
        <v>0</v>
      </c>
    </row>
    <row r="280" spans="1:12" ht="15">
      <c r="A280" s="92" t="s">
        <v>2592</v>
      </c>
      <c r="B280" s="91" t="s">
        <v>2565</v>
      </c>
      <c r="C280" s="91">
        <v>9</v>
      </c>
      <c r="D280" s="114">
        <v>0.0012636147829749775</v>
      </c>
      <c r="E280" s="114">
        <v>0.7558824343876345</v>
      </c>
      <c r="F280" s="91" t="s">
        <v>3159</v>
      </c>
      <c r="G280" s="91" t="b">
        <v>0</v>
      </c>
      <c r="H280" s="91" t="b">
        <v>0</v>
      </c>
      <c r="I280" s="91" t="b">
        <v>0</v>
      </c>
      <c r="J280" s="91" t="b">
        <v>0</v>
      </c>
      <c r="K280" s="91" t="b">
        <v>0</v>
      </c>
      <c r="L280" s="91" t="b">
        <v>0</v>
      </c>
    </row>
    <row r="281" spans="1:12" ht="15">
      <c r="A281" s="92" t="s">
        <v>2565</v>
      </c>
      <c r="B281" s="91" t="s">
        <v>2629</v>
      </c>
      <c r="C281" s="91">
        <v>9</v>
      </c>
      <c r="D281" s="114">
        <v>0.0012636147829749775</v>
      </c>
      <c r="E281" s="114">
        <v>1.0045243605919274</v>
      </c>
      <c r="F281" s="91" t="s">
        <v>3159</v>
      </c>
      <c r="G281" s="91" t="b">
        <v>0</v>
      </c>
      <c r="H281" s="91" t="b">
        <v>0</v>
      </c>
      <c r="I281" s="91" t="b">
        <v>0</v>
      </c>
      <c r="J281" s="91" t="b">
        <v>0</v>
      </c>
      <c r="K281" s="91" t="b">
        <v>0</v>
      </c>
      <c r="L281" s="91" t="b">
        <v>0</v>
      </c>
    </row>
    <row r="282" spans="1:12" ht="15">
      <c r="A282" s="92" t="s">
        <v>2629</v>
      </c>
      <c r="B282" s="91" t="s">
        <v>2568</v>
      </c>
      <c r="C282" s="91">
        <v>9</v>
      </c>
      <c r="D282" s="114">
        <v>0.0012636147829749775</v>
      </c>
      <c r="E282" s="114">
        <v>1.0436764845540756</v>
      </c>
      <c r="F282" s="91" t="s">
        <v>3159</v>
      </c>
      <c r="G282" s="91" t="b">
        <v>0</v>
      </c>
      <c r="H282" s="91" t="b">
        <v>0</v>
      </c>
      <c r="I282" s="91" t="b">
        <v>0</v>
      </c>
      <c r="J282" s="91" t="b">
        <v>0</v>
      </c>
      <c r="K282" s="91" t="b">
        <v>0</v>
      </c>
      <c r="L282" s="91" t="b">
        <v>0</v>
      </c>
    </row>
    <row r="283" spans="1:12" ht="15">
      <c r="A283" s="92" t="s">
        <v>2568</v>
      </c>
      <c r="B283" s="91" t="s">
        <v>2781</v>
      </c>
      <c r="C283" s="91">
        <v>9</v>
      </c>
      <c r="D283" s="114">
        <v>0.0012636147829749775</v>
      </c>
      <c r="E283" s="114">
        <v>1.7328866516009382</v>
      </c>
      <c r="F283" s="91" t="s">
        <v>3159</v>
      </c>
      <c r="G283" s="91" t="b">
        <v>0</v>
      </c>
      <c r="H283" s="91" t="b">
        <v>0</v>
      </c>
      <c r="I283" s="91" t="b">
        <v>0</v>
      </c>
      <c r="J283" s="91" t="b">
        <v>0</v>
      </c>
      <c r="K283" s="91" t="b">
        <v>0</v>
      </c>
      <c r="L283" s="91" t="b">
        <v>0</v>
      </c>
    </row>
    <row r="284" spans="1:12" ht="15">
      <c r="A284" s="92" t="s">
        <v>2781</v>
      </c>
      <c r="B284" s="91" t="s">
        <v>2782</v>
      </c>
      <c r="C284" s="91">
        <v>9</v>
      </c>
      <c r="D284" s="114">
        <v>0.0012636147829749775</v>
      </c>
      <c r="E284" s="114">
        <v>3.1049800030903647</v>
      </c>
      <c r="F284" s="91" t="s">
        <v>3159</v>
      </c>
      <c r="G284" s="91" t="b">
        <v>0</v>
      </c>
      <c r="H284" s="91" t="b">
        <v>0</v>
      </c>
      <c r="I284" s="91" t="b">
        <v>0</v>
      </c>
      <c r="J284" s="91" t="b">
        <v>0</v>
      </c>
      <c r="K284" s="91" t="b">
        <v>0</v>
      </c>
      <c r="L284" s="91" t="b">
        <v>0</v>
      </c>
    </row>
    <row r="285" spans="1:12" ht="15">
      <c r="A285" s="92" t="s">
        <v>2782</v>
      </c>
      <c r="B285" s="91" t="s">
        <v>2771</v>
      </c>
      <c r="C285" s="91">
        <v>9</v>
      </c>
      <c r="D285" s="114">
        <v>0.0012636147829749775</v>
      </c>
      <c r="E285" s="114">
        <v>3.0592225125296895</v>
      </c>
      <c r="F285" s="91" t="s">
        <v>3159</v>
      </c>
      <c r="G285" s="91" t="b">
        <v>0</v>
      </c>
      <c r="H285" s="91" t="b">
        <v>0</v>
      </c>
      <c r="I285" s="91" t="b">
        <v>0</v>
      </c>
      <c r="J285" s="91" t="b">
        <v>0</v>
      </c>
      <c r="K285" s="91" t="b">
        <v>0</v>
      </c>
      <c r="L285" s="91" t="b">
        <v>0</v>
      </c>
    </row>
    <row r="286" spans="1:12" ht="15">
      <c r="A286" s="92" t="s">
        <v>2771</v>
      </c>
      <c r="B286" s="91" t="s">
        <v>2734</v>
      </c>
      <c r="C286" s="91">
        <v>9</v>
      </c>
      <c r="D286" s="114">
        <v>0.0012636147829749775</v>
      </c>
      <c r="E286" s="114">
        <v>2.8673369862907765</v>
      </c>
      <c r="F286" s="91" t="s">
        <v>3159</v>
      </c>
      <c r="G286" s="91" t="b">
        <v>0</v>
      </c>
      <c r="H286" s="91" t="b">
        <v>0</v>
      </c>
      <c r="I286" s="91" t="b">
        <v>0</v>
      </c>
      <c r="J286" s="91" t="b">
        <v>0</v>
      </c>
      <c r="K286" s="91" t="b">
        <v>0</v>
      </c>
      <c r="L286" s="91" t="b">
        <v>0</v>
      </c>
    </row>
    <row r="287" spans="1:12" ht="15">
      <c r="A287" s="92" t="s">
        <v>2734</v>
      </c>
      <c r="B287" s="91" t="s">
        <v>2783</v>
      </c>
      <c r="C287" s="91">
        <v>9</v>
      </c>
      <c r="D287" s="114">
        <v>0.0012636147829749775</v>
      </c>
      <c r="E287" s="114">
        <v>2.9130944768514517</v>
      </c>
      <c r="F287" s="91" t="s">
        <v>3159</v>
      </c>
      <c r="G287" s="91" t="b">
        <v>0</v>
      </c>
      <c r="H287" s="91" t="b">
        <v>0</v>
      </c>
      <c r="I287" s="91" t="b">
        <v>0</v>
      </c>
      <c r="J287" s="91" t="b">
        <v>0</v>
      </c>
      <c r="K287" s="91" t="b">
        <v>0</v>
      </c>
      <c r="L287" s="91" t="b">
        <v>0</v>
      </c>
    </row>
    <row r="288" spans="1:12" ht="15">
      <c r="A288" s="92" t="s">
        <v>2783</v>
      </c>
      <c r="B288" s="91" t="s">
        <v>2576</v>
      </c>
      <c r="C288" s="91">
        <v>9</v>
      </c>
      <c r="D288" s="114">
        <v>0.0012636147829749775</v>
      </c>
      <c r="E288" s="114">
        <v>1.8919051777815135</v>
      </c>
      <c r="F288" s="91" t="s">
        <v>3159</v>
      </c>
      <c r="G288" s="91" t="b">
        <v>0</v>
      </c>
      <c r="H288" s="91" t="b">
        <v>0</v>
      </c>
      <c r="I288" s="91" t="b">
        <v>0</v>
      </c>
      <c r="J288" s="91" t="b">
        <v>0</v>
      </c>
      <c r="K288" s="91" t="b">
        <v>0</v>
      </c>
      <c r="L288" s="91" t="b">
        <v>0</v>
      </c>
    </row>
    <row r="289" spans="1:12" ht="15">
      <c r="A289" s="92" t="s">
        <v>2576</v>
      </c>
      <c r="B289" s="91" t="s">
        <v>2578</v>
      </c>
      <c r="C289" s="91">
        <v>9</v>
      </c>
      <c r="D289" s="114">
        <v>0.0012636147829749775</v>
      </c>
      <c r="E289" s="114">
        <v>0.7389377175729701</v>
      </c>
      <c r="F289" s="91" t="s">
        <v>3159</v>
      </c>
      <c r="G289" s="91" t="b">
        <v>0</v>
      </c>
      <c r="H289" s="91" t="b">
        <v>0</v>
      </c>
      <c r="I289" s="91" t="b">
        <v>0</v>
      </c>
      <c r="J289" s="91" t="b">
        <v>0</v>
      </c>
      <c r="K289" s="91" t="b">
        <v>0</v>
      </c>
      <c r="L289" s="91" t="b">
        <v>0</v>
      </c>
    </row>
    <row r="290" spans="1:12" ht="15">
      <c r="A290" s="92" t="s">
        <v>2578</v>
      </c>
      <c r="B290" s="91" t="s">
        <v>2784</v>
      </c>
      <c r="C290" s="91">
        <v>9</v>
      </c>
      <c r="D290" s="114">
        <v>0.0012636147829749775</v>
      </c>
      <c r="E290" s="114">
        <v>1.9288887440346836</v>
      </c>
      <c r="F290" s="91" t="s">
        <v>3159</v>
      </c>
      <c r="G290" s="91" t="b">
        <v>0</v>
      </c>
      <c r="H290" s="91" t="b">
        <v>0</v>
      </c>
      <c r="I290" s="91" t="b">
        <v>0</v>
      </c>
      <c r="J290" s="91" t="b">
        <v>0</v>
      </c>
      <c r="K290" s="91" t="b">
        <v>0</v>
      </c>
      <c r="L290" s="91" t="b">
        <v>0</v>
      </c>
    </row>
    <row r="291" spans="1:12" ht="15">
      <c r="A291" s="92" t="s">
        <v>2784</v>
      </c>
      <c r="B291" s="91" t="s">
        <v>2569</v>
      </c>
      <c r="C291" s="91">
        <v>9</v>
      </c>
      <c r="D291" s="114">
        <v>0.0012636147829749775</v>
      </c>
      <c r="E291" s="114">
        <v>1.760369436119983</v>
      </c>
      <c r="F291" s="91" t="s">
        <v>3159</v>
      </c>
      <c r="G291" s="91" t="b">
        <v>0</v>
      </c>
      <c r="H291" s="91" t="b">
        <v>0</v>
      </c>
      <c r="I291" s="91" t="b">
        <v>0</v>
      </c>
      <c r="J291" s="91" t="b">
        <v>0</v>
      </c>
      <c r="K291" s="91" t="b">
        <v>0</v>
      </c>
      <c r="L291" s="91" t="b">
        <v>0</v>
      </c>
    </row>
    <row r="292" spans="1:12" ht="15">
      <c r="A292" s="92" t="s">
        <v>2572</v>
      </c>
      <c r="B292" s="91" t="s">
        <v>2785</v>
      </c>
      <c r="C292" s="91">
        <v>9</v>
      </c>
      <c r="D292" s="114">
        <v>0.0012636147829749775</v>
      </c>
      <c r="E292" s="114">
        <v>1.8186732642470897</v>
      </c>
      <c r="F292" s="91" t="s">
        <v>3159</v>
      </c>
      <c r="G292" s="91" t="b">
        <v>0</v>
      </c>
      <c r="H292" s="91" t="b">
        <v>0</v>
      </c>
      <c r="I292" s="91" t="b">
        <v>0</v>
      </c>
      <c r="J292" s="91" t="b">
        <v>0</v>
      </c>
      <c r="K292" s="91" t="b">
        <v>0</v>
      </c>
      <c r="L292" s="91" t="b">
        <v>0</v>
      </c>
    </row>
    <row r="293" spans="1:12" ht="15">
      <c r="A293" s="92" t="s">
        <v>2785</v>
      </c>
      <c r="B293" s="91" t="s">
        <v>2629</v>
      </c>
      <c r="C293" s="91">
        <v>9</v>
      </c>
      <c r="D293" s="114">
        <v>0.0012636147829749775</v>
      </c>
      <c r="E293" s="114">
        <v>2.415769836043502</v>
      </c>
      <c r="F293" s="91" t="s">
        <v>3159</v>
      </c>
      <c r="G293" s="91" t="b">
        <v>0</v>
      </c>
      <c r="H293" s="91" t="b">
        <v>0</v>
      </c>
      <c r="I293" s="91" t="b">
        <v>0</v>
      </c>
      <c r="J293" s="91" t="b">
        <v>0</v>
      </c>
      <c r="K293" s="91" t="b">
        <v>0</v>
      </c>
      <c r="L293" s="91" t="b">
        <v>0</v>
      </c>
    </row>
    <row r="294" spans="1:12" ht="15">
      <c r="A294" s="92" t="s">
        <v>2590</v>
      </c>
      <c r="B294" s="91" t="s">
        <v>2654</v>
      </c>
      <c r="C294" s="91">
        <v>9</v>
      </c>
      <c r="D294" s="114">
        <v>0.0012636147829749775</v>
      </c>
      <c r="E294" s="114">
        <v>2.156132525537746</v>
      </c>
      <c r="F294" s="91" t="s">
        <v>3159</v>
      </c>
      <c r="G294" s="91" t="b">
        <v>0</v>
      </c>
      <c r="H294" s="91" t="b">
        <v>0</v>
      </c>
      <c r="I294" s="91" t="b">
        <v>0</v>
      </c>
      <c r="J294" s="91" t="b">
        <v>0</v>
      </c>
      <c r="K294" s="91" t="b">
        <v>0</v>
      </c>
      <c r="L294" s="91" t="b">
        <v>0</v>
      </c>
    </row>
    <row r="295" spans="1:12" ht="15">
      <c r="A295" s="92" t="s">
        <v>2591</v>
      </c>
      <c r="B295" s="91" t="s">
        <v>2786</v>
      </c>
      <c r="C295" s="91">
        <v>9</v>
      </c>
      <c r="D295" s="114">
        <v>0.0012636147829749775</v>
      </c>
      <c r="E295" s="114">
        <v>2.167127909839209</v>
      </c>
      <c r="F295" s="91" t="s">
        <v>3159</v>
      </c>
      <c r="G295" s="91" t="b">
        <v>0</v>
      </c>
      <c r="H295" s="91" t="b">
        <v>0</v>
      </c>
      <c r="I295" s="91" t="b">
        <v>0</v>
      </c>
      <c r="J295" s="91" t="b">
        <v>0</v>
      </c>
      <c r="K295" s="91" t="b">
        <v>0</v>
      </c>
      <c r="L295" s="91" t="b">
        <v>0</v>
      </c>
    </row>
    <row r="296" spans="1:12" ht="15">
      <c r="A296" s="92" t="s">
        <v>2786</v>
      </c>
      <c r="B296" s="91" t="s">
        <v>2750</v>
      </c>
      <c r="C296" s="91">
        <v>9</v>
      </c>
      <c r="D296" s="114">
        <v>0.0012636147829749775</v>
      </c>
      <c r="E296" s="114">
        <v>2.980041266482065</v>
      </c>
      <c r="F296" s="91" t="s">
        <v>3159</v>
      </c>
      <c r="G296" s="91" t="b">
        <v>0</v>
      </c>
      <c r="H296" s="91" t="b">
        <v>0</v>
      </c>
      <c r="I296" s="91" t="b">
        <v>0</v>
      </c>
      <c r="J296" s="91" t="b">
        <v>0</v>
      </c>
      <c r="K296" s="91" t="b">
        <v>0</v>
      </c>
      <c r="L296" s="91" t="b">
        <v>0</v>
      </c>
    </row>
    <row r="297" spans="1:12" ht="15">
      <c r="A297" s="92" t="s">
        <v>2750</v>
      </c>
      <c r="B297" s="91" t="s">
        <v>2787</v>
      </c>
      <c r="C297" s="91">
        <v>9</v>
      </c>
      <c r="D297" s="114">
        <v>0.0012636147829749775</v>
      </c>
      <c r="E297" s="114">
        <v>2.980041266482065</v>
      </c>
      <c r="F297" s="91" t="s">
        <v>3159</v>
      </c>
      <c r="G297" s="91" t="b">
        <v>0</v>
      </c>
      <c r="H297" s="91" t="b">
        <v>0</v>
      </c>
      <c r="I297" s="91" t="b">
        <v>0</v>
      </c>
      <c r="J297" s="91" t="b">
        <v>0</v>
      </c>
      <c r="K297" s="91" t="b">
        <v>0</v>
      </c>
      <c r="L297" s="91" t="b">
        <v>0</v>
      </c>
    </row>
    <row r="298" spans="1:12" ht="15">
      <c r="A298" s="92" t="s">
        <v>2787</v>
      </c>
      <c r="B298" s="91" t="s">
        <v>2788</v>
      </c>
      <c r="C298" s="91">
        <v>9</v>
      </c>
      <c r="D298" s="114">
        <v>0.0012636147829749775</v>
      </c>
      <c r="E298" s="114">
        <v>3.1049800030903647</v>
      </c>
      <c r="F298" s="91" t="s">
        <v>3159</v>
      </c>
      <c r="G298" s="91" t="b">
        <v>0</v>
      </c>
      <c r="H298" s="91" t="b">
        <v>0</v>
      </c>
      <c r="I298" s="91" t="b">
        <v>0</v>
      </c>
      <c r="J298" s="91" t="b">
        <v>0</v>
      </c>
      <c r="K298" s="91" t="b">
        <v>0</v>
      </c>
      <c r="L298" s="91" t="b">
        <v>0</v>
      </c>
    </row>
    <row r="299" spans="1:12" ht="15">
      <c r="A299" s="92" t="s">
        <v>2788</v>
      </c>
      <c r="B299" s="91" t="s">
        <v>2789</v>
      </c>
      <c r="C299" s="91">
        <v>9</v>
      </c>
      <c r="D299" s="114">
        <v>0.0012636147829749775</v>
      </c>
      <c r="E299" s="114">
        <v>3.1049800030903647</v>
      </c>
      <c r="F299" s="91" t="s">
        <v>3159</v>
      </c>
      <c r="G299" s="91" t="b">
        <v>0</v>
      </c>
      <c r="H299" s="91" t="b">
        <v>0</v>
      </c>
      <c r="I299" s="91" t="b">
        <v>0</v>
      </c>
      <c r="J299" s="91" t="b">
        <v>0</v>
      </c>
      <c r="K299" s="91" t="b">
        <v>0</v>
      </c>
      <c r="L299" s="91" t="b">
        <v>0</v>
      </c>
    </row>
    <row r="300" spans="1:12" ht="15">
      <c r="A300" s="92" t="s">
        <v>2789</v>
      </c>
      <c r="B300" s="91" t="s">
        <v>2790</v>
      </c>
      <c r="C300" s="91">
        <v>9</v>
      </c>
      <c r="D300" s="114">
        <v>0.0012636147829749775</v>
      </c>
      <c r="E300" s="114">
        <v>3.1049800030903647</v>
      </c>
      <c r="F300" s="91" t="s">
        <v>3159</v>
      </c>
      <c r="G300" s="91" t="b">
        <v>0</v>
      </c>
      <c r="H300" s="91" t="b">
        <v>0</v>
      </c>
      <c r="I300" s="91" t="b">
        <v>0</v>
      </c>
      <c r="J300" s="91" t="b">
        <v>0</v>
      </c>
      <c r="K300" s="91" t="b">
        <v>0</v>
      </c>
      <c r="L300" s="91" t="b">
        <v>0</v>
      </c>
    </row>
    <row r="301" spans="1:12" ht="15">
      <c r="A301" s="92" t="s">
        <v>2790</v>
      </c>
      <c r="B301" s="91" t="s">
        <v>2791</v>
      </c>
      <c r="C301" s="91">
        <v>9</v>
      </c>
      <c r="D301" s="114">
        <v>0.0012636147829749775</v>
      </c>
      <c r="E301" s="114">
        <v>3.1049800030903647</v>
      </c>
      <c r="F301" s="91" t="s">
        <v>3159</v>
      </c>
      <c r="G301" s="91" t="b">
        <v>0</v>
      </c>
      <c r="H301" s="91" t="b">
        <v>0</v>
      </c>
      <c r="I301" s="91" t="b">
        <v>0</v>
      </c>
      <c r="J301" s="91" t="b">
        <v>0</v>
      </c>
      <c r="K301" s="91" t="b">
        <v>0</v>
      </c>
      <c r="L301" s="91" t="b">
        <v>0</v>
      </c>
    </row>
    <row r="302" spans="1:12" ht="15">
      <c r="A302" s="92" t="s">
        <v>2791</v>
      </c>
      <c r="B302" s="91" t="s">
        <v>2792</v>
      </c>
      <c r="C302" s="91">
        <v>9</v>
      </c>
      <c r="D302" s="114">
        <v>0.0012636147829749775</v>
      </c>
      <c r="E302" s="114">
        <v>3.1049800030903647</v>
      </c>
      <c r="F302" s="91" t="s">
        <v>3159</v>
      </c>
      <c r="G302" s="91" t="b">
        <v>0</v>
      </c>
      <c r="H302" s="91" t="b">
        <v>0</v>
      </c>
      <c r="I302" s="91" t="b">
        <v>0</v>
      </c>
      <c r="J302" s="91" t="b">
        <v>0</v>
      </c>
      <c r="K302" s="91" t="b">
        <v>0</v>
      </c>
      <c r="L302" s="91" t="b">
        <v>0</v>
      </c>
    </row>
    <row r="303" spans="1:12" ht="15">
      <c r="A303" s="92" t="s">
        <v>2792</v>
      </c>
      <c r="B303" s="91" t="s">
        <v>2758</v>
      </c>
      <c r="C303" s="91">
        <v>9</v>
      </c>
      <c r="D303" s="114">
        <v>0.0012636147829749775</v>
      </c>
      <c r="E303" s="114">
        <v>3.0178298273714645</v>
      </c>
      <c r="F303" s="91" t="s">
        <v>3159</v>
      </c>
      <c r="G303" s="91" t="b">
        <v>0</v>
      </c>
      <c r="H303" s="91" t="b">
        <v>0</v>
      </c>
      <c r="I303" s="91" t="b">
        <v>0</v>
      </c>
      <c r="J303" s="91" t="b">
        <v>0</v>
      </c>
      <c r="K303" s="91" t="b">
        <v>0</v>
      </c>
      <c r="L303" s="91" t="b">
        <v>0</v>
      </c>
    </row>
    <row r="304" spans="1:12" ht="15">
      <c r="A304" s="92" t="s">
        <v>2758</v>
      </c>
      <c r="B304" s="91" t="s">
        <v>2793</v>
      </c>
      <c r="C304" s="91">
        <v>9</v>
      </c>
      <c r="D304" s="114">
        <v>0.0012636147829749775</v>
      </c>
      <c r="E304" s="114">
        <v>3.0178298273714645</v>
      </c>
      <c r="F304" s="91" t="s">
        <v>3159</v>
      </c>
      <c r="G304" s="91" t="b">
        <v>0</v>
      </c>
      <c r="H304" s="91" t="b">
        <v>0</v>
      </c>
      <c r="I304" s="91" t="b">
        <v>0</v>
      </c>
      <c r="J304" s="91" t="b">
        <v>0</v>
      </c>
      <c r="K304" s="91" t="b">
        <v>0</v>
      </c>
      <c r="L304" s="91" t="b">
        <v>0</v>
      </c>
    </row>
    <row r="305" spans="1:12" ht="15">
      <c r="A305" s="92" t="s">
        <v>2793</v>
      </c>
      <c r="B305" s="91" t="s">
        <v>2664</v>
      </c>
      <c r="C305" s="91">
        <v>9</v>
      </c>
      <c r="D305" s="114">
        <v>0.0012636147829749775</v>
      </c>
      <c r="E305" s="114">
        <v>2.661282503857652</v>
      </c>
      <c r="F305" s="91" t="s">
        <v>3159</v>
      </c>
      <c r="G305" s="91" t="b">
        <v>0</v>
      </c>
      <c r="H305" s="91" t="b">
        <v>0</v>
      </c>
      <c r="I305" s="91" t="b">
        <v>0</v>
      </c>
      <c r="J305" s="91" t="b">
        <v>0</v>
      </c>
      <c r="K305" s="91" t="b">
        <v>0</v>
      </c>
      <c r="L305" s="91" t="b">
        <v>0</v>
      </c>
    </row>
    <row r="306" spans="1:12" ht="15">
      <c r="A306" s="92" t="s">
        <v>2664</v>
      </c>
      <c r="B306" s="91" t="s">
        <v>2794</v>
      </c>
      <c r="C306" s="91">
        <v>9</v>
      </c>
      <c r="D306" s="114">
        <v>0.0012636147829749775</v>
      </c>
      <c r="E306" s="114">
        <v>2.661282503857652</v>
      </c>
      <c r="F306" s="91" t="s">
        <v>3159</v>
      </c>
      <c r="G306" s="91" t="b">
        <v>0</v>
      </c>
      <c r="H306" s="91" t="b">
        <v>0</v>
      </c>
      <c r="I306" s="91" t="b">
        <v>0</v>
      </c>
      <c r="J306" s="91" t="b">
        <v>0</v>
      </c>
      <c r="K306" s="91" t="b">
        <v>0</v>
      </c>
      <c r="L306" s="91" t="b">
        <v>0</v>
      </c>
    </row>
    <row r="307" spans="1:12" ht="15">
      <c r="A307" s="92" t="s">
        <v>2794</v>
      </c>
      <c r="B307" s="91" t="s">
        <v>2741</v>
      </c>
      <c r="C307" s="91">
        <v>9</v>
      </c>
      <c r="D307" s="114">
        <v>0.0012636147829749775</v>
      </c>
      <c r="E307" s="114">
        <v>2.945279160222853</v>
      </c>
      <c r="F307" s="91" t="s">
        <v>3159</v>
      </c>
      <c r="G307" s="91" t="b">
        <v>0</v>
      </c>
      <c r="H307" s="91" t="b">
        <v>0</v>
      </c>
      <c r="I307" s="91" t="b">
        <v>0</v>
      </c>
      <c r="J307" s="91" t="b">
        <v>0</v>
      </c>
      <c r="K307" s="91" t="b">
        <v>0</v>
      </c>
      <c r="L307" s="91" t="b">
        <v>0</v>
      </c>
    </row>
    <row r="308" spans="1:12" ht="15">
      <c r="A308" s="92" t="s">
        <v>2741</v>
      </c>
      <c r="B308" s="91" t="s">
        <v>2643</v>
      </c>
      <c r="C308" s="91">
        <v>9</v>
      </c>
      <c r="D308" s="114">
        <v>0.0012636147829749775</v>
      </c>
      <c r="E308" s="114">
        <v>2.355453625311902</v>
      </c>
      <c r="F308" s="91" t="s">
        <v>3159</v>
      </c>
      <c r="G308" s="91" t="b">
        <v>0</v>
      </c>
      <c r="H308" s="91" t="b">
        <v>0</v>
      </c>
      <c r="I308" s="91" t="b">
        <v>0</v>
      </c>
      <c r="J308" s="91" t="b">
        <v>0</v>
      </c>
      <c r="K308" s="91" t="b">
        <v>0</v>
      </c>
      <c r="L308" s="91" t="b">
        <v>0</v>
      </c>
    </row>
    <row r="309" spans="1:12" ht="15">
      <c r="A309" s="92" t="s">
        <v>2612</v>
      </c>
      <c r="B309" s="91" t="s">
        <v>2643</v>
      </c>
      <c r="C309" s="91">
        <v>9</v>
      </c>
      <c r="D309" s="114">
        <v>0.0012636147829749775</v>
      </c>
      <c r="E309" s="114">
        <v>1.7618268015208025</v>
      </c>
      <c r="F309" s="91" t="s">
        <v>3159</v>
      </c>
      <c r="G309" s="91" t="b">
        <v>0</v>
      </c>
      <c r="H309" s="91" t="b">
        <v>0</v>
      </c>
      <c r="I309" s="91" t="b">
        <v>0</v>
      </c>
      <c r="J309" s="91" t="b">
        <v>0</v>
      </c>
      <c r="K309" s="91" t="b">
        <v>0</v>
      </c>
      <c r="L309" s="91" t="b">
        <v>0</v>
      </c>
    </row>
    <row r="310" spans="1:12" ht="15">
      <c r="A310" s="92" t="s">
        <v>2717</v>
      </c>
      <c r="B310" s="91" t="s">
        <v>2643</v>
      </c>
      <c r="C310" s="91">
        <v>9</v>
      </c>
      <c r="D310" s="114">
        <v>0.0012636147829749775</v>
      </c>
      <c r="E310" s="114">
        <v>2.19064337666591</v>
      </c>
      <c r="F310" s="91" t="s">
        <v>3159</v>
      </c>
      <c r="G310" s="91" t="b">
        <v>0</v>
      </c>
      <c r="H310" s="91" t="b">
        <v>0</v>
      </c>
      <c r="I310" s="91" t="b">
        <v>0</v>
      </c>
      <c r="J310" s="91" t="b">
        <v>0</v>
      </c>
      <c r="K310" s="91" t="b">
        <v>0</v>
      </c>
      <c r="L310" s="91" t="b">
        <v>0</v>
      </c>
    </row>
    <row r="311" spans="1:12" ht="15">
      <c r="A311" s="92" t="s">
        <v>2718</v>
      </c>
      <c r="B311" s="91" t="s">
        <v>586</v>
      </c>
      <c r="C311" s="91">
        <v>9</v>
      </c>
      <c r="D311" s="114">
        <v>0.0012636147829749775</v>
      </c>
      <c r="E311" s="114">
        <v>2.0357414166801666</v>
      </c>
      <c r="F311" s="91" t="s">
        <v>3159</v>
      </c>
      <c r="G311" s="91" t="b">
        <v>0</v>
      </c>
      <c r="H311" s="91" t="b">
        <v>0</v>
      </c>
      <c r="I311" s="91" t="b">
        <v>0</v>
      </c>
      <c r="J311" s="91" t="b">
        <v>0</v>
      </c>
      <c r="K311" s="91" t="b">
        <v>0</v>
      </c>
      <c r="L311" s="91" t="b">
        <v>0</v>
      </c>
    </row>
    <row r="312" spans="1:12" ht="15">
      <c r="A312" s="92" t="s">
        <v>2803</v>
      </c>
      <c r="B312" s="91" t="s">
        <v>2804</v>
      </c>
      <c r="C312" s="91">
        <v>8</v>
      </c>
      <c r="D312" s="114">
        <v>0.001157659283484412</v>
      </c>
      <c r="E312" s="114">
        <v>3.156132525537746</v>
      </c>
      <c r="F312" s="91" t="s">
        <v>3159</v>
      </c>
      <c r="G312" s="91" t="b">
        <v>0</v>
      </c>
      <c r="H312" s="91" t="b">
        <v>0</v>
      </c>
      <c r="I312" s="91" t="b">
        <v>0</v>
      </c>
      <c r="J312" s="91" t="b">
        <v>0</v>
      </c>
      <c r="K312" s="91" t="b">
        <v>0</v>
      </c>
      <c r="L312" s="91" t="b">
        <v>0</v>
      </c>
    </row>
    <row r="313" spans="1:12" ht="15">
      <c r="A313" s="92" t="s">
        <v>2804</v>
      </c>
      <c r="B313" s="91" t="s">
        <v>2805</v>
      </c>
      <c r="C313" s="91">
        <v>8</v>
      </c>
      <c r="D313" s="114">
        <v>0.001157659283484412</v>
      </c>
      <c r="E313" s="114">
        <v>3.156132525537746</v>
      </c>
      <c r="F313" s="91" t="s">
        <v>3159</v>
      </c>
      <c r="G313" s="91" t="b">
        <v>0</v>
      </c>
      <c r="H313" s="91" t="b">
        <v>0</v>
      </c>
      <c r="I313" s="91" t="b">
        <v>0</v>
      </c>
      <c r="J313" s="91" t="b">
        <v>0</v>
      </c>
      <c r="K313" s="91" t="b">
        <v>0</v>
      </c>
      <c r="L313" s="91" t="b">
        <v>0</v>
      </c>
    </row>
    <row r="314" spans="1:12" ht="15">
      <c r="A314" s="92" t="s">
        <v>2805</v>
      </c>
      <c r="B314" s="91" t="s">
        <v>2668</v>
      </c>
      <c r="C314" s="91">
        <v>8</v>
      </c>
      <c r="D314" s="114">
        <v>0.001157659283484412</v>
      </c>
      <c r="E314" s="114">
        <v>2.7167998317074833</v>
      </c>
      <c r="F314" s="91" t="s">
        <v>3159</v>
      </c>
      <c r="G314" s="91" t="b">
        <v>0</v>
      </c>
      <c r="H314" s="91" t="b">
        <v>0</v>
      </c>
      <c r="I314" s="91" t="b">
        <v>0</v>
      </c>
      <c r="J314" s="91" t="b">
        <v>0</v>
      </c>
      <c r="K314" s="91" t="b">
        <v>0</v>
      </c>
      <c r="L314" s="91" t="b">
        <v>0</v>
      </c>
    </row>
    <row r="315" spans="1:12" ht="15">
      <c r="A315" s="92" t="s">
        <v>2668</v>
      </c>
      <c r="B315" s="91" t="s">
        <v>2806</v>
      </c>
      <c r="C315" s="91">
        <v>8</v>
      </c>
      <c r="D315" s="114">
        <v>0.001157659283484412</v>
      </c>
      <c r="E315" s="114">
        <v>2.7167998317074833</v>
      </c>
      <c r="F315" s="91" t="s">
        <v>3159</v>
      </c>
      <c r="G315" s="91" t="b">
        <v>0</v>
      </c>
      <c r="H315" s="91" t="b">
        <v>0</v>
      </c>
      <c r="I315" s="91" t="b">
        <v>0</v>
      </c>
      <c r="J315" s="91" t="b">
        <v>0</v>
      </c>
      <c r="K315" s="91" t="b">
        <v>0</v>
      </c>
      <c r="L315" s="91" t="b">
        <v>0</v>
      </c>
    </row>
    <row r="316" spans="1:12" ht="15">
      <c r="A316" s="92" t="s">
        <v>2806</v>
      </c>
      <c r="B316" s="91" t="s">
        <v>2576</v>
      </c>
      <c r="C316" s="91">
        <v>8</v>
      </c>
      <c r="D316" s="114">
        <v>0.001157659283484412</v>
      </c>
      <c r="E316" s="114">
        <v>1.8919051777815137</v>
      </c>
      <c r="F316" s="91" t="s">
        <v>3159</v>
      </c>
      <c r="G316" s="91" t="b">
        <v>0</v>
      </c>
      <c r="H316" s="91" t="b">
        <v>0</v>
      </c>
      <c r="I316" s="91" t="b">
        <v>0</v>
      </c>
      <c r="J316" s="91" t="b">
        <v>0</v>
      </c>
      <c r="K316" s="91" t="b">
        <v>0</v>
      </c>
      <c r="L316" s="91" t="b">
        <v>0</v>
      </c>
    </row>
    <row r="317" spans="1:12" ht="15">
      <c r="A317" s="92" t="s">
        <v>2572</v>
      </c>
      <c r="B317" s="91" t="s">
        <v>2565</v>
      </c>
      <c r="C317" s="91">
        <v>8</v>
      </c>
      <c r="D317" s="114">
        <v>0.001157659283484412</v>
      </c>
      <c r="E317" s="114">
        <v>0.35627526634813383</v>
      </c>
      <c r="F317" s="91" t="s">
        <v>3159</v>
      </c>
      <c r="G317" s="91" t="b">
        <v>0</v>
      </c>
      <c r="H317" s="91" t="b">
        <v>0</v>
      </c>
      <c r="I317" s="91" t="b">
        <v>0</v>
      </c>
      <c r="J317" s="91" t="b">
        <v>0</v>
      </c>
      <c r="K317" s="91" t="b">
        <v>0</v>
      </c>
      <c r="L317" s="91" t="b">
        <v>0</v>
      </c>
    </row>
    <row r="318" spans="1:12" ht="15">
      <c r="A318" s="92" t="s">
        <v>2739</v>
      </c>
      <c r="B318" s="91" t="s">
        <v>2769</v>
      </c>
      <c r="C318" s="91">
        <v>8</v>
      </c>
      <c r="D318" s="114">
        <v>0.001157659283484412</v>
      </c>
      <c r="E318" s="114">
        <v>2.8483691472147963</v>
      </c>
      <c r="F318" s="91" t="s">
        <v>3159</v>
      </c>
      <c r="G318" s="91" t="b">
        <v>0</v>
      </c>
      <c r="H318" s="91" t="b">
        <v>0</v>
      </c>
      <c r="I318" s="91" t="b">
        <v>0</v>
      </c>
      <c r="J318" s="91" t="b">
        <v>0</v>
      </c>
      <c r="K318" s="91" t="b">
        <v>0</v>
      </c>
      <c r="L318" s="91" t="b">
        <v>0</v>
      </c>
    </row>
    <row r="319" spans="1:12" ht="15">
      <c r="A319" s="92" t="s">
        <v>2769</v>
      </c>
      <c r="B319" s="91" t="s">
        <v>2564</v>
      </c>
      <c r="C319" s="91">
        <v>8</v>
      </c>
      <c r="D319" s="114">
        <v>0.001157659283484412</v>
      </c>
      <c r="E319" s="114">
        <v>1.4370084895633943</v>
      </c>
      <c r="F319" s="91" t="s">
        <v>3159</v>
      </c>
      <c r="G319" s="91" t="b">
        <v>0</v>
      </c>
      <c r="H319" s="91" t="b">
        <v>0</v>
      </c>
      <c r="I319" s="91" t="b">
        <v>0</v>
      </c>
      <c r="J319" s="91" t="b">
        <v>0</v>
      </c>
      <c r="K319" s="91" t="b">
        <v>0</v>
      </c>
      <c r="L319" s="91" t="b">
        <v>0</v>
      </c>
    </row>
    <row r="320" spans="1:12" ht="15">
      <c r="A320" s="92" t="s">
        <v>2609</v>
      </c>
      <c r="B320" s="91" t="s">
        <v>2644</v>
      </c>
      <c r="C320" s="91">
        <v>8</v>
      </c>
      <c r="D320" s="114">
        <v>0.001157659283484412</v>
      </c>
      <c r="E320" s="114">
        <v>1.6548164616084204</v>
      </c>
      <c r="F320" s="91" t="s">
        <v>3159</v>
      </c>
      <c r="G320" s="91" t="b">
        <v>0</v>
      </c>
      <c r="H320" s="91" t="b">
        <v>0</v>
      </c>
      <c r="I320" s="91" t="b">
        <v>0</v>
      </c>
      <c r="J320" s="91" t="b">
        <v>0</v>
      </c>
      <c r="K320" s="91" t="b">
        <v>0</v>
      </c>
      <c r="L320" s="91" t="b">
        <v>0</v>
      </c>
    </row>
    <row r="321" spans="1:12" ht="15">
      <c r="A321" s="92" t="s">
        <v>2615</v>
      </c>
      <c r="B321" s="91" t="s">
        <v>2583</v>
      </c>
      <c r="C321" s="91">
        <v>8</v>
      </c>
      <c r="D321" s="114">
        <v>0.001157659283484412</v>
      </c>
      <c r="E321" s="114">
        <v>1.2088826579462104</v>
      </c>
      <c r="F321" s="91" t="s">
        <v>3159</v>
      </c>
      <c r="G321" s="91" t="b">
        <v>0</v>
      </c>
      <c r="H321" s="91" t="b">
        <v>0</v>
      </c>
      <c r="I321" s="91" t="b">
        <v>0</v>
      </c>
      <c r="J321" s="91" t="b">
        <v>0</v>
      </c>
      <c r="K321" s="91" t="b">
        <v>0</v>
      </c>
      <c r="L321" s="91" t="b">
        <v>0</v>
      </c>
    </row>
    <row r="322" spans="1:12" ht="15">
      <c r="A322" s="92" t="s">
        <v>2583</v>
      </c>
      <c r="B322" s="91" t="s">
        <v>2807</v>
      </c>
      <c r="C322" s="91">
        <v>8</v>
      </c>
      <c r="D322" s="114">
        <v>0.001157659283484412</v>
      </c>
      <c r="E322" s="114">
        <v>2.167127909839209</v>
      </c>
      <c r="F322" s="91" t="s">
        <v>3159</v>
      </c>
      <c r="G322" s="91" t="b">
        <v>0</v>
      </c>
      <c r="H322" s="91" t="b">
        <v>0</v>
      </c>
      <c r="I322" s="91" t="b">
        <v>0</v>
      </c>
      <c r="J322" s="91" t="b">
        <v>0</v>
      </c>
      <c r="K322" s="91" t="b">
        <v>0</v>
      </c>
      <c r="L322" s="91" t="b">
        <v>0</v>
      </c>
    </row>
    <row r="323" spans="1:12" ht="15">
      <c r="A323" s="92" t="s">
        <v>2807</v>
      </c>
      <c r="B323" s="91" t="s">
        <v>2614</v>
      </c>
      <c r="C323" s="91">
        <v>8</v>
      </c>
      <c r="D323" s="114">
        <v>0.001157659283484412</v>
      </c>
      <c r="E323" s="114">
        <v>2.3268287527067213</v>
      </c>
      <c r="F323" s="91" t="s">
        <v>3159</v>
      </c>
      <c r="G323" s="91" t="b">
        <v>0</v>
      </c>
      <c r="H323" s="91" t="b">
        <v>0</v>
      </c>
      <c r="I323" s="91" t="b">
        <v>0</v>
      </c>
      <c r="J323" s="91" t="b">
        <v>0</v>
      </c>
      <c r="K323" s="91" t="b">
        <v>0</v>
      </c>
      <c r="L323" s="91" t="b">
        <v>0</v>
      </c>
    </row>
    <row r="324" spans="1:12" ht="15">
      <c r="A324" s="92" t="s">
        <v>2614</v>
      </c>
      <c r="B324" s="91" t="s">
        <v>2609</v>
      </c>
      <c r="C324" s="91">
        <v>8</v>
      </c>
      <c r="D324" s="114">
        <v>0.001157659283484412</v>
      </c>
      <c r="E324" s="114">
        <v>1.410374804156796</v>
      </c>
      <c r="F324" s="91" t="s">
        <v>3159</v>
      </c>
      <c r="G324" s="91" t="b">
        <v>0</v>
      </c>
      <c r="H324" s="91" t="b">
        <v>0</v>
      </c>
      <c r="I324" s="91" t="b">
        <v>0</v>
      </c>
      <c r="J324" s="91" t="b">
        <v>0</v>
      </c>
      <c r="K324" s="91" t="b">
        <v>0</v>
      </c>
      <c r="L324" s="91" t="b">
        <v>0</v>
      </c>
    </row>
    <row r="325" spans="1:12" ht="15">
      <c r="A325" s="92" t="s">
        <v>2808</v>
      </c>
      <c r="B325" s="91" t="s">
        <v>2716</v>
      </c>
      <c r="C325" s="91">
        <v>8</v>
      </c>
      <c r="D325" s="114">
        <v>0.001157659283484412</v>
      </c>
      <c r="E325" s="114">
        <v>2.7804689115768606</v>
      </c>
      <c r="F325" s="91" t="s">
        <v>3159</v>
      </c>
      <c r="G325" s="91" t="b">
        <v>0</v>
      </c>
      <c r="H325" s="91" t="b">
        <v>0</v>
      </c>
      <c r="I325" s="91" t="b">
        <v>0</v>
      </c>
      <c r="J325" s="91" t="b">
        <v>0</v>
      </c>
      <c r="K325" s="91" t="b">
        <v>0</v>
      </c>
      <c r="L325" s="91" t="b">
        <v>0</v>
      </c>
    </row>
    <row r="326" spans="1:12" ht="15">
      <c r="A326" s="92" t="s">
        <v>2716</v>
      </c>
      <c r="B326" s="91" t="s">
        <v>2616</v>
      </c>
      <c r="C326" s="91">
        <v>8</v>
      </c>
      <c r="D326" s="114">
        <v>0.001157659283484412</v>
      </c>
      <c r="E326" s="114">
        <v>2.070775041849069</v>
      </c>
      <c r="F326" s="91" t="s">
        <v>3159</v>
      </c>
      <c r="G326" s="91" t="b">
        <v>0</v>
      </c>
      <c r="H326" s="91" t="b">
        <v>0</v>
      </c>
      <c r="I326" s="91" t="b">
        <v>0</v>
      </c>
      <c r="J326" s="91" t="b">
        <v>0</v>
      </c>
      <c r="K326" s="91" t="b">
        <v>0</v>
      </c>
      <c r="L326" s="91" t="b">
        <v>0</v>
      </c>
    </row>
    <row r="327" spans="1:12" ht="15">
      <c r="A327" s="92" t="s">
        <v>2616</v>
      </c>
      <c r="B327" s="91" t="s">
        <v>2672</v>
      </c>
      <c r="C327" s="91">
        <v>8</v>
      </c>
      <c r="D327" s="114">
        <v>0.001157659283484412</v>
      </c>
      <c r="E327" s="114">
        <v>1.9038864750646278</v>
      </c>
      <c r="F327" s="91" t="s">
        <v>3159</v>
      </c>
      <c r="G327" s="91" t="b">
        <v>0</v>
      </c>
      <c r="H327" s="91" t="b">
        <v>0</v>
      </c>
      <c r="I327" s="91" t="b">
        <v>0</v>
      </c>
      <c r="J327" s="91" t="b">
        <v>0</v>
      </c>
      <c r="K327" s="91" t="b">
        <v>0</v>
      </c>
      <c r="L327" s="91" t="b">
        <v>0</v>
      </c>
    </row>
    <row r="328" spans="1:12" ht="15">
      <c r="A328" s="92" t="s">
        <v>2672</v>
      </c>
      <c r="B328" s="91" t="s">
        <v>2809</v>
      </c>
      <c r="C328" s="91">
        <v>8</v>
      </c>
      <c r="D328" s="114">
        <v>0.001157659283484412</v>
      </c>
      <c r="E328" s="114">
        <v>2.7167998317074833</v>
      </c>
      <c r="F328" s="91" t="s">
        <v>3159</v>
      </c>
      <c r="G328" s="91" t="b">
        <v>0</v>
      </c>
      <c r="H328" s="91" t="b">
        <v>0</v>
      </c>
      <c r="I328" s="91" t="b">
        <v>0</v>
      </c>
      <c r="J328" s="91" t="b">
        <v>0</v>
      </c>
      <c r="K328" s="91" t="b">
        <v>0</v>
      </c>
      <c r="L328" s="91" t="b">
        <v>0</v>
      </c>
    </row>
    <row r="329" spans="1:12" ht="15">
      <c r="A329" s="92" t="s">
        <v>2809</v>
      </c>
      <c r="B329" s="91" t="s">
        <v>2810</v>
      </c>
      <c r="C329" s="91">
        <v>8</v>
      </c>
      <c r="D329" s="114">
        <v>0.001157659283484412</v>
      </c>
      <c r="E329" s="114">
        <v>3.156132525537746</v>
      </c>
      <c r="F329" s="91" t="s">
        <v>3159</v>
      </c>
      <c r="G329" s="91" t="b">
        <v>0</v>
      </c>
      <c r="H329" s="91" t="b">
        <v>0</v>
      </c>
      <c r="I329" s="91" t="b">
        <v>0</v>
      </c>
      <c r="J329" s="91" t="b">
        <v>0</v>
      </c>
      <c r="K329" s="91" t="b">
        <v>0</v>
      </c>
      <c r="L329" s="91" t="b">
        <v>0</v>
      </c>
    </row>
    <row r="330" spans="1:12" ht="15">
      <c r="A330" s="92" t="s">
        <v>2810</v>
      </c>
      <c r="B330" s="91" t="s">
        <v>2811</v>
      </c>
      <c r="C330" s="91">
        <v>8</v>
      </c>
      <c r="D330" s="114">
        <v>0.001157659283484412</v>
      </c>
      <c r="E330" s="114">
        <v>3.156132525537746</v>
      </c>
      <c r="F330" s="91" t="s">
        <v>3159</v>
      </c>
      <c r="G330" s="91" t="b">
        <v>0</v>
      </c>
      <c r="H330" s="91" t="b">
        <v>0</v>
      </c>
      <c r="I330" s="91" t="b">
        <v>0</v>
      </c>
      <c r="J330" s="91" t="b">
        <v>0</v>
      </c>
      <c r="K330" s="91" t="b">
        <v>0</v>
      </c>
      <c r="L330" s="91" t="b">
        <v>0</v>
      </c>
    </row>
    <row r="331" spans="1:12" ht="15">
      <c r="A331" s="92" t="s">
        <v>2811</v>
      </c>
      <c r="B331" s="91" t="s">
        <v>2576</v>
      </c>
      <c r="C331" s="91">
        <v>8</v>
      </c>
      <c r="D331" s="114">
        <v>0.001157659283484412</v>
      </c>
      <c r="E331" s="114">
        <v>1.8919051777815137</v>
      </c>
      <c r="F331" s="91" t="s">
        <v>3159</v>
      </c>
      <c r="G331" s="91" t="b">
        <v>0</v>
      </c>
      <c r="H331" s="91" t="b">
        <v>0</v>
      </c>
      <c r="I331" s="91" t="b">
        <v>0</v>
      </c>
      <c r="J331" s="91" t="b">
        <v>0</v>
      </c>
      <c r="K331" s="91" t="b">
        <v>0</v>
      </c>
      <c r="L331" s="91" t="b">
        <v>0</v>
      </c>
    </row>
    <row r="332" spans="1:12" ht="15">
      <c r="A332" s="92" t="s">
        <v>2589</v>
      </c>
      <c r="B332" s="91" t="s">
        <v>2812</v>
      </c>
      <c r="C332" s="91">
        <v>8</v>
      </c>
      <c r="D332" s="114">
        <v>0.001157659283484412</v>
      </c>
      <c r="E332" s="114">
        <v>2.1197032599110712</v>
      </c>
      <c r="F332" s="91" t="s">
        <v>3159</v>
      </c>
      <c r="G332" s="91" t="b">
        <v>0</v>
      </c>
      <c r="H332" s="91" t="b">
        <v>0</v>
      </c>
      <c r="I332" s="91" t="b">
        <v>0</v>
      </c>
      <c r="J332" s="91" t="b">
        <v>0</v>
      </c>
      <c r="K332" s="91" t="b">
        <v>0</v>
      </c>
      <c r="L332" s="91" t="b">
        <v>0</v>
      </c>
    </row>
    <row r="333" spans="1:12" ht="15">
      <c r="A333" s="92" t="s">
        <v>2812</v>
      </c>
      <c r="B333" s="91" t="s">
        <v>2813</v>
      </c>
      <c r="C333" s="91">
        <v>8</v>
      </c>
      <c r="D333" s="114">
        <v>0.001157659283484412</v>
      </c>
      <c r="E333" s="114">
        <v>3.156132525537746</v>
      </c>
      <c r="F333" s="91" t="s">
        <v>3159</v>
      </c>
      <c r="G333" s="91" t="b">
        <v>0</v>
      </c>
      <c r="H333" s="91" t="b">
        <v>0</v>
      </c>
      <c r="I333" s="91" t="b">
        <v>0</v>
      </c>
      <c r="J333" s="91" t="b">
        <v>0</v>
      </c>
      <c r="K333" s="91" t="b">
        <v>0</v>
      </c>
      <c r="L333" s="91" t="b">
        <v>0</v>
      </c>
    </row>
    <row r="334" spans="1:12" ht="15">
      <c r="A334" s="92" t="s">
        <v>2813</v>
      </c>
      <c r="B334" s="91" t="s">
        <v>2814</v>
      </c>
      <c r="C334" s="91">
        <v>8</v>
      </c>
      <c r="D334" s="114">
        <v>0.001157659283484412</v>
      </c>
      <c r="E334" s="114">
        <v>3.156132525537746</v>
      </c>
      <c r="F334" s="91" t="s">
        <v>3159</v>
      </c>
      <c r="G334" s="91" t="b">
        <v>0</v>
      </c>
      <c r="H334" s="91" t="b">
        <v>0</v>
      </c>
      <c r="I334" s="91" t="b">
        <v>0</v>
      </c>
      <c r="J334" s="91" t="b">
        <v>0</v>
      </c>
      <c r="K334" s="91" t="b">
        <v>0</v>
      </c>
      <c r="L334" s="91" t="b">
        <v>0</v>
      </c>
    </row>
    <row r="335" spans="1:12" ht="15">
      <c r="A335" s="92" t="s">
        <v>2814</v>
      </c>
      <c r="B335" s="91" t="s">
        <v>2815</v>
      </c>
      <c r="C335" s="91">
        <v>8</v>
      </c>
      <c r="D335" s="114">
        <v>0.001157659283484412</v>
      </c>
      <c r="E335" s="114">
        <v>3.156132525537746</v>
      </c>
      <c r="F335" s="91" t="s">
        <v>3159</v>
      </c>
      <c r="G335" s="91" t="b">
        <v>0</v>
      </c>
      <c r="H335" s="91" t="b">
        <v>0</v>
      </c>
      <c r="I335" s="91" t="b">
        <v>0</v>
      </c>
      <c r="J335" s="91" t="b">
        <v>0</v>
      </c>
      <c r="K335" s="91" t="b">
        <v>0</v>
      </c>
      <c r="L335" s="91" t="b">
        <v>0</v>
      </c>
    </row>
    <row r="336" spans="1:12" ht="15">
      <c r="A336" s="92" t="s">
        <v>2815</v>
      </c>
      <c r="B336" s="91" t="s">
        <v>437</v>
      </c>
      <c r="C336" s="91">
        <v>8</v>
      </c>
      <c r="D336" s="114">
        <v>0.001157659283484412</v>
      </c>
      <c r="E336" s="114">
        <v>3.156132525537746</v>
      </c>
      <c r="F336" s="91" t="s">
        <v>3159</v>
      </c>
      <c r="G336" s="91" t="b">
        <v>0</v>
      </c>
      <c r="H336" s="91" t="b">
        <v>0</v>
      </c>
      <c r="I336" s="91" t="b">
        <v>0</v>
      </c>
      <c r="J336" s="91" t="b">
        <v>0</v>
      </c>
      <c r="K336" s="91" t="b">
        <v>0</v>
      </c>
      <c r="L336" s="91" t="b">
        <v>0</v>
      </c>
    </row>
    <row r="337" spans="1:12" ht="15">
      <c r="A337" s="92" t="s">
        <v>437</v>
      </c>
      <c r="B337" s="91" t="s">
        <v>2565</v>
      </c>
      <c r="C337" s="91">
        <v>8</v>
      </c>
      <c r="D337" s="114">
        <v>0.001157659283484412</v>
      </c>
      <c r="E337" s="114">
        <v>1.6937345276387898</v>
      </c>
      <c r="F337" s="91" t="s">
        <v>3159</v>
      </c>
      <c r="G337" s="91" t="b">
        <v>0</v>
      </c>
      <c r="H337" s="91" t="b">
        <v>0</v>
      </c>
      <c r="I337" s="91" t="b">
        <v>0</v>
      </c>
      <c r="J337" s="91" t="b">
        <v>0</v>
      </c>
      <c r="K337" s="91" t="b">
        <v>0</v>
      </c>
      <c r="L337" s="91" t="b">
        <v>0</v>
      </c>
    </row>
    <row r="338" spans="1:12" ht="15">
      <c r="A338" s="92" t="s">
        <v>2613</v>
      </c>
      <c r="B338" s="91" t="s">
        <v>2816</v>
      </c>
      <c r="C338" s="91">
        <v>8</v>
      </c>
      <c r="D338" s="114">
        <v>0.001157659283484412</v>
      </c>
      <c r="E338" s="114">
        <v>2.318859823035446</v>
      </c>
      <c r="F338" s="91" t="s">
        <v>3159</v>
      </c>
      <c r="G338" s="91" t="b">
        <v>0</v>
      </c>
      <c r="H338" s="91" t="b">
        <v>0</v>
      </c>
      <c r="I338" s="91" t="b">
        <v>0</v>
      </c>
      <c r="J338" s="91" t="b">
        <v>0</v>
      </c>
      <c r="K338" s="91" t="b">
        <v>0</v>
      </c>
      <c r="L338" s="91" t="b">
        <v>0</v>
      </c>
    </row>
    <row r="339" spans="1:12" ht="15">
      <c r="A339" s="92" t="s">
        <v>2816</v>
      </c>
      <c r="B339" s="91" t="s">
        <v>2640</v>
      </c>
      <c r="C339" s="91">
        <v>8</v>
      </c>
      <c r="D339" s="114">
        <v>0.001157659283484412</v>
      </c>
      <c r="E339" s="114">
        <v>2.4794389159128793</v>
      </c>
      <c r="F339" s="91" t="s">
        <v>3159</v>
      </c>
      <c r="G339" s="91" t="b">
        <v>0</v>
      </c>
      <c r="H339" s="91" t="b">
        <v>0</v>
      </c>
      <c r="I339" s="91" t="b">
        <v>0</v>
      </c>
      <c r="J339" s="91" t="b">
        <v>0</v>
      </c>
      <c r="K339" s="91" t="b">
        <v>0</v>
      </c>
      <c r="L339" s="91" t="b">
        <v>0</v>
      </c>
    </row>
    <row r="340" spans="1:12" ht="15">
      <c r="A340" s="92" t="s">
        <v>2640</v>
      </c>
      <c r="B340" s="91" t="s">
        <v>2641</v>
      </c>
      <c r="C340" s="91">
        <v>8</v>
      </c>
      <c r="D340" s="114">
        <v>0.001157659283484412</v>
      </c>
      <c r="E340" s="114">
        <v>1.802745306288013</v>
      </c>
      <c r="F340" s="91" t="s">
        <v>3159</v>
      </c>
      <c r="G340" s="91" t="b">
        <v>0</v>
      </c>
      <c r="H340" s="91" t="b">
        <v>0</v>
      </c>
      <c r="I340" s="91" t="b">
        <v>0</v>
      </c>
      <c r="J340" s="91" t="b">
        <v>0</v>
      </c>
      <c r="K340" s="91" t="b">
        <v>0</v>
      </c>
      <c r="L340" s="91" t="b">
        <v>0</v>
      </c>
    </row>
    <row r="341" spans="1:12" ht="15">
      <c r="A341" s="92" t="s">
        <v>2642</v>
      </c>
      <c r="B341" s="91" t="s">
        <v>2564</v>
      </c>
      <c r="C341" s="91">
        <v>8</v>
      </c>
      <c r="D341" s="114">
        <v>0.001157659283484412</v>
      </c>
      <c r="E341" s="114">
        <v>1.061344875602509</v>
      </c>
      <c r="F341" s="91" t="s">
        <v>3159</v>
      </c>
      <c r="G341" s="91" t="b">
        <v>0</v>
      </c>
      <c r="H341" s="91" t="b">
        <v>0</v>
      </c>
      <c r="I341" s="91" t="b">
        <v>0</v>
      </c>
      <c r="J341" s="91" t="b">
        <v>0</v>
      </c>
      <c r="K341" s="91" t="b">
        <v>0</v>
      </c>
      <c r="L341" s="91" t="b">
        <v>0</v>
      </c>
    </row>
    <row r="342" spans="1:12" ht="15">
      <c r="A342" s="92" t="s">
        <v>2564</v>
      </c>
      <c r="B342" s="91" t="s">
        <v>2615</v>
      </c>
      <c r="C342" s="91">
        <v>8</v>
      </c>
      <c r="D342" s="114">
        <v>0.001157659283484412</v>
      </c>
      <c r="E342" s="114">
        <v>0.6425404080952701</v>
      </c>
      <c r="F342" s="91" t="s">
        <v>3159</v>
      </c>
      <c r="G342" s="91" t="b">
        <v>0</v>
      </c>
      <c r="H342" s="91" t="b">
        <v>0</v>
      </c>
      <c r="I342" s="91" t="b">
        <v>0</v>
      </c>
      <c r="J342" s="91" t="b">
        <v>0</v>
      </c>
      <c r="K342" s="91" t="b">
        <v>0</v>
      </c>
      <c r="L342" s="91" t="b">
        <v>0</v>
      </c>
    </row>
    <row r="343" spans="1:12" ht="15">
      <c r="A343" s="92" t="s">
        <v>2574</v>
      </c>
      <c r="B343" s="91" t="s">
        <v>2614</v>
      </c>
      <c r="C343" s="91">
        <v>8</v>
      </c>
      <c r="D343" s="114">
        <v>0.001157659283484412</v>
      </c>
      <c r="E343" s="114">
        <v>1.0480751517538922</v>
      </c>
      <c r="F343" s="91" t="s">
        <v>3159</v>
      </c>
      <c r="G343" s="91" t="b">
        <v>0</v>
      </c>
      <c r="H343" s="91" t="b">
        <v>0</v>
      </c>
      <c r="I343" s="91" t="b">
        <v>0</v>
      </c>
      <c r="J343" s="91" t="b">
        <v>0</v>
      </c>
      <c r="K343" s="91" t="b">
        <v>0</v>
      </c>
      <c r="L343" s="91" t="b">
        <v>0</v>
      </c>
    </row>
    <row r="344" spans="1:12" ht="15">
      <c r="A344" s="92" t="s">
        <v>2614</v>
      </c>
      <c r="B344" s="91" t="s">
        <v>2566</v>
      </c>
      <c r="C344" s="91">
        <v>8</v>
      </c>
      <c r="D344" s="114">
        <v>0.001157659283484412</v>
      </c>
      <c r="E344" s="114">
        <v>0.8681909036810718</v>
      </c>
      <c r="F344" s="91" t="s">
        <v>3159</v>
      </c>
      <c r="G344" s="91" t="b">
        <v>0</v>
      </c>
      <c r="H344" s="91" t="b">
        <v>0</v>
      </c>
      <c r="I344" s="91" t="b">
        <v>0</v>
      </c>
      <c r="J344" s="91" t="b">
        <v>0</v>
      </c>
      <c r="K344" s="91" t="b">
        <v>0</v>
      </c>
      <c r="L344" s="91" t="b">
        <v>0</v>
      </c>
    </row>
    <row r="345" spans="1:12" ht="15">
      <c r="A345" s="92" t="s">
        <v>2571</v>
      </c>
      <c r="B345" s="91" t="s">
        <v>2614</v>
      </c>
      <c r="C345" s="91">
        <v>8</v>
      </c>
      <c r="D345" s="114">
        <v>0.001157659283484412</v>
      </c>
      <c r="E345" s="114">
        <v>0.9245673702520409</v>
      </c>
      <c r="F345" s="91" t="s">
        <v>3159</v>
      </c>
      <c r="G345" s="91" t="b">
        <v>0</v>
      </c>
      <c r="H345" s="91" t="b">
        <v>0</v>
      </c>
      <c r="I345" s="91" t="b">
        <v>0</v>
      </c>
      <c r="J345" s="91" t="b">
        <v>0</v>
      </c>
      <c r="K345" s="91" t="b">
        <v>0</v>
      </c>
      <c r="L345" s="91" t="b">
        <v>0</v>
      </c>
    </row>
    <row r="346" spans="1:12" ht="15">
      <c r="A346" s="92" t="s">
        <v>2589</v>
      </c>
      <c r="B346" s="91" t="s">
        <v>2767</v>
      </c>
      <c r="C346" s="91">
        <v>8</v>
      </c>
      <c r="D346" s="114">
        <v>0.001157659283484412</v>
      </c>
      <c r="E346" s="114">
        <v>1.9814005617447896</v>
      </c>
      <c r="F346" s="91" t="s">
        <v>3159</v>
      </c>
      <c r="G346" s="91" t="b">
        <v>0</v>
      </c>
      <c r="H346" s="91" t="b">
        <v>0</v>
      </c>
      <c r="I346" s="91" t="b">
        <v>0</v>
      </c>
      <c r="J346" s="91" t="b">
        <v>0</v>
      </c>
      <c r="K346" s="91" t="b">
        <v>0</v>
      </c>
      <c r="L346" s="91" t="b">
        <v>0</v>
      </c>
    </row>
    <row r="347" spans="1:12" ht="15">
      <c r="A347" s="92" t="s">
        <v>2767</v>
      </c>
      <c r="B347" s="91" t="s">
        <v>2817</v>
      </c>
      <c r="C347" s="91">
        <v>8</v>
      </c>
      <c r="D347" s="114">
        <v>0.001157659283484412</v>
      </c>
      <c r="E347" s="114">
        <v>3.0178298273714645</v>
      </c>
      <c r="F347" s="91" t="s">
        <v>3159</v>
      </c>
      <c r="G347" s="91" t="b">
        <v>0</v>
      </c>
      <c r="H347" s="91" t="b">
        <v>0</v>
      </c>
      <c r="I347" s="91" t="b">
        <v>0</v>
      </c>
      <c r="J347" s="91" t="b">
        <v>0</v>
      </c>
      <c r="K347" s="91" t="b">
        <v>0</v>
      </c>
      <c r="L347" s="91" t="b">
        <v>0</v>
      </c>
    </row>
    <row r="348" spans="1:12" ht="15">
      <c r="A348" s="92" t="s">
        <v>2817</v>
      </c>
      <c r="B348" s="91" t="s">
        <v>2773</v>
      </c>
      <c r="C348" s="91">
        <v>8</v>
      </c>
      <c r="D348" s="114">
        <v>0.001157659283484412</v>
      </c>
      <c r="E348" s="114">
        <v>3.0592225125296895</v>
      </c>
      <c r="F348" s="91" t="s">
        <v>3159</v>
      </c>
      <c r="G348" s="91" t="b">
        <v>0</v>
      </c>
      <c r="H348" s="91" t="b">
        <v>0</v>
      </c>
      <c r="I348" s="91" t="b">
        <v>0</v>
      </c>
      <c r="J348" s="91" t="b">
        <v>0</v>
      </c>
      <c r="K348" s="91" t="b">
        <v>0</v>
      </c>
      <c r="L348" s="91" t="b">
        <v>0</v>
      </c>
    </row>
    <row r="349" spans="1:12" ht="15">
      <c r="A349" s="92" t="s">
        <v>2773</v>
      </c>
      <c r="B349" s="91" t="s">
        <v>2568</v>
      </c>
      <c r="C349" s="91">
        <v>8</v>
      </c>
      <c r="D349" s="114">
        <v>0.001157659283484412</v>
      </c>
      <c r="E349" s="114">
        <v>1.6359766385928818</v>
      </c>
      <c r="F349" s="91" t="s">
        <v>3159</v>
      </c>
      <c r="G349" s="91" t="b">
        <v>0</v>
      </c>
      <c r="H349" s="91" t="b">
        <v>0</v>
      </c>
      <c r="I349" s="91" t="b">
        <v>0</v>
      </c>
      <c r="J349" s="91" t="b">
        <v>0</v>
      </c>
      <c r="K349" s="91" t="b">
        <v>0</v>
      </c>
      <c r="L349" s="91" t="b">
        <v>0</v>
      </c>
    </row>
    <row r="350" spans="1:12" ht="15">
      <c r="A350" s="92" t="s">
        <v>2568</v>
      </c>
      <c r="B350" s="91" t="s">
        <v>2818</v>
      </c>
      <c r="C350" s="91">
        <v>8</v>
      </c>
      <c r="D350" s="114">
        <v>0.001157659283484412</v>
      </c>
      <c r="E350" s="114">
        <v>1.7328866516009382</v>
      </c>
      <c r="F350" s="91" t="s">
        <v>3159</v>
      </c>
      <c r="G350" s="91" t="b">
        <v>0</v>
      </c>
      <c r="H350" s="91" t="b">
        <v>0</v>
      </c>
      <c r="I350" s="91" t="b">
        <v>0</v>
      </c>
      <c r="J350" s="91" t="b">
        <v>0</v>
      </c>
      <c r="K350" s="91" t="b">
        <v>0</v>
      </c>
      <c r="L350" s="91" t="b">
        <v>0</v>
      </c>
    </row>
    <row r="351" spans="1:12" ht="15">
      <c r="A351" s="92" t="s">
        <v>2818</v>
      </c>
      <c r="B351" s="91" t="s">
        <v>2819</v>
      </c>
      <c r="C351" s="91">
        <v>8</v>
      </c>
      <c r="D351" s="114">
        <v>0.001157659283484412</v>
      </c>
      <c r="E351" s="114">
        <v>3.156132525537746</v>
      </c>
      <c r="F351" s="91" t="s">
        <v>3159</v>
      </c>
      <c r="G351" s="91" t="b">
        <v>0</v>
      </c>
      <c r="H351" s="91" t="b">
        <v>0</v>
      </c>
      <c r="I351" s="91" t="b">
        <v>0</v>
      </c>
      <c r="J351" s="91" t="b">
        <v>0</v>
      </c>
      <c r="K351" s="91" t="b">
        <v>0</v>
      </c>
      <c r="L351" s="91" t="b">
        <v>0</v>
      </c>
    </row>
    <row r="352" spans="1:12" ht="15">
      <c r="A352" s="92" t="s">
        <v>2819</v>
      </c>
      <c r="B352" s="91" t="s">
        <v>2607</v>
      </c>
      <c r="C352" s="91">
        <v>8</v>
      </c>
      <c r="D352" s="114">
        <v>0.001157659283484412</v>
      </c>
      <c r="E352" s="114">
        <v>2.2267135998234533</v>
      </c>
      <c r="F352" s="91" t="s">
        <v>3159</v>
      </c>
      <c r="G352" s="91" t="b">
        <v>0</v>
      </c>
      <c r="H352" s="91" t="b">
        <v>0</v>
      </c>
      <c r="I352" s="91" t="b">
        <v>0</v>
      </c>
      <c r="J352" s="91" t="b">
        <v>0</v>
      </c>
      <c r="K352" s="91" t="b">
        <v>0</v>
      </c>
      <c r="L352" s="91" t="b">
        <v>0</v>
      </c>
    </row>
    <row r="353" spans="1:12" ht="15">
      <c r="A353" s="92" t="s">
        <v>2607</v>
      </c>
      <c r="B353" s="91" t="s">
        <v>2820</v>
      </c>
      <c r="C353" s="91">
        <v>8</v>
      </c>
      <c r="D353" s="114">
        <v>0.001157659283484412</v>
      </c>
      <c r="E353" s="114">
        <v>2.2267135998234533</v>
      </c>
      <c r="F353" s="91" t="s">
        <v>3159</v>
      </c>
      <c r="G353" s="91" t="b">
        <v>0</v>
      </c>
      <c r="H353" s="91" t="b">
        <v>0</v>
      </c>
      <c r="I353" s="91" t="b">
        <v>0</v>
      </c>
      <c r="J353" s="91" t="b">
        <v>0</v>
      </c>
      <c r="K353" s="91" t="b">
        <v>0</v>
      </c>
      <c r="L353" s="91" t="b">
        <v>0</v>
      </c>
    </row>
    <row r="354" spans="1:12" ht="15">
      <c r="A354" s="92" t="s">
        <v>2820</v>
      </c>
      <c r="B354" s="91" t="s">
        <v>2743</v>
      </c>
      <c r="C354" s="91">
        <v>8</v>
      </c>
      <c r="D354" s="114">
        <v>0.001157659283484412</v>
      </c>
      <c r="E354" s="114">
        <v>2.945279160222853</v>
      </c>
      <c r="F354" s="91" t="s">
        <v>3159</v>
      </c>
      <c r="G354" s="91" t="b">
        <v>0</v>
      </c>
      <c r="H354" s="91" t="b">
        <v>0</v>
      </c>
      <c r="I354" s="91" t="b">
        <v>0</v>
      </c>
      <c r="J354" s="91" t="b">
        <v>0</v>
      </c>
      <c r="K354" s="91" t="b">
        <v>0</v>
      </c>
      <c r="L354" s="91" t="b">
        <v>0</v>
      </c>
    </row>
    <row r="355" spans="1:12" ht="15">
      <c r="A355" s="92" t="s">
        <v>2743</v>
      </c>
      <c r="B355" s="91" t="s">
        <v>2821</v>
      </c>
      <c r="C355" s="91">
        <v>8</v>
      </c>
      <c r="D355" s="114">
        <v>0.001157659283484412</v>
      </c>
      <c r="E355" s="114">
        <v>2.945279160222853</v>
      </c>
      <c r="F355" s="91" t="s">
        <v>3159</v>
      </c>
      <c r="G355" s="91" t="b">
        <v>0</v>
      </c>
      <c r="H355" s="91" t="b">
        <v>0</v>
      </c>
      <c r="I355" s="91" t="b">
        <v>0</v>
      </c>
      <c r="J355" s="91" t="b">
        <v>0</v>
      </c>
      <c r="K355" s="91" t="b">
        <v>0</v>
      </c>
      <c r="L355" s="91" t="b">
        <v>0</v>
      </c>
    </row>
    <row r="356" spans="1:12" ht="15">
      <c r="A356" s="92" t="s">
        <v>2821</v>
      </c>
      <c r="B356" s="91" t="s">
        <v>2577</v>
      </c>
      <c r="C356" s="91">
        <v>8</v>
      </c>
      <c r="D356" s="114">
        <v>0.001157659283484412</v>
      </c>
      <c r="E356" s="114">
        <v>1.9162077122755945</v>
      </c>
      <c r="F356" s="91" t="s">
        <v>3159</v>
      </c>
      <c r="G356" s="91" t="b">
        <v>0</v>
      </c>
      <c r="H356" s="91" t="b">
        <v>0</v>
      </c>
      <c r="I356" s="91" t="b">
        <v>0</v>
      </c>
      <c r="J356" s="91" t="b">
        <v>0</v>
      </c>
      <c r="K356" s="91" t="b">
        <v>0</v>
      </c>
      <c r="L356" s="91" t="b">
        <v>0</v>
      </c>
    </row>
    <row r="357" spans="1:12" ht="15">
      <c r="A357" s="92" t="s">
        <v>2577</v>
      </c>
      <c r="B357" s="91" t="s">
        <v>2822</v>
      </c>
      <c r="C357" s="91">
        <v>8</v>
      </c>
      <c r="D357" s="114">
        <v>0.001157659283484412</v>
      </c>
      <c r="E357" s="114">
        <v>1.9162077122755945</v>
      </c>
      <c r="F357" s="91" t="s">
        <v>3159</v>
      </c>
      <c r="G357" s="91" t="b">
        <v>0</v>
      </c>
      <c r="H357" s="91" t="b">
        <v>0</v>
      </c>
      <c r="I357" s="91" t="b">
        <v>0</v>
      </c>
      <c r="J357" s="91" t="b">
        <v>0</v>
      </c>
      <c r="K357" s="91" t="b">
        <v>0</v>
      </c>
      <c r="L357" s="91" t="b">
        <v>0</v>
      </c>
    </row>
    <row r="358" spans="1:12" ht="15">
      <c r="A358" s="92" t="s">
        <v>2822</v>
      </c>
      <c r="B358" s="91" t="s">
        <v>2607</v>
      </c>
      <c r="C358" s="91">
        <v>8</v>
      </c>
      <c r="D358" s="114">
        <v>0.001157659283484412</v>
      </c>
      <c r="E358" s="114">
        <v>2.2267135998234533</v>
      </c>
      <c r="F358" s="91" t="s">
        <v>3159</v>
      </c>
      <c r="G358" s="91" t="b">
        <v>0</v>
      </c>
      <c r="H358" s="91" t="b">
        <v>0</v>
      </c>
      <c r="I358" s="91" t="b">
        <v>0</v>
      </c>
      <c r="J358" s="91" t="b">
        <v>0</v>
      </c>
      <c r="K358" s="91" t="b">
        <v>0</v>
      </c>
      <c r="L358" s="91" t="b">
        <v>0</v>
      </c>
    </row>
    <row r="359" spans="1:12" ht="15">
      <c r="A359" s="92" t="s">
        <v>2607</v>
      </c>
      <c r="B359" s="91" t="s">
        <v>2823</v>
      </c>
      <c r="C359" s="91">
        <v>8</v>
      </c>
      <c r="D359" s="114">
        <v>0.001157659283484412</v>
      </c>
      <c r="E359" s="114">
        <v>2.2267135998234533</v>
      </c>
      <c r="F359" s="91" t="s">
        <v>3159</v>
      </c>
      <c r="G359" s="91" t="b">
        <v>0</v>
      </c>
      <c r="H359" s="91" t="b">
        <v>0</v>
      </c>
      <c r="I359" s="91" t="b">
        <v>0</v>
      </c>
      <c r="J359" s="91" t="b">
        <v>0</v>
      </c>
      <c r="K359" s="91" t="b">
        <v>0</v>
      </c>
      <c r="L359" s="91" t="b">
        <v>0</v>
      </c>
    </row>
    <row r="360" spans="1:12" ht="15">
      <c r="A360" s="92" t="s">
        <v>2823</v>
      </c>
      <c r="B360" s="91" t="s">
        <v>2607</v>
      </c>
      <c r="C360" s="91">
        <v>8</v>
      </c>
      <c r="D360" s="114">
        <v>0.001157659283484412</v>
      </c>
      <c r="E360" s="114">
        <v>2.2267135998234533</v>
      </c>
      <c r="F360" s="91" t="s">
        <v>3159</v>
      </c>
      <c r="G360" s="91" t="b">
        <v>0</v>
      </c>
      <c r="H360" s="91" t="b">
        <v>0</v>
      </c>
      <c r="I360" s="91" t="b">
        <v>0</v>
      </c>
      <c r="J360" s="91" t="b">
        <v>0</v>
      </c>
      <c r="K360" s="91" t="b">
        <v>0</v>
      </c>
      <c r="L360" s="91" t="b">
        <v>0</v>
      </c>
    </row>
    <row r="361" spans="1:12" ht="15">
      <c r="A361" s="92" t="s">
        <v>2607</v>
      </c>
      <c r="B361" s="91" t="s">
        <v>2824</v>
      </c>
      <c r="C361" s="91">
        <v>8</v>
      </c>
      <c r="D361" s="114">
        <v>0.001157659283484412</v>
      </c>
      <c r="E361" s="114">
        <v>2.2267135998234533</v>
      </c>
      <c r="F361" s="91" t="s">
        <v>3159</v>
      </c>
      <c r="G361" s="91" t="b">
        <v>0</v>
      </c>
      <c r="H361" s="91" t="b">
        <v>0</v>
      </c>
      <c r="I361" s="91" t="b">
        <v>0</v>
      </c>
      <c r="J361" s="91" t="b">
        <v>0</v>
      </c>
      <c r="K361" s="91" t="b">
        <v>0</v>
      </c>
      <c r="L361" s="91" t="b">
        <v>0</v>
      </c>
    </row>
    <row r="362" spans="1:12" ht="15">
      <c r="A362" s="92" t="s">
        <v>2824</v>
      </c>
      <c r="B362" s="91" t="s">
        <v>2577</v>
      </c>
      <c r="C362" s="91">
        <v>8</v>
      </c>
      <c r="D362" s="114">
        <v>0.001157659283484412</v>
      </c>
      <c r="E362" s="114">
        <v>1.9162077122755945</v>
      </c>
      <c r="F362" s="91" t="s">
        <v>3159</v>
      </c>
      <c r="G362" s="91" t="b">
        <v>0</v>
      </c>
      <c r="H362" s="91" t="b">
        <v>0</v>
      </c>
      <c r="I362" s="91" t="b">
        <v>0</v>
      </c>
      <c r="J362" s="91" t="b">
        <v>0</v>
      </c>
      <c r="K362" s="91" t="b">
        <v>0</v>
      </c>
      <c r="L362" s="91" t="b">
        <v>0</v>
      </c>
    </row>
    <row r="363" spans="1:12" ht="15">
      <c r="A363" s="92" t="s">
        <v>2577</v>
      </c>
      <c r="B363" s="91" t="s">
        <v>2694</v>
      </c>
      <c r="C363" s="91">
        <v>8</v>
      </c>
      <c r="D363" s="114">
        <v>0.001157659283484412</v>
      </c>
      <c r="E363" s="114">
        <v>1.518267703603557</v>
      </c>
      <c r="F363" s="91" t="s">
        <v>3159</v>
      </c>
      <c r="G363" s="91" t="b">
        <v>0</v>
      </c>
      <c r="H363" s="91" t="b">
        <v>0</v>
      </c>
      <c r="I363" s="91" t="b">
        <v>0</v>
      </c>
      <c r="J363" s="91" t="b">
        <v>0</v>
      </c>
      <c r="K363" s="91" t="b">
        <v>0</v>
      </c>
      <c r="L363" s="91" t="b">
        <v>0</v>
      </c>
    </row>
    <row r="364" spans="1:12" ht="15">
      <c r="A364" s="92" t="s">
        <v>2636</v>
      </c>
      <c r="B364" s="91" t="s">
        <v>2825</v>
      </c>
      <c r="C364" s="91">
        <v>8</v>
      </c>
      <c r="D364" s="114">
        <v>0.001157659283484412</v>
      </c>
      <c r="E364" s="114">
        <v>2.4571625212017274</v>
      </c>
      <c r="F364" s="91" t="s">
        <v>3159</v>
      </c>
      <c r="G364" s="91" t="b">
        <v>0</v>
      </c>
      <c r="H364" s="91" t="b">
        <v>0</v>
      </c>
      <c r="I364" s="91" t="b">
        <v>0</v>
      </c>
      <c r="J364" s="91" t="b">
        <v>0</v>
      </c>
      <c r="K364" s="91" t="b">
        <v>0</v>
      </c>
      <c r="L364" s="91" t="b">
        <v>0</v>
      </c>
    </row>
    <row r="365" spans="1:12" ht="15">
      <c r="A365" s="92" t="s">
        <v>2825</v>
      </c>
      <c r="B365" s="91" t="s">
        <v>2665</v>
      </c>
      <c r="C365" s="91">
        <v>8</v>
      </c>
      <c r="D365" s="114">
        <v>0.001157659283484412</v>
      </c>
      <c r="E365" s="114">
        <v>2.6790112708180835</v>
      </c>
      <c r="F365" s="91" t="s">
        <v>3159</v>
      </c>
      <c r="G365" s="91" t="b">
        <v>0</v>
      </c>
      <c r="H365" s="91" t="b">
        <v>0</v>
      </c>
      <c r="I365" s="91" t="b">
        <v>0</v>
      </c>
      <c r="J365" s="91" t="b">
        <v>0</v>
      </c>
      <c r="K365" s="91" t="b">
        <v>0</v>
      </c>
      <c r="L365" s="91" t="b">
        <v>0</v>
      </c>
    </row>
    <row r="366" spans="1:12" ht="15">
      <c r="A366" s="92" t="s">
        <v>2665</v>
      </c>
      <c r="B366" s="91" t="s">
        <v>2577</v>
      </c>
      <c r="C366" s="91">
        <v>8</v>
      </c>
      <c r="D366" s="114">
        <v>0.001157659283484412</v>
      </c>
      <c r="E366" s="114">
        <v>1.4390864575559321</v>
      </c>
      <c r="F366" s="91" t="s">
        <v>3159</v>
      </c>
      <c r="G366" s="91" t="b">
        <v>0</v>
      </c>
      <c r="H366" s="91" t="b">
        <v>0</v>
      </c>
      <c r="I366" s="91" t="b">
        <v>0</v>
      </c>
      <c r="J366" s="91" t="b">
        <v>0</v>
      </c>
      <c r="K366" s="91" t="b">
        <v>0</v>
      </c>
      <c r="L366" s="91" t="b">
        <v>0</v>
      </c>
    </row>
    <row r="367" spans="1:12" ht="15">
      <c r="A367" s="92" t="s">
        <v>2577</v>
      </c>
      <c r="B367" s="91" t="s">
        <v>2826</v>
      </c>
      <c r="C367" s="91">
        <v>8</v>
      </c>
      <c r="D367" s="114">
        <v>0.001157659283484412</v>
      </c>
      <c r="E367" s="114">
        <v>1.9162077122755945</v>
      </c>
      <c r="F367" s="91" t="s">
        <v>3159</v>
      </c>
      <c r="G367" s="91" t="b">
        <v>0</v>
      </c>
      <c r="H367" s="91" t="b">
        <v>0</v>
      </c>
      <c r="I367" s="91" t="b">
        <v>0</v>
      </c>
      <c r="J367" s="91" t="b">
        <v>0</v>
      </c>
      <c r="K367" s="91" t="b">
        <v>0</v>
      </c>
      <c r="L367" s="91" t="b">
        <v>0</v>
      </c>
    </row>
    <row r="368" spans="1:12" ht="15">
      <c r="A368" s="92" t="s">
        <v>2826</v>
      </c>
      <c r="B368" s="91" t="s">
        <v>2827</v>
      </c>
      <c r="C368" s="91">
        <v>8</v>
      </c>
      <c r="D368" s="114">
        <v>0.001157659283484412</v>
      </c>
      <c r="E368" s="114">
        <v>3.156132525537746</v>
      </c>
      <c r="F368" s="91" t="s">
        <v>3159</v>
      </c>
      <c r="G368" s="91" t="b">
        <v>0</v>
      </c>
      <c r="H368" s="91" t="b">
        <v>0</v>
      </c>
      <c r="I368" s="91" t="b">
        <v>0</v>
      </c>
      <c r="J368" s="91" t="b">
        <v>0</v>
      </c>
      <c r="K368" s="91" t="b">
        <v>0</v>
      </c>
      <c r="L368" s="91" t="b">
        <v>0</v>
      </c>
    </row>
    <row r="369" spans="1:12" ht="15">
      <c r="A369" s="92" t="s">
        <v>2827</v>
      </c>
      <c r="B369" s="91" t="s">
        <v>2645</v>
      </c>
      <c r="C369" s="91">
        <v>8</v>
      </c>
      <c r="D369" s="114">
        <v>0.001157659283484412</v>
      </c>
      <c r="E369" s="114">
        <v>2.5151544681794142</v>
      </c>
      <c r="F369" s="91" t="s">
        <v>3159</v>
      </c>
      <c r="G369" s="91" t="b">
        <v>0</v>
      </c>
      <c r="H369" s="91" t="b">
        <v>0</v>
      </c>
      <c r="I369" s="91" t="b">
        <v>0</v>
      </c>
      <c r="J369" s="91" t="b">
        <v>0</v>
      </c>
      <c r="K369" s="91" t="b">
        <v>0</v>
      </c>
      <c r="L369" s="91" t="b">
        <v>0</v>
      </c>
    </row>
    <row r="370" spans="1:12" ht="15">
      <c r="A370" s="92" t="s">
        <v>2645</v>
      </c>
      <c r="B370" s="91" t="s">
        <v>2620</v>
      </c>
      <c r="C370" s="91">
        <v>8</v>
      </c>
      <c r="D370" s="114">
        <v>0.001157659283484412</v>
      </c>
      <c r="E370" s="114">
        <v>1.749592345103791</v>
      </c>
      <c r="F370" s="91" t="s">
        <v>3159</v>
      </c>
      <c r="G370" s="91" t="b">
        <v>0</v>
      </c>
      <c r="H370" s="91" t="b">
        <v>0</v>
      </c>
      <c r="I370" s="91" t="b">
        <v>0</v>
      </c>
      <c r="J370" s="91" t="b">
        <v>0</v>
      </c>
      <c r="K370" s="91" t="b">
        <v>0</v>
      </c>
      <c r="L370" s="91" t="b">
        <v>0</v>
      </c>
    </row>
    <row r="371" spans="1:12" ht="15">
      <c r="A371" s="92" t="s">
        <v>2732</v>
      </c>
      <c r="B371" s="91" t="s">
        <v>2751</v>
      </c>
      <c r="C371" s="91">
        <v>8</v>
      </c>
      <c r="D371" s="114">
        <v>0.001157659283484412</v>
      </c>
      <c r="E371" s="114">
        <v>2.9288887440346834</v>
      </c>
      <c r="F371" s="91" t="s">
        <v>3159</v>
      </c>
      <c r="G371" s="91" t="b">
        <v>0</v>
      </c>
      <c r="H371" s="91" t="b">
        <v>0</v>
      </c>
      <c r="I371" s="91" t="b">
        <v>0</v>
      </c>
      <c r="J371" s="91" t="b">
        <v>0</v>
      </c>
      <c r="K371" s="91" t="b">
        <v>0</v>
      </c>
      <c r="L371" s="91" t="b">
        <v>0</v>
      </c>
    </row>
    <row r="372" spans="1:12" ht="15">
      <c r="A372" s="92" t="s">
        <v>2751</v>
      </c>
      <c r="B372" s="91" t="s">
        <v>2828</v>
      </c>
      <c r="C372" s="91">
        <v>8</v>
      </c>
      <c r="D372" s="114">
        <v>0.001157659283484412</v>
      </c>
      <c r="E372" s="114">
        <v>3.156132525537746</v>
      </c>
      <c r="F372" s="91" t="s">
        <v>3159</v>
      </c>
      <c r="G372" s="91" t="b">
        <v>0</v>
      </c>
      <c r="H372" s="91" t="b">
        <v>0</v>
      </c>
      <c r="I372" s="91" t="b">
        <v>0</v>
      </c>
      <c r="J372" s="91" t="b">
        <v>0</v>
      </c>
      <c r="K372" s="91" t="b">
        <v>0</v>
      </c>
      <c r="L372" s="91" t="b">
        <v>0</v>
      </c>
    </row>
    <row r="373" spans="1:12" ht="15">
      <c r="A373" s="92" t="s">
        <v>2828</v>
      </c>
      <c r="B373" s="91" t="s">
        <v>2564</v>
      </c>
      <c r="C373" s="91">
        <v>8</v>
      </c>
      <c r="D373" s="114">
        <v>0.001157659283484412</v>
      </c>
      <c r="E373" s="114">
        <v>1.4370084895633943</v>
      </c>
      <c r="F373" s="91" t="s">
        <v>3159</v>
      </c>
      <c r="G373" s="91" t="b">
        <v>0</v>
      </c>
      <c r="H373" s="91" t="b">
        <v>0</v>
      </c>
      <c r="I373" s="91" t="b">
        <v>0</v>
      </c>
      <c r="J373" s="91" t="b">
        <v>0</v>
      </c>
      <c r="K373" s="91" t="b">
        <v>0</v>
      </c>
      <c r="L373" s="91" t="b">
        <v>0</v>
      </c>
    </row>
    <row r="374" spans="1:12" ht="15">
      <c r="A374" s="92" t="s">
        <v>2570</v>
      </c>
      <c r="B374" s="91" t="s">
        <v>2573</v>
      </c>
      <c r="C374" s="91">
        <v>8</v>
      </c>
      <c r="D374" s="114">
        <v>0.001157659283484412</v>
      </c>
      <c r="E374" s="114">
        <v>0.4437985596437457</v>
      </c>
      <c r="F374" s="91" t="s">
        <v>3159</v>
      </c>
      <c r="G374" s="91" t="b">
        <v>0</v>
      </c>
      <c r="H374" s="91" t="b">
        <v>0</v>
      </c>
      <c r="I374" s="91" t="b">
        <v>0</v>
      </c>
      <c r="J374" s="91" t="b">
        <v>0</v>
      </c>
      <c r="K374" s="91" t="b">
        <v>0</v>
      </c>
      <c r="L374" s="91" t="b">
        <v>0</v>
      </c>
    </row>
    <row r="375" spans="1:12" ht="15">
      <c r="A375" s="92" t="s">
        <v>2573</v>
      </c>
      <c r="B375" s="91" t="s">
        <v>2829</v>
      </c>
      <c r="C375" s="91">
        <v>8</v>
      </c>
      <c r="D375" s="114">
        <v>0.001157659283484412</v>
      </c>
      <c r="E375" s="114">
        <v>1.8417385683157834</v>
      </c>
      <c r="F375" s="91" t="s">
        <v>3159</v>
      </c>
      <c r="G375" s="91" t="b">
        <v>0</v>
      </c>
      <c r="H375" s="91" t="b">
        <v>0</v>
      </c>
      <c r="I375" s="91" t="b">
        <v>0</v>
      </c>
      <c r="J375" s="91" t="b">
        <v>0</v>
      </c>
      <c r="K375" s="91" t="b">
        <v>0</v>
      </c>
      <c r="L375" s="91" t="b">
        <v>0</v>
      </c>
    </row>
    <row r="376" spans="1:12" ht="15">
      <c r="A376" s="92" t="s">
        <v>2829</v>
      </c>
      <c r="B376" s="91" t="s">
        <v>2567</v>
      </c>
      <c r="C376" s="91">
        <v>8</v>
      </c>
      <c r="D376" s="114">
        <v>0.001157659283484412</v>
      </c>
      <c r="E376" s="114">
        <v>1.7227627786811601</v>
      </c>
      <c r="F376" s="91" t="s">
        <v>3159</v>
      </c>
      <c r="G376" s="91" t="b">
        <v>0</v>
      </c>
      <c r="H376" s="91" t="b">
        <v>0</v>
      </c>
      <c r="I376" s="91" t="b">
        <v>0</v>
      </c>
      <c r="J376" s="91" t="b">
        <v>0</v>
      </c>
      <c r="K376" s="91" t="b">
        <v>0</v>
      </c>
      <c r="L376" s="91" t="b">
        <v>0</v>
      </c>
    </row>
    <row r="377" spans="1:12" ht="15">
      <c r="A377" s="92" t="s">
        <v>2567</v>
      </c>
      <c r="B377" s="91" t="s">
        <v>2566</v>
      </c>
      <c r="C377" s="91">
        <v>8</v>
      </c>
      <c r="D377" s="114">
        <v>0.001157659283484412</v>
      </c>
      <c r="E377" s="114">
        <v>0.2742488025752889</v>
      </c>
      <c r="F377" s="91" t="s">
        <v>3159</v>
      </c>
      <c r="G377" s="91" t="b">
        <v>0</v>
      </c>
      <c r="H377" s="91" t="b">
        <v>0</v>
      </c>
      <c r="I377" s="91" t="b">
        <v>0</v>
      </c>
      <c r="J377" s="91" t="b">
        <v>0</v>
      </c>
      <c r="K377" s="91" t="b">
        <v>0</v>
      </c>
      <c r="L377" s="91" t="b">
        <v>0</v>
      </c>
    </row>
    <row r="378" spans="1:12" ht="15">
      <c r="A378" s="92" t="s">
        <v>2566</v>
      </c>
      <c r="B378" s="91" t="s">
        <v>2611</v>
      </c>
      <c r="C378" s="91">
        <v>8</v>
      </c>
      <c r="D378" s="114">
        <v>0.001157659283484412</v>
      </c>
      <c r="E378" s="114">
        <v>0.8821551885514493</v>
      </c>
      <c r="F378" s="91" t="s">
        <v>3159</v>
      </c>
      <c r="G378" s="91" t="b">
        <v>0</v>
      </c>
      <c r="H378" s="91" t="b">
        <v>0</v>
      </c>
      <c r="I378" s="91" t="b">
        <v>0</v>
      </c>
      <c r="J378" s="91" t="b">
        <v>0</v>
      </c>
      <c r="K378" s="91" t="b">
        <v>0</v>
      </c>
      <c r="L378" s="91" t="b">
        <v>0</v>
      </c>
    </row>
    <row r="379" spans="1:12" ht="15">
      <c r="A379" s="92" t="s">
        <v>2648</v>
      </c>
      <c r="B379" s="91" t="s">
        <v>2831</v>
      </c>
      <c r="C379" s="91">
        <v>8</v>
      </c>
      <c r="D379" s="114">
        <v>0.001157659283484412</v>
      </c>
      <c r="E379" s="114">
        <v>2.567860818695417</v>
      </c>
      <c r="F379" s="91" t="s">
        <v>3159</v>
      </c>
      <c r="G379" s="91" t="b">
        <v>0</v>
      </c>
      <c r="H379" s="91" t="b">
        <v>0</v>
      </c>
      <c r="I379" s="91" t="b">
        <v>0</v>
      </c>
      <c r="J379" s="91" t="b">
        <v>0</v>
      </c>
      <c r="K379" s="91" t="b">
        <v>0</v>
      </c>
      <c r="L379" s="91" t="b">
        <v>0</v>
      </c>
    </row>
    <row r="380" spans="1:12" ht="15">
      <c r="A380" s="92" t="s">
        <v>2590</v>
      </c>
      <c r="B380" s="91" t="s">
        <v>2607</v>
      </c>
      <c r="C380" s="91">
        <v>8</v>
      </c>
      <c r="D380" s="114">
        <v>0.001157659283484412</v>
      </c>
      <c r="E380" s="114">
        <v>1.2267135998234533</v>
      </c>
      <c r="F380" s="91" t="s">
        <v>3159</v>
      </c>
      <c r="G380" s="91" t="b">
        <v>0</v>
      </c>
      <c r="H380" s="91" t="b">
        <v>0</v>
      </c>
      <c r="I380" s="91" t="b">
        <v>0</v>
      </c>
      <c r="J380" s="91" t="b">
        <v>0</v>
      </c>
      <c r="K380" s="91" t="b">
        <v>0</v>
      </c>
      <c r="L380" s="91" t="b">
        <v>0</v>
      </c>
    </row>
    <row r="381" spans="1:12" ht="15">
      <c r="A381" s="92" t="s">
        <v>2833</v>
      </c>
      <c r="B381" s="91" t="s">
        <v>2834</v>
      </c>
      <c r="C381" s="91">
        <v>8</v>
      </c>
      <c r="D381" s="114">
        <v>0.001157659283484412</v>
      </c>
      <c r="E381" s="114">
        <v>3.156132525537746</v>
      </c>
      <c r="F381" s="91" t="s">
        <v>3159</v>
      </c>
      <c r="G381" s="91" t="b">
        <v>0</v>
      </c>
      <c r="H381" s="91" t="b">
        <v>0</v>
      </c>
      <c r="I381" s="91" t="b">
        <v>0</v>
      </c>
      <c r="J381" s="91" t="b">
        <v>0</v>
      </c>
      <c r="K381" s="91" t="b">
        <v>0</v>
      </c>
      <c r="L381" s="91" t="b">
        <v>0</v>
      </c>
    </row>
    <row r="382" spans="1:12" ht="15">
      <c r="A382" s="92" t="s">
        <v>2834</v>
      </c>
      <c r="B382" s="91" t="s">
        <v>2835</v>
      </c>
      <c r="C382" s="91">
        <v>8</v>
      </c>
      <c r="D382" s="114">
        <v>0.001157659283484412</v>
      </c>
      <c r="E382" s="114">
        <v>3.156132525537746</v>
      </c>
      <c r="F382" s="91" t="s">
        <v>3159</v>
      </c>
      <c r="G382" s="91" t="b">
        <v>0</v>
      </c>
      <c r="H382" s="91" t="b">
        <v>0</v>
      </c>
      <c r="I382" s="91" t="b">
        <v>0</v>
      </c>
      <c r="J382" s="91" t="b">
        <v>0</v>
      </c>
      <c r="K382" s="91" t="b">
        <v>0</v>
      </c>
      <c r="L382" s="91" t="b">
        <v>0</v>
      </c>
    </row>
    <row r="383" spans="1:12" ht="15">
      <c r="A383" s="92" t="s">
        <v>2835</v>
      </c>
      <c r="B383" s="91" t="s">
        <v>2580</v>
      </c>
      <c r="C383" s="91">
        <v>8</v>
      </c>
      <c r="D383" s="114">
        <v>0.001157659283484412</v>
      </c>
      <c r="E383" s="114">
        <v>1.9486328022304407</v>
      </c>
      <c r="F383" s="91" t="s">
        <v>3159</v>
      </c>
      <c r="G383" s="91" t="b">
        <v>0</v>
      </c>
      <c r="H383" s="91" t="b">
        <v>0</v>
      </c>
      <c r="I383" s="91" t="b">
        <v>0</v>
      </c>
      <c r="J383" s="91" t="b">
        <v>0</v>
      </c>
      <c r="K383" s="91" t="b">
        <v>0</v>
      </c>
      <c r="L383" s="91" t="b">
        <v>0</v>
      </c>
    </row>
    <row r="384" spans="1:12" ht="15">
      <c r="A384" s="92" t="s">
        <v>2580</v>
      </c>
      <c r="B384" s="91" t="s">
        <v>2836</v>
      </c>
      <c r="C384" s="91">
        <v>8</v>
      </c>
      <c r="D384" s="114">
        <v>0.001157659283484412</v>
      </c>
      <c r="E384" s="114">
        <v>1.9486328022304407</v>
      </c>
      <c r="F384" s="91" t="s">
        <v>3159</v>
      </c>
      <c r="G384" s="91" t="b">
        <v>0</v>
      </c>
      <c r="H384" s="91" t="b">
        <v>0</v>
      </c>
      <c r="I384" s="91" t="b">
        <v>0</v>
      </c>
      <c r="J384" s="91" t="b">
        <v>0</v>
      </c>
      <c r="K384" s="91" t="b">
        <v>0</v>
      </c>
      <c r="L384" s="91" t="b">
        <v>0</v>
      </c>
    </row>
    <row r="385" spans="1:12" ht="15">
      <c r="A385" s="92" t="s">
        <v>2836</v>
      </c>
      <c r="B385" s="91" t="s">
        <v>2837</v>
      </c>
      <c r="C385" s="91">
        <v>8</v>
      </c>
      <c r="D385" s="114">
        <v>0.001157659283484412</v>
      </c>
      <c r="E385" s="114">
        <v>3.156132525537746</v>
      </c>
      <c r="F385" s="91" t="s">
        <v>3159</v>
      </c>
      <c r="G385" s="91" t="b">
        <v>0</v>
      </c>
      <c r="H385" s="91" t="b">
        <v>0</v>
      </c>
      <c r="I385" s="91" t="b">
        <v>0</v>
      </c>
      <c r="J385" s="91" t="b">
        <v>0</v>
      </c>
      <c r="K385" s="91" t="b">
        <v>0</v>
      </c>
      <c r="L385" s="91" t="b">
        <v>0</v>
      </c>
    </row>
    <row r="386" spans="1:12" ht="15">
      <c r="A386" s="92" t="s">
        <v>2837</v>
      </c>
      <c r="B386" s="91" t="s">
        <v>2738</v>
      </c>
      <c r="C386" s="91">
        <v>8</v>
      </c>
      <c r="D386" s="114">
        <v>0.001157659283484412</v>
      </c>
      <c r="E386" s="114">
        <v>3.156132525537746</v>
      </c>
      <c r="F386" s="91" t="s">
        <v>3159</v>
      </c>
      <c r="G386" s="91" t="b">
        <v>0</v>
      </c>
      <c r="H386" s="91" t="b">
        <v>0</v>
      </c>
      <c r="I386" s="91" t="b">
        <v>0</v>
      </c>
      <c r="J386" s="91" t="b">
        <v>0</v>
      </c>
      <c r="K386" s="91" t="b">
        <v>0</v>
      </c>
      <c r="L386" s="91" t="b">
        <v>0</v>
      </c>
    </row>
    <row r="387" spans="1:12" ht="15">
      <c r="A387" s="92" t="s">
        <v>586</v>
      </c>
      <c r="B387" s="91" t="s">
        <v>2577</v>
      </c>
      <c r="C387" s="91">
        <v>8</v>
      </c>
      <c r="D387" s="114">
        <v>0.001157659283484412</v>
      </c>
      <c r="E387" s="114">
        <v>1.1291016192390244</v>
      </c>
      <c r="F387" s="91" t="s">
        <v>3159</v>
      </c>
      <c r="G387" s="91" t="b">
        <v>0</v>
      </c>
      <c r="H387" s="91" t="b">
        <v>0</v>
      </c>
      <c r="I387" s="91" t="b">
        <v>0</v>
      </c>
      <c r="J387" s="91" t="b">
        <v>0</v>
      </c>
      <c r="K387" s="91" t="b">
        <v>0</v>
      </c>
      <c r="L387" s="91" t="b">
        <v>0</v>
      </c>
    </row>
    <row r="388" spans="1:12" ht="15">
      <c r="A388" s="92" t="s">
        <v>2577</v>
      </c>
      <c r="B388" s="91" t="s">
        <v>2838</v>
      </c>
      <c r="C388" s="91">
        <v>8</v>
      </c>
      <c r="D388" s="114">
        <v>0.001157659283484412</v>
      </c>
      <c r="E388" s="114">
        <v>1.9162077122755945</v>
      </c>
      <c r="F388" s="91" t="s">
        <v>3159</v>
      </c>
      <c r="G388" s="91" t="b">
        <v>0</v>
      </c>
      <c r="H388" s="91" t="b">
        <v>0</v>
      </c>
      <c r="I388" s="91" t="b">
        <v>0</v>
      </c>
      <c r="J388" s="91" t="b">
        <v>0</v>
      </c>
      <c r="K388" s="91" t="b">
        <v>0</v>
      </c>
      <c r="L388" s="91" t="b">
        <v>0</v>
      </c>
    </row>
    <row r="389" spans="1:12" ht="15">
      <c r="A389" s="92" t="s">
        <v>2838</v>
      </c>
      <c r="B389" s="91" t="s">
        <v>2586</v>
      </c>
      <c r="C389" s="91">
        <v>8</v>
      </c>
      <c r="D389" s="114">
        <v>0.001157659283484412</v>
      </c>
      <c r="E389" s="114">
        <v>2.076951279490121</v>
      </c>
      <c r="F389" s="91" t="s">
        <v>3159</v>
      </c>
      <c r="G389" s="91" t="b">
        <v>0</v>
      </c>
      <c r="H389" s="91" t="b">
        <v>0</v>
      </c>
      <c r="I389" s="91" t="b">
        <v>0</v>
      </c>
      <c r="J389" s="91" t="b">
        <v>0</v>
      </c>
      <c r="K389" s="91" t="b">
        <v>0</v>
      </c>
      <c r="L389" s="91" t="b">
        <v>0</v>
      </c>
    </row>
    <row r="390" spans="1:12" ht="15">
      <c r="A390" s="92" t="s">
        <v>2586</v>
      </c>
      <c r="B390" s="91" t="s">
        <v>2839</v>
      </c>
      <c r="C390" s="91">
        <v>8</v>
      </c>
      <c r="D390" s="114">
        <v>0.001157659283484412</v>
      </c>
      <c r="E390" s="114">
        <v>2.076951279490121</v>
      </c>
      <c r="F390" s="91" t="s">
        <v>3159</v>
      </c>
      <c r="G390" s="91" t="b">
        <v>0</v>
      </c>
      <c r="H390" s="91" t="b">
        <v>0</v>
      </c>
      <c r="I390" s="91" t="b">
        <v>0</v>
      </c>
      <c r="J390" s="91" t="b">
        <v>0</v>
      </c>
      <c r="K390" s="91" t="b">
        <v>0</v>
      </c>
      <c r="L390" s="91" t="b">
        <v>0</v>
      </c>
    </row>
    <row r="391" spans="1:12" ht="15">
      <c r="A391" s="92" t="s">
        <v>2839</v>
      </c>
      <c r="B391" s="91" t="s">
        <v>2840</v>
      </c>
      <c r="C391" s="91">
        <v>8</v>
      </c>
      <c r="D391" s="114">
        <v>0.001157659283484412</v>
      </c>
      <c r="E391" s="114">
        <v>3.156132525537746</v>
      </c>
      <c r="F391" s="91" t="s">
        <v>3159</v>
      </c>
      <c r="G391" s="91" t="b">
        <v>0</v>
      </c>
      <c r="H391" s="91" t="b">
        <v>0</v>
      </c>
      <c r="I391" s="91" t="b">
        <v>0</v>
      </c>
      <c r="J391" s="91" t="b">
        <v>0</v>
      </c>
      <c r="K391" s="91" t="b">
        <v>0</v>
      </c>
      <c r="L391" s="91" t="b">
        <v>0</v>
      </c>
    </row>
    <row r="392" spans="1:12" ht="15">
      <c r="A392" s="92" t="s">
        <v>2840</v>
      </c>
      <c r="B392" s="91" t="s">
        <v>2841</v>
      </c>
      <c r="C392" s="91">
        <v>8</v>
      </c>
      <c r="D392" s="114">
        <v>0.001157659283484412</v>
      </c>
      <c r="E392" s="114">
        <v>3.156132525537746</v>
      </c>
      <c r="F392" s="91" t="s">
        <v>3159</v>
      </c>
      <c r="G392" s="91" t="b">
        <v>0</v>
      </c>
      <c r="H392" s="91" t="b">
        <v>0</v>
      </c>
      <c r="I392" s="91" t="b">
        <v>0</v>
      </c>
      <c r="J392" s="91" t="b">
        <v>0</v>
      </c>
      <c r="K392" s="91" t="b">
        <v>0</v>
      </c>
      <c r="L392" s="91" t="b">
        <v>0</v>
      </c>
    </row>
    <row r="393" spans="1:12" ht="15">
      <c r="A393" s="92" t="s">
        <v>2841</v>
      </c>
      <c r="B393" s="91" t="s">
        <v>2774</v>
      </c>
      <c r="C393" s="91">
        <v>8</v>
      </c>
      <c r="D393" s="114">
        <v>0.001157659283484412</v>
      </c>
      <c r="E393" s="114">
        <v>3.0592225125296895</v>
      </c>
      <c r="F393" s="91" t="s">
        <v>3159</v>
      </c>
      <c r="G393" s="91" t="b">
        <v>0</v>
      </c>
      <c r="H393" s="91" t="b">
        <v>0</v>
      </c>
      <c r="I393" s="91" t="b">
        <v>0</v>
      </c>
      <c r="J393" s="91" t="b">
        <v>0</v>
      </c>
      <c r="K393" s="91" t="b">
        <v>0</v>
      </c>
      <c r="L393" s="91" t="b">
        <v>0</v>
      </c>
    </row>
    <row r="394" spans="1:12" ht="15">
      <c r="A394" s="92" t="s">
        <v>2774</v>
      </c>
      <c r="B394" s="91" t="s">
        <v>2775</v>
      </c>
      <c r="C394" s="91">
        <v>8</v>
      </c>
      <c r="D394" s="114">
        <v>0.001157659283484412</v>
      </c>
      <c r="E394" s="114">
        <v>2.9623124995216332</v>
      </c>
      <c r="F394" s="91" t="s">
        <v>3159</v>
      </c>
      <c r="G394" s="91" t="b">
        <v>0</v>
      </c>
      <c r="H394" s="91" t="b">
        <v>0</v>
      </c>
      <c r="I394" s="91" t="b">
        <v>0</v>
      </c>
      <c r="J394" s="91" t="b">
        <v>0</v>
      </c>
      <c r="K394" s="91" t="b">
        <v>0</v>
      </c>
      <c r="L394" s="91" t="b">
        <v>0</v>
      </c>
    </row>
    <row r="395" spans="1:12" ht="15">
      <c r="A395" s="92" t="s">
        <v>2775</v>
      </c>
      <c r="B395" s="91" t="s">
        <v>2842</v>
      </c>
      <c r="C395" s="91">
        <v>8</v>
      </c>
      <c r="D395" s="114">
        <v>0.001157659283484412</v>
      </c>
      <c r="E395" s="114">
        <v>3.0592225125296895</v>
      </c>
      <c r="F395" s="91" t="s">
        <v>3159</v>
      </c>
      <c r="G395" s="91" t="b">
        <v>0</v>
      </c>
      <c r="H395" s="91" t="b">
        <v>0</v>
      </c>
      <c r="I395" s="91" t="b">
        <v>0</v>
      </c>
      <c r="J395" s="91" t="b">
        <v>0</v>
      </c>
      <c r="K395" s="91" t="b">
        <v>0</v>
      </c>
      <c r="L395" s="91" t="b">
        <v>0</v>
      </c>
    </row>
    <row r="396" spans="1:12" ht="15">
      <c r="A396" s="92" t="s">
        <v>2842</v>
      </c>
      <c r="B396" s="91" t="s">
        <v>2580</v>
      </c>
      <c r="C396" s="91">
        <v>8</v>
      </c>
      <c r="D396" s="114">
        <v>0.001157659283484412</v>
      </c>
      <c r="E396" s="114">
        <v>1.9486328022304407</v>
      </c>
      <c r="F396" s="91" t="s">
        <v>3159</v>
      </c>
      <c r="G396" s="91" t="b">
        <v>0</v>
      </c>
      <c r="H396" s="91" t="b">
        <v>0</v>
      </c>
      <c r="I396" s="91" t="b">
        <v>0</v>
      </c>
      <c r="J396" s="91" t="b">
        <v>0</v>
      </c>
      <c r="K396" s="91" t="b">
        <v>0</v>
      </c>
      <c r="L396" s="91" t="b">
        <v>0</v>
      </c>
    </row>
    <row r="397" spans="1:12" ht="15">
      <c r="A397" s="92" t="s">
        <v>2580</v>
      </c>
      <c r="B397" s="91" t="s">
        <v>2607</v>
      </c>
      <c r="C397" s="91">
        <v>8</v>
      </c>
      <c r="D397" s="114">
        <v>0.001157659283484412</v>
      </c>
      <c r="E397" s="114">
        <v>1.019213876516148</v>
      </c>
      <c r="F397" s="91" t="s">
        <v>3159</v>
      </c>
      <c r="G397" s="91" t="b">
        <v>0</v>
      </c>
      <c r="H397" s="91" t="b">
        <v>0</v>
      </c>
      <c r="I397" s="91" t="b">
        <v>0</v>
      </c>
      <c r="J397" s="91" t="b">
        <v>0</v>
      </c>
      <c r="K397" s="91" t="b">
        <v>0</v>
      </c>
      <c r="L397" s="91" t="b">
        <v>0</v>
      </c>
    </row>
    <row r="398" spans="1:12" ht="15">
      <c r="A398" s="92" t="s">
        <v>2607</v>
      </c>
      <c r="B398" s="91" t="s">
        <v>2591</v>
      </c>
      <c r="C398" s="91">
        <v>8</v>
      </c>
      <c r="D398" s="114">
        <v>0.001157659283484412</v>
      </c>
      <c r="E398" s="114">
        <v>1.2377089841249165</v>
      </c>
      <c r="F398" s="91" t="s">
        <v>3159</v>
      </c>
      <c r="G398" s="91" t="b">
        <v>0</v>
      </c>
      <c r="H398" s="91" t="b">
        <v>0</v>
      </c>
      <c r="I398" s="91" t="b">
        <v>0</v>
      </c>
      <c r="J398" s="91" t="b">
        <v>0</v>
      </c>
      <c r="K398" s="91" t="b">
        <v>0</v>
      </c>
      <c r="L398" s="91" t="b">
        <v>0</v>
      </c>
    </row>
    <row r="399" spans="1:12" ht="15">
      <c r="A399" s="92" t="s">
        <v>2778</v>
      </c>
      <c r="B399" s="91" t="s">
        <v>2716</v>
      </c>
      <c r="C399" s="91">
        <v>8</v>
      </c>
      <c r="D399" s="114">
        <v>0.001157659283484412</v>
      </c>
      <c r="E399" s="114">
        <v>2.7293163891294796</v>
      </c>
      <c r="F399" s="91" t="s">
        <v>3159</v>
      </c>
      <c r="G399" s="91" t="b">
        <v>0</v>
      </c>
      <c r="H399" s="91" t="b">
        <v>0</v>
      </c>
      <c r="I399" s="91" t="b">
        <v>0</v>
      </c>
      <c r="J399" s="91" t="b">
        <v>0</v>
      </c>
      <c r="K399" s="91" t="b">
        <v>0</v>
      </c>
      <c r="L399" s="91" t="b">
        <v>0</v>
      </c>
    </row>
    <row r="400" spans="1:12" ht="15">
      <c r="A400" s="92" t="s">
        <v>2716</v>
      </c>
      <c r="B400" s="91" t="s">
        <v>2843</v>
      </c>
      <c r="C400" s="91">
        <v>8</v>
      </c>
      <c r="D400" s="114">
        <v>0.001157659283484412</v>
      </c>
      <c r="E400" s="114">
        <v>2.7804689115768606</v>
      </c>
      <c r="F400" s="91" t="s">
        <v>3159</v>
      </c>
      <c r="G400" s="91" t="b">
        <v>0</v>
      </c>
      <c r="H400" s="91" t="b">
        <v>0</v>
      </c>
      <c r="I400" s="91" t="b">
        <v>0</v>
      </c>
      <c r="J400" s="91" t="b">
        <v>0</v>
      </c>
      <c r="K400" s="91" t="b">
        <v>0</v>
      </c>
      <c r="L400" s="91" t="b">
        <v>0</v>
      </c>
    </row>
    <row r="401" spans="1:12" ht="15">
      <c r="A401" s="92" t="s">
        <v>2843</v>
      </c>
      <c r="B401" s="91" t="s">
        <v>2571</v>
      </c>
      <c r="C401" s="91">
        <v>8</v>
      </c>
      <c r="D401" s="114">
        <v>0.001157659283484412</v>
      </c>
      <c r="E401" s="114">
        <v>1.7517264746164767</v>
      </c>
      <c r="F401" s="91" t="s">
        <v>3159</v>
      </c>
      <c r="G401" s="91" t="b">
        <v>0</v>
      </c>
      <c r="H401" s="91" t="b">
        <v>0</v>
      </c>
      <c r="I401" s="91" t="b">
        <v>0</v>
      </c>
      <c r="J401" s="91" t="b">
        <v>0</v>
      </c>
      <c r="K401" s="91" t="b">
        <v>0</v>
      </c>
      <c r="L401" s="91" t="b">
        <v>0</v>
      </c>
    </row>
    <row r="402" spans="1:12" ht="15">
      <c r="A402" s="92" t="s">
        <v>2568</v>
      </c>
      <c r="B402" s="91" t="s">
        <v>2753</v>
      </c>
      <c r="C402" s="91">
        <v>8</v>
      </c>
      <c r="D402" s="114">
        <v>0.001157659283484412</v>
      </c>
      <c r="E402" s="114">
        <v>1.5945839534346569</v>
      </c>
      <c r="F402" s="91" t="s">
        <v>3159</v>
      </c>
      <c r="G402" s="91" t="b">
        <v>0</v>
      </c>
      <c r="H402" s="91" t="b">
        <v>0</v>
      </c>
      <c r="I402" s="91" t="b">
        <v>0</v>
      </c>
      <c r="J402" s="91" t="b">
        <v>0</v>
      </c>
      <c r="K402" s="91" t="b">
        <v>0</v>
      </c>
      <c r="L402" s="91" t="b">
        <v>0</v>
      </c>
    </row>
    <row r="403" spans="1:12" ht="15">
      <c r="A403" s="92" t="s">
        <v>2643</v>
      </c>
      <c r="B403" s="91" t="s">
        <v>2564</v>
      </c>
      <c r="C403" s="91">
        <v>7</v>
      </c>
      <c r="D403" s="114">
        <v>0.001047122212177127</v>
      </c>
      <c r="E403" s="114">
        <v>0.7380384852273756</v>
      </c>
      <c r="F403" s="91" t="s">
        <v>3159</v>
      </c>
      <c r="G403" s="91" t="b">
        <v>0</v>
      </c>
      <c r="H403" s="91" t="b">
        <v>0</v>
      </c>
      <c r="I403" s="91" t="b">
        <v>0</v>
      </c>
      <c r="J403" s="91" t="b">
        <v>0</v>
      </c>
      <c r="K403" s="91" t="b">
        <v>0</v>
      </c>
      <c r="L403" s="91" t="b">
        <v>0</v>
      </c>
    </row>
    <row r="404" spans="1:12" ht="15">
      <c r="A404" s="92" t="s">
        <v>2848</v>
      </c>
      <c r="B404" s="91" t="s">
        <v>2849</v>
      </c>
      <c r="C404" s="91">
        <v>7</v>
      </c>
      <c r="D404" s="114">
        <v>0.001047122212177127</v>
      </c>
      <c r="E404" s="114">
        <v>3.214124472515433</v>
      </c>
      <c r="F404" s="91" t="s">
        <v>3159</v>
      </c>
      <c r="G404" s="91" t="b">
        <v>0</v>
      </c>
      <c r="H404" s="91" t="b">
        <v>0</v>
      </c>
      <c r="I404" s="91" t="b">
        <v>0</v>
      </c>
      <c r="J404" s="91" t="b">
        <v>0</v>
      </c>
      <c r="K404" s="91" t="b">
        <v>0</v>
      </c>
      <c r="L404" s="91" t="b">
        <v>0</v>
      </c>
    </row>
    <row r="405" spans="1:12" ht="15">
      <c r="A405" s="92" t="s">
        <v>2849</v>
      </c>
      <c r="B405" s="91" t="s">
        <v>2850</v>
      </c>
      <c r="C405" s="91">
        <v>7</v>
      </c>
      <c r="D405" s="114">
        <v>0.001047122212177127</v>
      </c>
      <c r="E405" s="114">
        <v>3.214124472515433</v>
      </c>
      <c r="F405" s="91" t="s">
        <v>3159</v>
      </c>
      <c r="G405" s="91" t="b">
        <v>0</v>
      </c>
      <c r="H405" s="91" t="b">
        <v>0</v>
      </c>
      <c r="I405" s="91" t="b">
        <v>0</v>
      </c>
      <c r="J405" s="91" t="b">
        <v>0</v>
      </c>
      <c r="K405" s="91" t="b">
        <v>0</v>
      </c>
      <c r="L405" s="91" t="b">
        <v>0</v>
      </c>
    </row>
    <row r="406" spans="1:12" ht="15">
      <c r="A406" s="92" t="s">
        <v>2564</v>
      </c>
      <c r="B406" s="91" t="s">
        <v>2585</v>
      </c>
      <c r="C406" s="91">
        <v>7</v>
      </c>
      <c r="D406" s="114">
        <v>0.001047122212177127</v>
      </c>
      <c r="E406" s="114">
        <v>0.32205259645212747</v>
      </c>
      <c r="F406" s="91" t="s">
        <v>3159</v>
      </c>
      <c r="G406" s="91" t="b">
        <v>0</v>
      </c>
      <c r="H406" s="91" t="b">
        <v>0</v>
      </c>
      <c r="I406" s="91" t="b">
        <v>0</v>
      </c>
      <c r="J406" s="91" t="b">
        <v>0</v>
      </c>
      <c r="K406" s="91" t="b">
        <v>0</v>
      </c>
      <c r="L406" s="91" t="b">
        <v>0</v>
      </c>
    </row>
    <row r="407" spans="1:12" ht="15">
      <c r="A407" s="92" t="s">
        <v>2650</v>
      </c>
      <c r="B407" s="91" t="s">
        <v>2852</v>
      </c>
      <c r="C407" s="91">
        <v>7</v>
      </c>
      <c r="D407" s="114">
        <v>0.001047122212177127</v>
      </c>
      <c r="E407" s="114">
        <v>2.5968245146307334</v>
      </c>
      <c r="F407" s="91" t="s">
        <v>3159</v>
      </c>
      <c r="G407" s="91" t="b">
        <v>0</v>
      </c>
      <c r="H407" s="91" t="b">
        <v>0</v>
      </c>
      <c r="I407" s="91" t="b">
        <v>0</v>
      </c>
      <c r="J407" s="91" t="b">
        <v>0</v>
      </c>
      <c r="K407" s="91" t="b">
        <v>0</v>
      </c>
      <c r="L407" s="91" t="b">
        <v>0</v>
      </c>
    </row>
    <row r="408" spans="1:12" ht="15">
      <c r="A408" s="92" t="s">
        <v>2852</v>
      </c>
      <c r="B408" s="91" t="s">
        <v>2634</v>
      </c>
      <c r="C408" s="91">
        <v>7</v>
      </c>
      <c r="D408" s="114">
        <v>0.001047122212177127</v>
      </c>
      <c r="E408" s="114">
        <v>2.446438655809954</v>
      </c>
      <c r="F408" s="91" t="s">
        <v>3159</v>
      </c>
      <c r="G408" s="91" t="b">
        <v>0</v>
      </c>
      <c r="H408" s="91" t="b">
        <v>0</v>
      </c>
      <c r="I408" s="91" t="b">
        <v>0</v>
      </c>
      <c r="J408" s="91" t="b">
        <v>0</v>
      </c>
      <c r="K408" s="91" t="b">
        <v>0</v>
      </c>
      <c r="L408" s="91" t="b">
        <v>0</v>
      </c>
    </row>
    <row r="409" spans="1:12" ht="15">
      <c r="A409" s="92" t="s">
        <v>2634</v>
      </c>
      <c r="B409" s="91" t="s">
        <v>2853</v>
      </c>
      <c r="C409" s="91">
        <v>7</v>
      </c>
      <c r="D409" s="114">
        <v>0.001047122212177127</v>
      </c>
      <c r="E409" s="114">
        <v>2.446438655809954</v>
      </c>
      <c r="F409" s="91" t="s">
        <v>3159</v>
      </c>
      <c r="G409" s="91" t="b">
        <v>0</v>
      </c>
      <c r="H409" s="91" t="b">
        <v>0</v>
      </c>
      <c r="I409" s="91" t="b">
        <v>0</v>
      </c>
      <c r="J409" s="91" t="b">
        <v>0</v>
      </c>
      <c r="K409" s="91" t="b">
        <v>0</v>
      </c>
      <c r="L409" s="91" t="b">
        <v>0</v>
      </c>
    </row>
    <row r="410" spans="1:12" ht="15">
      <c r="A410" s="92" t="s">
        <v>2853</v>
      </c>
      <c r="B410" s="91" t="s">
        <v>2590</v>
      </c>
      <c r="C410" s="91">
        <v>7</v>
      </c>
      <c r="D410" s="114">
        <v>0.001047122212177127</v>
      </c>
      <c r="E410" s="114">
        <v>2.156132525537746</v>
      </c>
      <c r="F410" s="91" t="s">
        <v>3159</v>
      </c>
      <c r="G410" s="91" t="b">
        <v>0</v>
      </c>
      <c r="H410" s="91" t="b">
        <v>0</v>
      </c>
      <c r="I410" s="91" t="b">
        <v>0</v>
      </c>
      <c r="J410" s="91" t="b">
        <v>0</v>
      </c>
      <c r="K410" s="91" t="b">
        <v>0</v>
      </c>
      <c r="L410" s="91" t="b">
        <v>0</v>
      </c>
    </row>
    <row r="411" spans="1:12" ht="15">
      <c r="A411" s="92" t="s">
        <v>2590</v>
      </c>
      <c r="B411" s="91" t="s">
        <v>2742</v>
      </c>
      <c r="C411" s="91">
        <v>7</v>
      </c>
      <c r="D411" s="114">
        <v>0.001047122212177127</v>
      </c>
      <c r="E411" s="114">
        <v>1.8872872132451661</v>
      </c>
      <c r="F411" s="91" t="s">
        <v>3159</v>
      </c>
      <c r="G411" s="91" t="b">
        <v>0</v>
      </c>
      <c r="H411" s="91" t="b">
        <v>0</v>
      </c>
      <c r="I411" s="91" t="b">
        <v>0</v>
      </c>
      <c r="J411" s="91" t="b">
        <v>0</v>
      </c>
      <c r="K411" s="91" t="b">
        <v>0</v>
      </c>
      <c r="L411" s="91" t="b">
        <v>0</v>
      </c>
    </row>
    <row r="412" spans="1:12" ht="15">
      <c r="A412" s="92" t="s">
        <v>2742</v>
      </c>
      <c r="B412" s="91" t="s">
        <v>2854</v>
      </c>
      <c r="C412" s="91">
        <v>7</v>
      </c>
      <c r="D412" s="114">
        <v>0.001047122212177127</v>
      </c>
      <c r="E412" s="114">
        <v>2.945279160222853</v>
      </c>
      <c r="F412" s="91" t="s">
        <v>3159</v>
      </c>
      <c r="G412" s="91" t="b">
        <v>0</v>
      </c>
      <c r="H412" s="91" t="b">
        <v>0</v>
      </c>
      <c r="I412" s="91" t="b">
        <v>0</v>
      </c>
      <c r="J412" s="91" t="b">
        <v>0</v>
      </c>
      <c r="K412" s="91" t="b">
        <v>0</v>
      </c>
      <c r="L412" s="91" t="b">
        <v>0</v>
      </c>
    </row>
    <row r="413" spans="1:12" ht="15">
      <c r="A413" s="92" t="s">
        <v>2854</v>
      </c>
      <c r="B413" s="91" t="s">
        <v>2590</v>
      </c>
      <c r="C413" s="91">
        <v>7</v>
      </c>
      <c r="D413" s="114">
        <v>0.001047122212177127</v>
      </c>
      <c r="E413" s="114">
        <v>2.156132525537746</v>
      </c>
      <c r="F413" s="91" t="s">
        <v>3159</v>
      </c>
      <c r="G413" s="91" t="b">
        <v>0</v>
      </c>
      <c r="H413" s="91" t="b">
        <v>0</v>
      </c>
      <c r="I413" s="91" t="b">
        <v>0</v>
      </c>
      <c r="J413" s="91" t="b">
        <v>0</v>
      </c>
      <c r="K413" s="91" t="b">
        <v>0</v>
      </c>
      <c r="L413" s="91" t="b">
        <v>0</v>
      </c>
    </row>
    <row r="414" spans="1:12" ht="15">
      <c r="A414" s="92" t="s">
        <v>2590</v>
      </c>
      <c r="B414" s="91" t="s">
        <v>409</v>
      </c>
      <c r="C414" s="91">
        <v>7</v>
      </c>
      <c r="D414" s="114">
        <v>0.001047122212177127</v>
      </c>
      <c r="E414" s="114">
        <v>2.156132525537746</v>
      </c>
      <c r="F414" s="91" t="s">
        <v>3159</v>
      </c>
      <c r="G414" s="91" t="b">
        <v>0</v>
      </c>
      <c r="H414" s="91" t="b">
        <v>0</v>
      </c>
      <c r="I414" s="91" t="b">
        <v>0</v>
      </c>
      <c r="J414" s="91" t="b">
        <v>0</v>
      </c>
      <c r="K414" s="91" t="b">
        <v>0</v>
      </c>
      <c r="L414" s="91" t="b">
        <v>0</v>
      </c>
    </row>
    <row r="415" spans="1:12" ht="15">
      <c r="A415" s="92" t="s">
        <v>409</v>
      </c>
      <c r="B415" s="91" t="s">
        <v>2735</v>
      </c>
      <c r="C415" s="91">
        <v>7</v>
      </c>
      <c r="D415" s="114">
        <v>0.001047122212177127</v>
      </c>
      <c r="E415" s="114">
        <v>2.9130944768514517</v>
      </c>
      <c r="F415" s="91" t="s">
        <v>3159</v>
      </c>
      <c r="G415" s="91" t="b">
        <v>0</v>
      </c>
      <c r="H415" s="91" t="b">
        <v>0</v>
      </c>
      <c r="I415" s="91" t="b">
        <v>0</v>
      </c>
      <c r="J415" s="91" t="b">
        <v>0</v>
      </c>
      <c r="K415" s="91" t="b">
        <v>0</v>
      </c>
      <c r="L415" s="91" t="b">
        <v>0</v>
      </c>
    </row>
    <row r="416" spans="1:12" ht="15">
      <c r="A416" s="92" t="s">
        <v>2735</v>
      </c>
      <c r="B416" s="91" t="s">
        <v>2634</v>
      </c>
      <c r="C416" s="91">
        <v>7</v>
      </c>
      <c r="D416" s="114">
        <v>0.001047122212177127</v>
      </c>
      <c r="E416" s="114">
        <v>2.145408660145973</v>
      </c>
      <c r="F416" s="91" t="s">
        <v>3159</v>
      </c>
      <c r="G416" s="91" t="b">
        <v>0</v>
      </c>
      <c r="H416" s="91" t="b">
        <v>0</v>
      </c>
      <c r="I416" s="91" t="b">
        <v>0</v>
      </c>
      <c r="J416" s="91" t="b">
        <v>0</v>
      </c>
      <c r="K416" s="91" t="b">
        <v>0</v>
      </c>
      <c r="L416" s="91" t="b">
        <v>0</v>
      </c>
    </row>
    <row r="417" spans="1:12" ht="15">
      <c r="A417" s="92" t="s">
        <v>2634</v>
      </c>
      <c r="B417" s="91" t="s">
        <v>2855</v>
      </c>
      <c r="C417" s="91">
        <v>7</v>
      </c>
      <c r="D417" s="114">
        <v>0.001047122212177127</v>
      </c>
      <c r="E417" s="114">
        <v>2.446438655809954</v>
      </c>
      <c r="F417" s="91" t="s">
        <v>3159</v>
      </c>
      <c r="G417" s="91" t="b">
        <v>0</v>
      </c>
      <c r="H417" s="91" t="b">
        <v>0</v>
      </c>
      <c r="I417" s="91" t="b">
        <v>0</v>
      </c>
      <c r="J417" s="91" t="b">
        <v>0</v>
      </c>
      <c r="K417" s="91" t="b">
        <v>0</v>
      </c>
      <c r="L417" s="91" t="b">
        <v>0</v>
      </c>
    </row>
    <row r="418" spans="1:12" ht="15">
      <c r="A418" s="92" t="s">
        <v>2855</v>
      </c>
      <c r="B418" s="91" t="s">
        <v>2578</v>
      </c>
      <c r="C418" s="91">
        <v>7</v>
      </c>
      <c r="D418" s="114">
        <v>0.001047122212177127</v>
      </c>
      <c r="E418" s="114">
        <v>1.9520125428818214</v>
      </c>
      <c r="F418" s="91" t="s">
        <v>3159</v>
      </c>
      <c r="G418" s="91" t="b">
        <v>0</v>
      </c>
      <c r="H418" s="91" t="b">
        <v>0</v>
      </c>
      <c r="I418" s="91" t="b">
        <v>0</v>
      </c>
      <c r="J418" s="91" t="b">
        <v>0</v>
      </c>
      <c r="K418" s="91" t="b">
        <v>0</v>
      </c>
      <c r="L418" s="91" t="b">
        <v>0</v>
      </c>
    </row>
    <row r="419" spans="1:12" ht="15">
      <c r="A419" s="92" t="s">
        <v>2578</v>
      </c>
      <c r="B419" s="91" t="s">
        <v>2657</v>
      </c>
      <c r="C419" s="91">
        <v>7</v>
      </c>
      <c r="D419" s="114">
        <v>0.001047122212177127</v>
      </c>
      <c r="E419" s="114">
        <v>1.3590134360781223</v>
      </c>
      <c r="F419" s="91" t="s">
        <v>3159</v>
      </c>
      <c r="G419" s="91" t="b">
        <v>0</v>
      </c>
      <c r="H419" s="91" t="b">
        <v>0</v>
      </c>
      <c r="I419" s="91" t="b">
        <v>0</v>
      </c>
      <c r="J419" s="91" t="b">
        <v>0</v>
      </c>
      <c r="K419" s="91" t="b">
        <v>0</v>
      </c>
      <c r="L419" s="91" t="b">
        <v>0</v>
      </c>
    </row>
    <row r="420" spans="1:12" ht="15">
      <c r="A420" s="92" t="s">
        <v>2657</v>
      </c>
      <c r="B420" s="91" t="s">
        <v>2736</v>
      </c>
      <c r="C420" s="91">
        <v>7</v>
      </c>
      <c r="D420" s="114">
        <v>0.001047122212177127</v>
      </c>
      <c r="E420" s="114">
        <v>2.3432191688948905</v>
      </c>
      <c r="F420" s="91" t="s">
        <v>3159</v>
      </c>
      <c r="G420" s="91" t="b">
        <v>0</v>
      </c>
      <c r="H420" s="91" t="b">
        <v>0</v>
      </c>
      <c r="I420" s="91" t="b">
        <v>0</v>
      </c>
      <c r="J420" s="91" t="b">
        <v>0</v>
      </c>
      <c r="K420" s="91" t="b">
        <v>0</v>
      </c>
      <c r="L420" s="91" t="b">
        <v>0</v>
      </c>
    </row>
    <row r="421" spans="1:12" ht="15">
      <c r="A421" s="92" t="s">
        <v>2736</v>
      </c>
      <c r="B421" s="91" t="s">
        <v>2569</v>
      </c>
      <c r="C421" s="91">
        <v>7</v>
      </c>
      <c r="D421" s="114">
        <v>0.001047122212177127</v>
      </c>
      <c r="E421" s="114">
        <v>1.4593394404560018</v>
      </c>
      <c r="F421" s="91" t="s">
        <v>3159</v>
      </c>
      <c r="G421" s="91" t="b">
        <v>0</v>
      </c>
      <c r="H421" s="91" t="b">
        <v>0</v>
      </c>
      <c r="I421" s="91" t="b">
        <v>0</v>
      </c>
      <c r="J421" s="91" t="b">
        <v>0</v>
      </c>
      <c r="K421" s="91" t="b">
        <v>0</v>
      </c>
      <c r="L421" s="91" t="b">
        <v>0</v>
      </c>
    </row>
    <row r="422" spans="1:12" ht="15">
      <c r="A422" s="92" t="s">
        <v>2572</v>
      </c>
      <c r="B422" s="91" t="s">
        <v>2735</v>
      </c>
      <c r="C422" s="91">
        <v>7</v>
      </c>
      <c r="D422" s="114">
        <v>0.001047122212177127</v>
      </c>
      <c r="E422" s="114">
        <v>1.5176432685831087</v>
      </c>
      <c r="F422" s="91" t="s">
        <v>3159</v>
      </c>
      <c r="G422" s="91" t="b">
        <v>0</v>
      </c>
      <c r="H422" s="91" t="b">
        <v>0</v>
      </c>
      <c r="I422" s="91" t="b">
        <v>0</v>
      </c>
      <c r="J422" s="91" t="b">
        <v>0</v>
      </c>
      <c r="K422" s="91" t="b">
        <v>0</v>
      </c>
      <c r="L422" s="91" t="b">
        <v>0</v>
      </c>
    </row>
    <row r="423" spans="1:12" ht="15">
      <c r="A423" s="92" t="s">
        <v>2735</v>
      </c>
      <c r="B423" s="91" t="s">
        <v>2856</v>
      </c>
      <c r="C423" s="91">
        <v>7</v>
      </c>
      <c r="D423" s="114">
        <v>0.001047122212177127</v>
      </c>
      <c r="E423" s="114">
        <v>2.9130944768514517</v>
      </c>
      <c r="F423" s="91" t="s">
        <v>3159</v>
      </c>
      <c r="G423" s="91" t="b">
        <v>0</v>
      </c>
      <c r="H423" s="91" t="b">
        <v>0</v>
      </c>
      <c r="I423" s="91" t="b">
        <v>0</v>
      </c>
      <c r="J423" s="91" t="b">
        <v>0</v>
      </c>
      <c r="K423" s="91" t="b">
        <v>0</v>
      </c>
      <c r="L423" s="91" t="b">
        <v>0</v>
      </c>
    </row>
    <row r="424" spans="1:12" ht="15">
      <c r="A424" s="92" t="s">
        <v>2856</v>
      </c>
      <c r="B424" s="91" t="s">
        <v>2857</v>
      </c>
      <c r="C424" s="91">
        <v>7</v>
      </c>
      <c r="D424" s="114">
        <v>0.001047122212177127</v>
      </c>
      <c r="E424" s="114">
        <v>3.214124472515433</v>
      </c>
      <c r="F424" s="91" t="s">
        <v>3159</v>
      </c>
      <c r="G424" s="91" t="b">
        <v>0</v>
      </c>
      <c r="H424" s="91" t="b">
        <v>0</v>
      </c>
      <c r="I424" s="91" t="b">
        <v>0</v>
      </c>
      <c r="J424" s="91" t="b">
        <v>0</v>
      </c>
      <c r="K424" s="91" t="b">
        <v>0</v>
      </c>
      <c r="L424" s="91" t="b">
        <v>0</v>
      </c>
    </row>
    <row r="425" spans="1:12" ht="15">
      <c r="A425" s="92" t="s">
        <v>2857</v>
      </c>
      <c r="B425" s="91" t="s">
        <v>2730</v>
      </c>
      <c r="C425" s="91">
        <v>7</v>
      </c>
      <c r="D425" s="114">
        <v>0.001047122212177127</v>
      </c>
      <c r="E425" s="114">
        <v>2.855102529873765</v>
      </c>
      <c r="F425" s="91" t="s">
        <v>3159</v>
      </c>
      <c r="G425" s="91" t="b">
        <v>0</v>
      </c>
      <c r="H425" s="91" t="b">
        <v>0</v>
      </c>
      <c r="I425" s="91" t="b">
        <v>0</v>
      </c>
      <c r="J425" s="91" t="b">
        <v>0</v>
      </c>
      <c r="K425" s="91" t="b">
        <v>0</v>
      </c>
      <c r="L425" s="91" t="b">
        <v>0</v>
      </c>
    </row>
    <row r="426" spans="1:12" ht="15">
      <c r="A426" s="92" t="s">
        <v>2730</v>
      </c>
      <c r="B426" s="91" t="s">
        <v>2858</v>
      </c>
      <c r="C426" s="91">
        <v>7</v>
      </c>
      <c r="D426" s="114">
        <v>0.001047122212177127</v>
      </c>
      <c r="E426" s="114">
        <v>2.855102529873765</v>
      </c>
      <c r="F426" s="91" t="s">
        <v>3159</v>
      </c>
      <c r="G426" s="91" t="b">
        <v>0</v>
      </c>
      <c r="H426" s="91" t="b">
        <v>0</v>
      </c>
      <c r="I426" s="91" t="b">
        <v>0</v>
      </c>
      <c r="J426" s="91" t="b">
        <v>0</v>
      </c>
      <c r="K426" s="91" t="b">
        <v>0</v>
      </c>
      <c r="L426" s="91" t="b">
        <v>0</v>
      </c>
    </row>
    <row r="427" spans="1:12" ht="15">
      <c r="A427" s="92" t="s">
        <v>2858</v>
      </c>
      <c r="B427" s="91" t="s">
        <v>2634</v>
      </c>
      <c r="C427" s="91">
        <v>7</v>
      </c>
      <c r="D427" s="114">
        <v>0.001047122212177127</v>
      </c>
      <c r="E427" s="114">
        <v>2.446438655809954</v>
      </c>
      <c r="F427" s="91" t="s">
        <v>3159</v>
      </c>
      <c r="G427" s="91" t="b">
        <v>0</v>
      </c>
      <c r="H427" s="91" t="b">
        <v>0</v>
      </c>
      <c r="I427" s="91" t="b">
        <v>0</v>
      </c>
      <c r="J427" s="91" t="b">
        <v>0</v>
      </c>
      <c r="K427" s="91" t="b">
        <v>0</v>
      </c>
      <c r="L427" s="91" t="b">
        <v>0</v>
      </c>
    </row>
    <row r="428" spans="1:12" ht="15">
      <c r="A428" s="92" t="s">
        <v>2634</v>
      </c>
      <c r="B428" s="91" t="s">
        <v>2665</v>
      </c>
      <c r="C428" s="91">
        <v>7</v>
      </c>
      <c r="D428" s="114">
        <v>0.001047122212177127</v>
      </c>
      <c r="E428" s="114">
        <v>1.911325454112605</v>
      </c>
      <c r="F428" s="91" t="s">
        <v>3159</v>
      </c>
      <c r="G428" s="91" t="b">
        <v>0</v>
      </c>
      <c r="H428" s="91" t="b">
        <v>0</v>
      </c>
      <c r="I428" s="91" t="b">
        <v>0</v>
      </c>
      <c r="J428" s="91" t="b">
        <v>0</v>
      </c>
      <c r="K428" s="91" t="b">
        <v>0</v>
      </c>
      <c r="L428" s="91" t="b">
        <v>0</v>
      </c>
    </row>
    <row r="429" spans="1:12" ht="15">
      <c r="A429" s="92" t="s">
        <v>2665</v>
      </c>
      <c r="B429" s="91" t="s">
        <v>2568</v>
      </c>
      <c r="C429" s="91">
        <v>7</v>
      </c>
      <c r="D429" s="114">
        <v>0.001047122212177127</v>
      </c>
      <c r="E429" s="114">
        <v>1.197773449903589</v>
      </c>
      <c r="F429" s="91" t="s">
        <v>3159</v>
      </c>
      <c r="G429" s="91" t="b">
        <v>0</v>
      </c>
      <c r="H429" s="91" t="b">
        <v>0</v>
      </c>
      <c r="I429" s="91" t="b">
        <v>0</v>
      </c>
      <c r="J429" s="91" t="b">
        <v>0</v>
      </c>
      <c r="K429" s="91" t="b">
        <v>0</v>
      </c>
      <c r="L429" s="91" t="b">
        <v>0</v>
      </c>
    </row>
    <row r="430" spans="1:12" ht="15">
      <c r="A430" s="92" t="s">
        <v>2568</v>
      </c>
      <c r="B430" s="91" t="s">
        <v>2772</v>
      </c>
      <c r="C430" s="91">
        <v>7</v>
      </c>
      <c r="D430" s="114">
        <v>0.001047122212177127</v>
      </c>
      <c r="E430" s="114">
        <v>1.577984691615195</v>
      </c>
      <c r="F430" s="91" t="s">
        <v>3159</v>
      </c>
      <c r="G430" s="91" t="b">
        <v>0</v>
      </c>
      <c r="H430" s="91" t="b">
        <v>0</v>
      </c>
      <c r="I430" s="91" t="b">
        <v>0</v>
      </c>
      <c r="J430" s="91" t="b">
        <v>0</v>
      </c>
      <c r="K430" s="91" t="b">
        <v>0</v>
      </c>
      <c r="L430" s="91" t="b">
        <v>0</v>
      </c>
    </row>
    <row r="431" spans="1:12" ht="15">
      <c r="A431" s="92" t="s">
        <v>2772</v>
      </c>
      <c r="B431" s="91" t="s">
        <v>2797</v>
      </c>
      <c r="C431" s="91">
        <v>7</v>
      </c>
      <c r="D431" s="114">
        <v>0.001047122212177127</v>
      </c>
      <c r="E431" s="114">
        <v>2.9500780431046216</v>
      </c>
      <c r="F431" s="91" t="s">
        <v>3159</v>
      </c>
      <c r="G431" s="91" t="b">
        <v>0</v>
      </c>
      <c r="H431" s="91" t="b">
        <v>0</v>
      </c>
      <c r="I431" s="91" t="b">
        <v>0</v>
      </c>
      <c r="J431" s="91" t="b">
        <v>0</v>
      </c>
      <c r="K431" s="91" t="b">
        <v>0</v>
      </c>
      <c r="L431" s="91" t="b">
        <v>0</v>
      </c>
    </row>
    <row r="432" spans="1:12" ht="15">
      <c r="A432" s="92" t="s">
        <v>2797</v>
      </c>
      <c r="B432" s="91" t="s">
        <v>2570</v>
      </c>
      <c r="C432" s="91">
        <v>7</v>
      </c>
      <c r="D432" s="114">
        <v>0.001047122212177127</v>
      </c>
      <c r="E432" s="114">
        <v>1.6383241820488672</v>
      </c>
      <c r="F432" s="91" t="s">
        <v>3159</v>
      </c>
      <c r="G432" s="91" t="b">
        <v>0</v>
      </c>
      <c r="H432" s="91" t="b">
        <v>0</v>
      </c>
      <c r="I432" s="91" t="b">
        <v>0</v>
      </c>
      <c r="J432" s="91" t="b">
        <v>0</v>
      </c>
      <c r="K432" s="91" t="b">
        <v>0</v>
      </c>
      <c r="L432" s="91" t="b">
        <v>0</v>
      </c>
    </row>
    <row r="433" spans="1:12" ht="15">
      <c r="A433" s="92" t="s">
        <v>2564</v>
      </c>
      <c r="B433" s="91" t="s">
        <v>2571</v>
      </c>
      <c r="C433" s="91">
        <v>7</v>
      </c>
      <c r="D433" s="114">
        <v>0.001047122212177127</v>
      </c>
      <c r="E433" s="114">
        <v>0.0013282928051593912</v>
      </c>
      <c r="F433" s="91" t="s">
        <v>3159</v>
      </c>
      <c r="G433" s="91" t="b">
        <v>0</v>
      </c>
      <c r="H433" s="91" t="b">
        <v>0</v>
      </c>
      <c r="I433" s="91" t="b">
        <v>0</v>
      </c>
      <c r="J433" s="91" t="b">
        <v>0</v>
      </c>
      <c r="K433" s="91" t="b">
        <v>0</v>
      </c>
      <c r="L433" s="91" t="b">
        <v>0</v>
      </c>
    </row>
    <row r="434" spans="1:12" ht="15">
      <c r="A434" s="92" t="s">
        <v>2614</v>
      </c>
      <c r="B434" s="91" t="s">
        <v>2859</v>
      </c>
      <c r="C434" s="91">
        <v>7</v>
      </c>
      <c r="D434" s="114">
        <v>0.001047122212177127</v>
      </c>
      <c r="E434" s="114">
        <v>2.326828752706721</v>
      </c>
      <c r="F434" s="91" t="s">
        <v>3159</v>
      </c>
      <c r="G434" s="91" t="b">
        <v>0</v>
      </c>
      <c r="H434" s="91" t="b">
        <v>0</v>
      </c>
      <c r="I434" s="91" t="b">
        <v>0</v>
      </c>
      <c r="J434" s="91" t="b">
        <v>0</v>
      </c>
      <c r="K434" s="91" t="b">
        <v>0</v>
      </c>
      <c r="L434" s="91" t="b">
        <v>0</v>
      </c>
    </row>
    <row r="435" spans="1:12" ht="15">
      <c r="A435" s="92" t="s">
        <v>2860</v>
      </c>
      <c r="B435" s="91" t="s">
        <v>2861</v>
      </c>
      <c r="C435" s="91">
        <v>7</v>
      </c>
      <c r="D435" s="114">
        <v>0.001047122212177127</v>
      </c>
      <c r="E435" s="114">
        <v>3.214124472515433</v>
      </c>
      <c r="F435" s="91" t="s">
        <v>3159</v>
      </c>
      <c r="G435" s="91" t="b">
        <v>0</v>
      </c>
      <c r="H435" s="91" t="b">
        <v>0</v>
      </c>
      <c r="I435" s="91" t="b">
        <v>0</v>
      </c>
      <c r="J435" s="91" t="b">
        <v>0</v>
      </c>
      <c r="K435" s="91" t="b">
        <v>0</v>
      </c>
      <c r="L435" s="91" t="b">
        <v>0</v>
      </c>
    </row>
    <row r="436" spans="1:12" ht="15">
      <c r="A436" s="92" t="s">
        <v>2861</v>
      </c>
      <c r="B436" s="91" t="s">
        <v>2582</v>
      </c>
      <c r="C436" s="91">
        <v>7</v>
      </c>
      <c r="D436" s="114">
        <v>0.001047122212177127</v>
      </c>
      <c r="E436" s="114">
        <v>1.9836755511371589</v>
      </c>
      <c r="F436" s="91" t="s">
        <v>3159</v>
      </c>
      <c r="G436" s="91" t="b">
        <v>0</v>
      </c>
      <c r="H436" s="91" t="b">
        <v>0</v>
      </c>
      <c r="I436" s="91" t="b">
        <v>0</v>
      </c>
      <c r="J436" s="91" t="b">
        <v>0</v>
      </c>
      <c r="K436" s="91" t="b">
        <v>0</v>
      </c>
      <c r="L436" s="91" t="b">
        <v>0</v>
      </c>
    </row>
    <row r="437" spans="1:12" ht="15">
      <c r="A437" s="92" t="s">
        <v>2582</v>
      </c>
      <c r="B437" s="91" t="s">
        <v>2862</v>
      </c>
      <c r="C437" s="91">
        <v>7</v>
      </c>
      <c r="D437" s="114">
        <v>0.001047122212177127</v>
      </c>
      <c r="E437" s="114">
        <v>1.9836755511371589</v>
      </c>
      <c r="F437" s="91" t="s">
        <v>3159</v>
      </c>
      <c r="G437" s="91" t="b">
        <v>0</v>
      </c>
      <c r="H437" s="91" t="b">
        <v>0</v>
      </c>
      <c r="I437" s="91" t="b">
        <v>0</v>
      </c>
      <c r="J437" s="91" t="b">
        <v>0</v>
      </c>
      <c r="K437" s="91" t="b">
        <v>0</v>
      </c>
      <c r="L437" s="91" t="b">
        <v>0</v>
      </c>
    </row>
    <row r="438" spans="1:12" ht="15">
      <c r="A438" s="92" t="s">
        <v>2862</v>
      </c>
      <c r="B438" s="91" t="s">
        <v>2736</v>
      </c>
      <c r="C438" s="91">
        <v>7</v>
      </c>
      <c r="D438" s="114">
        <v>0.001047122212177127</v>
      </c>
      <c r="E438" s="114">
        <v>2.9130944768514517</v>
      </c>
      <c r="F438" s="91" t="s">
        <v>3159</v>
      </c>
      <c r="G438" s="91" t="b">
        <v>0</v>
      </c>
      <c r="H438" s="91" t="b">
        <v>0</v>
      </c>
      <c r="I438" s="91" t="b">
        <v>0</v>
      </c>
      <c r="J438" s="91" t="b">
        <v>0</v>
      </c>
      <c r="K438" s="91" t="b">
        <v>0</v>
      </c>
      <c r="L438" s="91" t="b">
        <v>0</v>
      </c>
    </row>
    <row r="439" spans="1:12" ht="15">
      <c r="A439" s="92" t="s">
        <v>2736</v>
      </c>
      <c r="B439" s="91" t="s">
        <v>2587</v>
      </c>
      <c r="C439" s="91">
        <v>7</v>
      </c>
      <c r="D439" s="114">
        <v>0.001047122212177127</v>
      </c>
      <c r="E439" s="114">
        <v>1.7991511245446148</v>
      </c>
      <c r="F439" s="91" t="s">
        <v>3159</v>
      </c>
      <c r="G439" s="91" t="b">
        <v>0</v>
      </c>
      <c r="H439" s="91" t="b">
        <v>0</v>
      </c>
      <c r="I439" s="91" t="b">
        <v>0</v>
      </c>
      <c r="J439" s="91" t="b">
        <v>0</v>
      </c>
      <c r="K439" s="91" t="b">
        <v>0</v>
      </c>
      <c r="L439" s="91" t="b">
        <v>0</v>
      </c>
    </row>
    <row r="440" spans="1:12" ht="15">
      <c r="A440" s="92" t="s">
        <v>2587</v>
      </c>
      <c r="B440" s="91" t="s">
        <v>2719</v>
      </c>
      <c r="C440" s="91">
        <v>7</v>
      </c>
      <c r="D440" s="114">
        <v>0.001047122212177127</v>
      </c>
      <c r="E440" s="114">
        <v>1.6810842794409488</v>
      </c>
      <c r="F440" s="91" t="s">
        <v>3159</v>
      </c>
      <c r="G440" s="91" t="b">
        <v>0</v>
      </c>
      <c r="H440" s="91" t="b">
        <v>0</v>
      </c>
      <c r="I440" s="91" t="b">
        <v>0</v>
      </c>
      <c r="J440" s="91" t="b">
        <v>0</v>
      </c>
      <c r="K440" s="91" t="b">
        <v>0</v>
      </c>
      <c r="L440" s="91" t="b">
        <v>0</v>
      </c>
    </row>
    <row r="441" spans="1:12" ht="15">
      <c r="A441" s="92" t="s">
        <v>2719</v>
      </c>
      <c r="B441" s="91" t="s">
        <v>2648</v>
      </c>
      <c r="C441" s="91">
        <v>7</v>
      </c>
      <c r="D441" s="114">
        <v>0.001047122212177127</v>
      </c>
      <c r="E441" s="114">
        <v>2.134205257756845</v>
      </c>
      <c r="F441" s="91" t="s">
        <v>3159</v>
      </c>
      <c r="G441" s="91" t="b">
        <v>0</v>
      </c>
      <c r="H441" s="91" t="b">
        <v>0</v>
      </c>
      <c r="I441" s="91" t="b">
        <v>0</v>
      </c>
      <c r="J441" s="91" t="b">
        <v>0</v>
      </c>
      <c r="K441" s="91" t="b">
        <v>0</v>
      </c>
      <c r="L441" s="91" t="b">
        <v>0</v>
      </c>
    </row>
    <row r="442" spans="1:12" ht="15">
      <c r="A442" s="92" t="s">
        <v>2831</v>
      </c>
      <c r="B442" s="91" t="s">
        <v>2636</v>
      </c>
      <c r="C442" s="91">
        <v>7</v>
      </c>
      <c r="D442" s="114">
        <v>0.001047122212177127</v>
      </c>
      <c r="E442" s="114">
        <v>2.6790112708180835</v>
      </c>
      <c r="F442" s="91" t="s">
        <v>3159</v>
      </c>
      <c r="G442" s="91" t="b">
        <v>0</v>
      </c>
      <c r="H442" s="91" t="b">
        <v>0</v>
      </c>
      <c r="I442" s="91" t="b">
        <v>0</v>
      </c>
      <c r="J442" s="91" t="b">
        <v>0</v>
      </c>
      <c r="K442" s="91" t="b">
        <v>0</v>
      </c>
      <c r="L442" s="91" t="b">
        <v>0</v>
      </c>
    </row>
    <row r="443" spans="1:12" ht="15">
      <c r="A443" s="92" t="s">
        <v>2636</v>
      </c>
      <c r="B443" s="91" t="s">
        <v>2863</v>
      </c>
      <c r="C443" s="91">
        <v>7</v>
      </c>
      <c r="D443" s="114">
        <v>0.001047122212177127</v>
      </c>
      <c r="E443" s="114">
        <v>2.4571625212017274</v>
      </c>
      <c r="F443" s="91" t="s">
        <v>3159</v>
      </c>
      <c r="G443" s="91" t="b">
        <v>0</v>
      </c>
      <c r="H443" s="91" t="b">
        <v>0</v>
      </c>
      <c r="I443" s="91" t="b">
        <v>0</v>
      </c>
      <c r="J443" s="91" t="b">
        <v>0</v>
      </c>
      <c r="K443" s="91" t="b">
        <v>0</v>
      </c>
      <c r="L443" s="91" t="b">
        <v>0</v>
      </c>
    </row>
    <row r="444" spans="1:12" ht="15">
      <c r="A444" s="92" t="s">
        <v>2863</v>
      </c>
      <c r="B444" s="91" t="s">
        <v>2607</v>
      </c>
      <c r="C444" s="91">
        <v>7</v>
      </c>
      <c r="D444" s="114">
        <v>0.001047122212177127</v>
      </c>
      <c r="E444" s="114">
        <v>2.2267135998234533</v>
      </c>
      <c r="F444" s="91" t="s">
        <v>3159</v>
      </c>
      <c r="G444" s="91" t="b">
        <v>0</v>
      </c>
      <c r="H444" s="91" t="b">
        <v>0</v>
      </c>
      <c r="I444" s="91" t="b">
        <v>0</v>
      </c>
      <c r="J444" s="91" t="b">
        <v>0</v>
      </c>
      <c r="K444" s="91" t="b">
        <v>0</v>
      </c>
      <c r="L444" s="91" t="b">
        <v>0</v>
      </c>
    </row>
    <row r="445" spans="1:12" ht="15">
      <c r="A445" s="92" t="s">
        <v>2607</v>
      </c>
      <c r="B445" s="91" t="s">
        <v>2832</v>
      </c>
      <c r="C445" s="91">
        <v>7</v>
      </c>
      <c r="D445" s="114">
        <v>0.001047122212177127</v>
      </c>
      <c r="E445" s="114">
        <v>2.2267135998234533</v>
      </c>
      <c r="F445" s="91" t="s">
        <v>3159</v>
      </c>
      <c r="G445" s="91" t="b">
        <v>0</v>
      </c>
      <c r="H445" s="91" t="b">
        <v>0</v>
      </c>
      <c r="I445" s="91" t="b">
        <v>0</v>
      </c>
      <c r="J445" s="91" t="b">
        <v>0</v>
      </c>
      <c r="K445" s="91" t="b">
        <v>0</v>
      </c>
      <c r="L445" s="91" t="b">
        <v>0</v>
      </c>
    </row>
    <row r="446" spans="1:12" ht="15">
      <c r="A446" s="92" t="s">
        <v>2832</v>
      </c>
      <c r="B446" s="91" t="s">
        <v>2582</v>
      </c>
      <c r="C446" s="91">
        <v>7</v>
      </c>
      <c r="D446" s="114">
        <v>0.001047122212177127</v>
      </c>
      <c r="E446" s="114">
        <v>1.9256836041594723</v>
      </c>
      <c r="F446" s="91" t="s">
        <v>3159</v>
      </c>
      <c r="G446" s="91" t="b">
        <v>0</v>
      </c>
      <c r="H446" s="91" t="b">
        <v>0</v>
      </c>
      <c r="I446" s="91" t="b">
        <v>0</v>
      </c>
      <c r="J446" s="91" t="b">
        <v>0</v>
      </c>
      <c r="K446" s="91" t="b">
        <v>0</v>
      </c>
      <c r="L446" s="91" t="b">
        <v>0</v>
      </c>
    </row>
    <row r="447" spans="1:12" ht="15">
      <c r="A447" s="92" t="s">
        <v>2582</v>
      </c>
      <c r="B447" s="91" t="s">
        <v>2864</v>
      </c>
      <c r="C447" s="91">
        <v>7</v>
      </c>
      <c r="D447" s="114">
        <v>0.001047122212177127</v>
      </c>
      <c r="E447" s="114">
        <v>1.9836755511371589</v>
      </c>
      <c r="F447" s="91" t="s">
        <v>3159</v>
      </c>
      <c r="G447" s="91" t="b">
        <v>0</v>
      </c>
      <c r="H447" s="91" t="b">
        <v>0</v>
      </c>
      <c r="I447" s="91" t="b">
        <v>0</v>
      </c>
      <c r="J447" s="91" t="b">
        <v>0</v>
      </c>
      <c r="K447" s="91" t="b">
        <v>0</v>
      </c>
      <c r="L447" s="91" t="b">
        <v>0</v>
      </c>
    </row>
    <row r="448" spans="1:12" ht="15">
      <c r="A448" s="92" t="s">
        <v>2864</v>
      </c>
      <c r="B448" s="91" t="s">
        <v>2720</v>
      </c>
      <c r="C448" s="91">
        <v>7</v>
      </c>
      <c r="D448" s="114">
        <v>0.001047122212177127</v>
      </c>
      <c r="E448" s="114">
        <v>2.7804689115768606</v>
      </c>
      <c r="F448" s="91" t="s">
        <v>3159</v>
      </c>
      <c r="G448" s="91" t="b">
        <v>0</v>
      </c>
      <c r="H448" s="91" t="b">
        <v>0</v>
      </c>
      <c r="I448" s="91" t="b">
        <v>0</v>
      </c>
      <c r="J448" s="91" t="b">
        <v>0</v>
      </c>
      <c r="K448" s="91" t="b">
        <v>0</v>
      </c>
      <c r="L448" s="91" t="b">
        <v>0</v>
      </c>
    </row>
    <row r="449" spans="1:12" ht="15">
      <c r="A449" s="92" t="s">
        <v>2720</v>
      </c>
      <c r="B449" s="91" t="s">
        <v>2865</v>
      </c>
      <c r="C449" s="91">
        <v>7</v>
      </c>
      <c r="D449" s="114">
        <v>0.001047122212177127</v>
      </c>
      <c r="E449" s="114">
        <v>2.7804689115768606</v>
      </c>
      <c r="F449" s="91" t="s">
        <v>3159</v>
      </c>
      <c r="G449" s="91" t="b">
        <v>0</v>
      </c>
      <c r="H449" s="91" t="b">
        <v>0</v>
      </c>
      <c r="I449" s="91" t="b">
        <v>0</v>
      </c>
      <c r="J449" s="91" t="b">
        <v>0</v>
      </c>
      <c r="K449" s="91" t="b">
        <v>0</v>
      </c>
      <c r="L449" s="91" t="b">
        <v>0</v>
      </c>
    </row>
    <row r="450" spans="1:12" ht="15">
      <c r="A450" s="92" t="s">
        <v>2865</v>
      </c>
      <c r="B450" s="91" t="s">
        <v>2752</v>
      </c>
      <c r="C450" s="91">
        <v>7</v>
      </c>
      <c r="D450" s="114">
        <v>0.001047122212177127</v>
      </c>
      <c r="E450" s="114">
        <v>3.0592225125296895</v>
      </c>
      <c r="F450" s="91" t="s">
        <v>3159</v>
      </c>
      <c r="G450" s="91" t="b">
        <v>0</v>
      </c>
      <c r="H450" s="91" t="b">
        <v>0</v>
      </c>
      <c r="I450" s="91" t="b">
        <v>0</v>
      </c>
      <c r="J450" s="91" t="b">
        <v>0</v>
      </c>
      <c r="K450" s="91" t="b">
        <v>0</v>
      </c>
      <c r="L450" s="91" t="b">
        <v>0</v>
      </c>
    </row>
    <row r="451" spans="1:12" ht="15">
      <c r="A451" s="92" t="s">
        <v>2752</v>
      </c>
      <c r="B451" s="91" t="s">
        <v>2581</v>
      </c>
      <c r="C451" s="91">
        <v>7</v>
      </c>
      <c r="D451" s="114">
        <v>0.001047122212177127</v>
      </c>
      <c r="E451" s="114">
        <v>1.766017854377665</v>
      </c>
      <c r="F451" s="91" t="s">
        <v>3159</v>
      </c>
      <c r="G451" s="91" t="b">
        <v>0</v>
      </c>
      <c r="H451" s="91" t="b">
        <v>0</v>
      </c>
      <c r="I451" s="91" t="b">
        <v>0</v>
      </c>
      <c r="J451" s="91" t="b">
        <v>0</v>
      </c>
      <c r="K451" s="91" t="b">
        <v>0</v>
      </c>
      <c r="L451" s="91" t="b">
        <v>0</v>
      </c>
    </row>
    <row r="452" spans="1:12" ht="15">
      <c r="A452" s="92" t="s">
        <v>2581</v>
      </c>
      <c r="B452" s="91" t="s">
        <v>2737</v>
      </c>
      <c r="C452" s="91">
        <v>7</v>
      </c>
      <c r="D452" s="114">
        <v>0.001047122212177127</v>
      </c>
      <c r="E452" s="114">
        <v>1.661282503857652</v>
      </c>
      <c r="F452" s="91" t="s">
        <v>3159</v>
      </c>
      <c r="G452" s="91" t="b">
        <v>0</v>
      </c>
      <c r="H452" s="91" t="b">
        <v>0</v>
      </c>
      <c r="I452" s="91" t="b">
        <v>0</v>
      </c>
      <c r="J452" s="91" t="b">
        <v>0</v>
      </c>
      <c r="K452" s="91" t="b">
        <v>0</v>
      </c>
      <c r="L452" s="91" t="b">
        <v>0</v>
      </c>
    </row>
    <row r="453" spans="1:12" ht="15">
      <c r="A453" s="92" t="s">
        <v>2737</v>
      </c>
      <c r="B453" s="91" t="s">
        <v>2798</v>
      </c>
      <c r="C453" s="91">
        <v>7</v>
      </c>
      <c r="D453" s="114">
        <v>0.001047122212177127</v>
      </c>
      <c r="E453" s="114">
        <v>2.8039500074263835</v>
      </c>
      <c r="F453" s="91" t="s">
        <v>3159</v>
      </c>
      <c r="G453" s="91" t="b">
        <v>0</v>
      </c>
      <c r="H453" s="91" t="b">
        <v>0</v>
      </c>
      <c r="I453" s="91" t="b">
        <v>0</v>
      </c>
      <c r="J453" s="91" t="b">
        <v>0</v>
      </c>
      <c r="K453" s="91" t="b">
        <v>0</v>
      </c>
      <c r="L453" s="91" t="b">
        <v>0</v>
      </c>
    </row>
    <row r="454" spans="1:12" ht="15">
      <c r="A454" s="92" t="s">
        <v>2798</v>
      </c>
      <c r="B454" s="91" t="s">
        <v>2866</v>
      </c>
      <c r="C454" s="91">
        <v>7</v>
      </c>
      <c r="D454" s="114">
        <v>0.001047122212177127</v>
      </c>
      <c r="E454" s="114">
        <v>3.1049800030903647</v>
      </c>
      <c r="F454" s="91" t="s">
        <v>3159</v>
      </c>
      <c r="G454" s="91" t="b">
        <v>0</v>
      </c>
      <c r="H454" s="91" t="b">
        <v>0</v>
      </c>
      <c r="I454" s="91" t="b">
        <v>0</v>
      </c>
      <c r="J454" s="91" t="b">
        <v>0</v>
      </c>
      <c r="K454" s="91" t="b">
        <v>0</v>
      </c>
      <c r="L454" s="91" t="b">
        <v>0</v>
      </c>
    </row>
    <row r="455" spans="1:12" ht="15">
      <c r="A455" s="92" t="s">
        <v>2866</v>
      </c>
      <c r="B455" s="91" t="s">
        <v>2720</v>
      </c>
      <c r="C455" s="91">
        <v>7</v>
      </c>
      <c r="D455" s="114">
        <v>0.001047122212177127</v>
      </c>
      <c r="E455" s="114">
        <v>2.7804689115768606</v>
      </c>
      <c r="F455" s="91" t="s">
        <v>3159</v>
      </c>
      <c r="G455" s="91" t="b">
        <v>0</v>
      </c>
      <c r="H455" s="91" t="b">
        <v>0</v>
      </c>
      <c r="I455" s="91" t="b">
        <v>0</v>
      </c>
      <c r="J455" s="91" t="b">
        <v>0</v>
      </c>
      <c r="K455" s="91" t="b">
        <v>0</v>
      </c>
      <c r="L455" s="91" t="b">
        <v>0</v>
      </c>
    </row>
    <row r="456" spans="1:12" ht="15">
      <c r="A456" s="92" t="s">
        <v>2720</v>
      </c>
      <c r="B456" s="91" t="s">
        <v>2610</v>
      </c>
      <c r="C456" s="91">
        <v>7</v>
      </c>
      <c r="D456" s="114">
        <v>0.001047122212177127</v>
      </c>
      <c r="E456" s="114">
        <v>1.847415701207474</v>
      </c>
      <c r="F456" s="91" t="s">
        <v>3159</v>
      </c>
      <c r="G456" s="91" t="b">
        <v>0</v>
      </c>
      <c r="H456" s="91" t="b">
        <v>0</v>
      </c>
      <c r="I456" s="91" t="b">
        <v>0</v>
      </c>
      <c r="J456" s="91" t="b">
        <v>0</v>
      </c>
      <c r="K456" s="91" t="b">
        <v>0</v>
      </c>
      <c r="L456" s="91" t="b">
        <v>0</v>
      </c>
    </row>
    <row r="457" spans="1:12" ht="15">
      <c r="A457" s="92" t="s">
        <v>2610</v>
      </c>
      <c r="B457" s="91" t="s">
        <v>2867</v>
      </c>
      <c r="C457" s="91">
        <v>7</v>
      </c>
      <c r="D457" s="114">
        <v>0.001047122212177127</v>
      </c>
      <c r="E457" s="114">
        <v>2.281071262146046</v>
      </c>
      <c r="F457" s="91" t="s">
        <v>3159</v>
      </c>
      <c r="G457" s="91" t="b">
        <v>0</v>
      </c>
      <c r="H457" s="91" t="b">
        <v>0</v>
      </c>
      <c r="I457" s="91" t="b">
        <v>0</v>
      </c>
      <c r="J457" s="91" t="b">
        <v>0</v>
      </c>
      <c r="K457" s="91" t="b">
        <v>0</v>
      </c>
      <c r="L457" s="91" t="b">
        <v>0</v>
      </c>
    </row>
    <row r="458" spans="1:12" ht="15">
      <c r="A458" s="92" t="s">
        <v>2867</v>
      </c>
      <c r="B458" s="91" t="s">
        <v>2744</v>
      </c>
      <c r="C458" s="91">
        <v>7</v>
      </c>
      <c r="D458" s="114">
        <v>0.001047122212177127</v>
      </c>
      <c r="E458" s="114">
        <v>2.945279160222853</v>
      </c>
      <c r="F458" s="91" t="s">
        <v>3159</v>
      </c>
      <c r="G458" s="91" t="b">
        <v>0</v>
      </c>
      <c r="H458" s="91" t="b">
        <v>0</v>
      </c>
      <c r="I458" s="91" t="b">
        <v>0</v>
      </c>
      <c r="J458" s="91" t="b">
        <v>0</v>
      </c>
      <c r="K458" s="91" t="b">
        <v>0</v>
      </c>
      <c r="L458" s="91" t="b">
        <v>0</v>
      </c>
    </row>
    <row r="459" spans="1:12" ht="15">
      <c r="A459" s="92" t="s">
        <v>2744</v>
      </c>
      <c r="B459" s="91" t="s">
        <v>2868</v>
      </c>
      <c r="C459" s="91">
        <v>7</v>
      </c>
      <c r="D459" s="114">
        <v>0.001047122212177127</v>
      </c>
      <c r="E459" s="114">
        <v>2.945279160222853</v>
      </c>
      <c r="F459" s="91" t="s">
        <v>3159</v>
      </c>
      <c r="G459" s="91" t="b">
        <v>0</v>
      </c>
      <c r="H459" s="91" t="b">
        <v>0</v>
      </c>
      <c r="I459" s="91" t="b">
        <v>0</v>
      </c>
      <c r="J459" s="91" t="b">
        <v>0</v>
      </c>
      <c r="K459" s="91" t="b">
        <v>0</v>
      </c>
      <c r="L459" s="91" t="b">
        <v>0</v>
      </c>
    </row>
    <row r="460" spans="1:12" ht="15">
      <c r="A460" s="92" t="s">
        <v>2868</v>
      </c>
      <c r="B460" s="91" t="s">
        <v>2869</v>
      </c>
      <c r="C460" s="91">
        <v>7</v>
      </c>
      <c r="D460" s="114">
        <v>0.001047122212177127</v>
      </c>
      <c r="E460" s="114">
        <v>3.214124472515433</v>
      </c>
      <c r="F460" s="91" t="s">
        <v>3159</v>
      </c>
      <c r="G460" s="91" t="b">
        <v>0</v>
      </c>
      <c r="H460" s="91" t="b">
        <v>0</v>
      </c>
      <c r="I460" s="91" t="b">
        <v>0</v>
      </c>
      <c r="J460" s="91" t="b">
        <v>0</v>
      </c>
      <c r="K460" s="91" t="b">
        <v>0</v>
      </c>
      <c r="L460" s="91" t="b">
        <v>0</v>
      </c>
    </row>
    <row r="461" spans="1:12" ht="15">
      <c r="A461" s="92" t="s">
        <v>2869</v>
      </c>
      <c r="B461" s="91" t="s">
        <v>2870</v>
      </c>
      <c r="C461" s="91">
        <v>7</v>
      </c>
      <c r="D461" s="114">
        <v>0.001047122212177127</v>
      </c>
      <c r="E461" s="114">
        <v>3.214124472515433</v>
      </c>
      <c r="F461" s="91" t="s">
        <v>3159</v>
      </c>
      <c r="G461" s="91" t="b">
        <v>0</v>
      </c>
      <c r="H461" s="91" t="b">
        <v>0</v>
      </c>
      <c r="I461" s="91" t="b">
        <v>0</v>
      </c>
      <c r="J461" s="91" t="b">
        <v>0</v>
      </c>
      <c r="K461" s="91" t="b">
        <v>0</v>
      </c>
      <c r="L461" s="91" t="b">
        <v>0</v>
      </c>
    </row>
    <row r="462" spans="1:12" ht="15">
      <c r="A462" s="92" t="s">
        <v>2870</v>
      </c>
      <c r="B462" s="91" t="s">
        <v>2564</v>
      </c>
      <c r="C462" s="91">
        <v>7</v>
      </c>
      <c r="D462" s="114">
        <v>0.001047122212177127</v>
      </c>
      <c r="E462" s="114">
        <v>1.4370084895633943</v>
      </c>
      <c r="F462" s="91" t="s">
        <v>3159</v>
      </c>
      <c r="G462" s="91" t="b">
        <v>0</v>
      </c>
      <c r="H462" s="91" t="b">
        <v>0</v>
      </c>
      <c r="I462" s="91" t="b">
        <v>0</v>
      </c>
      <c r="J462" s="91" t="b">
        <v>0</v>
      </c>
      <c r="K462" s="91" t="b">
        <v>0</v>
      </c>
      <c r="L462" s="91" t="b">
        <v>0</v>
      </c>
    </row>
    <row r="463" spans="1:12" ht="15">
      <c r="A463" s="92" t="s">
        <v>2564</v>
      </c>
      <c r="B463" s="91" t="s">
        <v>2745</v>
      </c>
      <c r="C463" s="91">
        <v>7</v>
      </c>
      <c r="D463" s="114">
        <v>0.001047122212177127</v>
      </c>
      <c r="E463" s="114">
        <v>1.1948809784115355</v>
      </c>
      <c r="F463" s="91" t="s">
        <v>3159</v>
      </c>
      <c r="G463" s="91" t="b">
        <v>0</v>
      </c>
      <c r="H463" s="91" t="b">
        <v>0</v>
      </c>
      <c r="I463" s="91" t="b">
        <v>0</v>
      </c>
      <c r="J463" s="91" t="b">
        <v>0</v>
      </c>
      <c r="K463" s="91" t="b">
        <v>0</v>
      </c>
      <c r="L463" s="91" t="b">
        <v>0</v>
      </c>
    </row>
    <row r="464" spans="1:12" ht="15">
      <c r="A464" s="92" t="s">
        <v>2745</v>
      </c>
      <c r="B464" s="91" t="s">
        <v>2566</v>
      </c>
      <c r="C464" s="91">
        <v>7</v>
      </c>
      <c r="D464" s="114">
        <v>0.001047122212177127</v>
      </c>
      <c r="E464" s="114">
        <v>1.4286493642195168</v>
      </c>
      <c r="F464" s="91" t="s">
        <v>3159</v>
      </c>
      <c r="G464" s="91" t="b">
        <v>0</v>
      </c>
      <c r="H464" s="91" t="b">
        <v>0</v>
      </c>
      <c r="I464" s="91" t="b">
        <v>0</v>
      </c>
      <c r="J464" s="91" t="b">
        <v>0</v>
      </c>
      <c r="K464" s="91" t="b">
        <v>0</v>
      </c>
      <c r="L464" s="91" t="b">
        <v>0</v>
      </c>
    </row>
    <row r="465" spans="1:12" ht="15">
      <c r="A465" s="92" t="s">
        <v>2566</v>
      </c>
      <c r="B465" s="91" t="s">
        <v>2746</v>
      </c>
      <c r="C465" s="91">
        <v>7</v>
      </c>
      <c r="D465" s="114">
        <v>0.001047122212177127</v>
      </c>
      <c r="E465" s="114">
        <v>1.466094744939417</v>
      </c>
      <c r="F465" s="91" t="s">
        <v>3159</v>
      </c>
      <c r="G465" s="91" t="b">
        <v>0</v>
      </c>
      <c r="H465" s="91" t="b">
        <v>0</v>
      </c>
      <c r="I465" s="91" t="b">
        <v>0</v>
      </c>
      <c r="J465" s="91" t="b">
        <v>0</v>
      </c>
      <c r="K465" s="91" t="b">
        <v>0</v>
      </c>
      <c r="L465" s="91" t="b">
        <v>0</v>
      </c>
    </row>
    <row r="466" spans="1:12" ht="15">
      <c r="A466" s="92" t="s">
        <v>2746</v>
      </c>
      <c r="B466" s="91" t="s">
        <v>2728</v>
      </c>
      <c r="C466" s="91">
        <v>7</v>
      </c>
      <c r="D466" s="114">
        <v>0.001047122212177127</v>
      </c>
      <c r="E466" s="114">
        <v>2.559928278858836</v>
      </c>
      <c r="F466" s="91" t="s">
        <v>3159</v>
      </c>
      <c r="G466" s="91" t="b">
        <v>0</v>
      </c>
      <c r="H466" s="91" t="b">
        <v>0</v>
      </c>
      <c r="I466" s="91" t="b">
        <v>0</v>
      </c>
      <c r="J466" s="91" t="b">
        <v>0</v>
      </c>
      <c r="K466" s="91" t="b">
        <v>0</v>
      </c>
      <c r="L466" s="91" t="b">
        <v>0</v>
      </c>
    </row>
    <row r="467" spans="1:12" ht="15">
      <c r="A467" s="92" t="s">
        <v>2871</v>
      </c>
      <c r="B467" s="91" t="s">
        <v>2872</v>
      </c>
      <c r="C467" s="91">
        <v>7</v>
      </c>
      <c r="D467" s="114">
        <v>0.001047122212177127</v>
      </c>
      <c r="E467" s="114">
        <v>3.214124472515433</v>
      </c>
      <c r="F467" s="91" t="s">
        <v>3159</v>
      </c>
      <c r="G467" s="91" t="b">
        <v>0</v>
      </c>
      <c r="H467" s="91" t="b">
        <v>0</v>
      </c>
      <c r="I467" s="91" t="b">
        <v>0</v>
      </c>
      <c r="J467" s="91" t="b">
        <v>0</v>
      </c>
      <c r="K467" s="91" t="b">
        <v>0</v>
      </c>
      <c r="L467" s="91" t="b">
        <v>0</v>
      </c>
    </row>
    <row r="468" spans="1:12" ht="15">
      <c r="A468" s="92" t="s">
        <v>2583</v>
      </c>
      <c r="B468" s="91" t="s">
        <v>2565</v>
      </c>
      <c r="C468" s="91">
        <v>7</v>
      </c>
      <c r="D468" s="114">
        <v>0.001047122212177127</v>
      </c>
      <c r="E468" s="114">
        <v>0.6467379649625664</v>
      </c>
      <c r="F468" s="91" t="s">
        <v>3159</v>
      </c>
      <c r="G468" s="91" t="b">
        <v>0</v>
      </c>
      <c r="H468" s="91" t="b">
        <v>0</v>
      </c>
      <c r="I468" s="91" t="b">
        <v>0</v>
      </c>
      <c r="J468" s="91" t="b">
        <v>0</v>
      </c>
      <c r="K468" s="91" t="b">
        <v>0</v>
      </c>
      <c r="L468" s="91" t="b">
        <v>0</v>
      </c>
    </row>
    <row r="469" spans="1:12" ht="15">
      <c r="A469" s="92" t="s">
        <v>2877</v>
      </c>
      <c r="B469" s="91" t="s">
        <v>2878</v>
      </c>
      <c r="C469" s="91">
        <v>7</v>
      </c>
      <c r="D469" s="114">
        <v>0.001047122212177127</v>
      </c>
      <c r="E469" s="114">
        <v>3.214124472515433</v>
      </c>
      <c r="F469" s="91" t="s">
        <v>3159</v>
      </c>
      <c r="G469" s="91" t="b">
        <v>0</v>
      </c>
      <c r="H469" s="91" t="b">
        <v>0</v>
      </c>
      <c r="I469" s="91" t="b">
        <v>0</v>
      </c>
      <c r="J469" s="91" t="b">
        <v>0</v>
      </c>
      <c r="K469" s="91" t="b">
        <v>0</v>
      </c>
      <c r="L469" s="91" t="b">
        <v>0</v>
      </c>
    </row>
    <row r="470" spans="1:12" ht="15">
      <c r="A470" s="92" t="s">
        <v>2878</v>
      </c>
      <c r="B470" s="91" t="s">
        <v>2879</v>
      </c>
      <c r="C470" s="91">
        <v>7</v>
      </c>
      <c r="D470" s="114">
        <v>0.001047122212177127</v>
      </c>
      <c r="E470" s="114">
        <v>3.214124472515433</v>
      </c>
      <c r="F470" s="91" t="s">
        <v>3159</v>
      </c>
      <c r="G470" s="91" t="b">
        <v>0</v>
      </c>
      <c r="H470" s="91" t="b">
        <v>0</v>
      </c>
      <c r="I470" s="91" t="b">
        <v>0</v>
      </c>
      <c r="J470" s="91" t="b">
        <v>0</v>
      </c>
      <c r="K470" s="91" t="b">
        <v>0</v>
      </c>
      <c r="L470" s="91" t="b">
        <v>0</v>
      </c>
    </row>
    <row r="471" spans="1:12" ht="15">
      <c r="A471" s="92" t="s">
        <v>2879</v>
      </c>
      <c r="B471" s="91" t="s">
        <v>2880</v>
      </c>
      <c r="C471" s="91">
        <v>7</v>
      </c>
      <c r="D471" s="114">
        <v>0.001047122212177127</v>
      </c>
      <c r="E471" s="114">
        <v>3.214124472515433</v>
      </c>
      <c r="F471" s="91" t="s">
        <v>3159</v>
      </c>
      <c r="G471" s="91" t="b">
        <v>0</v>
      </c>
      <c r="H471" s="91" t="b">
        <v>0</v>
      </c>
      <c r="I471" s="91" t="b">
        <v>0</v>
      </c>
      <c r="J471" s="91" t="b">
        <v>0</v>
      </c>
      <c r="K471" s="91" t="b">
        <v>0</v>
      </c>
      <c r="L471" s="91" t="b">
        <v>0</v>
      </c>
    </row>
    <row r="472" spans="1:12" ht="15">
      <c r="A472" s="92" t="s">
        <v>2880</v>
      </c>
      <c r="B472" s="91" t="s">
        <v>2881</v>
      </c>
      <c r="C472" s="91">
        <v>7</v>
      </c>
      <c r="D472" s="114">
        <v>0.001047122212177127</v>
      </c>
      <c r="E472" s="114">
        <v>3.214124472515433</v>
      </c>
      <c r="F472" s="91" t="s">
        <v>3159</v>
      </c>
      <c r="G472" s="91" t="b">
        <v>0</v>
      </c>
      <c r="H472" s="91" t="b">
        <v>0</v>
      </c>
      <c r="I472" s="91" t="b">
        <v>0</v>
      </c>
      <c r="J472" s="91" t="b">
        <v>0</v>
      </c>
      <c r="K472" s="91" t="b">
        <v>0</v>
      </c>
      <c r="L472" s="91" t="b">
        <v>0</v>
      </c>
    </row>
    <row r="473" spans="1:12" ht="15">
      <c r="A473" s="92" t="s">
        <v>2881</v>
      </c>
      <c r="B473" s="91" t="s">
        <v>2882</v>
      </c>
      <c r="C473" s="91">
        <v>7</v>
      </c>
      <c r="D473" s="114">
        <v>0.001047122212177127</v>
      </c>
      <c r="E473" s="114">
        <v>3.214124472515433</v>
      </c>
      <c r="F473" s="91" t="s">
        <v>3159</v>
      </c>
      <c r="G473" s="91" t="b">
        <v>0</v>
      </c>
      <c r="H473" s="91" t="b">
        <v>0</v>
      </c>
      <c r="I473" s="91" t="b">
        <v>0</v>
      </c>
      <c r="J473" s="91" t="b">
        <v>0</v>
      </c>
      <c r="K473" s="91" t="b">
        <v>0</v>
      </c>
      <c r="L473" s="91" t="b">
        <v>0</v>
      </c>
    </row>
    <row r="474" spans="1:12" ht="15">
      <c r="A474" s="92" t="s">
        <v>2882</v>
      </c>
      <c r="B474" s="91" t="s">
        <v>2883</v>
      </c>
      <c r="C474" s="91">
        <v>7</v>
      </c>
      <c r="D474" s="114">
        <v>0.001047122212177127</v>
      </c>
      <c r="E474" s="114">
        <v>3.214124472515433</v>
      </c>
      <c r="F474" s="91" t="s">
        <v>3159</v>
      </c>
      <c r="G474" s="91" t="b">
        <v>0</v>
      </c>
      <c r="H474" s="91" t="b">
        <v>0</v>
      </c>
      <c r="I474" s="91" t="b">
        <v>0</v>
      </c>
      <c r="J474" s="91" t="b">
        <v>0</v>
      </c>
      <c r="K474" s="91" t="b">
        <v>0</v>
      </c>
      <c r="L474" s="91" t="b">
        <v>0</v>
      </c>
    </row>
    <row r="475" spans="1:12" ht="15">
      <c r="A475" s="92" t="s">
        <v>2883</v>
      </c>
      <c r="B475" s="91" t="s">
        <v>2884</v>
      </c>
      <c r="C475" s="91">
        <v>7</v>
      </c>
      <c r="D475" s="114">
        <v>0.001047122212177127</v>
      </c>
      <c r="E475" s="114">
        <v>3.214124472515433</v>
      </c>
      <c r="F475" s="91" t="s">
        <v>3159</v>
      </c>
      <c r="G475" s="91" t="b">
        <v>0</v>
      </c>
      <c r="H475" s="91" t="b">
        <v>0</v>
      </c>
      <c r="I475" s="91" t="b">
        <v>0</v>
      </c>
      <c r="J475" s="91" t="b">
        <v>0</v>
      </c>
      <c r="K475" s="91" t="b">
        <v>0</v>
      </c>
      <c r="L475" s="91" t="b">
        <v>0</v>
      </c>
    </row>
    <row r="476" spans="1:12" ht="15">
      <c r="A476" s="92" t="s">
        <v>2884</v>
      </c>
      <c r="B476" s="91" t="s">
        <v>2885</v>
      </c>
      <c r="C476" s="91">
        <v>7</v>
      </c>
      <c r="D476" s="114">
        <v>0.001047122212177127</v>
      </c>
      <c r="E476" s="114">
        <v>3.214124472515433</v>
      </c>
      <c r="F476" s="91" t="s">
        <v>3159</v>
      </c>
      <c r="G476" s="91" t="b">
        <v>0</v>
      </c>
      <c r="H476" s="91" t="b">
        <v>0</v>
      </c>
      <c r="I476" s="91" t="b">
        <v>0</v>
      </c>
      <c r="J476" s="91" t="b">
        <v>0</v>
      </c>
      <c r="K476" s="91" t="b">
        <v>0</v>
      </c>
      <c r="L476" s="91" t="b">
        <v>0</v>
      </c>
    </row>
    <row r="477" spans="1:12" ht="15">
      <c r="A477" s="92" t="s">
        <v>2885</v>
      </c>
      <c r="B477" s="91" t="s">
        <v>2886</v>
      </c>
      <c r="C477" s="91">
        <v>7</v>
      </c>
      <c r="D477" s="114">
        <v>0.001047122212177127</v>
      </c>
      <c r="E477" s="114">
        <v>3.214124472515433</v>
      </c>
      <c r="F477" s="91" t="s">
        <v>3159</v>
      </c>
      <c r="G477" s="91" t="b">
        <v>0</v>
      </c>
      <c r="H477" s="91" t="b">
        <v>0</v>
      </c>
      <c r="I477" s="91" t="b">
        <v>0</v>
      </c>
      <c r="J477" s="91" t="b">
        <v>0</v>
      </c>
      <c r="K477" s="91" t="b">
        <v>0</v>
      </c>
      <c r="L477" s="91" t="b">
        <v>0</v>
      </c>
    </row>
    <row r="478" spans="1:12" ht="15">
      <c r="A478" s="92" t="s">
        <v>2886</v>
      </c>
      <c r="B478" s="91" t="s">
        <v>2887</v>
      </c>
      <c r="C478" s="91">
        <v>7</v>
      </c>
      <c r="D478" s="114">
        <v>0.001047122212177127</v>
      </c>
      <c r="E478" s="114">
        <v>3.214124472515433</v>
      </c>
      <c r="F478" s="91" t="s">
        <v>3159</v>
      </c>
      <c r="G478" s="91" t="b">
        <v>0</v>
      </c>
      <c r="H478" s="91" t="b">
        <v>0</v>
      </c>
      <c r="I478" s="91" t="b">
        <v>0</v>
      </c>
      <c r="J478" s="91" t="b">
        <v>0</v>
      </c>
      <c r="K478" s="91" t="b">
        <v>0</v>
      </c>
      <c r="L478" s="91" t="b">
        <v>0</v>
      </c>
    </row>
    <row r="479" spans="1:12" ht="15">
      <c r="A479" s="92" t="s">
        <v>2887</v>
      </c>
      <c r="B479" s="91" t="s">
        <v>2888</v>
      </c>
      <c r="C479" s="91">
        <v>7</v>
      </c>
      <c r="D479" s="114">
        <v>0.001047122212177127</v>
      </c>
      <c r="E479" s="114">
        <v>3.214124472515433</v>
      </c>
      <c r="F479" s="91" t="s">
        <v>3159</v>
      </c>
      <c r="G479" s="91" t="b">
        <v>0</v>
      </c>
      <c r="H479" s="91" t="b">
        <v>0</v>
      </c>
      <c r="I479" s="91" t="b">
        <v>0</v>
      </c>
      <c r="J479" s="91" t="b">
        <v>0</v>
      </c>
      <c r="K479" s="91" t="b">
        <v>0</v>
      </c>
      <c r="L479" s="91" t="b">
        <v>0</v>
      </c>
    </row>
    <row r="480" spans="1:12" ht="15">
      <c r="A480" s="92" t="s">
        <v>2888</v>
      </c>
      <c r="B480" s="91" t="s">
        <v>2889</v>
      </c>
      <c r="C480" s="91">
        <v>7</v>
      </c>
      <c r="D480" s="114">
        <v>0.001047122212177127</v>
      </c>
      <c r="E480" s="114">
        <v>3.214124472515433</v>
      </c>
      <c r="F480" s="91" t="s">
        <v>3159</v>
      </c>
      <c r="G480" s="91" t="b">
        <v>0</v>
      </c>
      <c r="H480" s="91" t="b">
        <v>0</v>
      </c>
      <c r="I480" s="91" t="b">
        <v>0</v>
      </c>
      <c r="J480" s="91" t="b">
        <v>0</v>
      </c>
      <c r="K480" s="91" t="b">
        <v>0</v>
      </c>
      <c r="L480" s="91" t="b">
        <v>0</v>
      </c>
    </row>
    <row r="481" spans="1:12" ht="15">
      <c r="A481" s="92" t="s">
        <v>2889</v>
      </c>
      <c r="B481" s="91" t="s">
        <v>2646</v>
      </c>
      <c r="C481" s="91">
        <v>7</v>
      </c>
      <c r="D481" s="114">
        <v>0.001047122212177127</v>
      </c>
      <c r="E481" s="114">
        <v>2.5277435954874345</v>
      </c>
      <c r="F481" s="91" t="s">
        <v>3159</v>
      </c>
      <c r="G481" s="91" t="b">
        <v>0</v>
      </c>
      <c r="H481" s="91" t="b">
        <v>0</v>
      </c>
      <c r="I481" s="91" t="b">
        <v>0</v>
      </c>
      <c r="J481" s="91" t="b">
        <v>0</v>
      </c>
      <c r="K481" s="91" t="b">
        <v>0</v>
      </c>
      <c r="L481" s="91" t="b">
        <v>0</v>
      </c>
    </row>
    <row r="482" spans="1:12" ht="15">
      <c r="A482" s="92" t="s">
        <v>2646</v>
      </c>
      <c r="B482" s="91" t="s">
        <v>2620</v>
      </c>
      <c r="C482" s="91">
        <v>7</v>
      </c>
      <c r="D482" s="114">
        <v>0.001047122212177127</v>
      </c>
      <c r="E482" s="114">
        <v>1.691600398126104</v>
      </c>
      <c r="F482" s="91" t="s">
        <v>3159</v>
      </c>
      <c r="G482" s="91" t="b">
        <v>0</v>
      </c>
      <c r="H482" s="91" t="b">
        <v>0</v>
      </c>
      <c r="I482" s="91" t="b">
        <v>0</v>
      </c>
      <c r="J482" s="91" t="b">
        <v>0</v>
      </c>
      <c r="K482" s="91" t="b">
        <v>0</v>
      </c>
      <c r="L482" s="91" t="b">
        <v>0</v>
      </c>
    </row>
    <row r="483" spans="1:12" ht="15">
      <c r="A483" s="92" t="s">
        <v>2620</v>
      </c>
      <c r="B483" s="91" t="s">
        <v>2564</v>
      </c>
      <c r="C483" s="91">
        <v>7</v>
      </c>
      <c r="D483" s="114">
        <v>0.001047122212177127</v>
      </c>
      <c r="E483" s="114">
        <v>0.6008652922020639</v>
      </c>
      <c r="F483" s="91" t="s">
        <v>3159</v>
      </c>
      <c r="G483" s="91" t="b">
        <v>0</v>
      </c>
      <c r="H483" s="91" t="b">
        <v>0</v>
      </c>
      <c r="I483" s="91" t="b">
        <v>0</v>
      </c>
      <c r="J483" s="91" t="b">
        <v>0</v>
      </c>
      <c r="K483" s="91" t="b">
        <v>0</v>
      </c>
      <c r="L483" s="91" t="b">
        <v>0</v>
      </c>
    </row>
    <row r="484" spans="1:12" ht="15">
      <c r="A484" s="92" t="s">
        <v>2728</v>
      </c>
      <c r="B484" s="91" t="s">
        <v>2890</v>
      </c>
      <c r="C484" s="91">
        <v>7</v>
      </c>
      <c r="D484" s="114">
        <v>0.001047122212177127</v>
      </c>
      <c r="E484" s="114">
        <v>3.214124472515433</v>
      </c>
      <c r="F484" s="91" t="s">
        <v>3159</v>
      </c>
      <c r="G484" s="91" t="b">
        <v>0</v>
      </c>
      <c r="H484" s="91" t="b">
        <v>0</v>
      </c>
      <c r="I484" s="91" t="b">
        <v>0</v>
      </c>
      <c r="J484" s="91" t="b">
        <v>0</v>
      </c>
      <c r="K484" s="91" t="b">
        <v>0</v>
      </c>
      <c r="L484" s="91" t="b">
        <v>0</v>
      </c>
    </row>
    <row r="485" spans="1:12" ht="15">
      <c r="A485" s="92" t="s">
        <v>2896</v>
      </c>
      <c r="B485" s="91" t="s">
        <v>2664</v>
      </c>
      <c r="C485" s="91">
        <v>6</v>
      </c>
      <c r="D485" s="114">
        <v>0.0009313448346377029</v>
      </c>
      <c r="E485" s="114">
        <v>2.661282503857652</v>
      </c>
      <c r="F485" s="91" t="s">
        <v>3159</v>
      </c>
      <c r="G485" s="91" t="b">
        <v>0</v>
      </c>
      <c r="H485" s="91" t="b">
        <v>0</v>
      </c>
      <c r="I485" s="91" t="b">
        <v>0</v>
      </c>
      <c r="J485" s="91" t="b">
        <v>0</v>
      </c>
      <c r="K485" s="91" t="b">
        <v>0</v>
      </c>
      <c r="L485" s="91" t="b">
        <v>0</v>
      </c>
    </row>
    <row r="486" spans="1:12" ht="15">
      <c r="A486" s="92" t="s">
        <v>2664</v>
      </c>
      <c r="B486" s="91" t="s">
        <v>2766</v>
      </c>
      <c r="C486" s="91">
        <v>6</v>
      </c>
      <c r="D486" s="114">
        <v>0.0009313448346377029</v>
      </c>
      <c r="E486" s="114">
        <v>2.3980410690830705</v>
      </c>
      <c r="F486" s="91" t="s">
        <v>3159</v>
      </c>
      <c r="G486" s="91" t="b">
        <v>0</v>
      </c>
      <c r="H486" s="91" t="b">
        <v>0</v>
      </c>
      <c r="I486" s="91" t="b">
        <v>0</v>
      </c>
      <c r="J486" s="91" t="b">
        <v>0</v>
      </c>
      <c r="K486" s="91" t="b">
        <v>0</v>
      </c>
      <c r="L486" s="91" t="b">
        <v>0</v>
      </c>
    </row>
    <row r="487" spans="1:12" ht="15">
      <c r="A487" s="92" t="s">
        <v>2766</v>
      </c>
      <c r="B487" s="91" t="s">
        <v>2581</v>
      </c>
      <c r="C487" s="91">
        <v>6</v>
      </c>
      <c r="D487" s="114">
        <v>0.0009313448346377029</v>
      </c>
      <c r="E487" s="114">
        <v>1.6990710647470517</v>
      </c>
      <c r="F487" s="91" t="s">
        <v>3159</v>
      </c>
      <c r="G487" s="91" t="b">
        <v>0</v>
      </c>
      <c r="H487" s="91" t="b">
        <v>0</v>
      </c>
      <c r="I487" s="91" t="b">
        <v>0</v>
      </c>
      <c r="J487" s="91" t="b">
        <v>0</v>
      </c>
      <c r="K487" s="91" t="b">
        <v>0</v>
      </c>
      <c r="L487" s="91" t="b">
        <v>0</v>
      </c>
    </row>
    <row r="488" spans="1:12" ht="15">
      <c r="A488" s="92" t="s">
        <v>2581</v>
      </c>
      <c r="B488" s="91" t="s">
        <v>2589</v>
      </c>
      <c r="C488" s="91">
        <v>6</v>
      </c>
      <c r="D488" s="114">
        <v>0.0009313448346377029</v>
      </c>
      <c r="E488" s="114">
        <v>0.8712320301743006</v>
      </c>
      <c r="F488" s="91" t="s">
        <v>3159</v>
      </c>
      <c r="G488" s="91" t="b">
        <v>0</v>
      </c>
      <c r="H488" s="91" t="b">
        <v>0</v>
      </c>
      <c r="I488" s="91" t="b">
        <v>0</v>
      </c>
      <c r="J488" s="91" t="b">
        <v>0</v>
      </c>
      <c r="K488" s="91" t="b">
        <v>0</v>
      </c>
      <c r="L488" s="91" t="b">
        <v>0</v>
      </c>
    </row>
    <row r="489" spans="1:12" ht="15">
      <c r="A489" s="92" t="s">
        <v>2589</v>
      </c>
      <c r="B489" s="91" t="s">
        <v>2897</v>
      </c>
      <c r="C489" s="91">
        <v>6</v>
      </c>
      <c r="D489" s="114">
        <v>0.0009313448346377029</v>
      </c>
      <c r="E489" s="114">
        <v>2.1197032599110712</v>
      </c>
      <c r="F489" s="91" t="s">
        <v>3159</v>
      </c>
      <c r="G489" s="91" t="b">
        <v>0</v>
      </c>
      <c r="H489" s="91" t="b">
        <v>0</v>
      </c>
      <c r="I489" s="91" t="b">
        <v>0</v>
      </c>
      <c r="J489" s="91" t="b">
        <v>0</v>
      </c>
      <c r="K489" s="91" t="b">
        <v>0</v>
      </c>
      <c r="L489" s="91" t="b">
        <v>0</v>
      </c>
    </row>
    <row r="490" spans="1:12" ht="15">
      <c r="A490" s="92" t="s">
        <v>2897</v>
      </c>
      <c r="B490" s="91" t="s">
        <v>2655</v>
      </c>
      <c r="C490" s="91">
        <v>6</v>
      </c>
      <c r="D490" s="114">
        <v>0.0009313448346377029</v>
      </c>
      <c r="E490" s="114">
        <v>2.6442491645588717</v>
      </c>
      <c r="F490" s="91" t="s">
        <v>3159</v>
      </c>
      <c r="G490" s="91" t="b">
        <v>0</v>
      </c>
      <c r="H490" s="91" t="b">
        <v>0</v>
      </c>
      <c r="I490" s="91" t="b">
        <v>0</v>
      </c>
      <c r="J490" s="91" t="b">
        <v>0</v>
      </c>
      <c r="K490" s="91" t="b">
        <v>0</v>
      </c>
      <c r="L490" s="91" t="b">
        <v>0</v>
      </c>
    </row>
    <row r="491" spans="1:12" ht="15">
      <c r="A491" s="92" t="s">
        <v>2580</v>
      </c>
      <c r="B491" s="91" t="s">
        <v>2898</v>
      </c>
      <c r="C491" s="91">
        <v>6</v>
      </c>
      <c r="D491" s="114">
        <v>0.0009313448346377029</v>
      </c>
      <c r="E491" s="114">
        <v>1.9486328022304407</v>
      </c>
      <c r="F491" s="91" t="s">
        <v>3159</v>
      </c>
      <c r="G491" s="91" t="b">
        <v>0</v>
      </c>
      <c r="H491" s="91" t="b">
        <v>0</v>
      </c>
      <c r="I491" s="91" t="b">
        <v>0</v>
      </c>
      <c r="J491" s="91" t="b">
        <v>0</v>
      </c>
      <c r="K491" s="91" t="b">
        <v>0</v>
      </c>
      <c r="L491" s="91" t="b">
        <v>0</v>
      </c>
    </row>
    <row r="492" spans="1:12" ht="15">
      <c r="A492" s="92" t="s">
        <v>2898</v>
      </c>
      <c r="B492" s="91" t="s">
        <v>2664</v>
      </c>
      <c r="C492" s="91">
        <v>6</v>
      </c>
      <c r="D492" s="114">
        <v>0.0009313448346377029</v>
      </c>
      <c r="E492" s="114">
        <v>2.661282503857652</v>
      </c>
      <c r="F492" s="91" t="s">
        <v>3159</v>
      </c>
      <c r="G492" s="91" t="b">
        <v>0</v>
      </c>
      <c r="H492" s="91" t="b">
        <v>0</v>
      </c>
      <c r="I492" s="91" t="b">
        <v>0</v>
      </c>
      <c r="J492" s="91" t="b">
        <v>0</v>
      </c>
      <c r="K492" s="91" t="b">
        <v>0</v>
      </c>
      <c r="L492" s="91" t="b">
        <v>0</v>
      </c>
    </row>
    <row r="493" spans="1:12" ht="15">
      <c r="A493" s="92" t="s">
        <v>2664</v>
      </c>
      <c r="B493" s="91" t="s">
        <v>2899</v>
      </c>
      <c r="C493" s="91">
        <v>6</v>
      </c>
      <c r="D493" s="114">
        <v>0.0009313448346377029</v>
      </c>
      <c r="E493" s="114">
        <v>2.661282503857652</v>
      </c>
      <c r="F493" s="91" t="s">
        <v>3159</v>
      </c>
      <c r="G493" s="91" t="b">
        <v>0</v>
      </c>
      <c r="H493" s="91" t="b">
        <v>0</v>
      </c>
      <c r="I493" s="91" t="b">
        <v>0</v>
      </c>
      <c r="J493" s="91" t="b">
        <v>0</v>
      </c>
      <c r="K493" s="91" t="b">
        <v>0</v>
      </c>
      <c r="L493" s="91" t="b">
        <v>0</v>
      </c>
    </row>
    <row r="494" spans="1:12" ht="15">
      <c r="A494" s="92" t="s">
        <v>2899</v>
      </c>
      <c r="B494" s="91" t="s">
        <v>2900</v>
      </c>
      <c r="C494" s="91">
        <v>6</v>
      </c>
      <c r="D494" s="114">
        <v>0.0009313448346377029</v>
      </c>
      <c r="E494" s="114">
        <v>3.281071262146046</v>
      </c>
      <c r="F494" s="91" t="s">
        <v>3159</v>
      </c>
      <c r="G494" s="91" t="b">
        <v>0</v>
      </c>
      <c r="H494" s="91" t="b">
        <v>0</v>
      </c>
      <c r="I494" s="91" t="b">
        <v>0</v>
      </c>
      <c r="J494" s="91" t="b">
        <v>0</v>
      </c>
      <c r="K494" s="91" t="b">
        <v>0</v>
      </c>
      <c r="L494" s="91" t="b">
        <v>0</v>
      </c>
    </row>
    <row r="495" spans="1:12" ht="15">
      <c r="A495" s="92" t="s">
        <v>2900</v>
      </c>
      <c r="B495" s="91" t="s">
        <v>2901</v>
      </c>
      <c r="C495" s="91">
        <v>6</v>
      </c>
      <c r="D495" s="114">
        <v>0.0009313448346377029</v>
      </c>
      <c r="E495" s="114">
        <v>3.281071262146046</v>
      </c>
      <c r="F495" s="91" t="s">
        <v>3159</v>
      </c>
      <c r="G495" s="91" t="b">
        <v>0</v>
      </c>
      <c r="H495" s="91" t="b">
        <v>0</v>
      </c>
      <c r="I495" s="91" t="b">
        <v>0</v>
      </c>
      <c r="J495" s="91" t="b">
        <v>0</v>
      </c>
      <c r="K495" s="91" t="b">
        <v>0</v>
      </c>
      <c r="L495" s="91" t="b">
        <v>0</v>
      </c>
    </row>
    <row r="496" spans="1:12" ht="15">
      <c r="A496" s="92" t="s">
        <v>2901</v>
      </c>
      <c r="B496" s="91" t="s">
        <v>2587</v>
      </c>
      <c r="C496" s="91">
        <v>6</v>
      </c>
      <c r="D496" s="114">
        <v>0.0009313448346377029</v>
      </c>
      <c r="E496" s="114">
        <v>2.100181120208596</v>
      </c>
      <c r="F496" s="91" t="s">
        <v>3159</v>
      </c>
      <c r="G496" s="91" t="b">
        <v>0</v>
      </c>
      <c r="H496" s="91" t="b">
        <v>0</v>
      </c>
      <c r="I496" s="91" t="b">
        <v>0</v>
      </c>
      <c r="J496" s="91" t="b">
        <v>0</v>
      </c>
      <c r="K496" s="91" t="b">
        <v>0</v>
      </c>
      <c r="L496" s="91" t="b">
        <v>0</v>
      </c>
    </row>
    <row r="497" spans="1:12" ht="15">
      <c r="A497" s="92" t="s">
        <v>2587</v>
      </c>
      <c r="B497" s="91" t="s">
        <v>2587</v>
      </c>
      <c r="C497" s="91">
        <v>6</v>
      </c>
      <c r="D497" s="114">
        <v>0.0009313448346377029</v>
      </c>
      <c r="E497" s="114">
        <v>0.933849698442071</v>
      </c>
      <c r="F497" s="91" t="s">
        <v>3159</v>
      </c>
      <c r="G497" s="91" t="b">
        <v>0</v>
      </c>
      <c r="H497" s="91" t="b">
        <v>0</v>
      </c>
      <c r="I497" s="91" t="b">
        <v>0</v>
      </c>
      <c r="J497" s="91" t="b">
        <v>0</v>
      </c>
      <c r="K497" s="91" t="b">
        <v>0</v>
      </c>
      <c r="L497" s="91" t="b">
        <v>0</v>
      </c>
    </row>
    <row r="498" spans="1:12" ht="15">
      <c r="A498" s="92" t="s">
        <v>2587</v>
      </c>
      <c r="B498" s="91" t="s">
        <v>2717</v>
      </c>
      <c r="C498" s="91">
        <v>6</v>
      </c>
      <c r="D498" s="114">
        <v>0.0009313448346377029</v>
      </c>
      <c r="E498" s="114">
        <v>1.6141374898103356</v>
      </c>
      <c r="F498" s="91" t="s">
        <v>3159</v>
      </c>
      <c r="G498" s="91" t="b">
        <v>0</v>
      </c>
      <c r="H498" s="91" t="b">
        <v>0</v>
      </c>
      <c r="I498" s="91" t="b">
        <v>0</v>
      </c>
      <c r="J498" s="91" t="b">
        <v>0</v>
      </c>
      <c r="K498" s="91" t="b">
        <v>0</v>
      </c>
      <c r="L498" s="91" t="b">
        <v>0</v>
      </c>
    </row>
    <row r="499" spans="1:12" ht="15">
      <c r="A499" s="92" t="s">
        <v>2717</v>
      </c>
      <c r="B499" s="91" t="s">
        <v>2570</v>
      </c>
      <c r="C499" s="91">
        <v>6</v>
      </c>
      <c r="D499" s="114">
        <v>0.0009313448346377029</v>
      </c>
      <c r="E499" s="114">
        <v>1.24686630090475</v>
      </c>
      <c r="F499" s="91" t="s">
        <v>3159</v>
      </c>
      <c r="G499" s="91" t="b">
        <v>0</v>
      </c>
      <c r="H499" s="91" t="b">
        <v>0</v>
      </c>
      <c r="I499" s="91" t="b">
        <v>0</v>
      </c>
      <c r="J499" s="91" t="b">
        <v>0</v>
      </c>
      <c r="K499" s="91" t="b">
        <v>0</v>
      </c>
      <c r="L499" s="91" t="b">
        <v>0</v>
      </c>
    </row>
    <row r="500" spans="1:12" ht="15">
      <c r="A500" s="92" t="s">
        <v>2570</v>
      </c>
      <c r="B500" s="91" t="s">
        <v>2566</v>
      </c>
      <c r="C500" s="91">
        <v>6</v>
      </c>
      <c r="D500" s="114">
        <v>0.0009313448346377029</v>
      </c>
      <c r="E500" s="114">
        <v>0.17461593123175914</v>
      </c>
      <c r="F500" s="91" t="s">
        <v>3159</v>
      </c>
      <c r="G500" s="91" t="b">
        <v>0</v>
      </c>
      <c r="H500" s="91" t="b">
        <v>0</v>
      </c>
      <c r="I500" s="91" t="b">
        <v>0</v>
      </c>
      <c r="J500" s="91" t="b">
        <v>0</v>
      </c>
      <c r="K500" s="91" t="b">
        <v>0</v>
      </c>
      <c r="L500" s="91" t="b">
        <v>0</v>
      </c>
    </row>
    <row r="501" spans="1:12" ht="15">
      <c r="A501" s="92" t="s">
        <v>2566</v>
      </c>
      <c r="B501" s="91" t="s">
        <v>2564</v>
      </c>
      <c r="C501" s="91">
        <v>6</v>
      </c>
      <c r="D501" s="114">
        <v>0.0009313448346377029</v>
      </c>
      <c r="E501" s="114">
        <v>-0.10912271535065464</v>
      </c>
      <c r="F501" s="91" t="s">
        <v>3159</v>
      </c>
      <c r="G501" s="91" t="b">
        <v>0</v>
      </c>
      <c r="H501" s="91" t="b">
        <v>0</v>
      </c>
      <c r="I501" s="91" t="b">
        <v>0</v>
      </c>
      <c r="J501" s="91" t="b">
        <v>0</v>
      </c>
      <c r="K501" s="91" t="b">
        <v>0</v>
      </c>
      <c r="L501" s="91" t="b">
        <v>0</v>
      </c>
    </row>
    <row r="502" spans="1:12" ht="15">
      <c r="A502" s="92" t="s">
        <v>2573</v>
      </c>
      <c r="B502" s="91" t="s">
        <v>2613</v>
      </c>
      <c r="C502" s="91">
        <v>6</v>
      </c>
      <c r="D502" s="114">
        <v>0.0009313448346377029</v>
      </c>
      <c r="E502" s="114">
        <v>0.8795271292051831</v>
      </c>
      <c r="F502" s="91" t="s">
        <v>3159</v>
      </c>
      <c r="G502" s="91" t="b">
        <v>0</v>
      </c>
      <c r="H502" s="91" t="b">
        <v>0</v>
      </c>
      <c r="I502" s="91" t="b">
        <v>0</v>
      </c>
      <c r="J502" s="91" t="b">
        <v>0</v>
      </c>
      <c r="K502" s="91" t="b">
        <v>0</v>
      </c>
      <c r="L502" s="91" t="b">
        <v>0</v>
      </c>
    </row>
    <row r="503" spans="1:12" ht="15">
      <c r="A503" s="92" t="s">
        <v>2613</v>
      </c>
      <c r="B503" s="91" t="s">
        <v>2902</v>
      </c>
      <c r="C503" s="91">
        <v>6</v>
      </c>
      <c r="D503" s="114">
        <v>0.0009313448346377029</v>
      </c>
      <c r="E503" s="114">
        <v>2.318859823035446</v>
      </c>
      <c r="F503" s="91" t="s">
        <v>3159</v>
      </c>
      <c r="G503" s="91" t="b">
        <v>0</v>
      </c>
      <c r="H503" s="91" t="b">
        <v>0</v>
      </c>
      <c r="I503" s="91" t="b">
        <v>0</v>
      </c>
      <c r="J503" s="91" t="b">
        <v>0</v>
      </c>
      <c r="K503" s="91" t="b">
        <v>0</v>
      </c>
      <c r="L503" s="91" t="b">
        <v>0</v>
      </c>
    </row>
    <row r="504" spans="1:12" ht="15">
      <c r="A504" s="92" t="s">
        <v>2568</v>
      </c>
      <c r="B504" s="91" t="s">
        <v>2768</v>
      </c>
      <c r="C504" s="91">
        <v>6</v>
      </c>
      <c r="D504" s="114">
        <v>0.0009313448346377029</v>
      </c>
      <c r="E504" s="114">
        <v>1.4696452168263567</v>
      </c>
      <c r="F504" s="91" t="s">
        <v>3159</v>
      </c>
      <c r="G504" s="91" t="b">
        <v>0</v>
      </c>
      <c r="H504" s="91" t="b">
        <v>0</v>
      </c>
      <c r="I504" s="91" t="b">
        <v>0</v>
      </c>
      <c r="J504" s="91" t="b">
        <v>0</v>
      </c>
      <c r="K504" s="91" t="b">
        <v>0</v>
      </c>
      <c r="L504" s="91" t="b">
        <v>0</v>
      </c>
    </row>
    <row r="505" spans="1:12" ht="15">
      <c r="A505" s="92" t="s">
        <v>2904</v>
      </c>
      <c r="B505" s="91" t="s">
        <v>2799</v>
      </c>
      <c r="C505" s="91">
        <v>6</v>
      </c>
      <c r="D505" s="114">
        <v>0.0009313448346377029</v>
      </c>
      <c r="E505" s="114">
        <v>3.1049800030903647</v>
      </c>
      <c r="F505" s="91" t="s">
        <v>3159</v>
      </c>
      <c r="G505" s="91" t="b">
        <v>0</v>
      </c>
      <c r="H505" s="91" t="b">
        <v>0</v>
      </c>
      <c r="I505" s="91" t="b">
        <v>0</v>
      </c>
      <c r="J505" s="91" t="b">
        <v>0</v>
      </c>
      <c r="K505" s="91" t="b">
        <v>0</v>
      </c>
      <c r="L505" s="91" t="b">
        <v>0</v>
      </c>
    </row>
    <row r="506" spans="1:12" ht="15">
      <c r="A506" s="92" t="s">
        <v>2799</v>
      </c>
      <c r="B506" s="91" t="s">
        <v>2873</v>
      </c>
      <c r="C506" s="91">
        <v>6</v>
      </c>
      <c r="D506" s="114">
        <v>0.0009313448346377029</v>
      </c>
      <c r="E506" s="114">
        <v>3.0380332134597516</v>
      </c>
      <c r="F506" s="91" t="s">
        <v>3159</v>
      </c>
      <c r="G506" s="91" t="b">
        <v>0</v>
      </c>
      <c r="H506" s="91" t="b">
        <v>0</v>
      </c>
      <c r="I506" s="91" t="b">
        <v>0</v>
      </c>
      <c r="J506" s="91" t="b">
        <v>0</v>
      </c>
      <c r="K506" s="91" t="b">
        <v>0</v>
      </c>
      <c r="L506" s="91" t="b">
        <v>0</v>
      </c>
    </row>
    <row r="507" spans="1:12" ht="15">
      <c r="A507" s="92" t="s">
        <v>2873</v>
      </c>
      <c r="B507" s="91" t="s">
        <v>2905</v>
      </c>
      <c r="C507" s="91">
        <v>6</v>
      </c>
      <c r="D507" s="114">
        <v>0.0009313448346377029</v>
      </c>
      <c r="E507" s="114">
        <v>3.214124472515433</v>
      </c>
      <c r="F507" s="91" t="s">
        <v>3159</v>
      </c>
      <c r="G507" s="91" t="b">
        <v>0</v>
      </c>
      <c r="H507" s="91" t="b">
        <v>0</v>
      </c>
      <c r="I507" s="91" t="b">
        <v>0</v>
      </c>
      <c r="J507" s="91" t="b">
        <v>0</v>
      </c>
      <c r="K507" s="91" t="b">
        <v>0</v>
      </c>
      <c r="L507" s="91" t="b">
        <v>0</v>
      </c>
    </row>
    <row r="508" spans="1:12" ht="15">
      <c r="A508" s="92" t="s">
        <v>2905</v>
      </c>
      <c r="B508" s="91" t="s">
        <v>2796</v>
      </c>
      <c r="C508" s="91">
        <v>6</v>
      </c>
      <c r="D508" s="114">
        <v>0.0009313448346377029</v>
      </c>
      <c r="E508" s="114">
        <v>3.1049800030903647</v>
      </c>
      <c r="F508" s="91" t="s">
        <v>3159</v>
      </c>
      <c r="G508" s="91" t="b">
        <v>0</v>
      </c>
      <c r="H508" s="91" t="b">
        <v>0</v>
      </c>
      <c r="I508" s="91" t="b">
        <v>0</v>
      </c>
      <c r="J508" s="91" t="b">
        <v>0</v>
      </c>
      <c r="K508" s="91" t="b">
        <v>0</v>
      </c>
      <c r="L508" s="91" t="b">
        <v>0</v>
      </c>
    </row>
    <row r="509" spans="1:12" ht="15">
      <c r="A509" s="92" t="s">
        <v>2796</v>
      </c>
      <c r="B509" s="91" t="s">
        <v>2569</v>
      </c>
      <c r="C509" s="91">
        <v>6</v>
      </c>
      <c r="D509" s="114">
        <v>0.0009313448346377029</v>
      </c>
      <c r="E509" s="114">
        <v>1.5842781770643017</v>
      </c>
      <c r="F509" s="91" t="s">
        <v>3159</v>
      </c>
      <c r="G509" s="91" t="b">
        <v>0</v>
      </c>
      <c r="H509" s="91" t="b">
        <v>0</v>
      </c>
      <c r="I509" s="91" t="b">
        <v>0</v>
      </c>
      <c r="J509" s="91" t="b">
        <v>0</v>
      </c>
      <c r="K509" s="91" t="b">
        <v>0</v>
      </c>
      <c r="L509" s="91" t="b">
        <v>0</v>
      </c>
    </row>
    <row r="510" spans="1:12" ht="15">
      <c r="A510" s="92" t="s">
        <v>2572</v>
      </c>
      <c r="B510" s="91" t="s">
        <v>2746</v>
      </c>
      <c r="C510" s="91">
        <v>6</v>
      </c>
      <c r="D510" s="114">
        <v>0.0009313448346377029</v>
      </c>
      <c r="E510" s="114">
        <v>1.4828811623238967</v>
      </c>
      <c r="F510" s="91" t="s">
        <v>3159</v>
      </c>
      <c r="G510" s="91" t="b">
        <v>0</v>
      </c>
      <c r="H510" s="91" t="b">
        <v>0</v>
      </c>
      <c r="I510" s="91" t="b">
        <v>0</v>
      </c>
      <c r="J510" s="91" t="b">
        <v>0</v>
      </c>
      <c r="K510" s="91" t="b">
        <v>0</v>
      </c>
      <c r="L510" s="91" t="b">
        <v>0</v>
      </c>
    </row>
    <row r="511" spans="1:12" ht="15">
      <c r="A511" s="92" t="s">
        <v>2746</v>
      </c>
      <c r="B511" s="91" t="s">
        <v>2744</v>
      </c>
      <c r="C511" s="91">
        <v>6</v>
      </c>
      <c r="D511" s="114">
        <v>0.0009313448346377029</v>
      </c>
      <c r="E511" s="114">
        <v>2.60948705829966</v>
      </c>
      <c r="F511" s="91" t="s">
        <v>3159</v>
      </c>
      <c r="G511" s="91" t="b">
        <v>0</v>
      </c>
      <c r="H511" s="91" t="b">
        <v>0</v>
      </c>
      <c r="I511" s="91" t="b">
        <v>0</v>
      </c>
      <c r="J511" s="91" t="b">
        <v>0</v>
      </c>
      <c r="K511" s="91" t="b">
        <v>0</v>
      </c>
      <c r="L511" s="91" t="b">
        <v>0</v>
      </c>
    </row>
    <row r="512" spans="1:12" ht="15">
      <c r="A512" s="92" t="s">
        <v>2744</v>
      </c>
      <c r="B512" s="91" t="s">
        <v>2800</v>
      </c>
      <c r="C512" s="91">
        <v>6</v>
      </c>
      <c r="D512" s="114">
        <v>0.0009313448346377029</v>
      </c>
      <c r="E512" s="114">
        <v>2.7691879011671716</v>
      </c>
      <c r="F512" s="91" t="s">
        <v>3159</v>
      </c>
      <c r="G512" s="91" t="b">
        <v>0</v>
      </c>
      <c r="H512" s="91" t="b">
        <v>0</v>
      </c>
      <c r="I512" s="91" t="b">
        <v>0</v>
      </c>
      <c r="J512" s="91" t="b">
        <v>0</v>
      </c>
      <c r="K512" s="91" t="b">
        <v>0</v>
      </c>
      <c r="L512" s="91" t="b">
        <v>0</v>
      </c>
    </row>
    <row r="513" spans="1:12" ht="15">
      <c r="A513" s="92" t="s">
        <v>2800</v>
      </c>
      <c r="B513" s="91" t="s">
        <v>2745</v>
      </c>
      <c r="C513" s="91">
        <v>6</v>
      </c>
      <c r="D513" s="114">
        <v>0.0009313448346377029</v>
      </c>
      <c r="E513" s="114">
        <v>2.7691879011671716</v>
      </c>
      <c r="F513" s="91" t="s">
        <v>3159</v>
      </c>
      <c r="G513" s="91" t="b">
        <v>0</v>
      </c>
      <c r="H513" s="91" t="b">
        <v>0</v>
      </c>
      <c r="I513" s="91" t="b">
        <v>0</v>
      </c>
      <c r="J513" s="91" t="b">
        <v>0</v>
      </c>
      <c r="K513" s="91" t="b">
        <v>0</v>
      </c>
      <c r="L513" s="91" t="b">
        <v>0</v>
      </c>
    </row>
    <row r="514" spans="1:12" ht="15">
      <c r="A514" s="92" t="s">
        <v>2745</v>
      </c>
      <c r="B514" s="91" t="s">
        <v>2906</v>
      </c>
      <c r="C514" s="91">
        <v>6</v>
      </c>
      <c r="D514" s="114">
        <v>0.0009313448346377029</v>
      </c>
      <c r="E514" s="114">
        <v>2.945279160222853</v>
      </c>
      <c r="F514" s="91" t="s">
        <v>3159</v>
      </c>
      <c r="G514" s="91" t="b">
        <v>0</v>
      </c>
      <c r="H514" s="91" t="b">
        <v>0</v>
      </c>
      <c r="I514" s="91" t="b">
        <v>0</v>
      </c>
      <c r="J514" s="91" t="b">
        <v>0</v>
      </c>
      <c r="K514" s="91" t="b">
        <v>0</v>
      </c>
      <c r="L514" s="91" t="b">
        <v>0</v>
      </c>
    </row>
    <row r="515" spans="1:12" ht="15">
      <c r="A515" s="92" t="s">
        <v>2906</v>
      </c>
      <c r="B515" s="91" t="s">
        <v>2613</v>
      </c>
      <c r="C515" s="91">
        <v>6</v>
      </c>
      <c r="D515" s="114">
        <v>0.0009313448346377029</v>
      </c>
      <c r="E515" s="114">
        <v>2.318859823035446</v>
      </c>
      <c r="F515" s="91" t="s">
        <v>3159</v>
      </c>
      <c r="G515" s="91" t="b">
        <v>0</v>
      </c>
      <c r="H515" s="91" t="b">
        <v>0</v>
      </c>
      <c r="I515" s="91" t="b">
        <v>0</v>
      </c>
      <c r="J515" s="91" t="b">
        <v>0</v>
      </c>
      <c r="K515" s="91" t="b">
        <v>0</v>
      </c>
      <c r="L515" s="91" t="b">
        <v>0</v>
      </c>
    </row>
    <row r="516" spans="1:12" ht="15">
      <c r="A516" s="92" t="s">
        <v>2613</v>
      </c>
      <c r="B516" s="91" t="s">
        <v>2571</v>
      </c>
      <c r="C516" s="91">
        <v>6</v>
      </c>
      <c r="D516" s="114">
        <v>0.0009313448346377029</v>
      </c>
      <c r="E516" s="114">
        <v>0.7895150355058764</v>
      </c>
      <c r="F516" s="91" t="s">
        <v>3159</v>
      </c>
      <c r="G516" s="91" t="b">
        <v>0</v>
      </c>
      <c r="H516" s="91" t="b">
        <v>0</v>
      </c>
      <c r="I516" s="91" t="b">
        <v>0</v>
      </c>
      <c r="J516" s="91" t="b">
        <v>0</v>
      </c>
      <c r="K516" s="91" t="b">
        <v>0</v>
      </c>
      <c r="L516" s="91" t="b">
        <v>0</v>
      </c>
    </row>
    <row r="517" spans="1:12" ht="15">
      <c r="A517" s="92" t="s">
        <v>2571</v>
      </c>
      <c r="B517" s="91" t="s">
        <v>2717</v>
      </c>
      <c r="C517" s="91">
        <v>6</v>
      </c>
      <c r="D517" s="114">
        <v>0.0009313448346377029</v>
      </c>
      <c r="E517" s="114">
        <v>1.2532687925138806</v>
      </c>
      <c r="F517" s="91" t="s">
        <v>3159</v>
      </c>
      <c r="G517" s="91" t="b">
        <v>0</v>
      </c>
      <c r="H517" s="91" t="b">
        <v>0</v>
      </c>
      <c r="I517" s="91" t="b">
        <v>0</v>
      </c>
      <c r="J517" s="91" t="b">
        <v>0</v>
      </c>
      <c r="K517" s="91" t="b">
        <v>0</v>
      </c>
      <c r="L517" s="91" t="b">
        <v>0</v>
      </c>
    </row>
    <row r="518" spans="1:12" ht="15">
      <c r="A518" s="92" t="s">
        <v>2564</v>
      </c>
      <c r="B518" s="91" t="s">
        <v>2747</v>
      </c>
      <c r="C518" s="91">
        <v>6</v>
      </c>
      <c r="D518" s="114">
        <v>0.0009313448346377029</v>
      </c>
      <c r="E518" s="114">
        <v>1.1279341887809224</v>
      </c>
      <c r="F518" s="91" t="s">
        <v>3159</v>
      </c>
      <c r="G518" s="91" t="b">
        <v>0</v>
      </c>
      <c r="H518" s="91" t="b">
        <v>0</v>
      </c>
      <c r="I518" s="91" t="b">
        <v>0</v>
      </c>
      <c r="J518" s="91" t="b">
        <v>0</v>
      </c>
      <c r="K518" s="91" t="b">
        <v>0</v>
      </c>
      <c r="L518" s="91" t="b">
        <v>0</v>
      </c>
    </row>
    <row r="519" spans="1:12" ht="15">
      <c r="A519" s="92" t="s">
        <v>2747</v>
      </c>
      <c r="B519" s="91" t="s">
        <v>2575</v>
      </c>
      <c r="C519" s="91">
        <v>6</v>
      </c>
      <c r="D519" s="114">
        <v>0.0009313448346377029</v>
      </c>
      <c r="E519" s="114">
        <v>1.5473391515508153</v>
      </c>
      <c r="F519" s="91" t="s">
        <v>3159</v>
      </c>
      <c r="G519" s="91" t="b">
        <v>0</v>
      </c>
      <c r="H519" s="91" t="b">
        <v>0</v>
      </c>
      <c r="I519" s="91" t="b">
        <v>0</v>
      </c>
      <c r="J519" s="91" t="b">
        <v>0</v>
      </c>
      <c r="K519" s="91" t="b">
        <v>0</v>
      </c>
      <c r="L519" s="91" t="b">
        <v>0</v>
      </c>
    </row>
    <row r="520" spans="1:12" ht="15">
      <c r="A520" s="92" t="s">
        <v>2575</v>
      </c>
      <c r="B520" s="91" t="s">
        <v>2585</v>
      </c>
      <c r="C520" s="91">
        <v>6</v>
      </c>
      <c r="D520" s="114">
        <v>0.0009313448346377029</v>
      </c>
      <c r="E520" s="114">
        <v>0.6745107695914071</v>
      </c>
      <c r="F520" s="91" t="s">
        <v>3159</v>
      </c>
      <c r="G520" s="91" t="b">
        <v>0</v>
      </c>
      <c r="H520" s="91" t="b">
        <v>0</v>
      </c>
      <c r="I520" s="91" t="b">
        <v>0</v>
      </c>
      <c r="J520" s="91" t="b">
        <v>0</v>
      </c>
      <c r="K520" s="91" t="b">
        <v>0</v>
      </c>
      <c r="L520" s="91" t="b">
        <v>0</v>
      </c>
    </row>
    <row r="521" spans="1:12" ht="15">
      <c r="A521" s="92" t="s">
        <v>2585</v>
      </c>
      <c r="B521" s="91" t="s">
        <v>2907</v>
      </c>
      <c r="C521" s="91">
        <v>6</v>
      </c>
      <c r="D521" s="114">
        <v>0.0009313448346377029</v>
      </c>
      <c r="E521" s="114">
        <v>2.0724507782634447</v>
      </c>
      <c r="F521" s="91" t="s">
        <v>3159</v>
      </c>
      <c r="G521" s="91" t="b">
        <v>0</v>
      </c>
      <c r="H521" s="91" t="b">
        <v>0</v>
      </c>
      <c r="I521" s="91" t="b">
        <v>0</v>
      </c>
      <c r="J521" s="91" t="b">
        <v>0</v>
      </c>
      <c r="K521" s="91" t="b">
        <v>0</v>
      </c>
      <c r="L521" s="91" t="b">
        <v>0</v>
      </c>
    </row>
    <row r="522" spans="1:12" ht="15">
      <c r="A522" s="92" t="s">
        <v>2907</v>
      </c>
      <c r="B522" s="91" t="s">
        <v>2612</v>
      </c>
      <c r="C522" s="91">
        <v>6</v>
      </c>
      <c r="D522" s="114">
        <v>0.0009313448346377029</v>
      </c>
      <c r="E522" s="114">
        <v>2.303347656857198</v>
      </c>
      <c r="F522" s="91" t="s">
        <v>3159</v>
      </c>
      <c r="G522" s="91" t="b">
        <v>0</v>
      </c>
      <c r="H522" s="91" t="b">
        <v>0</v>
      </c>
      <c r="I522" s="91" t="b">
        <v>0</v>
      </c>
      <c r="J522" s="91" t="b">
        <v>0</v>
      </c>
      <c r="K522" s="91" t="b">
        <v>0</v>
      </c>
      <c r="L522" s="91" t="b">
        <v>0</v>
      </c>
    </row>
    <row r="523" spans="1:12" ht="15">
      <c r="A523" s="92" t="s">
        <v>2612</v>
      </c>
      <c r="B523" s="91" t="s">
        <v>2731</v>
      </c>
      <c r="C523" s="91">
        <v>6</v>
      </c>
      <c r="D523" s="114">
        <v>0.0009313448346377029</v>
      </c>
      <c r="E523" s="114">
        <v>1.9256836041594723</v>
      </c>
      <c r="F523" s="91" t="s">
        <v>3159</v>
      </c>
      <c r="G523" s="91" t="b">
        <v>0</v>
      </c>
      <c r="H523" s="91" t="b">
        <v>0</v>
      </c>
      <c r="I523" s="91" t="b">
        <v>0</v>
      </c>
      <c r="J523" s="91" t="b">
        <v>0</v>
      </c>
      <c r="K523" s="91" t="b">
        <v>0</v>
      </c>
      <c r="L523" s="91" t="b">
        <v>0</v>
      </c>
    </row>
    <row r="524" spans="1:12" ht="15">
      <c r="A524" s="92" t="s">
        <v>2731</v>
      </c>
      <c r="B524" s="91" t="s">
        <v>2830</v>
      </c>
      <c r="C524" s="91">
        <v>6</v>
      </c>
      <c r="D524" s="114">
        <v>0.0009313448346377029</v>
      </c>
      <c r="E524" s="114">
        <v>2.730163793265465</v>
      </c>
      <c r="F524" s="91" t="s">
        <v>3159</v>
      </c>
      <c r="G524" s="91" t="b">
        <v>0</v>
      </c>
      <c r="H524" s="91" t="b">
        <v>0</v>
      </c>
      <c r="I524" s="91" t="b">
        <v>0</v>
      </c>
      <c r="J524" s="91" t="b">
        <v>0</v>
      </c>
      <c r="K524" s="91" t="b">
        <v>0</v>
      </c>
      <c r="L524" s="91" t="b">
        <v>0</v>
      </c>
    </row>
    <row r="525" spans="1:12" ht="15">
      <c r="A525" s="92" t="s">
        <v>2830</v>
      </c>
      <c r="B525" s="91" t="s">
        <v>2908</v>
      </c>
      <c r="C525" s="91">
        <v>6</v>
      </c>
      <c r="D525" s="114">
        <v>0.0009313448346377029</v>
      </c>
      <c r="E525" s="114">
        <v>3.281071262146046</v>
      </c>
      <c r="F525" s="91" t="s">
        <v>3159</v>
      </c>
      <c r="G525" s="91" t="b">
        <v>0</v>
      </c>
      <c r="H525" s="91" t="b">
        <v>0</v>
      </c>
      <c r="I525" s="91" t="b">
        <v>0</v>
      </c>
      <c r="J525" s="91" t="b">
        <v>0</v>
      </c>
      <c r="K525" s="91" t="b">
        <v>0</v>
      </c>
      <c r="L525" s="91" t="b">
        <v>0</v>
      </c>
    </row>
    <row r="526" spans="1:12" ht="15">
      <c r="A526" s="92" t="s">
        <v>2908</v>
      </c>
      <c r="B526" s="91" t="s">
        <v>2909</v>
      </c>
      <c r="C526" s="91">
        <v>6</v>
      </c>
      <c r="D526" s="114">
        <v>0.0009313448346377029</v>
      </c>
      <c r="E526" s="114">
        <v>3.281071262146046</v>
      </c>
      <c r="F526" s="91" t="s">
        <v>3159</v>
      </c>
      <c r="G526" s="91" t="b">
        <v>0</v>
      </c>
      <c r="H526" s="91" t="b">
        <v>0</v>
      </c>
      <c r="I526" s="91" t="b">
        <v>0</v>
      </c>
      <c r="J526" s="91" t="b">
        <v>0</v>
      </c>
      <c r="K526" s="91" t="b">
        <v>0</v>
      </c>
      <c r="L526" s="91" t="b">
        <v>0</v>
      </c>
    </row>
    <row r="527" spans="1:12" ht="15">
      <c r="A527" s="92" t="s">
        <v>2909</v>
      </c>
      <c r="B527" s="91" t="s">
        <v>2801</v>
      </c>
      <c r="C527" s="91">
        <v>6</v>
      </c>
      <c r="D527" s="114">
        <v>0.0009313448346377029</v>
      </c>
      <c r="E527" s="114">
        <v>3.1049800030903647</v>
      </c>
      <c r="F527" s="91" t="s">
        <v>3159</v>
      </c>
      <c r="G527" s="91" t="b">
        <v>0</v>
      </c>
      <c r="H527" s="91" t="b">
        <v>0</v>
      </c>
      <c r="I527" s="91" t="b">
        <v>0</v>
      </c>
      <c r="J527" s="91" t="b">
        <v>0</v>
      </c>
      <c r="K527" s="91" t="b">
        <v>0</v>
      </c>
      <c r="L527" s="91" t="b">
        <v>0</v>
      </c>
    </row>
    <row r="528" spans="1:12" ht="15">
      <c r="A528" s="92" t="s">
        <v>2801</v>
      </c>
      <c r="B528" s="91" t="s">
        <v>2802</v>
      </c>
      <c r="C528" s="91">
        <v>6</v>
      </c>
      <c r="D528" s="114">
        <v>0.0009313448346377029</v>
      </c>
      <c r="E528" s="114">
        <v>2.9288887440346834</v>
      </c>
      <c r="F528" s="91" t="s">
        <v>3159</v>
      </c>
      <c r="G528" s="91" t="b">
        <v>0</v>
      </c>
      <c r="H528" s="91" t="b">
        <v>0</v>
      </c>
      <c r="I528" s="91" t="b">
        <v>0</v>
      </c>
      <c r="J528" s="91" t="b">
        <v>0</v>
      </c>
      <c r="K528" s="91" t="b">
        <v>0</v>
      </c>
      <c r="L528" s="91" t="b">
        <v>0</v>
      </c>
    </row>
    <row r="529" spans="1:12" ht="15">
      <c r="A529" s="92" t="s">
        <v>2802</v>
      </c>
      <c r="B529" s="91" t="s">
        <v>2620</v>
      </c>
      <c r="C529" s="91">
        <v>6</v>
      </c>
      <c r="D529" s="114">
        <v>0.0009313448346377029</v>
      </c>
      <c r="E529" s="114">
        <v>2.2018900160984214</v>
      </c>
      <c r="F529" s="91" t="s">
        <v>3159</v>
      </c>
      <c r="G529" s="91" t="b">
        <v>0</v>
      </c>
      <c r="H529" s="91" t="b">
        <v>0</v>
      </c>
      <c r="I529" s="91" t="b">
        <v>0</v>
      </c>
      <c r="J529" s="91" t="b">
        <v>0</v>
      </c>
      <c r="K529" s="91" t="b">
        <v>0</v>
      </c>
      <c r="L529" s="91" t="b">
        <v>0</v>
      </c>
    </row>
    <row r="530" spans="1:12" ht="15">
      <c r="A530" s="92" t="s">
        <v>2718</v>
      </c>
      <c r="B530" s="91" t="s">
        <v>2742</v>
      </c>
      <c r="C530" s="91">
        <v>6</v>
      </c>
      <c r="D530" s="114">
        <v>0.0009313448346377029</v>
      </c>
      <c r="E530" s="114">
        <v>2.4446768096536675</v>
      </c>
      <c r="F530" s="91" t="s">
        <v>3159</v>
      </c>
      <c r="G530" s="91" t="b">
        <v>0</v>
      </c>
      <c r="H530" s="91" t="b">
        <v>0</v>
      </c>
      <c r="I530" s="91" t="b">
        <v>0</v>
      </c>
      <c r="J530" s="91" t="b">
        <v>0</v>
      </c>
      <c r="K530" s="91" t="b">
        <v>0</v>
      </c>
      <c r="L530" s="91" t="b">
        <v>0</v>
      </c>
    </row>
    <row r="531" spans="1:12" ht="15">
      <c r="A531" s="92" t="s">
        <v>2742</v>
      </c>
      <c r="B531" s="91" t="s">
        <v>2647</v>
      </c>
      <c r="C531" s="91">
        <v>6</v>
      </c>
      <c r="D531" s="114">
        <v>0.0009313448346377029</v>
      </c>
      <c r="E531" s="114">
        <v>2.2182804322865906</v>
      </c>
      <c r="F531" s="91" t="s">
        <v>3159</v>
      </c>
      <c r="G531" s="91" t="b">
        <v>0</v>
      </c>
      <c r="H531" s="91" t="b">
        <v>0</v>
      </c>
      <c r="I531" s="91" t="b">
        <v>0</v>
      </c>
      <c r="J531" s="91" t="b">
        <v>0</v>
      </c>
      <c r="K531" s="91" t="b">
        <v>0</v>
      </c>
      <c r="L531" s="91" t="b">
        <v>0</v>
      </c>
    </row>
    <row r="532" spans="1:12" ht="15">
      <c r="A532" s="92" t="s">
        <v>2647</v>
      </c>
      <c r="B532" s="91" t="s">
        <v>2910</v>
      </c>
      <c r="C532" s="91">
        <v>6</v>
      </c>
      <c r="D532" s="114">
        <v>0.0009313448346377029</v>
      </c>
      <c r="E532" s="114">
        <v>2.5540725342097836</v>
      </c>
      <c r="F532" s="91" t="s">
        <v>3159</v>
      </c>
      <c r="G532" s="91" t="b">
        <v>0</v>
      </c>
      <c r="H532" s="91" t="b">
        <v>0</v>
      </c>
      <c r="I532" s="91" t="b">
        <v>0</v>
      </c>
      <c r="J532" s="91" t="b">
        <v>0</v>
      </c>
      <c r="K532" s="91" t="b">
        <v>0</v>
      </c>
      <c r="L532" s="91" t="b">
        <v>0</v>
      </c>
    </row>
    <row r="533" spans="1:12" ht="15">
      <c r="A533" s="92" t="s">
        <v>2910</v>
      </c>
      <c r="B533" s="91" t="s">
        <v>2911</v>
      </c>
      <c r="C533" s="91">
        <v>6</v>
      </c>
      <c r="D533" s="114">
        <v>0.0009313448346377029</v>
      </c>
      <c r="E533" s="114">
        <v>3.281071262146046</v>
      </c>
      <c r="F533" s="91" t="s">
        <v>3159</v>
      </c>
      <c r="G533" s="91" t="b">
        <v>0</v>
      </c>
      <c r="H533" s="91" t="b">
        <v>0</v>
      </c>
      <c r="I533" s="91" t="b">
        <v>0</v>
      </c>
      <c r="J533" s="91" t="b">
        <v>0</v>
      </c>
      <c r="K533" s="91" t="b">
        <v>0</v>
      </c>
      <c r="L533" s="91" t="b">
        <v>0</v>
      </c>
    </row>
    <row r="534" spans="1:12" ht="15">
      <c r="A534" s="92" t="s">
        <v>2911</v>
      </c>
      <c r="B534" s="91" t="s">
        <v>2590</v>
      </c>
      <c r="C534" s="91">
        <v>6</v>
      </c>
      <c r="D534" s="114">
        <v>0.0009313448346377029</v>
      </c>
      <c r="E534" s="114">
        <v>2.156132525537746</v>
      </c>
      <c r="F534" s="91" t="s">
        <v>3159</v>
      </c>
      <c r="G534" s="91" t="b">
        <v>0</v>
      </c>
      <c r="H534" s="91" t="b">
        <v>0</v>
      </c>
      <c r="I534" s="91" t="b">
        <v>0</v>
      </c>
      <c r="J534" s="91" t="b">
        <v>0</v>
      </c>
      <c r="K534" s="91" t="b">
        <v>0</v>
      </c>
      <c r="L534" s="91" t="b">
        <v>0</v>
      </c>
    </row>
    <row r="535" spans="1:12" ht="15">
      <c r="A535" s="92" t="s">
        <v>2607</v>
      </c>
      <c r="B535" s="91" t="s">
        <v>2912</v>
      </c>
      <c r="C535" s="91">
        <v>6</v>
      </c>
      <c r="D535" s="114">
        <v>0.0009313448346377029</v>
      </c>
      <c r="E535" s="114">
        <v>2.2267135998234533</v>
      </c>
      <c r="F535" s="91" t="s">
        <v>3159</v>
      </c>
      <c r="G535" s="91" t="b">
        <v>0</v>
      </c>
      <c r="H535" s="91" t="b">
        <v>0</v>
      </c>
      <c r="I535" s="91" t="b">
        <v>0</v>
      </c>
      <c r="J535" s="91" t="b">
        <v>0</v>
      </c>
      <c r="K535" s="91" t="b">
        <v>0</v>
      </c>
      <c r="L535" s="91" t="b">
        <v>0</v>
      </c>
    </row>
    <row r="536" spans="1:12" ht="15">
      <c r="A536" s="92" t="s">
        <v>2912</v>
      </c>
      <c r="B536" s="91" t="s">
        <v>2591</v>
      </c>
      <c r="C536" s="91">
        <v>6</v>
      </c>
      <c r="D536" s="114">
        <v>0.0009313448346377029</v>
      </c>
      <c r="E536" s="114">
        <v>2.167127909839209</v>
      </c>
      <c r="F536" s="91" t="s">
        <v>3159</v>
      </c>
      <c r="G536" s="91" t="b">
        <v>0</v>
      </c>
      <c r="H536" s="91" t="b">
        <v>0</v>
      </c>
      <c r="I536" s="91" t="b">
        <v>0</v>
      </c>
      <c r="J536" s="91" t="b">
        <v>0</v>
      </c>
      <c r="K536" s="91" t="b">
        <v>0</v>
      </c>
      <c r="L536" s="91" t="b">
        <v>0</v>
      </c>
    </row>
    <row r="537" spans="1:12" ht="15">
      <c r="A537" s="92" t="s">
        <v>2591</v>
      </c>
      <c r="B537" s="91" t="s">
        <v>2629</v>
      </c>
      <c r="C537" s="91">
        <v>6</v>
      </c>
      <c r="D537" s="114">
        <v>0.0009313448346377029</v>
      </c>
      <c r="E537" s="114">
        <v>1.3018264837366655</v>
      </c>
      <c r="F537" s="91" t="s">
        <v>3159</v>
      </c>
      <c r="G537" s="91" t="b">
        <v>0</v>
      </c>
      <c r="H537" s="91" t="b">
        <v>0</v>
      </c>
      <c r="I537" s="91" t="b">
        <v>0</v>
      </c>
      <c r="J537" s="91" t="b">
        <v>0</v>
      </c>
      <c r="K537" s="91" t="b">
        <v>0</v>
      </c>
      <c r="L537" s="91" t="b">
        <v>0</v>
      </c>
    </row>
    <row r="538" spans="1:12" ht="15">
      <c r="A538" s="92" t="s">
        <v>2590</v>
      </c>
      <c r="B538" s="91" t="s">
        <v>586</v>
      </c>
      <c r="C538" s="91">
        <v>6</v>
      </c>
      <c r="D538" s="114">
        <v>0.0009313448346377029</v>
      </c>
      <c r="E538" s="114">
        <v>1.2353137715853708</v>
      </c>
      <c r="F538" s="91" t="s">
        <v>3159</v>
      </c>
      <c r="G538" s="91" t="b">
        <v>0</v>
      </c>
      <c r="H538" s="91" t="b">
        <v>0</v>
      </c>
      <c r="I538" s="91" t="b">
        <v>0</v>
      </c>
      <c r="J538" s="91" t="b">
        <v>0</v>
      </c>
      <c r="K538" s="91" t="b">
        <v>0</v>
      </c>
      <c r="L538" s="91" t="b">
        <v>0</v>
      </c>
    </row>
    <row r="539" spans="1:12" ht="15">
      <c r="A539" s="92" t="s">
        <v>586</v>
      </c>
      <c r="B539" s="91" t="s">
        <v>2571</v>
      </c>
      <c r="C539" s="91">
        <v>6</v>
      </c>
      <c r="D539" s="114">
        <v>0.0009313448346377029</v>
      </c>
      <c r="E539" s="114">
        <v>0.8396816449716067</v>
      </c>
      <c r="F539" s="91" t="s">
        <v>3159</v>
      </c>
      <c r="G539" s="91" t="b">
        <v>0</v>
      </c>
      <c r="H539" s="91" t="b">
        <v>0</v>
      </c>
      <c r="I539" s="91" t="b">
        <v>0</v>
      </c>
      <c r="J539" s="91" t="b">
        <v>0</v>
      </c>
      <c r="K539" s="91" t="b">
        <v>0</v>
      </c>
      <c r="L539" s="91" t="b">
        <v>0</v>
      </c>
    </row>
    <row r="540" spans="1:12" ht="15">
      <c r="A540" s="92" t="s">
        <v>2913</v>
      </c>
      <c r="B540" s="91" t="s">
        <v>2795</v>
      </c>
      <c r="C540" s="91">
        <v>6</v>
      </c>
      <c r="D540" s="114">
        <v>0.0009313448346377029</v>
      </c>
      <c r="E540" s="114">
        <v>3.1049800030903647</v>
      </c>
      <c r="F540" s="91" t="s">
        <v>3159</v>
      </c>
      <c r="G540" s="91" t="b">
        <v>0</v>
      </c>
      <c r="H540" s="91" t="b">
        <v>0</v>
      </c>
      <c r="I540" s="91" t="b">
        <v>0</v>
      </c>
      <c r="J540" s="91" t="b">
        <v>0</v>
      </c>
      <c r="K540" s="91" t="b">
        <v>0</v>
      </c>
      <c r="L540" s="91" t="b">
        <v>0</v>
      </c>
    </row>
    <row r="541" spans="1:12" ht="15">
      <c r="A541" s="92" t="s">
        <v>2795</v>
      </c>
      <c r="B541" s="91" t="s">
        <v>2875</v>
      </c>
      <c r="C541" s="91">
        <v>6</v>
      </c>
      <c r="D541" s="114">
        <v>0.0009313448346377029</v>
      </c>
      <c r="E541" s="114">
        <v>3.0380332134597516</v>
      </c>
      <c r="F541" s="91" t="s">
        <v>3159</v>
      </c>
      <c r="G541" s="91" t="b">
        <v>0</v>
      </c>
      <c r="H541" s="91" t="b">
        <v>0</v>
      </c>
      <c r="I541" s="91" t="b">
        <v>0</v>
      </c>
      <c r="J541" s="91" t="b">
        <v>0</v>
      </c>
      <c r="K541" s="91" t="b">
        <v>0</v>
      </c>
      <c r="L541" s="91" t="b">
        <v>0</v>
      </c>
    </row>
    <row r="542" spans="1:12" ht="15">
      <c r="A542" s="92" t="s">
        <v>2875</v>
      </c>
      <c r="B542" s="91" t="s">
        <v>2578</v>
      </c>
      <c r="C542" s="91">
        <v>6</v>
      </c>
      <c r="D542" s="114">
        <v>0.0009313448346377029</v>
      </c>
      <c r="E542" s="114">
        <v>1.885065753251208</v>
      </c>
      <c r="F542" s="91" t="s">
        <v>3159</v>
      </c>
      <c r="G542" s="91" t="b">
        <v>0</v>
      </c>
      <c r="H542" s="91" t="b">
        <v>0</v>
      </c>
      <c r="I542" s="91" t="b">
        <v>0</v>
      </c>
      <c r="J542" s="91" t="b">
        <v>0</v>
      </c>
      <c r="K542" s="91" t="b">
        <v>0</v>
      </c>
      <c r="L542" s="91" t="b">
        <v>0</v>
      </c>
    </row>
    <row r="543" spans="1:12" ht="15">
      <c r="A543" s="92" t="s">
        <v>2578</v>
      </c>
      <c r="B543" s="91" t="s">
        <v>2914</v>
      </c>
      <c r="C543" s="91">
        <v>6</v>
      </c>
      <c r="D543" s="114">
        <v>0.0009313448346377029</v>
      </c>
      <c r="E543" s="114">
        <v>1.9288887440346834</v>
      </c>
      <c r="F543" s="91" t="s">
        <v>3159</v>
      </c>
      <c r="G543" s="91" t="b">
        <v>0</v>
      </c>
      <c r="H543" s="91" t="b">
        <v>0</v>
      </c>
      <c r="I543" s="91" t="b">
        <v>0</v>
      </c>
      <c r="J543" s="91" t="b">
        <v>0</v>
      </c>
      <c r="K543" s="91" t="b">
        <v>0</v>
      </c>
      <c r="L543" s="91" t="b">
        <v>0</v>
      </c>
    </row>
    <row r="544" spans="1:12" ht="15">
      <c r="A544" s="92" t="s">
        <v>2914</v>
      </c>
      <c r="B544" s="91" t="s">
        <v>2577</v>
      </c>
      <c r="C544" s="91">
        <v>6</v>
      </c>
      <c r="D544" s="114">
        <v>0.0009313448346377029</v>
      </c>
      <c r="E544" s="114">
        <v>1.9162077122755945</v>
      </c>
      <c r="F544" s="91" t="s">
        <v>3159</v>
      </c>
      <c r="G544" s="91" t="b">
        <v>0</v>
      </c>
      <c r="H544" s="91" t="b">
        <v>0</v>
      </c>
      <c r="I544" s="91" t="b">
        <v>0</v>
      </c>
      <c r="J544" s="91" t="b">
        <v>0</v>
      </c>
      <c r="K544" s="91" t="b">
        <v>0</v>
      </c>
      <c r="L544" s="91" t="b">
        <v>0</v>
      </c>
    </row>
    <row r="545" spans="1:12" ht="15">
      <c r="A545" s="92" t="s">
        <v>2577</v>
      </c>
      <c r="B545" s="91" t="s">
        <v>2915</v>
      </c>
      <c r="C545" s="91">
        <v>6</v>
      </c>
      <c r="D545" s="114">
        <v>0.0009313448346377029</v>
      </c>
      <c r="E545" s="114">
        <v>1.9162077122755945</v>
      </c>
      <c r="F545" s="91" t="s">
        <v>3159</v>
      </c>
      <c r="G545" s="91" t="b">
        <v>0</v>
      </c>
      <c r="H545" s="91" t="b">
        <v>0</v>
      </c>
      <c r="I545" s="91" t="b">
        <v>0</v>
      </c>
      <c r="J545" s="91" t="b">
        <v>0</v>
      </c>
      <c r="K545" s="91" t="b">
        <v>0</v>
      </c>
      <c r="L545" s="91" t="b">
        <v>0</v>
      </c>
    </row>
    <row r="546" spans="1:12" ht="15">
      <c r="A546" s="92" t="s">
        <v>2915</v>
      </c>
      <c r="B546" s="91" t="s">
        <v>2568</v>
      </c>
      <c r="C546" s="91">
        <v>6</v>
      </c>
      <c r="D546" s="114">
        <v>0.0009313448346377029</v>
      </c>
      <c r="E546" s="114">
        <v>1.7328866516009382</v>
      </c>
      <c r="F546" s="91" t="s">
        <v>3159</v>
      </c>
      <c r="G546" s="91" t="b">
        <v>0</v>
      </c>
      <c r="H546" s="91" t="b">
        <v>0</v>
      </c>
      <c r="I546" s="91" t="b">
        <v>0</v>
      </c>
      <c r="J546" s="91" t="b">
        <v>0</v>
      </c>
      <c r="K546" s="91" t="b">
        <v>0</v>
      </c>
      <c r="L546" s="91" t="b">
        <v>0</v>
      </c>
    </row>
    <row r="547" spans="1:12" ht="15">
      <c r="A547" s="92" t="s">
        <v>2753</v>
      </c>
      <c r="B547" s="91" t="s">
        <v>2569</v>
      </c>
      <c r="C547" s="91">
        <v>6</v>
      </c>
      <c r="D547" s="114">
        <v>0.0009313448346377029</v>
      </c>
      <c r="E547" s="114">
        <v>1.4971280013454016</v>
      </c>
      <c r="F547" s="91" t="s">
        <v>3159</v>
      </c>
      <c r="G547" s="91" t="b">
        <v>0</v>
      </c>
      <c r="H547" s="91" t="b">
        <v>0</v>
      </c>
      <c r="I547" s="91" t="b">
        <v>0</v>
      </c>
      <c r="J547" s="91" t="b">
        <v>0</v>
      </c>
      <c r="K547" s="91" t="b">
        <v>0</v>
      </c>
      <c r="L547" s="91" t="b">
        <v>0</v>
      </c>
    </row>
    <row r="548" spans="1:12" ht="15">
      <c r="A548" s="92" t="s">
        <v>2569</v>
      </c>
      <c r="B548" s="91" t="s">
        <v>2591</v>
      </c>
      <c r="C548" s="91">
        <v>6</v>
      </c>
      <c r="D548" s="114">
        <v>0.0009313448346377029</v>
      </c>
      <c r="E548" s="114">
        <v>0.629308814765935</v>
      </c>
      <c r="F548" s="91" t="s">
        <v>3159</v>
      </c>
      <c r="G548" s="91" t="b">
        <v>0</v>
      </c>
      <c r="H548" s="91" t="b">
        <v>0</v>
      </c>
      <c r="I548" s="91" t="b">
        <v>0</v>
      </c>
      <c r="J548" s="91" t="b">
        <v>0</v>
      </c>
      <c r="K548" s="91" t="b">
        <v>0</v>
      </c>
      <c r="L548" s="91" t="b">
        <v>0</v>
      </c>
    </row>
    <row r="549" spans="1:12" ht="15">
      <c r="A549" s="92" t="s">
        <v>2591</v>
      </c>
      <c r="B549" s="91" t="s">
        <v>2730</v>
      </c>
      <c r="C549" s="91">
        <v>6</v>
      </c>
      <c r="D549" s="114">
        <v>0.0009313448346377029</v>
      </c>
      <c r="E549" s="114">
        <v>1.741159177566928</v>
      </c>
      <c r="F549" s="91" t="s">
        <v>3159</v>
      </c>
      <c r="G549" s="91" t="b">
        <v>0</v>
      </c>
      <c r="H549" s="91" t="b">
        <v>0</v>
      </c>
      <c r="I549" s="91" t="b">
        <v>0</v>
      </c>
      <c r="J549" s="91" t="b">
        <v>0</v>
      </c>
      <c r="K549" s="91" t="b">
        <v>0</v>
      </c>
      <c r="L549" s="91" t="b">
        <v>0</v>
      </c>
    </row>
    <row r="550" spans="1:12" ht="15">
      <c r="A550" s="92" t="s">
        <v>2730</v>
      </c>
      <c r="B550" s="91" t="s">
        <v>2844</v>
      </c>
      <c r="C550" s="91">
        <v>6</v>
      </c>
      <c r="D550" s="114">
        <v>0.0009313448346377029</v>
      </c>
      <c r="E550" s="114">
        <v>2.730163793265465</v>
      </c>
      <c r="F550" s="91" t="s">
        <v>3159</v>
      </c>
      <c r="G550" s="91" t="b">
        <v>0</v>
      </c>
      <c r="H550" s="91" t="b">
        <v>0</v>
      </c>
      <c r="I550" s="91" t="b">
        <v>0</v>
      </c>
      <c r="J550" s="91" t="b">
        <v>0</v>
      </c>
      <c r="K550" s="91" t="b">
        <v>0</v>
      </c>
      <c r="L550" s="91" t="b">
        <v>0</v>
      </c>
    </row>
    <row r="551" spans="1:12" ht="15">
      <c r="A551" s="92" t="s">
        <v>2844</v>
      </c>
      <c r="B551" s="91" t="s">
        <v>2916</v>
      </c>
      <c r="C551" s="91">
        <v>6</v>
      </c>
      <c r="D551" s="114">
        <v>0.0009313448346377029</v>
      </c>
      <c r="E551" s="114">
        <v>3.156132525537746</v>
      </c>
      <c r="F551" s="91" t="s">
        <v>3159</v>
      </c>
      <c r="G551" s="91" t="b">
        <v>0</v>
      </c>
      <c r="H551" s="91" t="b">
        <v>0</v>
      </c>
      <c r="I551" s="91" t="b">
        <v>0</v>
      </c>
      <c r="J551" s="91" t="b">
        <v>0</v>
      </c>
      <c r="K551" s="91" t="b">
        <v>0</v>
      </c>
      <c r="L551" s="91" t="b">
        <v>0</v>
      </c>
    </row>
    <row r="552" spans="1:12" ht="15">
      <c r="A552" s="92" t="s">
        <v>2916</v>
      </c>
      <c r="B552" s="91" t="s">
        <v>2917</v>
      </c>
      <c r="C552" s="91">
        <v>6</v>
      </c>
      <c r="D552" s="114">
        <v>0.0009313448346377029</v>
      </c>
      <c r="E552" s="114">
        <v>3.281071262146046</v>
      </c>
      <c r="F552" s="91" t="s">
        <v>3159</v>
      </c>
      <c r="G552" s="91" t="b">
        <v>0</v>
      </c>
      <c r="H552" s="91" t="b">
        <v>0</v>
      </c>
      <c r="I552" s="91" t="b">
        <v>0</v>
      </c>
      <c r="J552" s="91" t="b">
        <v>0</v>
      </c>
      <c r="K552" s="91" t="b">
        <v>0</v>
      </c>
      <c r="L552" s="91" t="b">
        <v>0</v>
      </c>
    </row>
    <row r="553" spans="1:12" ht="15">
      <c r="A553" s="92" t="s">
        <v>2917</v>
      </c>
      <c r="B553" s="91" t="s">
        <v>2721</v>
      </c>
      <c r="C553" s="91">
        <v>6</v>
      </c>
      <c r="D553" s="114">
        <v>0.0009313448346377029</v>
      </c>
      <c r="E553" s="114">
        <v>2.828773591151416</v>
      </c>
      <c r="F553" s="91" t="s">
        <v>3159</v>
      </c>
      <c r="G553" s="91" t="b">
        <v>0</v>
      </c>
      <c r="H553" s="91" t="b">
        <v>0</v>
      </c>
      <c r="I553" s="91" t="b">
        <v>0</v>
      </c>
      <c r="J553" s="91" t="b">
        <v>0</v>
      </c>
      <c r="K553" s="91" t="b">
        <v>0</v>
      </c>
      <c r="L553" s="91" t="b">
        <v>0</v>
      </c>
    </row>
    <row r="554" spans="1:12" ht="15">
      <c r="A554" s="92" t="s">
        <v>2721</v>
      </c>
      <c r="B554" s="91" t="s">
        <v>2748</v>
      </c>
      <c r="C554" s="91">
        <v>6</v>
      </c>
      <c r="D554" s="114">
        <v>0.0009313448346377029</v>
      </c>
      <c r="E554" s="114">
        <v>2.4446768096536675</v>
      </c>
      <c r="F554" s="91" t="s">
        <v>3159</v>
      </c>
      <c r="G554" s="91" t="b">
        <v>0</v>
      </c>
      <c r="H554" s="91" t="b">
        <v>0</v>
      </c>
      <c r="I554" s="91" t="b">
        <v>0</v>
      </c>
      <c r="J554" s="91" t="b">
        <v>0</v>
      </c>
      <c r="K554" s="91" t="b">
        <v>0</v>
      </c>
      <c r="L554" s="91" t="b">
        <v>0</v>
      </c>
    </row>
    <row r="555" spans="1:12" ht="15">
      <c r="A555" s="92" t="s">
        <v>2748</v>
      </c>
      <c r="B555" s="91" t="s">
        <v>2918</v>
      </c>
      <c r="C555" s="91">
        <v>6</v>
      </c>
      <c r="D555" s="114">
        <v>0.0009313448346377029</v>
      </c>
      <c r="E555" s="114">
        <v>2.945279160222853</v>
      </c>
      <c r="F555" s="91" t="s">
        <v>3159</v>
      </c>
      <c r="G555" s="91" t="b">
        <v>0</v>
      </c>
      <c r="H555" s="91" t="b">
        <v>0</v>
      </c>
      <c r="I555" s="91" t="b">
        <v>0</v>
      </c>
      <c r="J555" s="91" t="b">
        <v>0</v>
      </c>
      <c r="K555" s="91" t="b">
        <v>0</v>
      </c>
      <c r="L555" s="91" t="b">
        <v>0</v>
      </c>
    </row>
    <row r="556" spans="1:12" ht="15">
      <c r="A556" s="92" t="s">
        <v>2918</v>
      </c>
      <c r="B556" s="91" t="s">
        <v>2919</v>
      </c>
      <c r="C556" s="91">
        <v>6</v>
      </c>
      <c r="D556" s="114">
        <v>0.0009313448346377029</v>
      </c>
      <c r="E556" s="114">
        <v>3.281071262146046</v>
      </c>
      <c r="F556" s="91" t="s">
        <v>3159</v>
      </c>
      <c r="G556" s="91" t="b">
        <v>0</v>
      </c>
      <c r="H556" s="91" t="b">
        <v>0</v>
      </c>
      <c r="I556" s="91" t="b">
        <v>0</v>
      </c>
      <c r="J556" s="91" t="b">
        <v>0</v>
      </c>
      <c r="K556" s="91" t="b">
        <v>0</v>
      </c>
      <c r="L556" s="91" t="b">
        <v>0</v>
      </c>
    </row>
    <row r="557" spans="1:12" ht="15">
      <c r="A557" s="92" t="s">
        <v>2919</v>
      </c>
      <c r="B557" s="91" t="s">
        <v>2845</v>
      </c>
      <c r="C557" s="91">
        <v>6</v>
      </c>
      <c r="D557" s="114">
        <v>0.0009313448346377029</v>
      </c>
      <c r="E557" s="114">
        <v>3.156132525537746</v>
      </c>
      <c r="F557" s="91" t="s">
        <v>3159</v>
      </c>
      <c r="G557" s="91" t="b">
        <v>0</v>
      </c>
      <c r="H557" s="91" t="b">
        <v>0</v>
      </c>
      <c r="I557" s="91" t="b">
        <v>0</v>
      </c>
      <c r="J557" s="91" t="b">
        <v>0</v>
      </c>
      <c r="K557" s="91" t="b">
        <v>0</v>
      </c>
      <c r="L557" s="91" t="b">
        <v>0</v>
      </c>
    </row>
    <row r="558" spans="1:12" ht="15">
      <c r="A558" s="92" t="s">
        <v>2845</v>
      </c>
      <c r="B558" s="91" t="s">
        <v>2920</v>
      </c>
      <c r="C558" s="91">
        <v>6</v>
      </c>
      <c r="D558" s="114">
        <v>0.0009313448346377029</v>
      </c>
      <c r="E558" s="114">
        <v>3.156132525537746</v>
      </c>
      <c r="F558" s="91" t="s">
        <v>3159</v>
      </c>
      <c r="G558" s="91" t="b">
        <v>0</v>
      </c>
      <c r="H558" s="91" t="b">
        <v>0</v>
      </c>
      <c r="I558" s="91" t="b">
        <v>0</v>
      </c>
      <c r="J558" s="91" t="b">
        <v>0</v>
      </c>
      <c r="K558" s="91" t="b">
        <v>0</v>
      </c>
      <c r="L558" s="91" t="b">
        <v>0</v>
      </c>
    </row>
    <row r="559" spans="1:12" ht="15">
      <c r="A559" s="92" t="s">
        <v>2920</v>
      </c>
      <c r="B559" s="91" t="s">
        <v>2578</v>
      </c>
      <c r="C559" s="91">
        <v>6</v>
      </c>
      <c r="D559" s="114">
        <v>0.0009313448346377029</v>
      </c>
      <c r="E559" s="114">
        <v>1.9520125428818214</v>
      </c>
      <c r="F559" s="91" t="s">
        <v>3159</v>
      </c>
      <c r="G559" s="91" t="b">
        <v>0</v>
      </c>
      <c r="H559" s="91" t="b">
        <v>0</v>
      </c>
      <c r="I559" s="91" t="b">
        <v>0</v>
      </c>
      <c r="J559" s="91" t="b">
        <v>0</v>
      </c>
      <c r="K559" s="91" t="b">
        <v>0</v>
      </c>
      <c r="L559" s="91" t="b">
        <v>0</v>
      </c>
    </row>
    <row r="560" spans="1:12" ht="15">
      <c r="A560" s="92" t="s">
        <v>2578</v>
      </c>
      <c r="B560" s="91" t="s">
        <v>2921</v>
      </c>
      <c r="C560" s="91">
        <v>6</v>
      </c>
      <c r="D560" s="114">
        <v>0.0009313448346377029</v>
      </c>
      <c r="E560" s="114">
        <v>1.9288887440346834</v>
      </c>
      <c r="F560" s="91" t="s">
        <v>3159</v>
      </c>
      <c r="G560" s="91" t="b">
        <v>0</v>
      </c>
      <c r="H560" s="91" t="b">
        <v>0</v>
      </c>
      <c r="I560" s="91" t="b">
        <v>0</v>
      </c>
      <c r="J560" s="91" t="b">
        <v>0</v>
      </c>
      <c r="K560" s="91" t="b">
        <v>0</v>
      </c>
      <c r="L560" s="91" t="b">
        <v>0</v>
      </c>
    </row>
    <row r="561" spans="1:12" ht="15">
      <c r="A561" s="92" t="s">
        <v>2921</v>
      </c>
      <c r="B561" s="91" t="s">
        <v>2719</v>
      </c>
      <c r="C561" s="91">
        <v>6</v>
      </c>
      <c r="D561" s="114">
        <v>0.0009313448346377029</v>
      </c>
      <c r="E561" s="114">
        <v>2.7804689115768606</v>
      </c>
      <c r="F561" s="91" t="s">
        <v>3159</v>
      </c>
      <c r="G561" s="91" t="b">
        <v>0</v>
      </c>
      <c r="H561" s="91" t="b">
        <v>0</v>
      </c>
      <c r="I561" s="91" t="b">
        <v>0</v>
      </c>
      <c r="J561" s="91" t="b">
        <v>0</v>
      </c>
      <c r="K561" s="91" t="b">
        <v>0</v>
      </c>
      <c r="L561" s="91" t="b">
        <v>0</v>
      </c>
    </row>
    <row r="562" spans="1:12" ht="15">
      <c r="A562" s="92" t="s">
        <v>2719</v>
      </c>
      <c r="B562" s="91" t="s">
        <v>2748</v>
      </c>
      <c r="C562" s="91">
        <v>6</v>
      </c>
      <c r="D562" s="114">
        <v>0.0009313448346377029</v>
      </c>
      <c r="E562" s="114">
        <v>2.4446768096536675</v>
      </c>
      <c r="F562" s="91" t="s">
        <v>3159</v>
      </c>
      <c r="G562" s="91" t="b">
        <v>0</v>
      </c>
      <c r="H562" s="91" t="b">
        <v>0</v>
      </c>
      <c r="I562" s="91" t="b">
        <v>0</v>
      </c>
      <c r="J562" s="91" t="b">
        <v>0</v>
      </c>
      <c r="K562" s="91" t="b">
        <v>0</v>
      </c>
      <c r="L562" s="91" t="b">
        <v>0</v>
      </c>
    </row>
    <row r="563" spans="1:12" ht="15">
      <c r="A563" s="92" t="s">
        <v>2748</v>
      </c>
      <c r="B563" s="91" t="s">
        <v>2922</v>
      </c>
      <c r="C563" s="91">
        <v>6</v>
      </c>
      <c r="D563" s="114">
        <v>0.0009313448346377029</v>
      </c>
      <c r="E563" s="114">
        <v>2.945279160222853</v>
      </c>
      <c r="F563" s="91" t="s">
        <v>3159</v>
      </c>
      <c r="G563" s="91" t="b">
        <v>0</v>
      </c>
      <c r="H563" s="91" t="b">
        <v>0</v>
      </c>
      <c r="I563" s="91" t="b">
        <v>0</v>
      </c>
      <c r="J563" s="91" t="b">
        <v>0</v>
      </c>
      <c r="K563" s="91" t="b">
        <v>0</v>
      </c>
      <c r="L563" s="91" t="b">
        <v>0</v>
      </c>
    </row>
    <row r="564" spans="1:12" ht="15">
      <c r="A564" s="92" t="s">
        <v>2922</v>
      </c>
      <c r="B564" s="91" t="s">
        <v>2578</v>
      </c>
      <c r="C564" s="91">
        <v>6</v>
      </c>
      <c r="D564" s="114">
        <v>0.0009313448346377029</v>
      </c>
      <c r="E564" s="114">
        <v>1.9520125428818214</v>
      </c>
      <c r="F564" s="91" t="s">
        <v>3159</v>
      </c>
      <c r="G564" s="91" t="b">
        <v>0</v>
      </c>
      <c r="H564" s="91" t="b">
        <v>0</v>
      </c>
      <c r="I564" s="91" t="b">
        <v>0</v>
      </c>
      <c r="J564" s="91" t="b">
        <v>0</v>
      </c>
      <c r="K564" s="91" t="b">
        <v>0</v>
      </c>
      <c r="L564" s="91" t="b">
        <v>0</v>
      </c>
    </row>
    <row r="565" spans="1:12" ht="15">
      <c r="A565" s="92" t="s">
        <v>2578</v>
      </c>
      <c r="B565" s="91" t="s">
        <v>2923</v>
      </c>
      <c r="C565" s="91">
        <v>6</v>
      </c>
      <c r="D565" s="114">
        <v>0.0009313448346377029</v>
      </c>
      <c r="E565" s="114">
        <v>1.9288887440346834</v>
      </c>
      <c r="F565" s="91" t="s">
        <v>3159</v>
      </c>
      <c r="G565" s="91" t="b">
        <v>0</v>
      </c>
      <c r="H565" s="91" t="b">
        <v>0</v>
      </c>
      <c r="I565" s="91" t="b">
        <v>0</v>
      </c>
      <c r="J565" s="91" t="b">
        <v>0</v>
      </c>
      <c r="K565" s="91" t="b">
        <v>0</v>
      </c>
      <c r="L565" s="91" t="b">
        <v>0</v>
      </c>
    </row>
    <row r="566" spans="1:12" ht="15">
      <c r="A566" s="92" t="s">
        <v>2923</v>
      </c>
      <c r="B566" s="91" t="s">
        <v>2924</v>
      </c>
      <c r="C566" s="91">
        <v>6</v>
      </c>
      <c r="D566" s="114">
        <v>0.0009313448346377029</v>
      </c>
      <c r="E566" s="114">
        <v>3.281071262146046</v>
      </c>
      <c r="F566" s="91" t="s">
        <v>3159</v>
      </c>
      <c r="G566" s="91" t="b">
        <v>0</v>
      </c>
      <c r="H566" s="91" t="b">
        <v>0</v>
      </c>
      <c r="I566" s="91" t="b">
        <v>0</v>
      </c>
      <c r="J566" s="91" t="b">
        <v>0</v>
      </c>
      <c r="K566" s="91" t="b">
        <v>0</v>
      </c>
      <c r="L566" s="91" t="b">
        <v>0</v>
      </c>
    </row>
    <row r="567" spans="1:12" ht="15">
      <c r="A567" s="92" t="s">
        <v>2924</v>
      </c>
      <c r="B567" s="91" t="s">
        <v>2568</v>
      </c>
      <c r="C567" s="91">
        <v>6</v>
      </c>
      <c r="D567" s="114">
        <v>0.0009313448346377029</v>
      </c>
      <c r="E567" s="114">
        <v>1.7328866516009382</v>
      </c>
      <c r="F567" s="91" t="s">
        <v>3159</v>
      </c>
      <c r="G567" s="91" t="b">
        <v>0</v>
      </c>
      <c r="H567" s="91" t="b">
        <v>0</v>
      </c>
      <c r="I567" s="91" t="b">
        <v>0</v>
      </c>
      <c r="J567" s="91" t="b">
        <v>0</v>
      </c>
      <c r="K567" s="91" t="b">
        <v>0</v>
      </c>
      <c r="L567" s="91" t="b">
        <v>0</v>
      </c>
    </row>
    <row r="568" spans="1:12" ht="15">
      <c r="A568" s="92" t="s">
        <v>2662</v>
      </c>
      <c r="B568" s="91" t="s">
        <v>2925</v>
      </c>
      <c r="C568" s="91">
        <v>6</v>
      </c>
      <c r="D568" s="114">
        <v>0.0009313448346377029</v>
      </c>
      <c r="E568" s="114">
        <v>2.661282503857652</v>
      </c>
      <c r="F568" s="91" t="s">
        <v>3159</v>
      </c>
      <c r="G568" s="91" t="b">
        <v>0</v>
      </c>
      <c r="H568" s="91" t="b">
        <v>0</v>
      </c>
      <c r="I568" s="91" t="b">
        <v>0</v>
      </c>
      <c r="J568" s="91" t="b">
        <v>0</v>
      </c>
      <c r="K568" s="91" t="b">
        <v>0</v>
      </c>
      <c r="L568" s="91" t="b">
        <v>0</v>
      </c>
    </row>
    <row r="569" spans="1:12" ht="15">
      <c r="A569" s="92" t="s">
        <v>2925</v>
      </c>
      <c r="B569" s="91" t="s">
        <v>2590</v>
      </c>
      <c r="C569" s="91">
        <v>6</v>
      </c>
      <c r="D569" s="114">
        <v>0.0009313448346377029</v>
      </c>
      <c r="E569" s="114">
        <v>2.156132525537746</v>
      </c>
      <c r="F569" s="91" t="s">
        <v>3159</v>
      </c>
      <c r="G569" s="91" t="b">
        <v>0</v>
      </c>
      <c r="H569" s="91" t="b">
        <v>0</v>
      </c>
      <c r="I569" s="91" t="b">
        <v>0</v>
      </c>
      <c r="J569" s="91" t="b">
        <v>0</v>
      </c>
      <c r="K569" s="91" t="b">
        <v>0</v>
      </c>
      <c r="L569" s="91" t="b">
        <v>0</v>
      </c>
    </row>
    <row r="570" spans="1:12" ht="15">
      <c r="A570" s="92" t="s">
        <v>2590</v>
      </c>
      <c r="B570" s="91" t="s">
        <v>2660</v>
      </c>
      <c r="C570" s="91">
        <v>6</v>
      </c>
      <c r="D570" s="114">
        <v>0.0009313448346377029</v>
      </c>
      <c r="E570" s="114">
        <v>2.156132525537746</v>
      </c>
      <c r="F570" s="91" t="s">
        <v>3159</v>
      </c>
      <c r="G570" s="91" t="b">
        <v>0</v>
      </c>
      <c r="H570" s="91" t="b">
        <v>0</v>
      </c>
      <c r="I570" s="91" t="b">
        <v>0</v>
      </c>
      <c r="J570" s="91" t="b">
        <v>0</v>
      </c>
      <c r="K570" s="91" t="b">
        <v>0</v>
      </c>
      <c r="L570" s="91" t="b">
        <v>0</v>
      </c>
    </row>
    <row r="571" spans="1:12" ht="15">
      <c r="A571" s="92" t="s">
        <v>2660</v>
      </c>
      <c r="B571" s="91" t="s">
        <v>2721</v>
      </c>
      <c r="C571" s="91">
        <v>6</v>
      </c>
      <c r="D571" s="114">
        <v>0.0009313448346377029</v>
      </c>
      <c r="E571" s="114">
        <v>2.2089848328630217</v>
      </c>
      <c r="F571" s="91" t="s">
        <v>3159</v>
      </c>
      <c r="G571" s="91" t="b">
        <v>0</v>
      </c>
      <c r="H571" s="91" t="b">
        <v>0</v>
      </c>
      <c r="I571" s="91" t="b">
        <v>0</v>
      </c>
      <c r="J571" s="91" t="b">
        <v>0</v>
      </c>
      <c r="K571" s="91" t="b">
        <v>0</v>
      </c>
      <c r="L571" s="91" t="b">
        <v>0</v>
      </c>
    </row>
    <row r="572" spans="1:12" ht="15">
      <c r="A572" s="92" t="s">
        <v>2721</v>
      </c>
      <c r="B572" s="91" t="s">
        <v>2926</v>
      </c>
      <c r="C572" s="91">
        <v>6</v>
      </c>
      <c r="D572" s="114">
        <v>0.0009313448346377029</v>
      </c>
      <c r="E572" s="114">
        <v>2.7804689115768606</v>
      </c>
      <c r="F572" s="91" t="s">
        <v>3159</v>
      </c>
      <c r="G572" s="91" t="b">
        <v>0</v>
      </c>
      <c r="H572" s="91" t="b">
        <v>0</v>
      </c>
      <c r="I572" s="91" t="b">
        <v>0</v>
      </c>
      <c r="J572" s="91" t="b">
        <v>0</v>
      </c>
      <c r="K572" s="91" t="b">
        <v>0</v>
      </c>
      <c r="L572" s="91" t="b">
        <v>0</v>
      </c>
    </row>
    <row r="573" spans="1:12" ht="15">
      <c r="A573" s="92" t="s">
        <v>2926</v>
      </c>
      <c r="B573" s="91" t="s">
        <v>2927</v>
      </c>
      <c r="C573" s="91">
        <v>6</v>
      </c>
      <c r="D573" s="114">
        <v>0.0009313448346377029</v>
      </c>
      <c r="E573" s="114">
        <v>3.281071262146046</v>
      </c>
      <c r="F573" s="91" t="s">
        <v>3159</v>
      </c>
      <c r="G573" s="91" t="b">
        <v>0</v>
      </c>
      <c r="H573" s="91" t="b">
        <v>0</v>
      </c>
      <c r="I573" s="91" t="b">
        <v>0</v>
      </c>
      <c r="J573" s="91" t="b">
        <v>0</v>
      </c>
      <c r="K573" s="91" t="b">
        <v>0</v>
      </c>
      <c r="L573" s="91" t="b">
        <v>0</v>
      </c>
    </row>
    <row r="574" spans="1:12" ht="15">
      <c r="A574" s="92" t="s">
        <v>2927</v>
      </c>
      <c r="B574" s="91" t="s">
        <v>2729</v>
      </c>
      <c r="C574" s="91">
        <v>6</v>
      </c>
      <c r="D574" s="114">
        <v>0.0009313448346377029</v>
      </c>
      <c r="E574" s="114">
        <v>2.855102529873765</v>
      </c>
      <c r="F574" s="91" t="s">
        <v>3159</v>
      </c>
      <c r="G574" s="91" t="b">
        <v>0</v>
      </c>
      <c r="H574" s="91" t="b">
        <v>0</v>
      </c>
      <c r="I574" s="91" t="b">
        <v>0</v>
      </c>
      <c r="J574" s="91" t="b">
        <v>0</v>
      </c>
      <c r="K574" s="91" t="b">
        <v>0</v>
      </c>
      <c r="L574" s="91" t="b">
        <v>0</v>
      </c>
    </row>
    <row r="575" spans="1:12" ht="15">
      <c r="A575" s="92" t="s">
        <v>2729</v>
      </c>
      <c r="B575" s="91" t="s">
        <v>2928</v>
      </c>
      <c r="C575" s="91">
        <v>6</v>
      </c>
      <c r="D575" s="114">
        <v>0.0009313448346377029</v>
      </c>
      <c r="E575" s="114">
        <v>2.855102529873765</v>
      </c>
      <c r="F575" s="91" t="s">
        <v>3159</v>
      </c>
      <c r="G575" s="91" t="b">
        <v>0</v>
      </c>
      <c r="H575" s="91" t="b">
        <v>0</v>
      </c>
      <c r="I575" s="91" t="b">
        <v>0</v>
      </c>
      <c r="J575" s="91" t="b">
        <v>0</v>
      </c>
      <c r="K575" s="91" t="b">
        <v>0</v>
      </c>
      <c r="L575" s="91" t="b">
        <v>0</v>
      </c>
    </row>
    <row r="576" spans="1:12" ht="15">
      <c r="A576" s="92" t="s">
        <v>2928</v>
      </c>
      <c r="B576" s="91" t="s">
        <v>2591</v>
      </c>
      <c r="C576" s="91">
        <v>6</v>
      </c>
      <c r="D576" s="114">
        <v>0.0009313448346377029</v>
      </c>
      <c r="E576" s="114">
        <v>2.167127909839209</v>
      </c>
      <c r="F576" s="91" t="s">
        <v>3159</v>
      </c>
      <c r="G576" s="91" t="b">
        <v>0</v>
      </c>
      <c r="H576" s="91" t="b">
        <v>0</v>
      </c>
      <c r="I576" s="91" t="b">
        <v>0</v>
      </c>
      <c r="J576" s="91" t="b">
        <v>0</v>
      </c>
      <c r="K576" s="91" t="b">
        <v>0</v>
      </c>
      <c r="L576" s="91" t="b">
        <v>0</v>
      </c>
    </row>
    <row r="577" spans="1:12" ht="15">
      <c r="A577" s="92" t="s">
        <v>2591</v>
      </c>
      <c r="B577" s="91" t="s">
        <v>2929</v>
      </c>
      <c r="C577" s="91">
        <v>6</v>
      </c>
      <c r="D577" s="114">
        <v>0.0009313448346377029</v>
      </c>
      <c r="E577" s="114">
        <v>2.167127909839209</v>
      </c>
      <c r="F577" s="91" t="s">
        <v>3159</v>
      </c>
      <c r="G577" s="91" t="b">
        <v>0</v>
      </c>
      <c r="H577" s="91" t="b">
        <v>0</v>
      </c>
      <c r="I577" s="91" t="b">
        <v>0</v>
      </c>
      <c r="J577" s="91" t="b">
        <v>0</v>
      </c>
      <c r="K577" s="91" t="b">
        <v>0</v>
      </c>
      <c r="L577" s="91" t="b">
        <v>0</v>
      </c>
    </row>
    <row r="578" spans="1:12" ht="15">
      <c r="A578" s="92" t="s">
        <v>2929</v>
      </c>
      <c r="B578" s="91" t="s">
        <v>2589</v>
      </c>
      <c r="C578" s="91">
        <v>6</v>
      </c>
      <c r="D578" s="114">
        <v>0.0009313448346377029</v>
      </c>
      <c r="E578" s="114">
        <v>2.1899907927987132</v>
      </c>
      <c r="F578" s="91" t="s">
        <v>3159</v>
      </c>
      <c r="G578" s="91" t="b">
        <v>0</v>
      </c>
      <c r="H578" s="91" t="b">
        <v>0</v>
      </c>
      <c r="I578" s="91" t="b">
        <v>0</v>
      </c>
      <c r="J578" s="91" t="b">
        <v>0</v>
      </c>
      <c r="K578" s="91" t="b">
        <v>0</v>
      </c>
      <c r="L578" s="91" t="b">
        <v>0</v>
      </c>
    </row>
    <row r="579" spans="1:12" ht="15">
      <c r="A579" s="92" t="s">
        <v>2589</v>
      </c>
      <c r="B579" s="91" t="s">
        <v>2930</v>
      </c>
      <c r="C579" s="91">
        <v>6</v>
      </c>
      <c r="D579" s="114">
        <v>0.0009313448346377029</v>
      </c>
      <c r="E579" s="114">
        <v>2.1197032599110712</v>
      </c>
      <c r="F579" s="91" t="s">
        <v>3159</v>
      </c>
      <c r="G579" s="91" t="b">
        <v>0</v>
      </c>
      <c r="H579" s="91" t="b">
        <v>0</v>
      </c>
      <c r="I579" s="91" t="b">
        <v>0</v>
      </c>
      <c r="J579" s="91" t="b">
        <v>0</v>
      </c>
      <c r="K579" s="91" t="b">
        <v>0</v>
      </c>
      <c r="L579" s="91" t="b">
        <v>0</v>
      </c>
    </row>
    <row r="580" spans="1:12" ht="15">
      <c r="A580" s="92" t="s">
        <v>2930</v>
      </c>
      <c r="B580" s="91" t="s">
        <v>2580</v>
      </c>
      <c r="C580" s="91">
        <v>6</v>
      </c>
      <c r="D580" s="114">
        <v>0.0009313448346377029</v>
      </c>
      <c r="E580" s="114">
        <v>1.9486328022304407</v>
      </c>
      <c r="F580" s="91" t="s">
        <v>3159</v>
      </c>
      <c r="G580" s="91" t="b">
        <v>0</v>
      </c>
      <c r="H580" s="91" t="b">
        <v>0</v>
      </c>
      <c r="I580" s="91" t="b">
        <v>0</v>
      </c>
      <c r="J580" s="91" t="b">
        <v>0</v>
      </c>
      <c r="K580" s="91" t="b">
        <v>0</v>
      </c>
      <c r="L580" s="91" t="b">
        <v>0</v>
      </c>
    </row>
    <row r="581" spans="1:12" ht="15">
      <c r="A581" s="92" t="s">
        <v>2580</v>
      </c>
      <c r="B581" s="91" t="s">
        <v>2578</v>
      </c>
      <c r="C581" s="91">
        <v>6</v>
      </c>
      <c r="D581" s="114">
        <v>0.0009313448346377029</v>
      </c>
      <c r="E581" s="114">
        <v>0.6195740829662159</v>
      </c>
      <c r="F581" s="91" t="s">
        <v>3159</v>
      </c>
      <c r="G581" s="91" t="b">
        <v>0</v>
      </c>
      <c r="H581" s="91" t="b">
        <v>0</v>
      </c>
      <c r="I581" s="91" t="b">
        <v>0</v>
      </c>
      <c r="J581" s="91" t="b">
        <v>0</v>
      </c>
      <c r="K581" s="91" t="b">
        <v>0</v>
      </c>
      <c r="L581" s="91" t="b">
        <v>0</v>
      </c>
    </row>
    <row r="582" spans="1:12" ht="15">
      <c r="A582" s="92" t="s">
        <v>2578</v>
      </c>
      <c r="B582" s="91" t="s">
        <v>2931</v>
      </c>
      <c r="C582" s="91">
        <v>6</v>
      </c>
      <c r="D582" s="114">
        <v>0.0009313448346377029</v>
      </c>
      <c r="E582" s="114">
        <v>1.9288887440346834</v>
      </c>
      <c r="F582" s="91" t="s">
        <v>3159</v>
      </c>
      <c r="G582" s="91" t="b">
        <v>0</v>
      </c>
      <c r="H582" s="91" t="b">
        <v>0</v>
      </c>
      <c r="I582" s="91" t="b">
        <v>0</v>
      </c>
      <c r="J582" s="91" t="b">
        <v>0</v>
      </c>
      <c r="K582" s="91" t="b">
        <v>0</v>
      </c>
      <c r="L582" s="91" t="b">
        <v>0</v>
      </c>
    </row>
    <row r="583" spans="1:12" ht="15">
      <c r="A583" s="92" t="s">
        <v>2931</v>
      </c>
      <c r="B583" s="91" t="s">
        <v>2564</v>
      </c>
      <c r="C583" s="91">
        <v>6</v>
      </c>
      <c r="D583" s="114">
        <v>0.0009313448346377029</v>
      </c>
      <c r="E583" s="114">
        <v>1.4370084895633943</v>
      </c>
      <c r="F583" s="91" t="s">
        <v>3159</v>
      </c>
      <c r="G583" s="91" t="b">
        <v>0</v>
      </c>
      <c r="H583" s="91" t="b">
        <v>0</v>
      </c>
      <c r="I583" s="91" t="b">
        <v>0</v>
      </c>
      <c r="J583" s="91" t="b">
        <v>0</v>
      </c>
      <c r="K583" s="91" t="b">
        <v>0</v>
      </c>
      <c r="L583" s="91" t="b">
        <v>0</v>
      </c>
    </row>
    <row r="584" spans="1:12" ht="15">
      <c r="A584" s="92" t="s">
        <v>2564</v>
      </c>
      <c r="B584" s="91" t="s">
        <v>2612</v>
      </c>
      <c r="C584" s="91">
        <v>6</v>
      </c>
      <c r="D584" s="114">
        <v>0.0009313448346377029</v>
      </c>
      <c r="E584" s="114">
        <v>0.48600268541526775</v>
      </c>
      <c r="F584" s="91" t="s">
        <v>3159</v>
      </c>
      <c r="G584" s="91" t="b">
        <v>0</v>
      </c>
      <c r="H584" s="91" t="b">
        <v>0</v>
      </c>
      <c r="I584" s="91" t="b">
        <v>0</v>
      </c>
      <c r="J584" s="91" t="b">
        <v>0</v>
      </c>
      <c r="K584" s="91" t="b">
        <v>0</v>
      </c>
      <c r="L584" s="91" t="b">
        <v>0</v>
      </c>
    </row>
    <row r="585" spans="1:12" ht="15">
      <c r="A585" s="92" t="s">
        <v>2589</v>
      </c>
      <c r="B585" s="91" t="s">
        <v>2569</v>
      </c>
      <c r="C585" s="91">
        <v>6</v>
      </c>
      <c r="D585" s="114">
        <v>0.0009313448346377029</v>
      </c>
      <c r="E585" s="114">
        <v>0.599001433885008</v>
      </c>
      <c r="F585" s="91" t="s">
        <v>3159</v>
      </c>
      <c r="G585" s="91" t="b">
        <v>0</v>
      </c>
      <c r="H585" s="91" t="b">
        <v>0</v>
      </c>
      <c r="I585" s="91" t="b">
        <v>0</v>
      </c>
      <c r="J585" s="91" t="b">
        <v>0</v>
      </c>
      <c r="K585" s="91" t="b">
        <v>0</v>
      </c>
      <c r="L585" s="91" t="b">
        <v>0</v>
      </c>
    </row>
    <row r="586" spans="1:12" ht="15">
      <c r="A586" s="92" t="s">
        <v>2591</v>
      </c>
      <c r="B586" s="91" t="s">
        <v>2582</v>
      </c>
      <c r="C586" s="91">
        <v>6</v>
      </c>
      <c r="D586" s="114">
        <v>0.0009313448346377029</v>
      </c>
      <c r="E586" s="114">
        <v>0.8697321988303222</v>
      </c>
      <c r="F586" s="91" t="s">
        <v>3159</v>
      </c>
      <c r="G586" s="91" t="b">
        <v>0</v>
      </c>
      <c r="H586" s="91" t="b">
        <v>0</v>
      </c>
      <c r="I586" s="91" t="b">
        <v>0</v>
      </c>
      <c r="J586" s="91" t="b">
        <v>0</v>
      </c>
      <c r="K586" s="91" t="b">
        <v>0</v>
      </c>
      <c r="L586" s="91" t="b">
        <v>0</v>
      </c>
    </row>
    <row r="587" spans="1:12" ht="15">
      <c r="A587" s="92" t="s">
        <v>2578</v>
      </c>
      <c r="B587" s="91" t="s">
        <v>2610</v>
      </c>
      <c r="C587" s="91">
        <v>5</v>
      </c>
      <c r="D587" s="114">
        <v>0.0008094461357871533</v>
      </c>
      <c r="E587" s="114">
        <v>0.8497074979870587</v>
      </c>
      <c r="F587" s="91" t="s">
        <v>3159</v>
      </c>
      <c r="G587" s="91" t="b">
        <v>0</v>
      </c>
      <c r="H587" s="91" t="b">
        <v>0</v>
      </c>
      <c r="I587" s="91" t="b">
        <v>0</v>
      </c>
      <c r="J587" s="91" t="b">
        <v>0</v>
      </c>
      <c r="K587" s="91" t="b">
        <v>0</v>
      </c>
      <c r="L587" s="91" t="b">
        <v>0</v>
      </c>
    </row>
    <row r="588" spans="1:12" ht="15">
      <c r="A588" s="92" t="s">
        <v>2610</v>
      </c>
      <c r="B588" s="91" t="s">
        <v>2936</v>
      </c>
      <c r="C588" s="91">
        <v>5</v>
      </c>
      <c r="D588" s="114">
        <v>0.0008094461357871533</v>
      </c>
      <c r="E588" s="114">
        <v>2.281071262146046</v>
      </c>
      <c r="F588" s="91" t="s">
        <v>3159</v>
      </c>
      <c r="G588" s="91" t="b">
        <v>0</v>
      </c>
      <c r="H588" s="91" t="b">
        <v>0</v>
      </c>
      <c r="I588" s="91" t="b">
        <v>0</v>
      </c>
      <c r="J588" s="91" t="b">
        <v>0</v>
      </c>
      <c r="K588" s="91" t="b">
        <v>0</v>
      </c>
      <c r="L588" s="91" t="b">
        <v>0</v>
      </c>
    </row>
    <row r="589" spans="1:12" ht="15">
      <c r="A589" s="92" t="s">
        <v>2936</v>
      </c>
      <c r="B589" s="91" t="s">
        <v>2937</v>
      </c>
      <c r="C589" s="91">
        <v>5</v>
      </c>
      <c r="D589" s="114">
        <v>0.0008094461357871533</v>
      </c>
      <c r="E589" s="114">
        <v>3.3602525081936707</v>
      </c>
      <c r="F589" s="91" t="s">
        <v>3159</v>
      </c>
      <c r="G589" s="91" t="b">
        <v>0</v>
      </c>
      <c r="H589" s="91" t="b">
        <v>0</v>
      </c>
      <c r="I589" s="91" t="b">
        <v>0</v>
      </c>
      <c r="J589" s="91" t="b">
        <v>0</v>
      </c>
      <c r="K589" s="91" t="b">
        <v>0</v>
      </c>
      <c r="L589" s="91" t="b">
        <v>0</v>
      </c>
    </row>
    <row r="590" spans="1:12" ht="15">
      <c r="A590" s="92" t="s">
        <v>2937</v>
      </c>
      <c r="B590" s="91" t="s">
        <v>2576</v>
      </c>
      <c r="C590" s="91">
        <v>5</v>
      </c>
      <c r="D590" s="114">
        <v>0.0008094461357871533</v>
      </c>
      <c r="E590" s="114">
        <v>1.8919051777815135</v>
      </c>
      <c r="F590" s="91" t="s">
        <v>3159</v>
      </c>
      <c r="G590" s="91" t="b">
        <v>0</v>
      </c>
      <c r="H590" s="91" t="b">
        <v>0</v>
      </c>
      <c r="I590" s="91" t="b">
        <v>0</v>
      </c>
      <c r="J590" s="91" t="b">
        <v>0</v>
      </c>
      <c r="K590" s="91" t="b">
        <v>0</v>
      </c>
      <c r="L590" s="91" t="b">
        <v>0</v>
      </c>
    </row>
    <row r="591" spans="1:12" ht="15">
      <c r="A591" s="92" t="s">
        <v>2576</v>
      </c>
      <c r="B591" s="91" t="s">
        <v>2938</v>
      </c>
      <c r="C591" s="91">
        <v>5</v>
      </c>
      <c r="D591" s="114">
        <v>0.0008094461357871533</v>
      </c>
      <c r="E591" s="114">
        <v>1.8919051777815135</v>
      </c>
      <c r="F591" s="91" t="s">
        <v>3159</v>
      </c>
      <c r="G591" s="91" t="b">
        <v>0</v>
      </c>
      <c r="H591" s="91" t="b">
        <v>0</v>
      </c>
      <c r="I591" s="91" t="b">
        <v>0</v>
      </c>
      <c r="J591" s="91" t="b">
        <v>0</v>
      </c>
      <c r="K591" s="91" t="b">
        <v>0</v>
      </c>
      <c r="L591" s="91" t="b">
        <v>0</v>
      </c>
    </row>
    <row r="592" spans="1:12" ht="15">
      <c r="A592" s="92" t="s">
        <v>2938</v>
      </c>
      <c r="B592" s="91" t="s">
        <v>2569</v>
      </c>
      <c r="C592" s="91">
        <v>5</v>
      </c>
      <c r="D592" s="114">
        <v>0.0008094461357871533</v>
      </c>
      <c r="E592" s="114">
        <v>1.760369436119983</v>
      </c>
      <c r="F592" s="91" t="s">
        <v>3159</v>
      </c>
      <c r="G592" s="91" t="b">
        <v>0</v>
      </c>
      <c r="H592" s="91" t="b">
        <v>0</v>
      </c>
      <c r="I592" s="91" t="b">
        <v>0</v>
      </c>
      <c r="J592" s="91" t="b">
        <v>0</v>
      </c>
      <c r="K592" s="91" t="b">
        <v>0</v>
      </c>
      <c r="L592" s="91" t="b">
        <v>0</v>
      </c>
    </row>
    <row r="593" spans="1:12" ht="15">
      <c r="A593" s="92" t="s">
        <v>2572</v>
      </c>
      <c r="B593" s="91" t="s">
        <v>2939</v>
      </c>
      <c r="C593" s="91">
        <v>5</v>
      </c>
      <c r="D593" s="114">
        <v>0.0008094461357871533</v>
      </c>
      <c r="E593" s="114">
        <v>1.8186732642470897</v>
      </c>
      <c r="F593" s="91" t="s">
        <v>3159</v>
      </c>
      <c r="G593" s="91" t="b">
        <v>0</v>
      </c>
      <c r="H593" s="91" t="b">
        <v>0</v>
      </c>
      <c r="I593" s="91" t="b">
        <v>0</v>
      </c>
      <c r="J593" s="91" t="b">
        <v>0</v>
      </c>
      <c r="K593" s="91" t="b">
        <v>0</v>
      </c>
      <c r="L593" s="91" t="b">
        <v>0</v>
      </c>
    </row>
    <row r="594" spans="1:12" ht="15">
      <c r="A594" s="92" t="s">
        <v>2939</v>
      </c>
      <c r="B594" s="91" t="s">
        <v>2580</v>
      </c>
      <c r="C594" s="91">
        <v>5</v>
      </c>
      <c r="D594" s="114">
        <v>0.0008094461357871533</v>
      </c>
      <c r="E594" s="114">
        <v>1.9486328022304407</v>
      </c>
      <c r="F594" s="91" t="s">
        <v>3159</v>
      </c>
      <c r="G594" s="91" t="b">
        <v>0</v>
      </c>
      <c r="H594" s="91" t="b">
        <v>0</v>
      </c>
      <c r="I594" s="91" t="b">
        <v>0</v>
      </c>
      <c r="J594" s="91" t="b">
        <v>0</v>
      </c>
      <c r="K594" s="91" t="b">
        <v>0</v>
      </c>
      <c r="L594" s="91" t="b">
        <v>0</v>
      </c>
    </row>
    <row r="595" spans="1:12" ht="15">
      <c r="A595" s="92" t="s">
        <v>2580</v>
      </c>
      <c r="B595" s="91" t="s">
        <v>2848</v>
      </c>
      <c r="C595" s="91">
        <v>5</v>
      </c>
      <c r="D595" s="114">
        <v>0.0008094461357871533</v>
      </c>
      <c r="E595" s="114">
        <v>1.8025047665522027</v>
      </c>
      <c r="F595" s="91" t="s">
        <v>3159</v>
      </c>
      <c r="G595" s="91" t="b">
        <v>0</v>
      </c>
      <c r="H595" s="91" t="b">
        <v>0</v>
      </c>
      <c r="I595" s="91" t="b">
        <v>0</v>
      </c>
      <c r="J595" s="91" t="b">
        <v>0</v>
      </c>
      <c r="K595" s="91" t="b">
        <v>0</v>
      </c>
      <c r="L595" s="91" t="b">
        <v>0</v>
      </c>
    </row>
    <row r="596" spans="1:12" ht="15">
      <c r="A596" s="92" t="s">
        <v>2850</v>
      </c>
      <c r="B596" s="91" t="s">
        <v>2940</v>
      </c>
      <c r="C596" s="91">
        <v>5</v>
      </c>
      <c r="D596" s="114">
        <v>0.0008094461357871533</v>
      </c>
      <c r="E596" s="114">
        <v>3.214124472515433</v>
      </c>
      <c r="F596" s="91" t="s">
        <v>3159</v>
      </c>
      <c r="G596" s="91" t="b">
        <v>0</v>
      </c>
      <c r="H596" s="91" t="b">
        <v>0</v>
      </c>
      <c r="I596" s="91" t="b">
        <v>0</v>
      </c>
      <c r="J596" s="91" t="b">
        <v>0</v>
      </c>
      <c r="K596" s="91" t="b">
        <v>0</v>
      </c>
      <c r="L596" s="91" t="b">
        <v>0</v>
      </c>
    </row>
    <row r="597" spans="1:12" ht="15">
      <c r="A597" s="92" t="s">
        <v>2940</v>
      </c>
      <c r="B597" s="91" t="s">
        <v>2571</v>
      </c>
      <c r="C597" s="91">
        <v>5</v>
      </c>
      <c r="D597" s="114">
        <v>0.0008094461357871533</v>
      </c>
      <c r="E597" s="114">
        <v>1.7517264746164767</v>
      </c>
      <c r="F597" s="91" t="s">
        <v>3159</v>
      </c>
      <c r="G597" s="91" t="b">
        <v>0</v>
      </c>
      <c r="H597" s="91" t="b">
        <v>0</v>
      </c>
      <c r="I597" s="91" t="b">
        <v>0</v>
      </c>
      <c r="J597" s="91" t="b">
        <v>0</v>
      </c>
      <c r="K597" s="91" t="b">
        <v>0</v>
      </c>
      <c r="L597" s="91" t="b">
        <v>0</v>
      </c>
    </row>
    <row r="598" spans="1:12" ht="15">
      <c r="A598" s="92" t="s">
        <v>2622</v>
      </c>
      <c r="B598" s="91" t="s">
        <v>2564</v>
      </c>
      <c r="C598" s="91">
        <v>5</v>
      </c>
      <c r="D598" s="114">
        <v>0.0008094461357871533</v>
      </c>
      <c r="E598" s="114">
        <v>0.48276598012406946</v>
      </c>
      <c r="F598" s="91" t="s">
        <v>3159</v>
      </c>
      <c r="G598" s="91" t="b">
        <v>0</v>
      </c>
      <c r="H598" s="91" t="b">
        <v>0</v>
      </c>
      <c r="I598" s="91" t="b">
        <v>0</v>
      </c>
      <c r="J598" s="91" t="b">
        <v>0</v>
      </c>
      <c r="K598" s="91" t="b">
        <v>0</v>
      </c>
      <c r="L598" s="91" t="b">
        <v>0</v>
      </c>
    </row>
    <row r="599" spans="1:12" ht="15">
      <c r="A599" s="92" t="s">
        <v>2609</v>
      </c>
      <c r="B599" s="91" t="s">
        <v>2585</v>
      </c>
      <c r="C599" s="91">
        <v>5</v>
      </c>
      <c r="D599" s="114">
        <v>0.0008094461357871533</v>
      </c>
      <c r="E599" s="114">
        <v>1.0079927890365263</v>
      </c>
      <c r="F599" s="91" t="s">
        <v>3159</v>
      </c>
      <c r="G599" s="91" t="b">
        <v>0</v>
      </c>
      <c r="H599" s="91" t="b">
        <v>0</v>
      </c>
      <c r="I599" s="91" t="b">
        <v>0</v>
      </c>
      <c r="J599" s="91" t="b">
        <v>0</v>
      </c>
      <c r="K599" s="91" t="b">
        <v>0</v>
      </c>
      <c r="L599" s="91" t="b">
        <v>0</v>
      </c>
    </row>
    <row r="600" spans="1:12" ht="15">
      <c r="A600" s="92" t="s">
        <v>2770</v>
      </c>
      <c r="B600" s="91" t="s">
        <v>2588</v>
      </c>
      <c r="C600" s="91">
        <v>5</v>
      </c>
      <c r="D600" s="114">
        <v>0.0008094461357871533</v>
      </c>
      <c r="E600" s="114">
        <v>1.8039500074263837</v>
      </c>
      <c r="F600" s="91" t="s">
        <v>3159</v>
      </c>
      <c r="G600" s="91" t="b">
        <v>0</v>
      </c>
      <c r="H600" s="91" t="b">
        <v>0</v>
      </c>
      <c r="I600" s="91" t="b">
        <v>0</v>
      </c>
      <c r="J600" s="91" t="b">
        <v>0</v>
      </c>
      <c r="K600" s="91" t="b">
        <v>0</v>
      </c>
      <c r="L600" s="91" t="b">
        <v>0</v>
      </c>
    </row>
    <row r="601" spans="1:12" ht="15">
      <c r="A601" s="92" t="s">
        <v>2588</v>
      </c>
      <c r="B601" s="91" t="s">
        <v>2579</v>
      </c>
      <c r="C601" s="91">
        <v>5</v>
      </c>
      <c r="D601" s="114">
        <v>0.0008094461357871533</v>
      </c>
      <c r="E601" s="114">
        <v>0.6833760762205336</v>
      </c>
      <c r="F601" s="91" t="s">
        <v>3159</v>
      </c>
      <c r="G601" s="91" t="b">
        <v>0</v>
      </c>
      <c r="H601" s="91" t="b">
        <v>0</v>
      </c>
      <c r="I601" s="91" t="b">
        <v>0</v>
      </c>
      <c r="J601" s="91" t="b">
        <v>0</v>
      </c>
      <c r="K601" s="91" t="b">
        <v>0</v>
      </c>
      <c r="L601" s="91" t="b">
        <v>0</v>
      </c>
    </row>
    <row r="602" spans="1:12" ht="15">
      <c r="A602" s="92" t="s">
        <v>2575</v>
      </c>
      <c r="B602" s="91" t="s">
        <v>2573</v>
      </c>
      <c r="C602" s="91">
        <v>5</v>
      </c>
      <c r="D602" s="114">
        <v>0.0008094461357871533</v>
      </c>
      <c r="E602" s="114">
        <v>0.364617313596121</v>
      </c>
      <c r="F602" s="91" t="s">
        <v>3159</v>
      </c>
      <c r="G602" s="91" t="b">
        <v>0</v>
      </c>
      <c r="H602" s="91" t="b">
        <v>0</v>
      </c>
      <c r="I602" s="91" t="b">
        <v>0</v>
      </c>
      <c r="J602" s="91" t="b">
        <v>0</v>
      </c>
      <c r="K602" s="91" t="b">
        <v>0</v>
      </c>
      <c r="L602" s="91" t="b">
        <v>0</v>
      </c>
    </row>
    <row r="603" spans="1:12" ht="15">
      <c r="A603" s="92" t="s">
        <v>2594</v>
      </c>
      <c r="B603" s="91" t="s">
        <v>2567</v>
      </c>
      <c r="C603" s="91">
        <v>5</v>
      </c>
      <c r="D603" s="114">
        <v>0.0008094461357871533</v>
      </c>
      <c r="E603" s="114">
        <v>0.6293410935189251</v>
      </c>
      <c r="F603" s="91" t="s">
        <v>3159</v>
      </c>
      <c r="G603" s="91" t="b">
        <v>0</v>
      </c>
      <c r="H603" s="91" t="b">
        <v>0</v>
      </c>
      <c r="I603" s="91" t="b">
        <v>0</v>
      </c>
      <c r="J603" s="91" t="b">
        <v>0</v>
      </c>
      <c r="K603" s="91" t="b">
        <v>0</v>
      </c>
      <c r="L603" s="91" t="b">
        <v>0</v>
      </c>
    </row>
    <row r="604" spans="1:12" ht="15">
      <c r="A604" s="92" t="s">
        <v>2941</v>
      </c>
      <c r="B604" s="91" t="s">
        <v>2648</v>
      </c>
      <c r="C604" s="91">
        <v>5</v>
      </c>
      <c r="D604" s="114">
        <v>0.0008094461357871533</v>
      </c>
      <c r="E604" s="114">
        <v>2.567860818695417</v>
      </c>
      <c r="F604" s="91" t="s">
        <v>3159</v>
      </c>
      <c r="G604" s="91" t="b">
        <v>0</v>
      </c>
      <c r="H604" s="91" t="b">
        <v>0</v>
      </c>
      <c r="I604" s="91" t="b">
        <v>0</v>
      </c>
      <c r="J604" s="91" t="b">
        <v>0</v>
      </c>
      <c r="K604" s="91" t="b">
        <v>0</v>
      </c>
      <c r="L604" s="91" t="b">
        <v>0</v>
      </c>
    </row>
    <row r="605" spans="1:12" ht="15">
      <c r="A605" s="92" t="s">
        <v>2648</v>
      </c>
      <c r="B605" s="91" t="s">
        <v>2942</v>
      </c>
      <c r="C605" s="91">
        <v>5</v>
      </c>
      <c r="D605" s="114">
        <v>0.0008094461357871533</v>
      </c>
      <c r="E605" s="114">
        <v>2.567860818695417</v>
      </c>
      <c r="F605" s="91" t="s">
        <v>3159</v>
      </c>
      <c r="G605" s="91" t="b">
        <v>0</v>
      </c>
      <c r="H605" s="91" t="b">
        <v>0</v>
      </c>
      <c r="I605" s="91" t="b">
        <v>0</v>
      </c>
      <c r="J605" s="91" t="b">
        <v>0</v>
      </c>
      <c r="K605" s="91" t="b">
        <v>0</v>
      </c>
      <c r="L605" s="91" t="b">
        <v>0</v>
      </c>
    </row>
    <row r="606" spans="1:12" ht="15">
      <c r="A606" s="92" t="s">
        <v>2942</v>
      </c>
      <c r="B606" s="91" t="s">
        <v>2943</v>
      </c>
      <c r="C606" s="91">
        <v>5</v>
      </c>
      <c r="D606" s="114">
        <v>0.0008094461357871533</v>
      </c>
      <c r="E606" s="114">
        <v>3.3602525081936707</v>
      </c>
      <c r="F606" s="91" t="s">
        <v>3159</v>
      </c>
      <c r="G606" s="91" t="b">
        <v>0</v>
      </c>
      <c r="H606" s="91" t="b">
        <v>0</v>
      </c>
      <c r="I606" s="91" t="b">
        <v>0</v>
      </c>
      <c r="J606" s="91" t="b">
        <v>0</v>
      </c>
      <c r="K606" s="91" t="b">
        <v>0</v>
      </c>
      <c r="L606" s="91" t="b">
        <v>0</v>
      </c>
    </row>
    <row r="607" spans="1:12" ht="15">
      <c r="A607" s="92" t="s">
        <v>2943</v>
      </c>
      <c r="B607" s="91" t="s">
        <v>2944</v>
      </c>
      <c r="C607" s="91">
        <v>5</v>
      </c>
      <c r="D607" s="114">
        <v>0.0008094461357871533</v>
      </c>
      <c r="E607" s="114">
        <v>3.3602525081936707</v>
      </c>
      <c r="F607" s="91" t="s">
        <v>3159</v>
      </c>
      <c r="G607" s="91" t="b">
        <v>0</v>
      </c>
      <c r="H607" s="91" t="b">
        <v>0</v>
      </c>
      <c r="I607" s="91" t="b">
        <v>0</v>
      </c>
      <c r="J607" s="91" t="b">
        <v>0</v>
      </c>
      <c r="K607" s="91" t="b">
        <v>0</v>
      </c>
      <c r="L607" s="91" t="b">
        <v>0</v>
      </c>
    </row>
    <row r="608" spans="1:12" ht="15">
      <c r="A608" s="92" t="s">
        <v>2944</v>
      </c>
      <c r="B608" s="91" t="s">
        <v>2945</v>
      </c>
      <c r="C608" s="91">
        <v>5</v>
      </c>
      <c r="D608" s="114">
        <v>0.0008094461357871533</v>
      </c>
      <c r="E608" s="114">
        <v>3.3602525081936707</v>
      </c>
      <c r="F608" s="91" t="s">
        <v>3159</v>
      </c>
      <c r="G608" s="91" t="b">
        <v>0</v>
      </c>
      <c r="H608" s="91" t="b">
        <v>0</v>
      </c>
      <c r="I608" s="91" t="b">
        <v>0</v>
      </c>
      <c r="J608" s="91" t="b">
        <v>0</v>
      </c>
      <c r="K608" s="91" t="b">
        <v>0</v>
      </c>
      <c r="L608" s="91" t="b">
        <v>0</v>
      </c>
    </row>
    <row r="609" spans="1:12" ht="15">
      <c r="A609" s="92" t="s">
        <v>2945</v>
      </c>
      <c r="B609" s="91" t="s">
        <v>2946</v>
      </c>
      <c r="C609" s="91">
        <v>5</v>
      </c>
      <c r="D609" s="114">
        <v>0.0008094461357871533</v>
      </c>
      <c r="E609" s="114">
        <v>3.3602525081936707</v>
      </c>
      <c r="F609" s="91" t="s">
        <v>3159</v>
      </c>
      <c r="G609" s="91" t="b">
        <v>0</v>
      </c>
      <c r="H609" s="91" t="b">
        <v>0</v>
      </c>
      <c r="I609" s="91" t="b">
        <v>0</v>
      </c>
      <c r="J609" s="91" t="b">
        <v>0</v>
      </c>
      <c r="K609" s="91" t="b">
        <v>0</v>
      </c>
      <c r="L609" s="91" t="b">
        <v>0</v>
      </c>
    </row>
    <row r="610" spans="1:12" ht="15">
      <c r="A610" s="92" t="s">
        <v>2946</v>
      </c>
      <c r="B610" s="91" t="s">
        <v>2656</v>
      </c>
      <c r="C610" s="91">
        <v>5</v>
      </c>
      <c r="D610" s="114">
        <v>0.0008094461357871533</v>
      </c>
      <c r="E610" s="114">
        <v>2.6442491645588717</v>
      </c>
      <c r="F610" s="91" t="s">
        <v>3159</v>
      </c>
      <c r="G610" s="91" t="b">
        <v>0</v>
      </c>
      <c r="H610" s="91" t="b">
        <v>0</v>
      </c>
      <c r="I610" s="91" t="b">
        <v>0</v>
      </c>
      <c r="J610" s="91" t="b">
        <v>0</v>
      </c>
      <c r="K610" s="91" t="b">
        <v>0</v>
      </c>
      <c r="L610" s="91" t="b">
        <v>0</v>
      </c>
    </row>
    <row r="611" spans="1:12" ht="15">
      <c r="A611" s="92" t="s">
        <v>2656</v>
      </c>
      <c r="B611" s="91" t="s">
        <v>2947</v>
      </c>
      <c r="C611" s="91">
        <v>5</v>
      </c>
      <c r="D611" s="114">
        <v>0.0008094461357871533</v>
      </c>
      <c r="E611" s="114">
        <v>2.6442491645588717</v>
      </c>
      <c r="F611" s="91" t="s">
        <v>3159</v>
      </c>
      <c r="G611" s="91" t="b">
        <v>0</v>
      </c>
      <c r="H611" s="91" t="b">
        <v>0</v>
      </c>
      <c r="I611" s="91" t="b">
        <v>0</v>
      </c>
      <c r="J611" s="91" t="b">
        <v>0</v>
      </c>
      <c r="K611" s="91" t="b">
        <v>0</v>
      </c>
      <c r="L611" s="91" t="b">
        <v>0</v>
      </c>
    </row>
    <row r="612" spans="1:12" ht="15">
      <c r="A612" s="92" t="s">
        <v>2947</v>
      </c>
      <c r="B612" s="91" t="s">
        <v>2580</v>
      </c>
      <c r="C612" s="91">
        <v>5</v>
      </c>
      <c r="D612" s="114">
        <v>0.0008094461357871533</v>
      </c>
      <c r="E612" s="114">
        <v>1.9486328022304407</v>
      </c>
      <c r="F612" s="91" t="s">
        <v>3159</v>
      </c>
      <c r="G612" s="91" t="b">
        <v>0</v>
      </c>
      <c r="H612" s="91" t="b">
        <v>0</v>
      </c>
      <c r="I612" s="91" t="b">
        <v>0</v>
      </c>
      <c r="J612" s="91" t="b">
        <v>0</v>
      </c>
      <c r="K612" s="91" t="b">
        <v>0</v>
      </c>
      <c r="L612" s="91" t="b">
        <v>0</v>
      </c>
    </row>
    <row r="613" spans="1:12" ht="15">
      <c r="A613" s="92" t="s">
        <v>2572</v>
      </c>
      <c r="B613" s="91" t="s">
        <v>2948</v>
      </c>
      <c r="C613" s="91">
        <v>5</v>
      </c>
      <c r="D613" s="114">
        <v>0.0008094461357871533</v>
      </c>
      <c r="E613" s="114">
        <v>1.8186732642470897</v>
      </c>
      <c r="F613" s="91" t="s">
        <v>3159</v>
      </c>
      <c r="G613" s="91" t="b">
        <v>0</v>
      </c>
      <c r="H613" s="91" t="b">
        <v>0</v>
      </c>
      <c r="I613" s="91" t="b">
        <v>0</v>
      </c>
      <c r="J613" s="91" t="b">
        <v>0</v>
      </c>
      <c r="K613" s="91" t="b">
        <v>0</v>
      </c>
      <c r="L613" s="91" t="b">
        <v>0</v>
      </c>
    </row>
    <row r="614" spans="1:12" ht="15">
      <c r="A614" s="92" t="s">
        <v>2948</v>
      </c>
      <c r="B614" s="91" t="s">
        <v>2565</v>
      </c>
      <c r="C614" s="91">
        <v>5</v>
      </c>
      <c r="D614" s="114">
        <v>0.0008094461357871533</v>
      </c>
      <c r="E614" s="114">
        <v>1.6937345276387898</v>
      </c>
      <c r="F614" s="91" t="s">
        <v>3159</v>
      </c>
      <c r="G614" s="91" t="b">
        <v>0</v>
      </c>
      <c r="H614" s="91" t="b">
        <v>0</v>
      </c>
      <c r="I614" s="91" t="b">
        <v>0</v>
      </c>
      <c r="J614" s="91" t="b">
        <v>0</v>
      </c>
      <c r="K614" s="91" t="b">
        <v>0</v>
      </c>
      <c r="L614" s="91" t="b">
        <v>0</v>
      </c>
    </row>
    <row r="615" spans="1:12" ht="15">
      <c r="A615" s="92" t="s">
        <v>2739</v>
      </c>
      <c r="B615" s="91" t="s">
        <v>2564</v>
      </c>
      <c r="C615" s="91">
        <v>5</v>
      </c>
      <c r="D615" s="114">
        <v>0.0008094461357871533</v>
      </c>
      <c r="E615" s="114">
        <v>1.0220351415925764</v>
      </c>
      <c r="F615" s="91" t="s">
        <v>3159</v>
      </c>
      <c r="G615" s="91" t="b">
        <v>0</v>
      </c>
      <c r="H615" s="91" t="b">
        <v>0</v>
      </c>
      <c r="I615" s="91" t="b">
        <v>0</v>
      </c>
      <c r="J615" s="91" t="b">
        <v>0</v>
      </c>
      <c r="K615" s="91" t="b">
        <v>0</v>
      </c>
      <c r="L615" s="91" t="b">
        <v>0</v>
      </c>
    </row>
    <row r="616" spans="1:12" ht="15">
      <c r="A616" s="92" t="s">
        <v>2770</v>
      </c>
      <c r="B616" s="91" t="s">
        <v>2644</v>
      </c>
      <c r="C616" s="91">
        <v>5</v>
      </c>
      <c r="D616" s="114">
        <v>0.0008094461357871533</v>
      </c>
      <c r="E616" s="114">
        <v>2.214124472515433</v>
      </c>
      <c r="F616" s="91" t="s">
        <v>3159</v>
      </c>
      <c r="G616" s="91" t="b">
        <v>0</v>
      </c>
      <c r="H616" s="91" t="b">
        <v>0</v>
      </c>
      <c r="I616" s="91" t="b">
        <v>0</v>
      </c>
      <c r="J616" s="91" t="b">
        <v>0</v>
      </c>
      <c r="K616" s="91" t="b">
        <v>0</v>
      </c>
      <c r="L616" s="91" t="b">
        <v>0</v>
      </c>
    </row>
    <row r="617" spans="1:12" ht="15">
      <c r="A617" s="92" t="s">
        <v>2578</v>
      </c>
      <c r="B617" s="91" t="s">
        <v>2949</v>
      </c>
      <c r="C617" s="91">
        <v>5</v>
      </c>
      <c r="D617" s="114">
        <v>0.0008094461357871533</v>
      </c>
      <c r="E617" s="114">
        <v>1.9288887440346836</v>
      </c>
      <c r="F617" s="91" t="s">
        <v>3159</v>
      </c>
      <c r="G617" s="91" t="b">
        <v>0</v>
      </c>
      <c r="H617" s="91" t="b">
        <v>0</v>
      </c>
      <c r="I617" s="91" t="b">
        <v>0</v>
      </c>
      <c r="J617" s="91" t="b">
        <v>0</v>
      </c>
      <c r="K617" s="91" t="b">
        <v>0</v>
      </c>
      <c r="L617" s="91" t="b">
        <v>0</v>
      </c>
    </row>
    <row r="618" spans="1:12" ht="15">
      <c r="A618" s="92" t="s">
        <v>2949</v>
      </c>
      <c r="B618" s="91" t="s">
        <v>2580</v>
      </c>
      <c r="C618" s="91">
        <v>5</v>
      </c>
      <c r="D618" s="114">
        <v>0.0008094461357871533</v>
      </c>
      <c r="E618" s="114">
        <v>1.9486328022304407</v>
      </c>
      <c r="F618" s="91" t="s">
        <v>3159</v>
      </c>
      <c r="G618" s="91" t="b">
        <v>0</v>
      </c>
      <c r="H618" s="91" t="b">
        <v>0</v>
      </c>
      <c r="I618" s="91" t="b">
        <v>0</v>
      </c>
      <c r="J618" s="91" t="b">
        <v>0</v>
      </c>
      <c r="K618" s="91" t="b">
        <v>0</v>
      </c>
      <c r="L618" s="91" t="b">
        <v>0</v>
      </c>
    </row>
    <row r="619" spans="1:12" ht="15">
      <c r="A619" s="92" t="s">
        <v>2580</v>
      </c>
      <c r="B619" s="91" t="s">
        <v>2768</v>
      </c>
      <c r="C619" s="91">
        <v>5</v>
      </c>
      <c r="D619" s="114">
        <v>0.0008094461357871533</v>
      </c>
      <c r="E619" s="114">
        <v>1.6062101214082343</v>
      </c>
      <c r="F619" s="91" t="s">
        <v>3159</v>
      </c>
      <c r="G619" s="91" t="b">
        <v>0</v>
      </c>
      <c r="H619" s="91" t="b">
        <v>0</v>
      </c>
      <c r="I619" s="91" t="b">
        <v>0</v>
      </c>
      <c r="J619" s="91" t="b">
        <v>0</v>
      </c>
      <c r="K619" s="91" t="b">
        <v>0</v>
      </c>
      <c r="L619" s="91" t="b">
        <v>0</v>
      </c>
    </row>
    <row r="620" spans="1:12" ht="15">
      <c r="A620" s="92" t="s">
        <v>2768</v>
      </c>
      <c r="B620" s="91" t="s">
        <v>2568</v>
      </c>
      <c r="C620" s="91">
        <v>5</v>
      </c>
      <c r="D620" s="114">
        <v>0.0008094461357871533</v>
      </c>
      <c r="E620" s="114">
        <v>1.390463970778732</v>
      </c>
      <c r="F620" s="91" t="s">
        <v>3159</v>
      </c>
      <c r="G620" s="91" t="b">
        <v>0</v>
      </c>
      <c r="H620" s="91" t="b">
        <v>0</v>
      </c>
      <c r="I620" s="91" t="b">
        <v>0</v>
      </c>
      <c r="J620" s="91" t="b">
        <v>0</v>
      </c>
      <c r="K620" s="91" t="b">
        <v>0</v>
      </c>
      <c r="L620" s="91" t="b">
        <v>0</v>
      </c>
    </row>
    <row r="621" spans="1:12" ht="15">
      <c r="A621" s="92" t="s">
        <v>2768</v>
      </c>
      <c r="B621" s="91" t="s">
        <v>2871</v>
      </c>
      <c r="C621" s="91">
        <v>5</v>
      </c>
      <c r="D621" s="114">
        <v>0.0008094461357871533</v>
      </c>
      <c r="E621" s="114">
        <v>2.871701791693227</v>
      </c>
      <c r="F621" s="91" t="s">
        <v>3159</v>
      </c>
      <c r="G621" s="91" t="b">
        <v>0</v>
      </c>
      <c r="H621" s="91" t="b">
        <v>0</v>
      </c>
      <c r="I621" s="91" t="b">
        <v>0</v>
      </c>
      <c r="J621" s="91" t="b">
        <v>0</v>
      </c>
      <c r="K621" s="91" t="b">
        <v>0</v>
      </c>
      <c r="L621" s="91" t="b">
        <v>0</v>
      </c>
    </row>
    <row r="622" spans="1:12" ht="15">
      <c r="A622" s="92" t="s">
        <v>2872</v>
      </c>
      <c r="B622" s="91" t="s">
        <v>2950</v>
      </c>
      <c r="C622" s="91">
        <v>5</v>
      </c>
      <c r="D622" s="114">
        <v>0.0008094461357871533</v>
      </c>
      <c r="E622" s="114">
        <v>3.214124472515433</v>
      </c>
      <c r="F622" s="91" t="s">
        <v>3159</v>
      </c>
      <c r="G622" s="91" t="b">
        <v>0</v>
      </c>
      <c r="H622" s="91" t="b">
        <v>0</v>
      </c>
      <c r="I622" s="91" t="b">
        <v>0</v>
      </c>
      <c r="J622" s="91" t="b">
        <v>0</v>
      </c>
      <c r="K622" s="91" t="b">
        <v>0</v>
      </c>
      <c r="L622" s="91" t="b">
        <v>0</v>
      </c>
    </row>
    <row r="623" spans="1:12" ht="15">
      <c r="A623" s="92" t="s">
        <v>2950</v>
      </c>
      <c r="B623" s="91" t="s">
        <v>2571</v>
      </c>
      <c r="C623" s="91">
        <v>5</v>
      </c>
      <c r="D623" s="114">
        <v>0.0008094461357871533</v>
      </c>
      <c r="E623" s="114">
        <v>1.7517264746164767</v>
      </c>
      <c r="F623" s="91" t="s">
        <v>3159</v>
      </c>
      <c r="G623" s="91" t="b">
        <v>0</v>
      </c>
      <c r="H623" s="91" t="b">
        <v>0</v>
      </c>
      <c r="I623" s="91" t="b">
        <v>0</v>
      </c>
      <c r="J623" s="91" t="b">
        <v>0</v>
      </c>
      <c r="K623" s="91" t="b">
        <v>0</v>
      </c>
      <c r="L623" s="91" t="b">
        <v>0</v>
      </c>
    </row>
    <row r="624" spans="1:12" ht="15">
      <c r="A624" s="92" t="s">
        <v>2584</v>
      </c>
      <c r="B624" s="91" t="s">
        <v>2588</v>
      </c>
      <c r="C624" s="91">
        <v>5</v>
      </c>
      <c r="D624" s="114">
        <v>0.0008094461357871533</v>
      </c>
      <c r="E624" s="114">
        <v>0.7786441421616134</v>
      </c>
      <c r="F624" s="91" t="s">
        <v>3159</v>
      </c>
      <c r="G624" s="91" t="b">
        <v>0</v>
      </c>
      <c r="H624" s="91" t="b">
        <v>0</v>
      </c>
      <c r="I624" s="91" t="b">
        <v>0</v>
      </c>
      <c r="J624" s="91" t="b">
        <v>0</v>
      </c>
      <c r="K624" s="91" t="b">
        <v>0</v>
      </c>
      <c r="L624" s="91" t="b">
        <v>0</v>
      </c>
    </row>
    <row r="625" spans="1:12" ht="15">
      <c r="A625" s="92" t="s">
        <v>2615</v>
      </c>
      <c r="B625" s="91" t="s">
        <v>2579</v>
      </c>
      <c r="C625" s="91">
        <v>5</v>
      </c>
      <c r="D625" s="114">
        <v>0.0008094461357871533</v>
      </c>
      <c r="E625" s="114">
        <v>0.9216152420250594</v>
      </c>
      <c r="F625" s="91" t="s">
        <v>3159</v>
      </c>
      <c r="G625" s="91" t="b">
        <v>0</v>
      </c>
      <c r="H625" s="91" t="b">
        <v>0</v>
      </c>
      <c r="I625" s="91" t="b">
        <v>0</v>
      </c>
      <c r="J625" s="91" t="b">
        <v>0</v>
      </c>
      <c r="K625" s="91" t="b">
        <v>0</v>
      </c>
      <c r="L625" s="91" t="b">
        <v>0</v>
      </c>
    </row>
    <row r="626" spans="1:12" ht="15">
      <c r="A626" s="92" t="s">
        <v>2612</v>
      </c>
      <c r="B626" s="91" t="s">
        <v>2570</v>
      </c>
      <c r="C626" s="91">
        <v>5</v>
      </c>
      <c r="D626" s="114">
        <v>0.0008094461357871533</v>
      </c>
      <c r="E626" s="114">
        <v>0.7388684797120179</v>
      </c>
      <c r="F626" s="91" t="s">
        <v>3159</v>
      </c>
      <c r="G626" s="91" t="b">
        <v>0</v>
      </c>
      <c r="H626" s="91" t="b">
        <v>0</v>
      </c>
      <c r="I626" s="91" t="b">
        <v>0</v>
      </c>
      <c r="J626" s="91" t="b">
        <v>0</v>
      </c>
      <c r="K626" s="91" t="b">
        <v>0</v>
      </c>
      <c r="L626" s="91" t="b">
        <v>0</v>
      </c>
    </row>
    <row r="627" spans="1:12" ht="15">
      <c r="A627" s="92" t="s">
        <v>2570</v>
      </c>
      <c r="B627" s="91" t="s">
        <v>2618</v>
      </c>
      <c r="C627" s="91">
        <v>5</v>
      </c>
      <c r="D627" s="114">
        <v>0.0008094461357871533</v>
      </c>
      <c r="E627" s="114">
        <v>0.7581925168657084</v>
      </c>
      <c r="F627" s="91" t="s">
        <v>3159</v>
      </c>
      <c r="G627" s="91" t="b">
        <v>0</v>
      </c>
      <c r="H627" s="91" t="b">
        <v>0</v>
      </c>
      <c r="I627" s="91" t="b">
        <v>0</v>
      </c>
      <c r="J627" s="91" t="b">
        <v>0</v>
      </c>
      <c r="K627" s="91" t="b">
        <v>0</v>
      </c>
      <c r="L627" s="91" t="b">
        <v>0</v>
      </c>
    </row>
    <row r="628" spans="1:12" ht="15">
      <c r="A628" s="92" t="s">
        <v>2618</v>
      </c>
      <c r="B628" s="91" t="s">
        <v>2594</v>
      </c>
      <c r="C628" s="91">
        <v>5</v>
      </c>
      <c r="D628" s="114">
        <v>0.0008094461357871533</v>
      </c>
      <c r="E628" s="114">
        <v>1.2409966189157342</v>
      </c>
      <c r="F628" s="91" t="s">
        <v>3159</v>
      </c>
      <c r="G628" s="91" t="b">
        <v>0</v>
      </c>
      <c r="H628" s="91" t="b">
        <v>0</v>
      </c>
      <c r="I628" s="91" t="b">
        <v>0</v>
      </c>
      <c r="J628" s="91" t="b">
        <v>0</v>
      </c>
      <c r="K628" s="91" t="b">
        <v>0</v>
      </c>
      <c r="L628" s="91" t="b">
        <v>0</v>
      </c>
    </row>
    <row r="629" spans="1:12" ht="15">
      <c r="A629" s="92" t="s">
        <v>2616</v>
      </c>
      <c r="B629" s="91" t="s">
        <v>2571</v>
      </c>
      <c r="C629" s="91">
        <v>5</v>
      </c>
      <c r="D629" s="114">
        <v>0.0008094461357871533</v>
      </c>
      <c r="E629" s="114">
        <v>0.7346931353176963</v>
      </c>
      <c r="F629" s="91" t="s">
        <v>3159</v>
      </c>
      <c r="G629" s="91" t="b">
        <v>0</v>
      </c>
      <c r="H629" s="91" t="b">
        <v>0</v>
      </c>
      <c r="I629" s="91" t="b">
        <v>0</v>
      </c>
      <c r="J629" s="91" t="b">
        <v>0</v>
      </c>
      <c r="K629" s="91" t="b">
        <v>0</v>
      </c>
      <c r="L629" s="91" t="b">
        <v>0</v>
      </c>
    </row>
    <row r="630" spans="1:12" ht="15">
      <c r="A630" s="92" t="s">
        <v>2951</v>
      </c>
      <c r="B630" s="91" t="s">
        <v>2952</v>
      </c>
      <c r="C630" s="91">
        <v>5</v>
      </c>
      <c r="D630" s="114">
        <v>0.0008094461357871533</v>
      </c>
      <c r="E630" s="114">
        <v>3.3602525081936707</v>
      </c>
      <c r="F630" s="91" t="s">
        <v>3159</v>
      </c>
      <c r="G630" s="91" t="b">
        <v>0</v>
      </c>
      <c r="H630" s="91" t="b">
        <v>0</v>
      </c>
      <c r="I630" s="91" t="b">
        <v>0</v>
      </c>
      <c r="J630" s="91" t="b">
        <v>0</v>
      </c>
      <c r="K630" s="91" t="b">
        <v>0</v>
      </c>
      <c r="L630" s="91" t="b">
        <v>0</v>
      </c>
    </row>
    <row r="631" spans="1:12" ht="15">
      <c r="A631" s="92" t="s">
        <v>2952</v>
      </c>
      <c r="B631" s="91" t="s">
        <v>2571</v>
      </c>
      <c r="C631" s="91">
        <v>5</v>
      </c>
      <c r="D631" s="114">
        <v>0.0008094461357871533</v>
      </c>
      <c r="E631" s="114">
        <v>1.7517264746164767</v>
      </c>
      <c r="F631" s="91" t="s">
        <v>3159</v>
      </c>
      <c r="G631" s="91" t="b">
        <v>0</v>
      </c>
      <c r="H631" s="91" t="b">
        <v>0</v>
      </c>
      <c r="I631" s="91" t="b">
        <v>0</v>
      </c>
      <c r="J631" s="91" t="b">
        <v>0</v>
      </c>
      <c r="K631" s="91" t="b">
        <v>0</v>
      </c>
      <c r="L631" s="91" t="b">
        <v>0</v>
      </c>
    </row>
    <row r="632" spans="1:12" ht="15">
      <c r="A632" s="92" t="s">
        <v>2594</v>
      </c>
      <c r="B632" s="91" t="s">
        <v>2719</v>
      </c>
      <c r="C632" s="91">
        <v>5</v>
      </c>
      <c r="D632" s="114">
        <v>0.0008094461357871533</v>
      </c>
      <c r="E632" s="114">
        <v>1.6870472264146257</v>
      </c>
      <c r="F632" s="91" t="s">
        <v>3159</v>
      </c>
      <c r="G632" s="91" t="b">
        <v>0</v>
      </c>
      <c r="H632" s="91" t="b">
        <v>0</v>
      </c>
      <c r="I632" s="91" t="b">
        <v>0</v>
      </c>
      <c r="J632" s="91" t="b">
        <v>0</v>
      </c>
      <c r="K632" s="91" t="b">
        <v>0</v>
      </c>
      <c r="L632" s="91" t="b">
        <v>0</v>
      </c>
    </row>
    <row r="633" spans="1:12" ht="15">
      <c r="A633" s="92" t="s">
        <v>2719</v>
      </c>
      <c r="B633" s="91" t="s">
        <v>2653</v>
      </c>
      <c r="C633" s="91">
        <v>5</v>
      </c>
      <c r="D633" s="114">
        <v>0.0008094461357871533</v>
      </c>
      <c r="E633" s="114">
        <v>2.048075151753892</v>
      </c>
      <c r="F633" s="91" t="s">
        <v>3159</v>
      </c>
      <c r="G633" s="91" t="b">
        <v>0</v>
      </c>
      <c r="H633" s="91" t="b">
        <v>0</v>
      </c>
      <c r="I633" s="91" t="b">
        <v>0</v>
      </c>
      <c r="J633" s="91" t="b">
        <v>0</v>
      </c>
      <c r="K633" s="91" t="b">
        <v>0</v>
      </c>
      <c r="L633" s="91" t="b">
        <v>0</v>
      </c>
    </row>
    <row r="634" spans="1:12" ht="15">
      <c r="A634" s="92" t="s">
        <v>2653</v>
      </c>
      <c r="B634" s="91" t="s">
        <v>2665</v>
      </c>
      <c r="C634" s="91">
        <v>5</v>
      </c>
      <c r="D634" s="114">
        <v>0.0008094461357871533</v>
      </c>
      <c r="E634" s="114">
        <v>1.9466175109951152</v>
      </c>
      <c r="F634" s="91" t="s">
        <v>3159</v>
      </c>
      <c r="G634" s="91" t="b">
        <v>0</v>
      </c>
      <c r="H634" s="91" t="b">
        <v>0</v>
      </c>
      <c r="I634" s="91" t="b">
        <v>0</v>
      </c>
      <c r="J634" s="91" t="b">
        <v>0</v>
      </c>
      <c r="K634" s="91" t="b">
        <v>0</v>
      </c>
      <c r="L634" s="91" t="b">
        <v>0</v>
      </c>
    </row>
    <row r="635" spans="1:12" ht="15">
      <c r="A635" s="92" t="s">
        <v>2665</v>
      </c>
      <c r="B635" s="91" t="s">
        <v>2590</v>
      </c>
      <c r="C635" s="91">
        <v>5</v>
      </c>
      <c r="D635" s="114">
        <v>0.0008094461357871533</v>
      </c>
      <c r="E635" s="114">
        <v>1.4748912881621588</v>
      </c>
      <c r="F635" s="91" t="s">
        <v>3159</v>
      </c>
      <c r="G635" s="91" t="b">
        <v>0</v>
      </c>
      <c r="H635" s="91" t="b">
        <v>0</v>
      </c>
      <c r="I635" s="91" t="b">
        <v>0</v>
      </c>
      <c r="J635" s="91" t="b">
        <v>0</v>
      </c>
      <c r="K635" s="91" t="b">
        <v>0</v>
      </c>
      <c r="L635" s="91" t="b">
        <v>0</v>
      </c>
    </row>
    <row r="636" spans="1:12" ht="15">
      <c r="A636" s="92" t="s">
        <v>2590</v>
      </c>
      <c r="B636" s="91" t="s">
        <v>2953</v>
      </c>
      <c r="C636" s="91">
        <v>5</v>
      </c>
      <c r="D636" s="114">
        <v>0.0008094461357871533</v>
      </c>
      <c r="E636" s="114">
        <v>2.156132525537746</v>
      </c>
      <c r="F636" s="91" t="s">
        <v>3159</v>
      </c>
      <c r="G636" s="91" t="b">
        <v>0</v>
      </c>
      <c r="H636" s="91" t="b">
        <v>0</v>
      </c>
      <c r="I636" s="91" t="b">
        <v>0</v>
      </c>
      <c r="J636" s="91" t="b">
        <v>0</v>
      </c>
      <c r="K636" s="91" t="b">
        <v>0</v>
      </c>
      <c r="L636" s="91" t="b">
        <v>0</v>
      </c>
    </row>
    <row r="637" spans="1:12" ht="15">
      <c r="A637" s="92" t="s">
        <v>2953</v>
      </c>
      <c r="B637" s="91" t="s">
        <v>2591</v>
      </c>
      <c r="C637" s="91">
        <v>5</v>
      </c>
      <c r="D637" s="114">
        <v>0.0008094461357871533</v>
      </c>
      <c r="E637" s="114">
        <v>2.167127909839209</v>
      </c>
      <c r="F637" s="91" t="s">
        <v>3159</v>
      </c>
      <c r="G637" s="91" t="b">
        <v>0</v>
      </c>
      <c r="H637" s="91" t="b">
        <v>0</v>
      </c>
      <c r="I637" s="91" t="b">
        <v>0</v>
      </c>
      <c r="J637" s="91" t="b">
        <v>0</v>
      </c>
      <c r="K637" s="91" t="b">
        <v>0</v>
      </c>
      <c r="L637" s="91" t="b">
        <v>0</v>
      </c>
    </row>
    <row r="638" spans="1:12" ht="15">
      <c r="A638" s="92" t="s">
        <v>2582</v>
      </c>
      <c r="B638" s="91" t="s">
        <v>2578</v>
      </c>
      <c r="C638" s="91">
        <v>5</v>
      </c>
      <c r="D638" s="114">
        <v>0.0008094461357871533</v>
      </c>
      <c r="E638" s="114">
        <v>0.5754355858253094</v>
      </c>
      <c r="F638" s="91" t="s">
        <v>3159</v>
      </c>
      <c r="G638" s="91" t="b">
        <v>0</v>
      </c>
      <c r="H638" s="91" t="b">
        <v>0</v>
      </c>
      <c r="I638" s="91" t="b">
        <v>0</v>
      </c>
      <c r="J638" s="91" t="b">
        <v>0</v>
      </c>
      <c r="K638" s="91" t="b">
        <v>0</v>
      </c>
      <c r="L638" s="91" t="b">
        <v>0</v>
      </c>
    </row>
    <row r="639" spans="1:12" ht="15">
      <c r="A639" s="92" t="s">
        <v>2578</v>
      </c>
      <c r="B639" s="91" t="s">
        <v>2954</v>
      </c>
      <c r="C639" s="91">
        <v>5</v>
      </c>
      <c r="D639" s="114">
        <v>0.0008094461357871533</v>
      </c>
      <c r="E639" s="114">
        <v>1.9288887440346836</v>
      </c>
      <c r="F639" s="91" t="s">
        <v>3159</v>
      </c>
      <c r="G639" s="91" t="b">
        <v>0</v>
      </c>
      <c r="H639" s="91" t="b">
        <v>0</v>
      </c>
      <c r="I639" s="91" t="b">
        <v>0</v>
      </c>
      <c r="J639" s="91" t="b">
        <v>0</v>
      </c>
      <c r="K639" s="91" t="b">
        <v>0</v>
      </c>
      <c r="L639" s="91" t="b">
        <v>0</v>
      </c>
    </row>
    <row r="640" spans="1:12" ht="15">
      <c r="A640" s="92" t="s">
        <v>2954</v>
      </c>
      <c r="B640" s="91" t="s">
        <v>2955</v>
      </c>
      <c r="C640" s="91">
        <v>5</v>
      </c>
      <c r="D640" s="114">
        <v>0.0008094461357871533</v>
      </c>
      <c r="E640" s="114">
        <v>3.3602525081936707</v>
      </c>
      <c r="F640" s="91" t="s">
        <v>3159</v>
      </c>
      <c r="G640" s="91" t="b">
        <v>0</v>
      </c>
      <c r="H640" s="91" t="b">
        <v>0</v>
      </c>
      <c r="I640" s="91" t="b">
        <v>0</v>
      </c>
      <c r="J640" s="91" t="b">
        <v>0</v>
      </c>
      <c r="K640" s="91" t="b">
        <v>0</v>
      </c>
      <c r="L640" s="91" t="b">
        <v>0</v>
      </c>
    </row>
    <row r="641" spans="1:12" ht="15">
      <c r="A641" s="92" t="s">
        <v>2955</v>
      </c>
      <c r="B641" s="91" t="s">
        <v>2956</v>
      </c>
      <c r="C641" s="91">
        <v>5</v>
      </c>
      <c r="D641" s="114">
        <v>0.0008094461357871533</v>
      </c>
      <c r="E641" s="114">
        <v>3.3602525081936707</v>
      </c>
      <c r="F641" s="91" t="s">
        <v>3159</v>
      </c>
      <c r="G641" s="91" t="b">
        <v>0</v>
      </c>
      <c r="H641" s="91" t="b">
        <v>0</v>
      </c>
      <c r="I641" s="91" t="b">
        <v>0</v>
      </c>
      <c r="J641" s="91" t="b">
        <v>0</v>
      </c>
      <c r="K641" s="91" t="b">
        <v>0</v>
      </c>
      <c r="L641" s="91" t="b">
        <v>0</v>
      </c>
    </row>
    <row r="642" spans="1:12" ht="15">
      <c r="A642" s="92" t="s">
        <v>2956</v>
      </c>
      <c r="B642" s="91" t="s">
        <v>2568</v>
      </c>
      <c r="C642" s="91">
        <v>5</v>
      </c>
      <c r="D642" s="114">
        <v>0.0008094461357871533</v>
      </c>
      <c r="E642" s="114">
        <v>1.7328866516009382</v>
      </c>
      <c r="F642" s="91" t="s">
        <v>3159</v>
      </c>
      <c r="G642" s="91" t="b">
        <v>0</v>
      </c>
      <c r="H642" s="91" t="b">
        <v>0</v>
      </c>
      <c r="I642" s="91" t="b">
        <v>0</v>
      </c>
      <c r="J642" s="91" t="b">
        <v>0</v>
      </c>
      <c r="K642" s="91" t="b">
        <v>0</v>
      </c>
      <c r="L642" s="91" t="b">
        <v>0</v>
      </c>
    </row>
    <row r="643" spans="1:12" ht="15">
      <c r="A643" s="92" t="s">
        <v>2568</v>
      </c>
      <c r="B643" s="91" t="s">
        <v>2894</v>
      </c>
      <c r="C643" s="91">
        <v>5</v>
      </c>
      <c r="D643" s="114">
        <v>0.0008094461357871533</v>
      </c>
      <c r="E643" s="114">
        <v>1.7328866516009382</v>
      </c>
      <c r="F643" s="91" t="s">
        <v>3159</v>
      </c>
      <c r="G643" s="91" t="b">
        <v>0</v>
      </c>
      <c r="H643" s="91" t="b">
        <v>0</v>
      </c>
      <c r="I643" s="91" t="b">
        <v>0</v>
      </c>
      <c r="J643" s="91" t="b">
        <v>0</v>
      </c>
      <c r="K643" s="91" t="b">
        <v>0</v>
      </c>
      <c r="L643" s="91" t="b">
        <v>0</v>
      </c>
    </row>
    <row r="644" spans="1:12" ht="15">
      <c r="A644" s="92" t="s">
        <v>2894</v>
      </c>
      <c r="B644" s="91" t="s">
        <v>2957</v>
      </c>
      <c r="C644" s="91">
        <v>5</v>
      </c>
      <c r="D644" s="114">
        <v>0.0008094461357871533</v>
      </c>
      <c r="E644" s="114">
        <v>3.214124472515433</v>
      </c>
      <c r="F644" s="91" t="s">
        <v>3159</v>
      </c>
      <c r="G644" s="91" t="b">
        <v>0</v>
      </c>
      <c r="H644" s="91" t="b">
        <v>0</v>
      </c>
      <c r="I644" s="91" t="b">
        <v>0</v>
      </c>
      <c r="J644" s="91" t="b">
        <v>0</v>
      </c>
      <c r="K644" s="91" t="b">
        <v>0</v>
      </c>
      <c r="L644" s="91" t="b">
        <v>0</v>
      </c>
    </row>
    <row r="645" spans="1:12" ht="15">
      <c r="A645" s="92" t="s">
        <v>2957</v>
      </c>
      <c r="B645" s="91" t="s">
        <v>2578</v>
      </c>
      <c r="C645" s="91">
        <v>5</v>
      </c>
      <c r="D645" s="114">
        <v>0.0008094461357871533</v>
      </c>
      <c r="E645" s="114">
        <v>1.9520125428818214</v>
      </c>
      <c r="F645" s="91" t="s">
        <v>3159</v>
      </c>
      <c r="G645" s="91" t="b">
        <v>0</v>
      </c>
      <c r="H645" s="91" t="b">
        <v>0</v>
      </c>
      <c r="I645" s="91" t="b">
        <v>0</v>
      </c>
      <c r="J645" s="91" t="b">
        <v>0</v>
      </c>
      <c r="K645" s="91" t="b">
        <v>0</v>
      </c>
      <c r="L645" s="91" t="b">
        <v>0</v>
      </c>
    </row>
    <row r="646" spans="1:12" ht="15">
      <c r="A646" s="92" t="s">
        <v>2578</v>
      </c>
      <c r="B646" s="91" t="s">
        <v>2569</v>
      </c>
      <c r="C646" s="91">
        <v>5</v>
      </c>
      <c r="D646" s="114">
        <v>0.0008094461357871533</v>
      </c>
      <c r="E646" s="114">
        <v>0.32900567196099567</v>
      </c>
      <c r="F646" s="91" t="s">
        <v>3159</v>
      </c>
      <c r="G646" s="91" t="b">
        <v>0</v>
      </c>
      <c r="H646" s="91" t="b">
        <v>0</v>
      </c>
      <c r="I646" s="91" t="b">
        <v>0</v>
      </c>
      <c r="J646" s="91" t="b">
        <v>0</v>
      </c>
      <c r="K646" s="91" t="b">
        <v>0</v>
      </c>
      <c r="L646" s="91" t="b">
        <v>0</v>
      </c>
    </row>
    <row r="647" spans="1:12" ht="15">
      <c r="A647" s="92" t="s">
        <v>2569</v>
      </c>
      <c r="B647" s="91" t="s">
        <v>2958</v>
      </c>
      <c r="C647" s="91">
        <v>5</v>
      </c>
      <c r="D647" s="114">
        <v>0.0008094461357871533</v>
      </c>
      <c r="E647" s="114">
        <v>1.7432521670727719</v>
      </c>
      <c r="F647" s="91" t="s">
        <v>3159</v>
      </c>
      <c r="G647" s="91" t="b">
        <v>0</v>
      </c>
      <c r="H647" s="91" t="b">
        <v>0</v>
      </c>
      <c r="I647" s="91" t="b">
        <v>0</v>
      </c>
      <c r="J647" s="91" t="b">
        <v>0</v>
      </c>
      <c r="K647" s="91" t="b">
        <v>0</v>
      </c>
      <c r="L647" s="91" t="b">
        <v>0</v>
      </c>
    </row>
    <row r="648" spans="1:12" ht="15">
      <c r="A648" s="92" t="s">
        <v>2958</v>
      </c>
      <c r="B648" s="91" t="s">
        <v>2959</v>
      </c>
      <c r="C648" s="91">
        <v>5</v>
      </c>
      <c r="D648" s="114">
        <v>0.0008094461357871533</v>
      </c>
      <c r="E648" s="114">
        <v>3.3602525081936707</v>
      </c>
      <c r="F648" s="91" t="s">
        <v>3159</v>
      </c>
      <c r="G648" s="91" t="b">
        <v>0</v>
      </c>
      <c r="H648" s="91" t="b">
        <v>0</v>
      </c>
      <c r="I648" s="91" t="b">
        <v>0</v>
      </c>
      <c r="J648" s="91" t="b">
        <v>0</v>
      </c>
      <c r="K648" s="91" t="b">
        <v>0</v>
      </c>
      <c r="L648" s="91" t="b">
        <v>0</v>
      </c>
    </row>
    <row r="649" spans="1:12" ht="15">
      <c r="A649" s="92" t="s">
        <v>2959</v>
      </c>
      <c r="B649" s="91" t="s">
        <v>2960</v>
      </c>
      <c r="C649" s="91">
        <v>5</v>
      </c>
      <c r="D649" s="114">
        <v>0.0008094461357871533</v>
      </c>
      <c r="E649" s="114">
        <v>3.3602525081936707</v>
      </c>
      <c r="F649" s="91" t="s">
        <v>3159</v>
      </c>
      <c r="G649" s="91" t="b">
        <v>0</v>
      </c>
      <c r="H649" s="91" t="b">
        <v>0</v>
      </c>
      <c r="I649" s="91" t="b">
        <v>0</v>
      </c>
      <c r="J649" s="91" t="b">
        <v>0</v>
      </c>
      <c r="K649" s="91" t="b">
        <v>0</v>
      </c>
      <c r="L649" s="91" t="b">
        <v>0</v>
      </c>
    </row>
    <row r="650" spans="1:12" ht="15">
      <c r="A650" s="92" t="s">
        <v>2960</v>
      </c>
      <c r="B650" s="91" t="s">
        <v>2961</v>
      </c>
      <c r="C650" s="91">
        <v>5</v>
      </c>
      <c r="D650" s="114">
        <v>0.0008094461357871533</v>
      </c>
      <c r="E650" s="114">
        <v>3.3602525081936707</v>
      </c>
      <c r="F650" s="91" t="s">
        <v>3159</v>
      </c>
      <c r="G650" s="91" t="b">
        <v>0</v>
      </c>
      <c r="H650" s="91" t="b">
        <v>0</v>
      </c>
      <c r="I650" s="91" t="b">
        <v>0</v>
      </c>
      <c r="J650" s="91" t="b">
        <v>0</v>
      </c>
      <c r="K650" s="91" t="b">
        <v>0</v>
      </c>
      <c r="L650" s="91" t="b">
        <v>0</v>
      </c>
    </row>
    <row r="651" spans="1:12" ht="15">
      <c r="A651" s="92" t="s">
        <v>2961</v>
      </c>
      <c r="B651" s="91" t="s">
        <v>2777</v>
      </c>
      <c r="C651" s="91">
        <v>5</v>
      </c>
      <c r="D651" s="114">
        <v>0.0008094461357871533</v>
      </c>
      <c r="E651" s="114">
        <v>3.0592225125296895</v>
      </c>
      <c r="F651" s="91" t="s">
        <v>3159</v>
      </c>
      <c r="G651" s="91" t="b">
        <v>0</v>
      </c>
      <c r="H651" s="91" t="b">
        <v>0</v>
      </c>
      <c r="I651" s="91" t="b">
        <v>0</v>
      </c>
      <c r="J651" s="91" t="b">
        <v>0</v>
      </c>
      <c r="K651" s="91" t="b">
        <v>0</v>
      </c>
      <c r="L651" s="91" t="b">
        <v>0</v>
      </c>
    </row>
    <row r="652" spans="1:12" ht="15">
      <c r="A652" s="92" t="s">
        <v>2777</v>
      </c>
      <c r="B652" s="91" t="s">
        <v>2962</v>
      </c>
      <c r="C652" s="91">
        <v>5</v>
      </c>
      <c r="D652" s="114">
        <v>0.0008094461357871533</v>
      </c>
      <c r="E652" s="114">
        <v>3.281071262146046</v>
      </c>
      <c r="F652" s="91" t="s">
        <v>3159</v>
      </c>
      <c r="G652" s="91" t="b">
        <v>0</v>
      </c>
      <c r="H652" s="91" t="b">
        <v>0</v>
      </c>
      <c r="I652" s="91" t="b">
        <v>0</v>
      </c>
      <c r="J652" s="91" t="b">
        <v>0</v>
      </c>
      <c r="K652" s="91" t="b">
        <v>0</v>
      </c>
      <c r="L652" s="91" t="b">
        <v>0</v>
      </c>
    </row>
    <row r="653" spans="1:12" ht="15">
      <c r="A653" s="92" t="s">
        <v>2962</v>
      </c>
      <c r="B653" s="91" t="s">
        <v>2963</v>
      </c>
      <c r="C653" s="91">
        <v>5</v>
      </c>
      <c r="D653" s="114">
        <v>0.0008094461357871533</v>
      </c>
      <c r="E653" s="114">
        <v>3.3602525081936707</v>
      </c>
      <c r="F653" s="91" t="s">
        <v>3159</v>
      </c>
      <c r="G653" s="91" t="b">
        <v>0</v>
      </c>
      <c r="H653" s="91" t="b">
        <v>0</v>
      </c>
      <c r="I653" s="91" t="b">
        <v>0</v>
      </c>
      <c r="J653" s="91" t="b">
        <v>0</v>
      </c>
      <c r="K653" s="91" t="b">
        <v>0</v>
      </c>
      <c r="L653" s="91" t="b">
        <v>0</v>
      </c>
    </row>
    <row r="654" spans="1:12" ht="15">
      <c r="A654" s="92" t="s">
        <v>2726</v>
      </c>
      <c r="B654" s="91" t="s">
        <v>2964</v>
      </c>
      <c r="C654" s="91">
        <v>4</v>
      </c>
      <c r="D654" s="114">
        <v>0.0006801865426391694</v>
      </c>
      <c r="E654" s="114">
        <v>2.828773591151416</v>
      </c>
      <c r="F654" s="91" t="s">
        <v>3159</v>
      </c>
      <c r="G654" s="91" t="b">
        <v>0</v>
      </c>
      <c r="H654" s="91" t="b">
        <v>0</v>
      </c>
      <c r="I654" s="91" t="b">
        <v>0</v>
      </c>
      <c r="J654" s="91" t="b">
        <v>0</v>
      </c>
      <c r="K654" s="91" t="b">
        <v>0</v>
      </c>
      <c r="L654" s="91" t="b">
        <v>0</v>
      </c>
    </row>
    <row r="655" spans="1:12" ht="15">
      <c r="A655" s="92" t="s">
        <v>2964</v>
      </c>
      <c r="B655" s="91" t="s">
        <v>2616</v>
      </c>
      <c r="C655" s="91">
        <v>4</v>
      </c>
      <c r="D655" s="114">
        <v>0.0006801865426391694</v>
      </c>
      <c r="E655" s="114">
        <v>2.446438655809954</v>
      </c>
      <c r="F655" s="91" t="s">
        <v>3159</v>
      </c>
      <c r="G655" s="91" t="b">
        <v>0</v>
      </c>
      <c r="H655" s="91" t="b">
        <v>0</v>
      </c>
      <c r="I655" s="91" t="b">
        <v>0</v>
      </c>
      <c r="J655" s="91" t="b">
        <v>0</v>
      </c>
      <c r="K655" s="91" t="b">
        <v>0</v>
      </c>
      <c r="L655" s="91" t="b">
        <v>0</v>
      </c>
    </row>
    <row r="656" spans="1:12" ht="15">
      <c r="A656" s="92" t="s">
        <v>2580</v>
      </c>
      <c r="B656" s="91" t="s">
        <v>2589</v>
      </c>
      <c r="C656" s="91">
        <v>4</v>
      </c>
      <c r="D656" s="114">
        <v>0.0006801865426391694</v>
      </c>
      <c r="E656" s="114">
        <v>0.6814610738274269</v>
      </c>
      <c r="F656" s="91" t="s">
        <v>3159</v>
      </c>
      <c r="G656" s="91" t="b">
        <v>0</v>
      </c>
      <c r="H656" s="91" t="b">
        <v>0</v>
      </c>
      <c r="I656" s="91" t="b">
        <v>0</v>
      </c>
      <c r="J656" s="91" t="b">
        <v>0</v>
      </c>
      <c r="K656" s="91" t="b">
        <v>0</v>
      </c>
      <c r="L656" s="91" t="b">
        <v>0</v>
      </c>
    </row>
    <row r="657" spans="1:12" ht="15">
      <c r="A657" s="92" t="s">
        <v>2619</v>
      </c>
      <c r="B657" s="91" t="s">
        <v>2579</v>
      </c>
      <c r="C657" s="91">
        <v>4</v>
      </c>
      <c r="D657" s="114">
        <v>0.0006801865426391694</v>
      </c>
      <c r="E657" s="114">
        <v>0.8505124926232884</v>
      </c>
      <c r="F657" s="91" t="s">
        <v>3159</v>
      </c>
      <c r="G657" s="91" t="b">
        <v>0</v>
      </c>
      <c r="H657" s="91" t="b">
        <v>0</v>
      </c>
      <c r="I657" s="91" t="b">
        <v>0</v>
      </c>
      <c r="J657" s="91" t="b">
        <v>0</v>
      </c>
      <c r="K657" s="91" t="b">
        <v>0</v>
      </c>
      <c r="L657" s="91" t="b">
        <v>0</v>
      </c>
    </row>
    <row r="658" spans="1:12" ht="15">
      <c r="A658" s="92" t="s">
        <v>2570</v>
      </c>
      <c r="B658" s="91" t="s">
        <v>2749</v>
      </c>
      <c r="C658" s="91">
        <v>4</v>
      </c>
      <c r="D658" s="114">
        <v>0.0006801865426391694</v>
      </c>
      <c r="E658" s="114">
        <v>1.281071262146046</v>
      </c>
      <c r="F658" s="91" t="s">
        <v>3159</v>
      </c>
      <c r="G658" s="91" t="b">
        <v>0</v>
      </c>
      <c r="H658" s="91" t="b">
        <v>0</v>
      </c>
      <c r="I658" s="91" t="b">
        <v>0</v>
      </c>
      <c r="J658" s="91" t="b">
        <v>0</v>
      </c>
      <c r="K658" s="91" t="b">
        <v>0</v>
      </c>
      <c r="L658" s="91" t="b">
        <v>0</v>
      </c>
    </row>
    <row r="659" spans="1:12" ht="15">
      <c r="A659" s="92" t="s">
        <v>2847</v>
      </c>
      <c r="B659" s="91" t="s">
        <v>2565</v>
      </c>
      <c r="C659" s="91">
        <v>4</v>
      </c>
      <c r="D659" s="114">
        <v>0.0006801865426391694</v>
      </c>
      <c r="E659" s="114">
        <v>1.4506964789524956</v>
      </c>
      <c r="F659" s="91" t="s">
        <v>3159</v>
      </c>
      <c r="G659" s="91" t="b">
        <v>0</v>
      </c>
      <c r="H659" s="91" t="b">
        <v>0</v>
      </c>
      <c r="I659" s="91" t="b">
        <v>0</v>
      </c>
      <c r="J659" s="91" t="b">
        <v>0</v>
      </c>
      <c r="K659" s="91" t="b">
        <v>0</v>
      </c>
      <c r="L659" s="91" t="b">
        <v>0</v>
      </c>
    </row>
    <row r="660" spans="1:12" ht="15">
      <c r="A660" s="92" t="s">
        <v>2966</v>
      </c>
      <c r="B660" s="91" t="s">
        <v>2582</v>
      </c>
      <c r="C660" s="91">
        <v>4</v>
      </c>
      <c r="D660" s="114">
        <v>0.0006801865426391694</v>
      </c>
      <c r="E660" s="114">
        <v>1.9836755511371589</v>
      </c>
      <c r="F660" s="91" t="s">
        <v>3159</v>
      </c>
      <c r="G660" s="91" t="b">
        <v>0</v>
      </c>
      <c r="H660" s="91" t="b">
        <v>0</v>
      </c>
      <c r="I660" s="91" t="b">
        <v>0</v>
      </c>
      <c r="J660" s="91" t="b">
        <v>0</v>
      </c>
      <c r="K660" s="91" t="b">
        <v>0</v>
      </c>
      <c r="L660" s="91" t="b">
        <v>0</v>
      </c>
    </row>
    <row r="661" spans="1:12" ht="15">
      <c r="A661" s="92" t="s">
        <v>2582</v>
      </c>
      <c r="B661" s="91" t="s">
        <v>2573</v>
      </c>
      <c r="C661" s="91">
        <v>4</v>
      </c>
      <c r="D661" s="114">
        <v>0.0006801865426391694</v>
      </c>
      <c r="E661" s="114">
        <v>0.36825159825121506</v>
      </c>
      <c r="F661" s="91" t="s">
        <v>3159</v>
      </c>
      <c r="G661" s="91" t="b">
        <v>0</v>
      </c>
      <c r="H661" s="91" t="b">
        <v>0</v>
      </c>
      <c r="I661" s="91" t="b">
        <v>0</v>
      </c>
      <c r="J661" s="91" t="b">
        <v>0</v>
      </c>
      <c r="K661" s="91" t="b">
        <v>0</v>
      </c>
      <c r="L661" s="91" t="b">
        <v>0</v>
      </c>
    </row>
    <row r="662" spans="1:12" ht="15">
      <c r="A662" s="92" t="s">
        <v>2573</v>
      </c>
      <c r="B662" s="91" t="s">
        <v>2874</v>
      </c>
      <c r="C662" s="91">
        <v>4</v>
      </c>
      <c r="D662" s="114">
        <v>0.0006801865426391694</v>
      </c>
      <c r="E662" s="114">
        <v>1.598700519629489</v>
      </c>
      <c r="F662" s="91" t="s">
        <v>3159</v>
      </c>
      <c r="G662" s="91" t="b">
        <v>0</v>
      </c>
      <c r="H662" s="91" t="b">
        <v>0</v>
      </c>
      <c r="I662" s="91" t="b">
        <v>0</v>
      </c>
      <c r="J662" s="91" t="b">
        <v>0</v>
      </c>
      <c r="K662" s="91" t="b">
        <v>0</v>
      </c>
      <c r="L662" s="91" t="b">
        <v>0</v>
      </c>
    </row>
    <row r="663" spans="1:12" ht="15">
      <c r="A663" s="92" t="s">
        <v>2874</v>
      </c>
      <c r="B663" s="91" t="s">
        <v>2967</v>
      </c>
      <c r="C663" s="91">
        <v>4</v>
      </c>
      <c r="D663" s="114">
        <v>0.0006801865426391694</v>
      </c>
      <c r="E663" s="114">
        <v>3.214124472515433</v>
      </c>
      <c r="F663" s="91" t="s">
        <v>3159</v>
      </c>
      <c r="G663" s="91" t="b">
        <v>0</v>
      </c>
      <c r="H663" s="91" t="b">
        <v>0</v>
      </c>
      <c r="I663" s="91" t="b">
        <v>0</v>
      </c>
      <c r="J663" s="91" t="b">
        <v>0</v>
      </c>
      <c r="K663" s="91" t="b">
        <v>0</v>
      </c>
      <c r="L663" s="91" t="b">
        <v>0</v>
      </c>
    </row>
    <row r="664" spans="1:12" ht="15">
      <c r="A664" s="92" t="s">
        <v>2967</v>
      </c>
      <c r="B664" s="91" t="s">
        <v>2968</v>
      </c>
      <c r="C664" s="91">
        <v>4</v>
      </c>
      <c r="D664" s="114">
        <v>0.0006801865426391694</v>
      </c>
      <c r="E664" s="114">
        <v>3.457162521201727</v>
      </c>
      <c r="F664" s="91" t="s">
        <v>3159</v>
      </c>
      <c r="G664" s="91" t="b">
        <v>0</v>
      </c>
      <c r="H664" s="91" t="b">
        <v>0</v>
      </c>
      <c r="I664" s="91" t="b">
        <v>0</v>
      </c>
      <c r="J664" s="91" t="b">
        <v>0</v>
      </c>
      <c r="K664" s="91" t="b">
        <v>0</v>
      </c>
      <c r="L664" s="91" t="b">
        <v>0</v>
      </c>
    </row>
    <row r="665" spans="1:12" ht="15">
      <c r="A665" s="92" t="s">
        <v>2968</v>
      </c>
      <c r="B665" s="91" t="s">
        <v>2569</v>
      </c>
      <c r="C665" s="91">
        <v>4</v>
      </c>
      <c r="D665" s="114">
        <v>0.0006801865426391694</v>
      </c>
      <c r="E665" s="114">
        <v>1.7603694361199829</v>
      </c>
      <c r="F665" s="91" t="s">
        <v>3159</v>
      </c>
      <c r="G665" s="91" t="b">
        <v>0</v>
      </c>
      <c r="H665" s="91" t="b">
        <v>0</v>
      </c>
      <c r="I665" s="91" t="b">
        <v>0</v>
      </c>
      <c r="J665" s="91" t="b">
        <v>0</v>
      </c>
      <c r="K665" s="91" t="b">
        <v>0</v>
      </c>
      <c r="L665" s="91" t="b">
        <v>0</v>
      </c>
    </row>
    <row r="666" spans="1:12" ht="15">
      <c r="A666" s="92" t="s">
        <v>2572</v>
      </c>
      <c r="B666" s="91" t="s">
        <v>2571</v>
      </c>
      <c r="C666" s="91">
        <v>4</v>
      </c>
      <c r="D666" s="114">
        <v>0.0006801865426391694</v>
      </c>
      <c r="E666" s="114">
        <v>0.1132372176618393</v>
      </c>
      <c r="F666" s="91" t="s">
        <v>3159</v>
      </c>
      <c r="G666" s="91" t="b">
        <v>0</v>
      </c>
      <c r="H666" s="91" t="b">
        <v>0</v>
      </c>
      <c r="I666" s="91" t="b">
        <v>0</v>
      </c>
      <c r="J666" s="91" t="b">
        <v>0</v>
      </c>
      <c r="K666" s="91" t="b">
        <v>0</v>
      </c>
      <c r="L666" s="91" t="b">
        <v>0</v>
      </c>
    </row>
    <row r="667" spans="1:12" ht="15">
      <c r="A667" s="92" t="s">
        <v>2565</v>
      </c>
      <c r="B667" s="91" t="s">
        <v>2608</v>
      </c>
      <c r="C667" s="91">
        <v>4</v>
      </c>
      <c r="D667" s="114">
        <v>0.0006801865426391694</v>
      </c>
      <c r="E667" s="114">
        <v>0.46328560626051607</v>
      </c>
      <c r="F667" s="91" t="s">
        <v>3159</v>
      </c>
      <c r="G667" s="91" t="b">
        <v>0</v>
      </c>
      <c r="H667" s="91" t="b">
        <v>0</v>
      </c>
      <c r="I667" s="91" t="b">
        <v>0</v>
      </c>
      <c r="J667" s="91" t="b">
        <v>0</v>
      </c>
      <c r="K667" s="91" t="b">
        <v>0</v>
      </c>
      <c r="L667" s="91" t="b">
        <v>0</v>
      </c>
    </row>
    <row r="668" spans="1:12" ht="15">
      <c r="A668" s="92" t="s">
        <v>2579</v>
      </c>
      <c r="B668" s="91" t="s">
        <v>2624</v>
      </c>
      <c r="C668" s="91">
        <v>4</v>
      </c>
      <c r="D668" s="114">
        <v>0.0006801865426391694</v>
      </c>
      <c r="E668" s="114">
        <v>0.8874960588764584</v>
      </c>
      <c r="F668" s="91" t="s">
        <v>3159</v>
      </c>
      <c r="G668" s="91" t="b">
        <v>0</v>
      </c>
      <c r="H668" s="91" t="b">
        <v>0</v>
      </c>
      <c r="I668" s="91" t="b">
        <v>0</v>
      </c>
      <c r="J668" s="91" t="b">
        <v>0</v>
      </c>
      <c r="K668" s="91" t="b">
        <v>0</v>
      </c>
      <c r="L668" s="91" t="b">
        <v>0</v>
      </c>
    </row>
    <row r="669" spans="1:12" ht="15">
      <c r="A669" s="92" t="s">
        <v>2970</v>
      </c>
      <c r="B669" s="91" t="s">
        <v>2658</v>
      </c>
      <c r="C669" s="91">
        <v>4</v>
      </c>
      <c r="D669" s="114">
        <v>0.0006801865426391694</v>
      </c>
      <c r="E669" s="114">
        <v>2.6442491645588717</v>
      </c>
      <c r="F669" s="91" t="s">
        <v>3159</v>
      </c>
      <c r="G669" s="91" t="b">
        <v>0</v>
      </c>
      <c r="H669" s="91" t="b">
        <v>0</v>
      </c>
      <c r="I669" s="91" t="b">
        <v>0</v>
      </c>
      <c r="J669" s="91" t="b">
        <v>0</v>
      </c>
      <c r="K669" s="91" t="b">
        <v>0</v>
      </c>
      <c r="L669" s="91" t="b">
        <v>0</v>
      </c>
    </row>
    <row r="670" spans="1:12" ht="15">
      <c r="A670" s="92" t="s">
        <v>2971</v>
      </c>
      <c r="B670" s="91" t="s">
        <v>2972</v>
      </c>
      <c r="C670" s="91">
        <v>4</v>
      </c>
      <c r="D670" s="114">
        <v>0.0006801865426391694</v>
      </c>
      <c r="E670" s="114">
        <v>3.457162521201727</v>
      </c>
      <c r="F670" s="91" t="s">
        <v>3159</v>
      </c>
      <c r="G670" s="91" t="b">
        <v>0</v>
      </c>
      <c r="H670" s="91" t="b">
        <v>0</v>
      </c>
      <c r="I670" s="91" t="b">
        <v>0</v>
      </c>
      <c r="J670" s="91" t="b">
        <v>0</v>
      </c>
      <c r="K670" s="91" t="b">
        <v>0</v>
      </c>
      <c r="L670" s="91" t="b">
        <v>0</v>
      </c>
    </row>
    <row r="671" spans="1:12" ht="15">
      <c r="A671" s="92" t="s">
        <v>2972</v>
      </c>
      <c r="B671" s="91" t="s">
        <v>2973</v>
      </c>
      <c r="C671" s="91">
        <v>4</v>
      </c>
      <c r="D671" s="114">
        <v>0.0006801865426391694</v>
      </c>
      <c r="E671" s="114">
        <v>3.457162521201727</v>
      </c>
      <c r="F671" s="91" t="s">
        <v>3159</v>
      </c>
      <c r="G671" s="91" t="b">
        <v>0</v>
      </c>
      <c r="H671" s="91" t="b">
        <v>0</v>
      </c>
      <c r="I671" s="91" t="b">
        <v>0</v>
      </c>
      <c r="J671" s="91" t="b">
        <v>0</v>
      </c>
      <c r="K671" s="91" t="b">
        <v>0</v>
      </c>
      <c r="L671" s="91" t="b">
        <v>0</v>
      </c>
    </row>
    <row r="672" spans="1:12" ht="15">
      <c r="A672" s="92" t="s">
        <v>2973</v>
      </c>
      <c r="B672" s="91" t="s">
        <v>2585</v>
      </c>
      <c r="C672" s="91">
        <v>4</v>
      </c>
      <c r="D672" s="114">
        <v>0.0006801865426391694</v>
      </c>
      <c r="E672" s="114">
        <v>2.0724507782634447</v>
      </c>
      <c r="F672" s="91" t="s">
        <v>3159</v>
      </c>
      <c r="G672" s="91" t="b">
        <v>0</v>
      </c>
      <c r="H672" s="91" t="b">
        <v>0</v>
      </c>
      <c r="I672" s="91" t="b">
        <v>0</v>
      </c>
      <c r="J672" s="91" t="b">
        <v>0</v>
      </c>
      <c r="K672" s="91" t="b">
        <v>0</v>
      </c>
      <c r="L672" s="91" t="b">
        <v>0</v>
      </c>
    </row>
    <row r="673" spans="1:12" ht="15">
      <c r="A673" s="92" t="s">
        <v>2585</v>
      </c>
      <c r="B673" s="91" t="s">
        <v>2564</v>
      </c>
      <c r="C673" s="91">
        <v>4</v>
      </c>
      <c r="D673" s="114">
        <v>0.0006801865426391694</v>
      </c>
      <c r="E673" s="114">
        <v>0.05229674662511185</v>
      </c>
      <c r="F673" s="91" t="s">
        <v>3159</v>
      </c>
      <c r="G673" s="91" t="b">
        <v>0</v>
      </c>
      <c r="H673" s="91" t="b">
        <v>0</v>
      </c>
      <c r="I673" s="91" t="b">
        <v>0</v>
      </c>
      <c r="J673" s="91" t="b">
        <v>0</v>
      </c>
      <c r="K673" s="91" t="b">
        <v>0</v>
      </c>
      <c r="L673" s="91" t="b">
        <v>0</v>
      </c>
    </row>
    <row r="674" spans="1:12" ht="15">
      <c r="A674" s="92" t="s">
        <v>2566</v>
      </c>
      <c r="B674" s="91" t="s">
        <v>2612</v>
      </c>
      <c r="C674" s="91">
        <v>4</v>
      </c>
      <c r="D674" s="114">
        <v>0.0006801865426391694</v>
      </c>
      <c r="E674" s="114">
        <v>0.581125192887468</v>
      </c>
      <c r="F674" s="91" t="s">
        <v>3159</v>
      </c>
      <c r="G674" s="91" t="b">
        <v>0</v>
      </c>
      <c r="H674" s="91" t="b">
        <v>0</v>
      </c>
      <c r="I674" s="91" t="b">
        <v>0</v>
      </c>
      <c r="J674" s="91" t="b">
        <v>0</v>
      </c>
      <c r="K674" s="91" t="b">
        <v>0</v>
      </c>
      <c r="L674" s="91" t="b">
        <v>0</v>
      </c>
    </row>
    <row r="675" spans="1:12" ht="15">
      <c r="A675" s="92" t="s">
        <v>2643</v>
      </c>
      <c r="B675" s="91" t="s">
        <v>2731</v>
      </c>
      <c r="C675" s="91">
        <v>4</v>
      </c>
      <c r="D675" s="114">
        <v>0.0006801865426391694</v>
      </c>
      <c r="E675" s="114">
        <v>1.9130944768514517</v>
      </c>
      <c r="F675" s="91" t="s">
        <v>3159</v>
      </c>
      <c r="G675" s="91" t="b">
        <v>0</v>
      </c>
      <c r="H675" s="91" t="b">
        <v>0</v>
      </c>
      <c r="I675" s="91" t="b">
        <v>0</v>
      </c>
      <c r="J675" s="91" t="b">
        <v>0</v>
      </c>
      <c r="K675" s="91" t="b">
        <v>0</v>
      </c>
      <c r="L675" s="91" t="b">
        <v>0</v>
      </c>
    </row>
    <row r="676" spans="1:12" ht="15">
      <c r="A676" s="92" t="s">
        <v>2731</v>
      </c>
      <c r="B676" s="91" t="s">
        <v>2728</v>
      </c>
      <c r="C676" s="91">
        <v>4</v>
      </c>
      <c r="D676" s="114">
        <v>0.0006801865426391694</v>
      </c>
      <c r="E676" s="114">
        <v>2.2267135998234533</v>
      </c>
      <c r="F676" s="91" t="s">
        <v>3159</v>
      </c>
      <c r="G676" s="91" t="b">
        <v>0</v>
      </c>
      <c r="H676" s="91" t="b">
        <v>0</v>
      </c>
      <c r="I676" s="91" t="b">
        <v>0</v>
      </c>
      <c r="J676" s="91" t="b">
        <v>0</v>
      </c>
      <c r="K676" s="91" t="b">
        <v>0</v>
      </c>
      <c r="L676" s="91" t="b">
        <v>0</v>
      </c>
    </row>
    <row r="677" spans="1:12" ht="15">
      <c r="A677" s="92" t="s">
        <v>2890</v>
      </c>
      <c r="B677" s="91" t="s">
        <v>2747</v>
      </c>
      <c r="C677" s="91">
        <v>4</v>
      </c>
      <c r="D677" s="114">
        <v>0.0006801865426391694</v>
      </c>
      <c r="E677" s="114">
        <v>2.7022411115365585</v>
      </c>
      <c r="F677" s="91" t="s">
        <v>3159</v>
      </c>
      <c r="G677" s="91" t="b">
        <v>0</v>
      </c>
      <c r="H677" s="91" t="b">
        <v>0</v>
      </c>
      <c r="I677" s="91" t="b">
        <v>0</v>
      </c>
      <c r="J677" s="91" t="b">
        <v>0</v>
      </c>
      <c r="K677" s="91" t="b">
        <v>0</v>
      </c>
      <c r="L677" s="91" t="b">
        <v>0</v>
      </c>
    </row>
    <row r="678" spans="1:12" ht="15">
      <c r="A678" s="92" t="s">
        <v>2747</v>
      </c>
      <c r="B678" s="91" t="s">
        <v>2717</v>
      </c>
      <c r="C678" s="91">
        <v>4</v>
      </c>
      <c r="D678" s="114">
        <v>0.0006801865426391694</v>
      </c>
      <c r="E678" s="114">
        <v>2.268585550597986</v>
      </c>
      <c r="F678" s="91" t="s">
        <v>3159</v>
      </c>
      <c r="G678" s="91" t="b">
        <v>0</v>
      </c>
      <c r="H678" s="91" t="b">
        <v>0</v>
      </c>
      <c r="I678" s="91" t="b">
        <v>0</v>
      </c>
      <c r="J678" s="91" t="b">
        <v>0</v>
      </c>
      <c r="K678" s="91" t="b">
        <v>0</v>
      </c>
      <c r="L678" s="91" t="b">
        <v>0</v>
      </c>
    </row>
    <row r="679" spans="1:12" ht="15">
      <c r="A679" s="92" t="s">
        <v>2717</v>
      </c>
      <c r="B679" s="91" t="s">
        <v>2974</v>
      </c>
      <c r="C679" s="91">
        <v>4</v>
      </c>
      <c r="D679" s="114">
        <v>0.0006801865426391694</v>
      </c>
      <c r="E679" s="114">
        <v>2.7804689115768606</v>
      </c>
      <c r="F679" s="91" t="s">
        <v>3159</v>
      </c>
      <c r="G679" s="91" t="b">
        <v>0</v>
      </c>
      <c r="H679" s="91" t="b">
        <v>0</v>
      </c>
      <c r="I679" s="91" t="b">
        <v>0</v>
      </c>
      <c r="J679" s="91" t="b">
        <v>0</v>
      </c>
      <c r="K679" s="91" t="b">
        <v>0</v>
      </c>
      <c r="L679" s="91" t="b">
        <v>0</v>
      </c>
    </row>
    <row r="680" spans="1:12" ht="15">
      <c r="A680" s="92" t="s">
        <v>2974</v>
      </c>
      <c r="B680" s="91" t="s">
        <v>2891</v>
      </c>
      <c r="C680" s="91">
        <v>4</v>
      </c>
      <c r="D680" s="114">
        <v>0.0006801865426391694</v>
      </c>
      <c r="E680" s="114">
        <v>3.214124472515433</v>
      </c>
      <c r="F680" s="91" t="s">
        <v>3159</v>
      </c>
      <c r="G680" s="91" t="b">
        <v>0</v>
      </c>
      <c r="H680" s="91" t="b">
        <v>0</v>
      </c>
      <c r="I680" s="91" t="b">
        <v>0</v>
      </c>
      <c r="J680" s="91" t="b">
        <v>0</v>
      </c>
      <c r="K680" s="91" t="b">
        <v>0</v>
      </c>
      <c r="L680" s="91" t="b">
        <v>0</v>
      </c>
    </row>
    <row r="681" spans="1:12" ht="15">
      <c r="A681" s="92" t="s">
        <v>2891</v>
      </c>
      <c r="B681" s="91" t="s">
        <v>2851</v>
      </c>
      <c r="C681" s="91">
        <v>4</v>
      </c>
      <c r="D681" s="114">
        <v>0.0006801865426391694</v>
      </c>
      <c r="E681" s="114">
        <v>2.9710864238291386</v>
      </c>
      <c r="F681" s="91" t="s">
        <v>3159</v>
      </c>
      <c r="G681" s="91" t="b">
        <v>0</v>
      </c>
      <c r="H681" s="91" t="b">
        <v>0</v>
      </c>
      <c r="I681" s="91" t="b">
        <v>0</v>
      </c>
      <c r="J681" s="91" t="b">
        <v>0</v>
      </c>
      <c r="K681" s="91" t="b">
        <v>0</v>
      </c>
      <c r="L681" s="91" t="b">
        <v>0</v>
      </c>
    </row>
    <row r="682" spans="1:12" ht="15">
      <c r="A682" s="92" t="s">
        <v>2851</v>
      </c>
      <c r="B682" s="91" t="s">
        <v>2892</v>
      </c>
      <c r="C682" s="91">
        <v>4</v>
      </c>
      <c r="D682" s="114">
        <v>0.0006801865426391694</v>
      </c>
      <c r="E682" s="114">
        <v>2.9710864238291386</v>
      </c>
      <c r="F682" s="91" t="s">
        <v>3159</v>
      </c>
      <c r="G682" s="91" t="b">
        <v>0</v>
      </c>
      <c r="H682" s="91" t="b">
        <v>0</v>
      </c>
      <c r="I682" s="91" t="b">
        <v>0</v>
      </c>
      <c r="J682" s="91" t="b">
        <v>0</v>
      </c>
      <c r="K682" s="91" t="b">
        <v>0</v>
      </c>
      <c r="L682" s="91" t="b">
        <v>0</v>
      </c>
    </row>
    <row r="683" spans="1:12" ht="15">
      <c r="A683" s="92" t="s">
        <v>2892</v>
      </c>
      <c r="B683" s="91" t="s">
        <v>2975</v>
      </c>
      <c r="C683" s="91">
        <v>4</v>
      </c>
      <c r="D683" s="114">
        <v>0.0006801865426391694</v>
      </c>
      <c r="E683" s="114">
        <v>3.214124472515433</v>
      </c>
      <c r="F683" s="91" t="s">
        <v>3159</v>
      </c>
      <c r="G683" s="91" t="b">
        <v>0</v>
      </c>
      <c r="H683" s="91" t="b">
        <v>0</v>
      </c>
      <c r="I683" s="91" t="b">
        <v>0</v>
      </c>
      <c r="J683" s="91" t="b">
        <v>0</v>
      </c>
      <c r="K683" s="91" t="b">
        <v>0</v>
      </c>
      <c r="L683" s="91" t="b">
        <v>0</v>
      </c>
    </row>
    <row r="684" spans="1:12" ht="15">
      <c r="A684" s="92" t="s">
        <v>2975</v>
      </c>
      <c r="B684" s="91" t="s">
        <v>2741</v>
      </c>
      <c r="C684" s="91">
        <v>4</v>
      </c>
      <c r="D684" s="114">
        <v>0.0006801865426391694</v>
      </c>
      <c r="E684" s="114">
        <v>2.945279160222853</v>
      </c>
      <c r="F684" s="91" t="s">
        <v>3159</v>
      </c>
      <c r="G684" s="91" t="b">
        <v>0</v>
      </c>
      <c r="H684" s="91" t="b">
        <v>0</v>
      </c>
      <c r="I684" s="91" t="b">
        <v>0</v>
      </c>
      <c r="J684" s="91" t="b">
        <v>0</v>
      </c>
      <c r="K684" s="91" t="b">
        <v>0</v>
      </c>
      <c r="L684" s="91" t="b">
        <v>0</v>
      </c>
    </row>
    <row r="685" spans="1:12" ht="15">
      <c r="A685" s="92" t="s">
        <v>2741</v>
      </c>
      <c r="B685" s="91" t="s">
        <v>2976</v>
      </c>
      <c r="C685" s="91">
        <v>4</v>
      </c>
      <c r="D685" s="114">
        <v>0.0006801865426391694</v>
      </c>
      <c r="E685" s="114">
        <v>2.945279160222853</v>
      </c>
      <c r="F685" s="91" t="s">
        <v>3159</v>
      </c>
      <c r="G685" s="91" t="b">
        <v>0</v>
      </c>
      <c r="H685" s="91" t="b">
        <v>0</v>
      </c>
      <c r="I685" s="91" t="b">
        <v>0</v>
      </c>
      <c r="J685" s="91" t="b">
        <v>0</v>
      </c>
      <c r="K685" s="91" t="b">
        <v>0</v>
      </c>
      <c r="L685" s="91" t="b">
        <v>0</v>
      </c>
    </row>
    <row r="686" spans="1:12" ht="15">
      <c r="A686" s="92" t="s">
        <v>2976</v>
      </c>
      <c r="B686" s="91" t="s">
        <v>2977</v>
      </c>
      <c r="C686" s="91">
        <v>4</v>
      </c>
      <c r="D686" s="114">
        <v>0.0006801865426391694</v>
      </c>
      <c r="E686" s="114">
        <v>3.457162521201727</v>
      </c>
      <c r="F686" s="91" t="s">
        <v>3159</v>
      </c>
      <c r="G686" s="91" t="b">
        <v>0</v>
      </c>
      <c r="H686" s="91" t="b">
        <v>0</v>
      </c>
      <c r="I686" s="91" t="b">
        <v>0</v>
      </c>
      <c r="J686" s="91" t="b">
        <v>0</v>
      </c>
      <c r="K686" s="91" t="b">
        <v>0</v>
      </c>
      <c r="L686" s="91" t="b">
        <v>0</v>
      </c>
    </row>
    <row r="687" spans="1:12" ht="15">
      <c r="A687" s="92" t="s">
        <v>2977</v>
      </c>
      <c r="B687" s="91" t="s">
        <v>2620</v>
      </c>
      <c r="C687" s="91">
        <v>4</v>
      </c>
      <c r="D687" s="114">
        <v>0.0006801865426391694</v>
      </c>
      <c r="E687" s="114">
        <v>2.3779812751541023</v>
      </c>
      <c r="F687" s="91" t="s">
        <v>3159</v>
      </c>
      <c r="G687" s="91" t="b">
        <v>0</v>
      </c>
      <c r="H687" s="91" t="b">
        <v>0</v>
      </c>
      <c r="I687" s="91" t="b">
        <v>0</v>
      </c>
      <c r="J687" s="91" t="b">
        <v>0</v>
      </c>
      <c r="K687" s="91" t="b">
        <v>0</v>
      </c>
      <c r="L687" s="91" t="b">
        <v>0</v>
      </c>
    </row>
    <row r="688" spans="1:12" ht="15">
      <c r="A688" s="92" t="s">
        <v>2620</v>
      </c>
      <c r="B688" s="91" t="s">
        <v>2749</v>
      </c>
      <c r="C688" s="91">
        <v>4</v>
      </c>
      <c r="D688" s="114">
        <v>0.0006801865426391694</v>
      </c>
      <c r="E688" s="114">
        <v>1.9008600204344401</v>
      </c>
      <c r="F688" s="91" t="s">
        <v>3159</v>
      </c>
      <c r="G688" s="91" t="b">
        <v>0</v>
      </c>
      <c r="H688" s="91" t="b">
        <v>0</v>
      </c>
      <c r="I688" s="91" t="b">
        <v>0</v>
      </c>
      <c r="J688" s="91" t="b">
        <v>0</v>
      </c>
      <c r="K688" s="91" t="b">
        <v>0</v>
      </c>
      <c r="L688" s="91" t="b">
        <v>0</v>
      </c>
    </row>
    <row r="689" spans="1:12" ht="15">
      <c r="A689" s="92" t="s">
        <v>2749</v>
      </c>
      <c r="B689" s="91" t="s">
        <v>2978</v>
      </c>
      <c r="C689" s="91">
        <v>4</v>
      </c>
      <c r="D689" s="114">
        <v>0.0006801865426391694</v>
      </c>
      <c r="E689" s="114">
        <v>3.156132525537746</v>
      </c>
      <c r="F689" s="91" t="s">
        <v>3159</v>
      </c>
      <c r="G689" s="91" t="b">
        <v>0</v>
      </c>
      <c r="H689" s="91" t="b">
        <v>0</v>
      </c>
      <c r="I689" s="91" t="b">
        <v>0</v>
      </c>
      <c r="J689" s="91" t="b">
        <v>0</v>
      </c>
      <c r="K689" s="91" t="b">
        <v>0</v>
      </c>
      <c r="L689" s="91" t="b">
        <v>0</v>
      </c>
    </row>
    <row r="690" spans="1:12" ht="15">
      <c r="A690" s="92" t="s">
        <v>2978</v>
      </c>
      <c r="B690" s="91" t="s">
        <v>2979</v>
      </c>
      <c r="C690" s="91">
        <v>4</v>
      </c>
      <c r="D690" s="114">
        <v>0.0006801865426391694</v>
      </c>
      <c r="E690" s="114">
        <v>3.457162521201727</v>
      </c>
      <c r="F690" s="91" t="s">
        <v>3159</v>
      </c>
      <c r="G690" s="91" t="b">
        <v>0</v>
      </c>
      <c r="H690" s="91" t="b">
        <v>0</v>
      </c>
      <c r="I690" s="91" t="b">
        <v>0</v>
      </c>
      <c r="J690" s="91" t="b">
        <v>0</v>
      </c>
      <c r="K690" s="91" t="b">
        <v>0</v>
      </c>
      <c r="L690" s="91" t="b">
        <v>0</v>
      </c>
    </row>
    <row r="691" spans="1:12" ht="15">
      <c r="A691" s="92" t="s">
        <v>2979</v>
      </c>
      <c r="B691" s="91" t="s">
        <v>2980</v>
      </c>
      <c r="C691" s="91">
        <v>4</v>
      </c>
      <c r="D691" s="114">
        <v>0.0006801865426391694</v>
      </c>
      <c r="E691" s="114">
        <v>3.457162521201727</v>
      </c>
      <c r="F691" s="91" t="s">
        <v>3159</v>
      </c>
      <c r="G691" s="91" t="b">
        <v>0</v>
      </c>
      <c r="H691" s="91" t="b">
        <v>0</v>
      </c>
      <c r="I691" s="91" t="b">
        <v>0</v>
      </c>
      <c r="J691" s="91" t="b">
        <v>0</v>
      </c>
      <c r="K691" s="91" t="b">
        <v>0</v>
      </c>
      <c r="L691" s="91" t="b">
        <v>0</v>
      </c>
    </row>
    <row r="692" spans="1:12" ht="15">
      <c r="A692" s="92" t="s">
        <v>2980</v>
      </c>
      <c r="B692" s="91" t="s">
        <v>2981</v>
      </c>
      <c r="C692" s="91">
        <v>4</v>
      </c>
      <c r="D692" s="114">
        <v>0.0006801865426391694</v>
      </c>
      <c r="E692" s="114">
        <v>3.457162521201727</v>
      </c>
      <c r="F692" s="91" t="s">
        <v>3159</v>
      </c>
      <c r="G692" s="91" t="b">
        <v>0</v>
      </c>
      <c r="H692" s="91" t="b">
        <v>0</v>
      </c>
      <c r="I692" s="91" t="b">
        <v>0</v>
      </c>
      <c r="J692" s="91" t="b">
        <v>0</v>
      </c>
      <c r="K692" s="91" t="b">
        <v>0</v>
      </c>
      <c r="L692" s="91" t="b">
        <v>0</v>
      </c>
    </row>
    <row r="693" spans="1:12" ht="15">
      <c r="A693" s="92" t="s">
        <v>2981</v>
      </c>
      <c r="B693" s="91" t="s">
        <v>2982</v>
      </c>
      <c r="C693" s="91">
        <v>4</v>
      </c>
      <c r="D693" s="114">
        <v>0.0006801865426391694</v>
      </c>
      <c r="E693" s="114">
        <v>3.457162521201727</v>
      </c>
      <c r="F693" s="91" t="s">
        <v>3159</v>
      </c>
      <c r="G693" s="91" t="b">
        <v>0</v>
      </c>
      <c r="H693" s="91" t="b">
        <v>0</v>
      </c>
      <c r="I693" s="91" t="b">
        <v>0</v>
      </c>
      <c r="J693" s="91" t="b">
        <v>0</v>
      </c>
      <c r="K693" s="91" t="b">
        <v>0</v>
      </c>
      <c r="L693" s="91" t="b">
        <v>0</v>
      </c>
    </row>
    <row r="694" spans="1:12" ht="15">
      <c r="A694" s="92" t="s">
        <v>2982</v>
      </c>
      <c r="B694" s="91" t="s">
        <v>2983</v>
      </c>
      <c r="C694" s="91">
        <v>4</v>
      </c>
      <c r="D694" s="114">
        <v>0.0006801865426391694</v>
      </c>
      <c r="E694" s="114">
        <v>3.457162521201727</v>
      </c>
      <c r="F694" s="91" t="s">
        <v>3159</v>
      </c>
      <c r="G694" s="91" t="b">
        <v>0</v>
      </c>
      <c r="H694" s="91" t="b">
        <v>0</v>
      </c>
      <c r="I694" s="91" t="b">
        <v>0</v>
      </c>
      <c r="J694" s="91" t="b">
        <v>0</v>
      </c>
      <c r="K694" s="91" t="b">
        <v>0</v>
      </c>
      <c r="L694" s="91" t="b">
        <v>0</v>
      </c>
    </row>
    <row r="695" spans="1:12" ht="15">
      <c r="A695" s="92" t="s">
        <v>2983</v>
      </c>
      <c r="B695" s="91" t="s">
        <v>2751</v>
      </c>
      <c r="C695" s="91">
        <v>4</v>
      </c>
      <c r="D695" s="114">
        <v>0.0006801865426391694</v>
      </c>
      <c r="E695" s="114">
        <v>2.980041266482065</v>
      </c>
      <c r="F695" s="91" t="s">
        <v>3159</v>
      </c>
      <c r="G695" s="91" t="b">
        <v>0</v>
      </c>
      <c r="H695" s="91" t="b">
        <v>0</v>
      </c>
      <c r="I695" s="91" t="b">
        <v>0</v>
      </c>
      <c r="J695" s="91" t="b">
        <v>0</v>
      </c>
      <c r="K695" s="91" t="b">
        <v>0</v>
      </c>
      <c r="L695" s="91" t="b">
        <v>0</v>
      </c>
    </row>
    <row r="696" spans="1:12" ht="15">
      <c r="A696" s="92" t="s">
        <v>2893</v>
      </c>
      <c r="B696" s="91" t="s">
        <v>2589</v>
      </c>
      <c r="C696" s="91">
        <v>4</v>
      </c>
      <c r="D696" s="114">
        <v>0.0006801865426391694</v>
      </c>
      <c r="E696" s="114">
        <v>2.1899907927987132</v>
      </c>
      <c r="F696" s="91" t="s">
        <v>3159</v>
      </c>
      <c r="G696" s="91" t="b">
        <v>0</v>
      </c>
      <c r="H696" s="91" t="b">
        <v>0</v>
      </c>
      <c r="I696" s="91" t="b">
        <v>0</v>
      </c>
      <c r="J696" s="91" t="b">
        <v>0</v>
      </c>
      <c r="K696" s="91" t="b">
        <v>0</v>
      </c>
      <c r="L696" s="91" t="b">
        <v>0</v>
      </c>
    </row>
    <row r="697" spans="1:12" ht="15">
      <c r="A697" s="92" t="s">
        <v>2589</v>
      </c>
      <c r="B697" s="91" t="s">
        <v>2776</v>
      </c>
      <c r="C697" s="91">
        <v>4</v>
      </c>
      <c r="D697" s="114">
        <v>0.0007815434435361328</v>
      </c>
      <c r="E697" s="114">
        <v>1.7217632512390335</v>
      </c>
      <c r="F697" s="91" t="s">
        <v>3159</v>
      </c>
      <c r="G697" s="91" t="b">
        <v>0</v>
      </c>
      <c r="H697" s="91" t="b">
        <v>0</v>
      </c>
      <c r="I697" s="91" t="b">
        <v>0</v>
      </c>
      <c r="J697" s="91" t="b">
        <v>0</v>
      </c>
      <c r="K697" s="91" t="b">
        <v>0</v>
      </c>
      <c r="L697" s="91" t="b">
        <v>0</v>
      </c>
    </row>
    <row r="698" spans="1:12" ht="15">
      <c r="A698" s="92" t="s">
        <v>2568</v>
      </c>
      <c r="B698" s="91" t="s">
        <v>2589</v>
      </c>
      <c r="C698" s="91">
        <v>4</v>
      </c>
      <c r="D698" s="114">
        <v>0.0006801865426391694</v>
      </c>
      <c r="E698" s="114">
        <v>0.4657149231979244</v>
      </c>
      <c r="F698" s="91" t="s">
        <v>3159</v>
      </c>
      <c r="G698" s="91" t="b">
        <v>0</v>
      </c>
      <c r="H698" s="91" t="b">
        <v>0</v>
      </c>
      <c r="I698" s="91" t="b">
        <v>0</v>
      </c>
      <c r="J698" s="91" t="b">
        <v>0</v>
      </c>
      <c r="K698" s="91" t="b">
        <v>0</v>
      </c>
      <c r="L698" s="91" t="b">
        <v>0</v>
      </c>
    </row>
    <row r="699" spans="1:12" ht="15">
      <c r="A699" s="92" t="s">
        <v>2577</v>
      </c>
      <c r="B699" s="91" t="s">
        <v>2610</v>
      </c>
      <c r="C699" s="91">
        <v>4</v>
      </c>
      <c r="D699" s="114">
        <v>0.0006801865426391694</v>
      </c>
      <c r="E699" s="114">
        <v>0.7401164532199134</v>
      </c>
      <c r="F699" s="91" t="s">
        <v>3159</v>
      </c>
      <c r="G699" s="91" t="b">
        <v>0</v>
      </c>
      <c r="H699" s="91" t="b">
        <v>0</v>
      </c>
      <c r="I699" s="91" t="b">
        <v>0</v>
      </c>
      <c r="J699" s="91" t="b">
        <v>0</v>
      </c>
      <c r="K699" s="91" t="b">
        <v>0</v>
      </c>
      <c r="L699" s="91" t="b">
        <v>0</v>
      </c>
    </row>
    <row r="700" spans="1:12" ht="15">
      <c r="A700" s="92" t="s">
        <v>2984</v>
      </c>
      <c r="B700" s="91" t="s">
        <v>2985</v>
      </c>
      <c r="C700" s="91">
        <v>4</v>
      </c>
      <c r="D700" s="114">
        <v>0.0006801865426391694</v>
      </c>
      <c r="E700" s="114">
        <v>3.457162521201727</v>
      </c>
      <c r="F700" s="91" t="s">
        <v>3159</v>
      </c>
      <c r="G700" s="91" t="b">
        <v>0</v>
      </c>
      <c r="H700" s="91" t="b">
        <v>0</v>
      </c>
      <c r="I700" s="91" t="b">
        <v>0</v>
      </c>
      <c r="J700" s="91" t="b">
        <v>0</v>
      </c>
      <c r="K700" s="91" t="b">
        <v>0</v>
      </c>
      <c r="L700" s="91" t="b">
        <v>0</v>
      </c>
    </row>
    <row r="701" spans="1:12" ht="15">
      <c r="A701" s="92" t="s">
        <v>2985</v>
      </c>
      <c r="B701" s="91" t="s">
        <v>2743</v>
      </c>
      <c r="C701" s="91">
        <v>4</v>
      </c>
      <c r="D701" s="114">
        <v>0.0006801865426391694</v>
      </c>
      <c r="E701" s="114">
        <v>2.945279160222853</v>
      </c>
      <c r="F701" s="91" t="s">
        <v>3159</v>
      </c>
      <c r="G701" s="91" t="b">
        <v>0</v>
      </c>
      <c r="H701" s="91" t="b">
        <v>0</v>
      </c>
      <c r="I701" s="91" t="b">
        <v>0</v>
      </c>
      <c r="J701" s="91" t="b">
        <v>0</v>
      </c>
      <c r="K701" s="91" t="b">
        <v>0</v>
      </c>
      <c r="L701" s="91" t="b">
        <v>0</v>
      </c>
    </row>
    <row r="702" spans="1:12" ht="15">
      <c r="A702" s="92" t="s">
        <v>2743</v>
      </c>
      <c r="B702" s="91" t="s">
        <v>2578</v>
      </c>
      <c r="C702" s="91">
        <v>4</v>
      </c>
      <c r="D702" s="114">
        <v>0.0006801865426391694</v>
      </c>
      <c r="E702" s="114">
        <v>1.440129181902947</v>
      </c>
      <c r="F702" s="91" t="s">
        <v>3159</v>
      </c>
      <c r="G702" s="91" t="b">
        <v>0</v>
      </c>
      <c r="H702" s="91" t="b">
        <v>0</v>
      </c>
      <c r="I702" s="91" t="b">
        <v>0</v>
      </c>
      <c r="J702" s="91" t="b">
        <v>0</v>
      </c>
      <c r="K702" s="91" t="b">
        <v>0</v>
      </c>
      <c r="L702" s="91" t="b">
        <v>0</v>
      </c>
    </row>
    <row r="703" spans="1:12" ht="15">
      <c r="A703" s="92" t="s">
        <v>2578</v>
      </c>
      <c r="B703" s="91" t="s">
        <v>2986</v>
      </c>
      <c r="C703" s="91">
        <v>4</v>
      </c>
      <c r="D703" s="114">
        <v>0.0006801865426391694</v>
      </c>
      <c r="E703" s="114">
        <v>1.9288887440346834</v>
      </c>
      <c r="F703" s="91" t="s">
        <v>3159</v>
      </c>
      <c r="G703" s="91" t="b">
        <v>0</v>
      </c>
      <c r="H703" s="91" t="b">
        <v>0</v>
      </c>
      <c r="I703" s="91" t="b">
        <v>0</v>
      </c>
      <c r="J703" s="91" t="b">
        <v>0</v>
      </c>
      <c r="K703" s="91" t="b">
        <v>0</v>
      </c>
      <c r="L703" s="91" t="b">
        <v>0</v>
      </c>
    </row>
    <row r="704" spans="1:12" ht="15">
      <c r="A704" s="92" t="s">
        <v>2986</v>
      </c>
      <c r="B704" s="91" t="s">
        <v>2568</v>
      </c>
      <c r="C704" s="91">
        <v>4</v>
      </c>
      <c r="D704" s="114">
        <v>0.0006801865426391694</v>
      </c>
      <c r="E704" s="114">
        <v>1.7328866516009382</v>
      </c>
      <c r="F704" s="91" t="s">
        <v>3159</v>
      </c>
      <c r="G704" s="91" t="b">
        <v>0</v>
      </c>
      <c r="H704" s="91" t="b">
        <v>0</v>
      </c>
      <c r="I704" s="91" t="b">
        <v>0</v>
      </c>
      <c r="J704" s="91" t="b">
        <v>0</v>
      </c>
      <c r="K704" s="91" t="b">
        <v>0</v>
      </c>
      <c r="L704" s="91" t="b">
        <v>0</v>
      </c>
    </row>
    <row r="705" spans="1:12" ht="15">
      <c r="A705" s="92" t="s">
        <v>2572</v>
      </c>
      <c r="B705" s="91" t="s">
        <v>2729</v>
      </c>
      <c r="C705" s="91">
        <v>4</v>
      </c>
      <c r="D705" s="114">
        <v>0.0006801865426391694</v>
      </c>
      <c r="E705" s="114">
        <v>1.2166132729191275</v>
      </c>
      <c r="F705" s="91" t="s">
        <v>3159</v>
      </c>
      <c r="G705" s="91" t="b">
        <v>0</v>
      </c>
      <c r="H705" s="91" t="b">
        <v>0</v>
      </c>
      <c r="I705" s="91" t="b">
        <v>0</v>
      </c>
      <c r="J705" s="91" t="b">
        <v>0</v>
      </c>
      <c r="K705" s="91" t="b">
        <v>0</v>
      </c>
      <c r="L705" s="91" t="b">
        <v>0</v>
      </c>
    </row>
    <row r="706" spans="1:12" ht="15">
      <c r="A706" s="92" t="s">
        <v>2729</v>
      </c>
      <c r="B706" s="91" t="s">
        <v>2776</v>
      </c>
      <c r="C706" s="91">
        <v>4</v>
      </c>
      <c r="D706" s="114">
        <v>0.0006801865426391694</v>
      </c>
      <c r="E706" s="114">
        <v>2.4571625212017274</v>
      </c>
      <c r="F706" s="91" t="s">
        <v>3159</v>
      </c>
      <c r="G706" s="91" t="b">
        <v>0</v>
      </c>
      <c r="H706" s="91" t="b">
        <v>0</v>
      </c>
      <c r="I706" s="91" t="b">
        <v>0</v>
      </c>
      <c r="J706" s="91" t="b">
        <v>0</v>
      </c>
      <c r="K706" s="91" t="b">
        <v>0</v>
      </c>
      <c r="L706" s="91" t="b">
        <v>0</v>
      </c>
    </row>
    <row r="707" spans="1:12" ht="15">
      <c r="A707" s="92" t="s">
        <v>2776</v>
      </c>
      <c r="B707" s="91" t="s">
        <v>2987</v>
      </c>
      <c r="C707" s="91">
        <v>4</v>
      </c>
      <c r="D707" s="114">
        <v>0.0006801865426391694</v>
      </c>
      <c r="E707" s="114">
        <v>3.0592225125296895</v>
      </c>
      <c r="F707" s="91" t="s">
        <v>3159</v>
      </c>
      <c r="G707" s="91" t="b">
        <v>0</v>
      </c>
      <c r="H707" s="91" t="b">
        <v>0</v>
      </c>
      <c r="I707" s="91" t="b">
        <v>0</v>
      </c>
      <c r="J707" s="91" t="b">
        <v>0</v>
      </c>
      <c r="K707" s="91" t="b">
        <v>0</v>
      </c>
      <c r="L707" s="91" t="b">
        <v>0</v>
      </c>
    </row>
    <row r="708" spans="1:12" ht="15">
      <c r="A708" s="92" t="s">
        <v>2987</v>
      </c>
      <c r="B708" s="91" t="s">
        <v>2564</v>
      </c>
      <c r="C708" s="91">
        <v>4</v>
      </c>
      <c r="D708" s="114">
        <v>0.0006801865426391694</v>
      </c>
      <c r="E708" s="114">
        <v>1.4370084895633943</v>
      </c>
      <c r="F708" s="91" t="s">
        <v>3159</v>
      </c>
      <c r="G708" s="91" t="b">
        <v>0</v>
      </c>
      <c r="H708" s="91" t="b">
        <v>0</v>
      </c>
      <c r="I708" s="91" t="b">
        <v>0</v>
      </c>
      <c r="J708" s="91" t="b">
        <v>0</v>
      </c>
      <c r="K708" s="91" t="b">
        <v>0</v>
      </c>
      <c r="L708" s="91" t="b">
        <v>0</v>
      </c>
    </row>
    <row r="709" spans="1:12" ht="15">
      <c r="A709" s="92" t="s">
        <v>2564</v>
      </c>
      <c r="B709" s="91" t="s">
        <v>2988</v>
      </c>
      <c r="C709" s="91">
        <v>4</v>
      </c>
      <c r="D709" s="114">
        <v>0.0006801865426391694</v>
      </c>
      <c r="E709" s="114">
        <v>1.4637262907041155</v>
      </c>
      <c r="F709" s="91" t="s">
        <v>3159</v>
      </c>
      <c r="G709" s="91" t="b">
        <v>0</v>
      </c>
      <c r="H709" s="91" t="b">
        <v>0</v>
      </c>
      <c r="I709" s="91" t="b">
        <v>0</v>
      </c>
      <c r="J709" s="91" t="b">
        <v>0</v>
      </c>
      <c r="K709" s="91" t="b">
        <v>0</v>
      </c>
      <c r="L709" s="91" t="b">
        <v>0</v>
      </c>
    </row>
    <row r="710" spans="1:12" ht="15">
      <c r="A710" s="92" t="s">
        <v>2988</v>
      </c>
      <c r="B710" s="91" t="s">
        <v>2617</v>
      </c>
      <c r="C710" s="91">
        <v>4</v>
      </c>
      <c r="D710" s="114">
        <v>0.0006801865426391694</v>
      </c>
      <c r="E710" s="114">
        <v>2.3602525081936707</v>
      </c>
      <c r="F710" s="91" t="s">
        <v>3159</v>
      </c>
      <c r="G710" s="91" t="b">
        <v>0</v>
      </c>
      <c r="H710" s="91" t="b">
        <v>0</v>
      </c>
      <c r="I710" s="91" t="b">
        <v>0</v>
      </c>
      <c r="J710" s="91" t="b">
        <v>0</v>
      </c>
      <c r="K710" s="91" t="b">
        <v>0</v>
      </c>
      <c r="L710" s="91" t="b">
        <v>0</v>
      </c>
    </row>
    <row r="711" spans="1:12" ht="15">
      <c r="A711" s="92" t="s">
        <v>2617</v>
      </c>
      <c r="B711" s="91" t="s">
        <v>2573</v>
      </c>
      <c r="C711" s="91">
        <v>4</v>
      </c>
      <c r="D711" s="114">
        <v>0.0006801865426391694</v>
      </c>
      <c r="E711" s="114">
        <v>0.9814005617447896</v>
      </c>
      <c r="F711" s="91" t="s">
        <v>3159</v>
      </c>
      <c r="G711" s="91" t="b">
        <v>0</v>
      </c>
      <c r="H711" s="91" t="b">
        <v>0</v>
      </c>
      <c r="I711" s="91" t="b">
        <v>0</v>
      </c>
      <c r="J711" s="91" t="b">
        <v>0</v>
      </c>
      <c r="K711" s="91" t="b">
        <v>0</v>
      </c>
      <c r="L711" s="91" t="b">
        <v>0</v>
      </c>
    </row>
    <row r="712" spans="1:12" ht="15">
      <c r="A712" s="92" t="s">
        <v>2573</v>
      </c>
      <c r="B712" s="91" t="s">
        <v>2935</v>
      </c>
      <c r="C712" s="91">
        <v>4</v>
      </c>
      <c r="D712" s="114">
        <v>0.0006801865426391694</v>
      </c>
      <c r="E712" s="114">
        <v>1.744828555307727</v>
      </c>
      <c r="F712" s="91" t="s">
        <v>3159</v>
      </c>
      <c r="G712" s="91" t="b">
        <v>0</v>
      </c>
      <c r="H712" s="91" t="b">
        <v>0</v>
      </c>
      <c r="I712" s="91" t="b">
        <v>0</v>
      </c>
      <c r="J712" s="91" t="b">
        <v>0</v>
      </c>
      <c r="K712" s="91" t="b">
        <v>0</v>
      </c>
      <c r="L712" s="91" t="b">
        <v>0</v>
      </c>
    </row>
    <row r="713" spans="1:12" ht="15">
      <c r="A713" s="92" t="s">
        <v>2935</v>
      </c>
      <c r="B713" s="91" t="s">
        <v>2652</v>
      </c>
      <c r="C713" s="91">
        <v>4</v>
      </c>
      <c r="D713" s="114">
        <v>0.0006801865426391694</v>
      </c>
      <c r="E713" s="114">
        <v>2.5151544681794142</v>
      </c>
      <c r="F713" s="91" t="s">
        <v>3159</v>
      </c>
      <c r="G713" s="91" t="b">
        <v>0</v>
      </c>
      <c r="H713" s="91" t="b">
        <v>0</v>
      </c>
      <c r="I713" s="91" t="b">
        <v>0</v>
      </c>
      <c r="J713" s="91" t="b">
        <v>0</v>
      </c>
      <c r="K713" s="91" t="b">
        <v>0</v>
      </c>
      <c r="L713" s="91" t="b">
        <v>0</v>
      </c>
    </row>
    <row r="714" spans="1:12" ht="15">
      <c r="A714" s="92" t="s">
        <v>2652</v>
      </c>
      <c r="B714" s="91" t="s">
        <v>2777</v>
      </c>
      <c r="C714" s="91">
        <v>4</v>
      </c>
      <c r="D714" s="114">
        <v>0.0006801865426391694</v>
      </c>
      <c r="E714" s="114">
        <v>2.214124472515433</v>
      </c>
      <c r="F714" s="91" t="s">
        <v>3159</v>
      </c>
      <c r="G714" s="91" t="b">
        <v>0</v>
      </c>
      <c r="H714" s="91" t="b">
        <v>0</v>
      </c>
      <c r="I714" s="91" t="b">
        <v>0</v>
      </c>
      <c r="J714" s="91" t="b">
        <v>0</v>
      </c>
      <c r="K714" s="91" t="b">
        <v>0</v>
      </c>
      <c r="L714" s="91" t="b">
        <v>0</v>
      </c>
    </row>
    <row r="715" spans="1:12" ht="15">
      <c r="A715" s="92" t="s">
        <v>2989</v>
      </c>
      <c r="B715" s="91" t="s">
        <v>2590</v>
      </c>
      <c r="C715" s="91">
        <v>4</v>
      </c>
      <c r="D715" s="114">
        <v>0.0007815434435361328</v>
      </c>
      <c r="E715" s="114">
        <v>2.156132525537746</v>
      </c>
      <c r="F715" s="91" t="s">
        <v>3159</v>
      </c>
      <c r="G715" s="91" t="b">
        <v>0</v>
      </c>
      <c r="H715" s="91" t="b">
        <v>0</v>
      </c>
      <c r="I715" s="91" t="b">
        <v>0</v>
      </c>
      <c r="J715" s="91" t="b">
        <v>0</v>
      </c>
      <c r="K715" s="91" t="b">
        <v>0</v>
      </c>
      <c r="L715" s="91" t="b">
        <v>0</v>
      </c>
    </row>
    <row r="716" spans="1:12" ht="15">
      <c r="A716" s="92" t="s">
        <v>2990</v>
      </c>
      <c r="B716" s="91" t="s">
        <v>2578</v>
      </c>
      <c r="C716" s="91">
        <v>4</v>
      </c>
      <c r="D716" s="114">
        <v>0.0006801865426391694</v>
      </c>
      <c r="E716" s="114">
        <v>1.9520125428818211</v>
      </c>
      <c r="F716" s="91" t="s">
        <v>3159</v>
      </c>
      <c r="G716" s="91" t="b">
        <v>0</v>
      </c>
      <c r="H716" s="91" t="b">
        <v>0</v>
      </c>
      <c r="I716" s="91" t="b">
        <v>0</v>
      </c>
      <c r="J716" s="91" t="b">
        <v>0</v>
      </c>
      <c r="K716" s="91" t="b">
        <v>0</v>
      </c>
      <c r="L716" s="91" t="b">
        <v>0</v>
      </c>
    </row>
    <row r="717" spans="1:12" ht="15">
      <c r="A717" s="92" t="s">
        <v>2578</v>
      </c>
      <c r="B717" s="91" t="s">
        <v>2991</v>
      </c>
      <c r="C717" s="91">
        <v>4</v>
      </c>
      <c r="D717" s="114">
        <v>0.0006801865426391694</v>
      </c>
      <c r="E717" s="114">
        <v>1.9288887440346834</v>
      </c>
      <c r="F717" s="91" t="s">
        <v>3159</v>
      </c>
      <c r="G717" s="91" t="b">
        <v>0</v>
      </c>
      <c r="H717" s="91" t="b">
        <v>0</v>
      </c>
      <c r="I717" s="91" t="b">
        <v>0</v>
      </c>
      <c r="J717" s="91" t="b">
        <v>0</v>
      </c>
      <c r="K717" s="91" t="b">
        <v>0</v>
      </c>
      <c r="L717" s="91" t="b">
        <v>0</v>
      </c>
    </row>
    <row r="718" spans="1:12" ht="15">
      <c r="A718" s="92" t="s">
        <v>2991</v>
      </c>
      <c r="B718" s="91" t="s">
        <v>2992</v>
      </c>
      <c r="C718" s="91">
        <v>4</v>
      </c>
      <c r="D718" s="114">
        <v>0.0006801865426391694</v>
      </c>
      <c r="E718" s="114">
        <v>3.457162521201727</v>
      </c>
      <c r="F718" s="91" t="s">
        <v>3159</v>
      </c>
      <c r="G718" s="91" t="b">
        <v>0</v>
      </c>
      <c r="H718" s="91" t="b">
        <v>0</v>
      </c>
      <c r="I718" s="91" t="b">
        <v>0</v>
      </c>
      <c r="J718" s="91" t="b">
        <v>0</v>
      </c>
      <c r="K718" s="91" t="b">
        <v>0</v>
      </c>
      <c r="L718" s="91" t="b">
        <v>0</v>
      </c>
    </row>
    <row r="719" spans="1:12" ht="15">
      <c r="A719" s="92" t="s">
        <v>2992</v>
      </c>
      <c r="B719" s="91" t="s">
        <v>2993</v>
      </c>
      <c r="C719" s="91">
        <v>4</v>
      </c>
      <c r="D719" s="114">
        <v>0.0006801865426391694</v>
      </c>
      <c r="E719" s="114">
        <v>3.457162521201727</v>
      </c>
      <c r="F719" s="91" t="s">
        <v>3159</v>
      </c>
      <c r="G719" s="91" t="b">
        <v>0</v>
      </c>
      <c r="H719" s="91" t="b">
        <v>0</v>
      </c>
      <c r="I719" s="91" t="b">
        <v>0</v>
      </c>
      <c r="J719" s="91" t="b">
        <v>0</v>
      </c>
      <c r="K719" s="91" t="b">
        <v>0</v>
      </c>
      <c r="L719" s="91" t="b">
        <v>0</v>
      </c>
    </row>
    <row r="720" spans="1:12" ht="15">
      <c r="A720" s="92" t="s">
        <v>2993</v>
      </c>
      <c r="B720" s="91" t="s">
        <v>2569</v>
      </c>
      <c r="C720" s="91">
        <v>4</v>
      </c>
      <c r="D720" s="114">
        <v>0.0006801865426391694</v>
      </c>
      <c r="E720" s="114">
        <v>1.7603694361199829</v>
      </c>
      <c r="F720" s="91" t="s">
        <v>3159</v>
      </c>
      <c r="G720" s="91" t="b">
        <v>0</v>
      </c>
      <c r="H720" s="91" t="b">
        <v>0</v>
      </c>
      <c r="I720" s="91" t="b">
        <v>0</v>
      </c>
      <c r="J720" s="91" t="b">
        <v>0</v>
      </c>
      <c r="K720" s="91" t="b">
        <v>0</v>
      </c>
      <c r="L720" s="91" t="b">
        <v>0</v>
      </c>
    </row>
    <row r="721" spans="1:12" ht="15">
      <c r="A721" s="92" t="s">
        <v>2572</v>
      </c>
      <c r="B721" s="91" t="s">
        <v>2994</v>
      </c>
      <c r="C721" s="91">
        <v>4</v>
      </c>
      <c r="D721" s="114">
        <v>0.0006801865426391694</v>
      </c>
      <c r="E721" s="114">
        <v>1.81867326424709</v>
      </c>
      <c r="F721" s="91" t="s">
        <v>3159</v>
      </c>
      <c r="G721" s="91" t="b">
        <v>0</v>
      </c>
      <c r="H721" s="91" t="b">
        <v>0</v>
      </c>
      <c r="I721" s="91" t="b">
        <v>0</v>
      </c>
      <c r="J721" s="91" t="b">
        <v>0</v>
      </c>
      <c r="K721" s="91" t="b">
        <v>0</v>
      </c>
      <c r="L721" s="91" t="b">
        <v>0</v>
      </c>
    </row>
    <row r="722" spans="1:12" ht="15">
      <c r="A722" s="92" t="s">
        <v>2994</v>
      </c>
      <c r="B722" s="91" t="s">
        <v>2995</v>
      </c>
      <c r="C722" s="91">
        <v>4</v>
      </c>
      <c r="D722" s="114">
        <v>0.0006801865426391694</v>
      </c>
      <c r="E722" s="114">
        <v>3.457162521201727</v>
      </c>
      <c r="F722" s="91" t="s">
        <v>3159</v>
      </c>
      <c r="G722" s="91" t="b">
        <v>0</v>
      </c>
      <c r="H722" s="91" t="b">
        <v>0</v>
      </c>
      <c r="I722" s="91" t="b">
        <v>0</v>
      </c>
      <c r="J722" s="91" t="b">
        <v>0</v>
      </c>
      <c r="K722" s="91" t="b">
        <v>0</v>
      </c>
      <c r="L722" s="91" t="b">
        <v>0</v>
      </c>
    </row>
    <row r="723" spans="1:12" ht="15">
      <c r="A723" s="92" t="s">
        <v>2995</v>
      </c>
      <c r="B723" s="91" t="s">
        <v>2846</v>
      </c>
      <c r="C723" s="91">
        <v>4</v>
      </c>
      <c r="D723" s="114">
        <v>0.0006801865426391694</v>
      </c>
      <c r="E723" s="114">
        <v>3.156132525537746</v>
      </c>
      <c r="F723" s="91" t="s">
        <v>3159</v>
      </c>
      <c r="G723" s="91" t="b">
        <v>0</v>
      </c>
      <c r="H723" s="91" t="b">
        <v>0</v>
      </c>
      <c r="I723" s="91" t="b">
        <v>0</v>
      </c>
      <c r="J723" s="91" t="b">
        <v>0</v>
      </c>
      <c r="K723" s="91" t="b">
        <v>0</v>
      </c>
      <c r="L723" s="91" t="b">
        <v>0</v>
      </c>
    </row>
    <row r="724" spans="1:12" ht="15">
      <c r="A724" s="92" t="s">
        <v>2846</v>
      </c>
      <c r="B724" s="91" t="s">
        <v>2996</v>
      </c>
      <c r="C724" s="91">
        <v>4</v>
      </c>
      <c r="D724" s="114">
        <v>0.0006801865426391694</v>
      </c>
      <c r="E724" s="114">
        <v>3.156132525537746</v>
      </c>
      <c r="F724" s="91" t="s">
        <v>3159</v>
      </c>
      <c r="G724" s="91" t="b">
        <v>0</v>
      </c>
      <c r="H724" s="91" t="b">
        <v>0</v>
      </c>
      <c r="I724" s="91" t="b">
        <v>0</v>
      </c>
      <c r="J724" s="91" t="b">
        <v>0</v>
      </c>
      <c r="K724" s="91" t="b">
        <v>0</v>
      </c>
      <c r="L724" s="91" t="b">
        <v>0</v>
      </c>
    </row>
    <row r="725" spans="1:12" ht="15">
      <c r="A725" s="92" t="s">
        <v>2996</v>
      </c>
      <c r="B725" s="91" t="s">
        <v>2997</v>
      </c>
      <c r="C725" s="91">
        <v>4</v>
      </c>
      <c r="D725" s="114">
        <v>0.0006801865426391694</v>
      </c>
      <c r="E725" s="114">
        <v>3.457162521201727</v>
      </c>
      <c r="F725" s="91" t="s">
        <v>3159</v>
      </c>
      <c r="G725" s="91" t="b">
        <v>0</v>
      </c>
      <c r="H725" s="91" t="b">
        <v>0</v>
      </c>
      <c r="I725" s="91" t="b">
        <v>0</v>
      </c>
      <c r="J725" s="91" t="b">
        <v>0</v>
      </c>
      <c r="K725" s="91" t="b">
        <v>0</v>
      </c>
      <c r="L725" s="91" t="b">
        <v>0</v>
      </c>
    </row>
    <row r="726" spans="1:12" ht="15">
      <c r="A726" s="92" t="s">
        <v>2997</v>
      </c>
      <c r="B726" s="91" t="s">
        <v>2998</v>
      </c>
      <c r="C726" s="91">
        <v>4</v>
      </c>
      <c r="D726" s="114">
        <v>0.0006801865426391694</v>
      </c>
      <c r="E726" s="114">
        <v>3.457162521201727</v>
      </c>
      <c r="F726" s="91" t="s">
        <v>3159</v>
      </c>
      <c r="G726" s="91" t="b">
        <v>0</v>
      </c>
      <c r="H726" s="91" t="b">
        <v>0</v>
      </c>
      <c r="I726" s="91" t="b">
        <v>0</v>
      </c>
      <c r="J726" s="91" t="b">
        <v>0</v>
      </c>
      <c r="K726" s="91" t="b">
        <v>0</v>
      </c>
      <c r="L726" s="91" t="b">
        <v>0</v>
      </c>
    </row>
    <row r="727" spans="1:12" ht="15">
      <c r="A727" s="92" t="s">
        <v>2998</v>
      </c>
      <c r="B727" s="91" t="s">
        <v>2999</v>
      </c>
      <c r="C727" s="91">
        <v>4</v>
      </c>
      <c r="D727" s="114">
        <v>0.0006801865426391694</v>
      </c>
      <c r="E727" s="114">
        <v>3.457162521201727</v>
      </c>
      <c r="F727" s="91" t="s">
        <v>3159</v>
      </c>
      <c r="G727" s="91" t="b">
        <v>0</v>
      </c>
      <c r="H727" s="91" t="b">
        <v>0</v>
      </c>
      <c r="I727" s="91" t="b">
        <v>0</v>
      </c>
      <c r="J727" s="91" t="b">
        <v>0</v>
      </c>
      <c r="K727" s="91" t="b">
        <v>0</v>
      </c>
      <c r="L727" s="91" t="b">
        <v>0</v>
      </c>
    </row>
    <row r="728" spans="1:12" ht="15">
      <c r="A728" s="92" t="s">
        <v>2999</v>
      </c>
      <c r="B728" s="91" t="s">
        <v>3000</v>
      </c>
      <c r="C728" s="91">
        <v>4</v>
      </c>
      <c r="D728" s="114">
        <v>0.0006801865426391694</v>
      </c>
      <c r="E728" s="114">
        <v>3.457162521201727</v>
      </c>
      <c r="F728" s="91" t="s">
        <v>3159</v>
      </c>
      <c r="G728" s="91" t="b">
        <v>0</v>
      </c>
      <c r="H728" s="91" t="b">
        <v>0</v>
      </c>
      <c r="I728" s="91" t="b">
        <v>0</v>
      </c>
      <c r="J728" s="91" t="b">
        <v>0</v>
      </c>
      <c r="K728" s="91" t="b">
        <v>0</v>
      </c>
      <c r="L728" s="91" t="b">
        <v>0</v>
      </c>
    </row>
    <row r="729" spans="1:12" ht="15">
      <c r="A729" s="92" t="s">
        <v>3000</v>
      </c>
      <c r="B729" s="91" t="s">
        <v>2934</v>
      </c>
      <c r="C729" s="91">
        <v>4</v>
      </c>
      <c r="D729" s="114">
        <v>0.0006801865426391694</v>
      </c>
      <c r="E729" s="114">
        <v>3.281071262146046</v>
      </c>
      <c r="F729" s="91" t="s">
        <v>3159</v>
      </c>
      <c r="G729" s="91" t="b">
        <v>0</v>
      </c>
      <c r="H729" s="91" t="b">
        <v>0</v>
      </c>
      <c r="I729" s="91" t="b">
        <v>0</v>
      </c>
      <c r="J729" s="91" t="b">
        <v>0</v>
      </c>
      <c r="K729" s="91" t="b">
        <v>0</v>
      </c>
      <c r="L729" s="91" t="b">
        <v>0</v>
      </c>
    </row>
    <row r="730" spans="1:12" ht="15">
      <c r="A730" s="92" t="s">
        <v>2934</v>
      </c>
      <c r="B730" s="91" t="s">
        <v>3001</v>
      </c>
      <c r="C730" s="91">
        <v>4</v>
      </c>
      <c r="D730" s="114">
        <v>0.0006801865426391694</v>
      </c>
      <c r="E730" s="114">
        <v>3.281071262146046</v>
      </c>
      <c r="F730" s="91" t="s">
        <v>3159</v>
      </c>
      <c r="G730" s="91" t="b">
        <v>0</v>
      </c>
      <c r="H730" s="91" t="b">
        <v>0</v>
      </c>
      <c r="I730" s="91" t="b">
        <v>0</v>
      </c>
      <c r="J730" s="91" t="b">
        <v>0</v>
      </c>
      <c r="K730" s="91" t="b">
        <v>0</v>
      </c>
      <c r="L730" s="91" t="b">
        <v>0</v>
      </c>
    </row>
    <row r="731" spans="1:12" ht="15">
      <c r="A731" s="92" t="s">
        <v>3001</v>
      </c>
      <c r="B731" s="91" t="s">
        <v>3002</v>
      </c>
      <c r="C731" s="91">
        <v>4</v>
      </c>
      <c r="D731" s="114">
        <v>0.0006801865426391694</v>
      </c>
      <c r="E731" s="114">
        <v>3.457162521201727</v>
      </c>
      <c r="F731" s="91" t="s">
        <v>3159</v>
      </c>
      <c r="G731" s="91" t="b">
        <v>0</v>
      </c>
      <c r="H731" s="91" t="b">
        <v>0</v>
      </c>
      <c r="I731" s="91" t="b">
        <v>0</v>
      </c>
      <c r="J731" s="91" t="b">
        <v>0</v>
      </c>
      <c r="K731" s="91" t="b">
        <v>0</v>
      </c>
      <c r="L731" s="91" t="b">
        <v>0</v>
      </c>
    </row>
    <row r="732" spans="1:12" ht="15">
      <c r="A732" s="92" t="s">
        <v>3002</v>
      </c>
      <c r="B732" s="91" t="s">
        <v>3003</v>
      </c>
      <c r="C732" s="91">
        <v>4</v>
      </c>
      <c r="D732" s="114">
        <v>0.0006801865426391694</v>
      </c>
      <c r="E732" s="114">
        <v>3.457162521201727</v>
      </c>
      <c r="F732" s="91" t="s">
        <v>3159</v>
      </c>
      <c r="G732" s="91" t="b">
        <v>0</v>
      </c>
      <c r="H732" s="91" t="b">
        <v>0</v>
      </c>
      <c r="I732" s="91" t="b">
        <v>0</v>
      </c>
      <c r="J732" s="91" t="b">
        <v>0</v>
      </c>
      <c r="K732" s="91" t="b">
        <v>0</v>
      </c>
      <c r="L732" s="91" t="b">
        <v>0</v>
      </c>
    </row>
    <row r="733" spans="1:12" ht="15">
      <c r="A733" s="92" t="s">
        <v>3003</v>
      </c>
      <c r="B733" s="91" t="s">
        <v>3004</v>
      </c>
      <c r="C733" s="91">
        <v>4</v>
      </c>
      <c r="D733" s="114">
        <v>0.0006801865426391694</v>
      </c>
      <c r="E733" s="114">
        <v>3.457162521201727</v>
      </c>
      <c r="F733" s="91" t="s">
        <v>3159</v>
      </c>
      <c r="G733" s="91" t="b">
        <v>0</v>
      </c>
      <c r="H733" s="91" t="b">
        <v>0</v>
      </c>
      <c r="I733" s="91" t="b">
        <v>0</v>
      </c>
      <c r="J733" s="91" t="b">
        <v>0</v>
      </c>
      <c r="K733" s="91" t="b">
        <v>0</v>
      </c>
      <c r="L733" s="91" t="b">
        <v>0</v>
      </c>
    </row>
    <row r="734" spans="1:12" ht="15">
      <c r="A734" s="92" t="s">
        <v>3004</v>
      </c>
      <c r="B734" s="91" t="s">
        <v>3005</v>
      </c>
      <c r="C734" s="91">
        <v>4</v>
      </c>
      <c r="D734" s="114">
        <v>0.0006801865426391694</v>
      </c>
      <c r="E734" s="114">
        <v>3.457162521201727</v>
      </c>
      <c r="F734" s="91" t="s">
        <v>3159</v>
      </c>
      <c r="G734" s="91" t="b">
        <v>0</v>
      </c>
      <c r="H734" s="91" t="b">
        <v>0</v>
      </c>
      <c r="I734" s="91" t="b">
        <v>0</v>
      </c>
      <c r="J734" s="91" t="b">
        <v>0</v>
      </c>
      <c r="K734" s="91" t="b">
        <v>0</v>
      </c>
      <c r="L734" s="91" t="b">
        <v>0</v>
      </c>
    </row>
    <row r="735" spans="1:12" ht="15">
      <c r="A735" s="92" t="s">
        <v>3005</v>
      </c>
      <c r="B735" s="91" t="s">
        <v>3006</v>
      </c>
      <c r="C735" s="91">
        <v>4</v>
      </c>
      <c r="D735" s="114">
        <v>0.0006801865426391694</v>
      </c>
      <c r="E735" s="114">
        <v>3.457162521201727</v>
      </c>
      <c r="F735" s="91" t="s">
        <v>3159</v>
      </c>
      <c r="G735" s="91" t="b">
        <v>0</v>
      </c>
      <c r="H735" s="91" t="b">
        <v>0</v>
      </c>
      <c r="I735" s="91" t="b">
        <v>0</v>
      </c>
      <c r="J735" s="91" t="b">
        <v>0</v>
      </c>
      <c r="K735" s="91" t="b">
        <v>0</v>
      </c>
      <c r="L735" s="91" t="b">
        <v>0</v>
      </c>
    </row>
    <row r="736" spans="1:12" ht="15">
      <c r="A736" s="92" t="s">
        <v>3006</v>
      </c>
      <c r="B736" s="91" t="s">
        <v>2846</v>
      </c>
      <c r="C736" s="91">
        <v>4</v>
      </c>
      <c r="D736" s="114">
        <v>0.0006801865426391694</v>
      </c>
      <c r="E736" s="114">
        <v>3.156132525537746</v>
      </c>
      <c r="F736" s="91" t="s">
        <v>3159</v>
      </c>
      <c r="G736" s="91" t="b">
        <v>0</v>
      </c>
      <c r="H736" s="91" t="b">
        <v>0</v>
      </c>
      <c r="I736" s="91" t="b">
        <v>0</v>
      </c>
      <c r="J736" s="91" t="b">
        <v>0</v>
      </c>
      <c r="K736" s="91" t="b">
        <v>0</v>
      </c>
      <c r="L736" s="91" t="b">
        <v>0</v>
      </c>
    </row>
    <row r="737" spans="1:12" ht="15">
      <c r="A737" s="92" t="s">
        <v>2846</v>
      </c>
      <c r="B737" s="91" t="s">
        <v>3007</v>
      </c>
      <c r="C737" s="91">
        <v>4</v>
      </c>
      <c r="D737" s="114">
        <v>0.0006801865426391694</v>
      </c>
      <c r="E737" s="114">
        <v>3.156132525537746</v>
      </c>
      <c r="F737" s="91" t="s">
        <v>3159</v>
      </c>
      <c r="G737" s="91" t="b">
        <v>0</v>
      </c>
      <c r="H737" s="91" t="b">
        <v>0</v>
      </c>
      <c r="I737" s="91" t="b">
        <v>0</v>
      </c>
      <c r="J737" s="91" t="b">
        <v>0</v>
      </c>
      <c r="K737" s="91" t="b">
        <v>0</v>
      </c>
      <c r="L737" s="91" t="b">
        <v>0</v>
      </c>
    </row>
    <row r="738" spans="1:12" ht="15">
      <c r="A738" s="92" t="s">
        <v>3007</v>
      </c>
      <c r="B738" s="91" t="s">
        <v>3008</v>
      </c>
      <c r="C738" s="91">
        <v>4</v>
      </c>
      <c r="D738" s="114">
        <v>0.0006801865426391694</v>
      </c>
      <c r="E738" s="114">
        <v>3.457162521201727</v>
      </c>
      <c r="F738" s="91" t="s">
        <v>3159</v>
      </c>
      <c r="G738" s="91" t="b">
        <v>0</v>
      </c>
      <c r="H738" s="91" t="b">
        <v>0</v>
      </c>
      <c r="I738" s="91" t="b">
        <v>0</v>
      </c>
      <c r="J738" s="91" t="b">
        <v>0</v>
      </c>
      <c r="K738" s="91" t="b">
        <v>0</v>
      </c>
      <c r="L738" s="91" t="b">
        <v>0</v>
      </c>
    </row>
    <row r="739" spans="1:12" ht="15">
      <c r="A739" s="92" t="s">
        <v>3008</v>
      </c>
      <c r="B739" s="91" t="s">
        <v>2564</v>
      </c>
      <c r="C739" s="91">
        <v>4</v>
      </c>
      <c r="D739" s="114">
        <v>0.0006801865426391694</v>
      </c>
      <c r="E739" s="114">
        <v>1.4370084895633943</v>
      </c>
      <c r="F739" s="91" t="s">
        <v>3159</v>
      </c>
      <c r="G739" s="91" t="b">
        <v>0</v>
      </c>
      <c r="H739" s="91" t="b">
        <v>0</v>
      </c>
      <c r="I739" s="91" t="b">
        <v>0</v>
      </c>
      <c r="J739" s="91" t="b">
        <v>0</v>
      </c>
      <c r="K739" s="91" t="b">
        <v>0</v>
      </c>
      <c r="L739" s="91" t="b">
        <v>0</v>
      </c>
    </row>
    <row r="740" spans="1:12" ht="15">
      <c r="A740" s="92" t="s">
        <v>2585</v>
      </c>
      <c r="B740" s="91" t="s">
        <v>3009</v>
      </c>
      <c r="C740" s="91">
        <v>4</v>
      </c>
      <c r="D740" s="114">
        <v>0.0006801865426391694</v>
      </c>
      <c r="E740" s="114">
        <v>2.0724507782634447</v>
      </c>
      <c r="F740" s="91" t="s">
        <v>3159</v>
      </c>
      <c r="G740" s="91" t="b">
        <v>0</v>
      </c>
      <c r="H740" s="91" t="b">
        <v>0</v>
      </c>
      <c r="I740" s="91" t="b">
        <v>0</v>
      </c>
      <c r="J740" s="91" t="b">
        <v>0</v>
      </c>
      <c r="K740" s="91" t="b">
        <v>0</v>
      </c>
      <c r="L740" s="91" t="b">
        <v>0</v>
      </c>
    </row>
    <row r="741" spans="1:12" ht="15">
      <c r="A741" s="92" t="s">
        <v>3009</v>
      </c>
      <c r="B741" s="91" t="s">
        <v>2643</v>
      </c>
      <c r="C741" s="91">
        <v>4</v>
      </c>
      <c r="D741" s="114">
        <v>0.0006801865426391694</v>
      </c>
      <c r="E741" s="114">
        <v>2.5151544681794142</v>
      </c>
      <c r="F741" s="91" t="s">
        <v>3159</v>
      </c>
      <c r="G741" s="91" t="b">
        <v>0</v>
      </c>
      <c r="H741" s="91" t="b">
        <v>0</v>
      </c>
      <c r="I741" s="91" t="b">
        <v>0</v>
      </c>
      <c r="J741" s="91" t="b">
        <v>0</v>
      </c>
      <c r="K741" s="91" t="b">
        <v>0</v>
      </c>
      <c r="L741" s="91" t="b">
        <v>0</v>
      </c>
    </row>
    <row r="742" spans="1:12" ht="15">
      <c r="A742" s="92" t="s">
        <v>2643</v>
      </c>
      <c r="B742" s="91" t="s">
        <v>3010</v>
      </c>
      <c r="C742" s="91">
        <v>4</v>
      </c>
      <c r="D742" s="114">
        <v>0.0006801865426391694</v>
      </c>
      <c r="E742" s="114">
        <v>2.5151544681794142</v>
      </c>
      <c r="F742" s="91" t="s">
        <v>3159</v>
      </c>
      <c r="G742" s="91" t="b">
        <v>0</v>
      </c>
      <c r="H742" s="91" t="b">
        <v>0</v>
      </c>
      <c r="I742" s="91" t="b">
        <v>0</v>
      </c>
      <c r="J742" s="91" t="b">
        <v>0</v>
      </c>
      <c r="K742" s="91" t="b">
        <v>0</v>
      </c>
      <c r="L742" s="91" t="b">
        <v>0</v>
      </c>
    </row>
    <row r="743" spans="1:12" ht="15">
      <c r="A743" s="92" t="s">
        <v>3010</v>
      </c>
      <c r="B743" s="91" t="s">
        <v>3011</v>
      </c>
      <c r="C743" s="91">
        <v>4</v>
      </c>
      <c r="D743" s="114">
        <v>0.0006801865426391694</v>
      </c>
      <c r="E743" s="114">
        <v>3.457162521201727</v>
      </c>
      <c r="F743" s="91" t="s">
        <v>3159</v>
      </c>
      <c r="G743" s="91" t="b">
        <v>0</v>
      </c>
      <c r="H743" s="91" t="b">
        <v>0</v>
      </c>
      <c r="I743" s="91" t="b">
        <v>0</v>
      </c>
      <c r="J743" s="91" t="b">
        <v>0</v>
      </c>
      <c r="K743" s="91" t="b">
        <v>0</v>
      </c>
      <c r="L743" s="91" t="b">
        <v>0</v>
      </c>
    </row>
    <row r="744" spans="1:12" ht="15">
      <c r="A744" s="92" t="s">
        <v>3011</v>
      </c>
      <c r="B744" s="91" t="s">
        <v>3012</v>
      </c>
      <c r="C744" s="91">
        <v>4</v>
      </c>
      <c r="D744" s="114">
        <v>0.0006801865426391694</v>
      </c>
      <c r="E744" s="114">
        <v>3.457162521201727</v>
      </c>
      <c r="F744" s="91" t="s">
        <v>3159</v>
      </c>
      <c r="G744" s="91" t="b">
        <v>0</v>
      </c>
      <c r="H744" s="91" t="b">
        <v>0</v>
      </c>
      <c r="I744" s="91" t="b">
        <v>0</v>
      </c>
      <c r="J744" s="91" t="b">
        <v>0</v>
      </c>
      <c r="K744" s="91" t="b">
        <v>0</v>
      </c>
      <c r="L744" s="91" t="b">
        <v>0</v>
      </c>
    </row>
    <row r="745" spans="1:12" ht="15">
      <c r="A745" s="92" t="s">
        <v>3012</v>
      </c>
      <c r="B745" s="91" t="s">
        <v>2749</v>
      </c>
      <c r="C745" s="91">
        <v>4</v>
      </c>
      <c r="D745" s="114">
        <v>0.0006801865426391694</v>
      </c>
      <c r="E745" s="114">
        <v>2.980041266482065</v>
      </c>
      <c r="F745" s="91" t="s">
        <v>3159</v>
      </c>
      <c r="G745" s="91" t="b">
        <v>0</v>
      </c>
      <c r="H745" s="91" t="b">
        <v>0</v>
      </c>
      <c r="I745" s="91" t="b">
        <v>0</v>
      </c>
      <c r="J745" s="91" t="b">
        <v>0</v>
      </c>
      <c r="K745" s="91" t="b">
        <v>0</v>
      </c>
      <c r="L745" s="91" t="b">
        <v>0</v>
      </c>
    </row>
    <row r="746" spans="1:12" ht="15">
      <c r="A746" s="92" t="s">
        <v>2726</v>
      </c>
      <c r="B746" s="91" t="s">
        <v>3013</v>
      </c>
      <c r="C746" s="91">
        <v>4</v>
      </c>
      <c r="D746" s="114">
        <v>0.0006801865426391694</v>
      </c>
      <c r="E746" s="114">
        <v>2.828773591151416</v>
      </c>
      <c r="F746" s="91" t="s">
        <v>3159</v>
      </c>
      <c r="G746" s="91" t="b">
        <v>0</v>
      </c>
      <c r="H746" s="91" t="b">
        <v>0</v>
      </c>
      <c r="I746" s="91" t="b">
        <v>0</v>
      </c>
      <c r="J746" s="91" t="b">
        <v>0</v>
      </c>
      <c r="K746" s="91" t="b">
        <v>0</v>
      </c>
      <c r="L746" s="91" t="b">
        <v>0</v>
      </c>
    </row>
    <row r="747" spans="1:12" ht="15">
      <c r="A747" s="92" t="s">
        <v>3013</v>
      </c>
      <c r="B747" s="91" t="s">
        <v>2616</v>
      </c>
      <c r="C747" s="91">
        <v>4</v>
      </c>
      <c r="D747" s="114">
        <v>0.0006801865426391694</v>
      </c>
      <c r="E747" s="114">
        <v>2.446438655809954</v>
      </c>
      <c r="F747" s="91" t="s">
        <v>3159</v>
      </c>
      <c r="G747" s="91" t="b">
        <v>0</v>
      </c>
      <c r="H747" s="91" t="b">
        <v>0</v>
      </c>
      <c r="I747" s="91" t="b">
        <v>0</v>
      </c>
      <c r="J747" s="91" t="b">
        <v>0</v>
      </c>
      <c r="K747" s="91" t="b">
        <v>0</v>
      </c>
      <c r="L747" s="91" t="b">
        <v>0</v>
      </c>
    </row>
    <row r="748" spans="1:12" ht="15">
      <c r="A748" s="92" t="s">
        <v>2589</v>
      </c>
      <c r="B748" s="91" t="s">
        <v>3015</v>
      </c>
      <c r="C748" s="91">
        <v>3</v>
      </c>
      <c r="D748" s="114">
        <v>0.000541690092991574</v>
      </c>
      <c r="E748" s="114">
        <v>2.1197032599110712</v>
      </c>
      <c r="F748" s="91" t="s">
        <v>3159</v>
      </c>
      <c r="G748" s="91" t="b">
        <v>0</v>
      </c>
      <c r="H748" s="91" t="b">
        <v>0</v>
      </c>
      <c r="I748" s="91" t="b">
        <v>0</v>
      </c>
      <c r="J748" s="91" t="b">
        <v>0</v>
      </c>
      <c r="K748" s="91" t="b">
        <v>0</v>
      </c>
      <c r="L748" s="91" t="b">
        <v>0</v>
      </c>
    </row>
    <row r="749" spans="1:12" ht="15">
      <c r="A749" s="92" t="s">
        <v>3015</v>
      </c>
      <c r="B749" s="91" t="s">
        <v>2580</v>
      </c>
      <c r="C749" s="91">
        <v>3</v>
      </c>
      <c r="D749" s="114">
        <v>0.000541690092991574</v>
      </c>
      <c r="E749" s="114">
        <v>1.9486328022304407</v>
      </c>
      <c r="F749" s="91" t="s">
        <v>3159</v>
      </c>
      <c r="G749" s="91" t="b">
        <v>0</v>
      </c>
      <c r="H749" s="91" t="b">
        <v>0</v>
      </c>
      <c r="I749" s="91" t="b">
        <v>0</v>
      </c>
      <c r="J749" s="91" t="b">
        <v>0</v>
      </c>
      <c r="K749" s="91" t="b">
        <v>0</v>
      </c>
      <c r="L749" s="91" t="b">
        <v>0</v>
      </c>
    </row>
    <row r="750" spans="1:12" ht="15">
      <c r="A750" s="92" t="s">
        <v>2589</v>
      </c>
      <c r="B750" s="91" t="s">
        <v>3016</v>
      </c>
      <c r="C750" s="91">
        <v>3</v>
      </c>
      <c r="D750" s="114">
        <v>0.000541690092991574</v>
      </c>
      <c r="E750" s="114">
        <v>2.1197032599110712</v>
      </c>
      <c r="F750" s="91" t="s">
        <v>3159</v>
      </c>
      <c r="G750" s="91" t="b">
        <v>0</v>
      </c>
      <c r="H750" s="91" t="b">
        <v>0</v>
      </c>
      <c r="I750" s="91" t="b">
        <v>0</v>
      </c>
      <c r="J750" s="91" t="b">
        <v>0</v>
      </c>
      <c r="K750" s="91" t="b">
        <v>0</v>
      </c>
      <c r="L750" s="91" t="b">
        <v>0</v>
      </c>
    </row>
    <row r="751" spans="1:12" ht="15">
      <c r="A751" s="92" t="s">
        <v>3016</v>
      </c>
      <c r="B751" s="91" t="s">
        <v>3017</v>
      </c>
      <c r="C751" s="91">
        <v>3</v>
      </c>
      <c r="D751" s="114">
        <v>0.000541690092991574</v>
      </c>
      <c r="E751" s="114">
        <v>3.5821012578100273</v>
      </c>
      <c r="F751" s="91" t="s">
        <v>3159</v>
      </c>
      <c r="G751" s="91" t="b">
        <v>0</v>
      </c>
      <c r="H751" s="91" t="b">
        <v>0</v>
      </c>
      <c r="I751" s="91" t="b">
        <v>0</v>
      </c>
      <c r="J751" s="91" t="b">
        <v>0</v>
      </c>
      <c r="K751" s="91" t="b">
        <v>0</v>
      </c>
      <c r="L751" s="91" t="b">
        <v>0</v>
      </c>
    </row>
    <row r="752" spans="1:12" ht="15">
      <c r="A752" s="92" t="s">
        <v>3017</v>
      </c>
      <c r="B752" s="91" t="s">
        <v>2694</v>
      </c>
      <c r="C752" s="91">
        <v>3</v>
      </c>
      <c r="D752" s="114">
        <v>0.000541690092991574</v>
      </c>
      <c r="E752" s="114">
        <v>2.758192516865708</v>
      </c>
      <c r="F752" s="91" t="s">
        <v>3159</v>
      </c>
      <c r="G752" s="91" t="b">
        <v>0</v>
      </c>
      <c r="H752" s="91" t="b">
        <v>0</v>
      </c>
      <c r="I752" s="91" t="b">
        <v>0</v>
      </c>
      <c r="J752" s="91" t="b">
        <v>0</v>
      </c>
      <c r="K752" s="91" t="b">
        <v>0</v>
      </c>
      <c r="L752" s="91" t="b">
        <v>0</v>
      </c>
    </row>
    <row r="753" spans="1:12" ht="15">
      <c r="A753" s="92" t="s">
        <v>2636</v>
      </c>
      <c r="B753" s="91" t="s">
        <v>2753</v>
      </c>
      <c r="C753" s="91">
        <v>3</v>
      </c>
      <c r="D753" s="114">
        <v>0.000541690092991574</v>
      </c>
      <c r="E753" s="114">
        <v>1.8928910907631646</v>
      </c>
      <c r="F753" s="91" t="s">
        <v>3159</v>
      </c>
      <c r="G753" s="91" t="b">
        <v>0</v>
      </c>
      <c r="H753" s="91" t="b">
        <v>0</v>
      </c>
      <c r="I753" s="91" t="b">
        <v>0</v>
      </c>
      <c r="J753" s="91" t="b">
        <v>0</v>
      </c>
      <c r="K753" s="91" t="b">
        <v>0</v>
      </c>
      <c r="L753" s="91" t="b">
        <v>0</v>
      </c>
    </row>
    <row r="754" spans="1:12" ht="15">
      <c r="A754" s="92" t="s">
        <v>2753</v>
      </c>
      <c r="B754" s="91" t="s">
        <v>3018</v>
      </c>
      <c r="C754" s="91">
        <v>3</v>
      </c>
      <c r="D754" s="114">
        <v>0.000541690092991574</v>
      </c>
      <c r="E754" s="114">
        <v>3.0178298273714645</v>
      </c>
      <c r="F754" s="91" t="s">
        <v>3159</v>
      </c>
      <c r="G754" s="91" t="b">
        <v>0</v>
      </c>
      <c r="H754" s="91" t="b">
        <v>0</v>
      </c>
      <c r="I754" s="91" t="b">
        <v>0</v>
      </c>
      <c r="J754" s="91" t="b">
        <v>0</v>
      </c>
      <c r="K754" s="91" t="b">
        <v>0</v>
      </c>
      <c r="L754" s="91" t="b">
        <v>0</v>
      </c>
    </row>
    <row r="755" spans="1:12" ht="15">
      <c r="A755" s="92" t="s">
        <v>3018</v>
      </c>
      <c r="B755" s="91" t="s">
        <v>2568</v>
      </c>
      <c r="C755" s="91">
        <v>3</v>
      </c>
      <c r="D755" s="114">
        <v>0.000541690092991574</v>
      </c>
      <c r="E755" s="114">
        <v>1.7328866516009382</v>
      </c>
      <c r="F755" s="91" t="s">
        <v>3159</v>
      </c>
      <c r="G755" s="91" t="b">
        <v>0</v>
      </c>
      <c r="H755" s="91" t="b">
        <v>0</v>
      </c>
      <c r="I755" s="91" t="b">
        <v>0</v>
      </c>
      <c r="J755" s="91" t="b">
        <v>0</v>
      </c>
      <c r="K755" s="91" t="b">
        <v>0</v>
      </c>
      <c r="L755" s="91" t="b">
        <v>0</v>
      </c>
    </row>
    <row r="756" spans="1:12" ht="15">
      <c r="A756" s="92" t="s">
        <v>2568</v>
      </c>
      <c r="B756" s="91" t="s">
        <v>2665</v>
      </c>
      <c r="C756" s="91">
        <v>3</v>
      </c>
      <c r="D756" s="114">
        <v>0.000541690092991574</v>
      </c>
      <c r="E756" s="114">
        <v>0.8297966646089947</v>
      </c>
      <c r="F756" s="91" t="s">
        <v>3159</v>
      </c>
      <c r="G756" s="91" t="b">
        <v>0</v>
      </c>
      <c r="H756" s="91" t="b">
        <v>0</v>
      </c>
      <c r="I756" s="91" t="b">
        <v>0</v>
      </c>
      <c r="J756" s="91" t="b">
        <v>0</v>
      </c>
      <c r="K756" s="91" t="b">
        <v>0</v>
      </c>
      <c r="L756" s="91" t="b">
        <v>0</v>
      </c>
    </row>
    <row r="757" spans="1:12" ht="15">
      <c r="A757" s="92" t="s">
        <v>2665</v>
      </c>
      <c r="B757" s="91" t="s">
        <v>2619</v>
      </c>
      <c r="C757" s="91">
        <v>3</v>
      </c>
      <c r="D757" s="114">
        <v>0.000541690092991574</v>
      </c>
      <c r="E757" s="114">
        <v>1.4659364455092323</v>
      </c>
      <c r="F757" s="91" t="s">
        <v>3159</v>
      </c>
      <c r="G757" s="91" t="b">
        <v>0</v>
      </c>
      <c r="H757" s="91" t="b">
        <v>0</v>
      </c>
      <c r="I757" s="91" t="b">
        <v>0</v>
      </c>
      <c r="J757" s="91" t="b">
        <v>0</v>
      </c>
      <c r="K757" s="91" t="b">
        <v>0</v>
      </c>
      <c r="L757" s="91" t="b">
        <v>0</v>
      </c>
    </row>
    <row r="758" spans="1:12" ht="15">
      <c r="A758" s="92" t="s">
        <v>2749</v>
      </c>
      <c r="B758" s="91" t="s">
        <v>2571</v>
      </c>
      <c r="C758" s="91">
        <v>3</v>
      </c>
      <c r="D758" s="114">
        <v>0.000541690092991574</v>
      </c>
      <c r="E758" s="114">
        <v>1.3257577423441955</v>
      </c>
      <c r="F758" s="91" t="s">
        <v>3159</v>
      </c>
      <c r="G758" s="91" t="b">
        <v>0</v>
      </c>
      <c r="H758" s="91" t="b">
        <v>0</v>
      </c>
      <c r="I758" s="91" t="b">
        <v>0</v>
      </c>
      <c r="J758" s="91" t="b">
        <v>0</v>
      </c>
      <c r="K758" s="91" t="b">
        <v>0</v>
      </c>
      <c r="L758" s="91" t="b">
        <v>0</v>
      </c>
    </row>
    <row r="759" spans="1:12" ht="15">
      <c r="A759" s="92" t="s">
        <v>2571</v>
      </c>
      <c r="B759" s="91" t="s">
        <v>2847</v>
      </c>
      <c r="C759" s="91">
        <v>3</v>
      </c>
      <c r="D759" s="114">
        <v>0.000541690092991574</v>
      </c>
      <c r="E759" s="114">
        <v>1.3858943577884715</v>
      </c>
      <c r="F759" s="91" t="s">
        <v>3159</v>
      </c>
      <c r="G759" s="91" t="b">
        <v>0</v>
      </c>
      <c r="H759" s="91" t="b">
        <v>0</v>
      </c>
      <c r="I759" s="91" t="b">
        <v>0</v>
      </c>
      <c r="J759" s="91" t="b">
        <v>0</v>
      </c>
      <c r="K759" s="91" t="b">
        <v>0</v>
      </c>
      <c r="L759" s="91" t="b">
        <v>0</v>
      </c>
    </row>
    <row r="760" spans="1:12" ht="15">
      <c r="A760" s="92" t="s">
        <v>2565</v>
      </c>
      <c r="B760" s="91" t="s">
        <v>2616</v>
      </c>
      <c r="C760" s="91">
        <v>3</v>
      </c>
      <c r="D760" s="114">
        <v>0.000541690092991574</v>
      </c>
      <c r="E760" s="114">
        <v>0.558071925638717</v>
      </c>
      <c r="F760" s="91" t="s">
        <v>3159</v>
      </c>
      <c r="G760" s="91" t="b">
        <v>0</v>
      </c>
      <c r="H760" s="91" t="b">
        <v>0</v>
      </c>
      <c r="I760" s="91" t="b">
        <v>0</v>
      </c>
      <c r="J760" s="91" t="b">
        <v>0</v>
      </c>
      <c r="K760" s="91" t="b">
        <v>0</v>
      </c>
      <c r="L760" s="91" t="b">
        <v>0</v>
      </c>
    </row>
    <row r="761" spans="1:12" ht="15">
      <c r="A761" s="92" t="s">
        <v>2616</v>
      </c>
      <c r="B761" s="91" t="s">
        <v>2573</v>
      </c>
      <c r="C761" s="91">
        <v>3</v>
      </c>
      <c r="D761" s="114">
        <v>0.000541690092991574</v>
      </c>
      <c r="E761" s="114">
        <v>0.6028564794006466</v>
      </c>
      <c r="F761" s="91" t="s">
        <v>3159</v>
      </c>
      <c r="G761" s="91" t="b">
        <v>0</v>
      </c>
      <c r="H761" s="91" t="b">
        <v>0</v>
      </c>
      <c r="I761" s="91" t="b">
        <v>0</v>
      </c>
      <c r="J761" s="91" t="b">
        <v>0</v>
      </c>
      <c r="K761" s="91" t="b">
        <v>0</v>
      </c>
      <c r="L761" s="91" t="b">
        <v>0</v>
      </c>
    </row>
    <row r="762" spans="1:12" ht="15">
      <c r="A762" s="92" t="s">
        <v>2573</v>
      </c>
      <c r="B762" s="91" t="s">
        <v>2646</v>
      </c>
      <c r="C762" s="91">
        <v>3</v>
      </c>
      <c r="D762" s="114">
        <v>0.000541690092991574</v>
      </c>
      <c r="E762" s="114">
        <v>0.7873809059931907</v>
      </c>
      <c r="F762" s="91" t="s">
        <v>3159</v>
      </c>
      <c r="G762" s="91" t="b">
        <v>0</v>
      </c>
      <c r="H762" s="91" t="b">
        <v>0</v>
      </c>
      <c r="I762" s="91" t="b">
        <v>0</v>
      </c>
      <c r="J762" s="91" t="b">
        <v>0</v>
      </c>
      <c r="K762" s="91" t="b">
        <v>0</v>
      </c>
      <c r="L762" s="91" t="b">
        <v>0</v>
      </c>
    </row>
    <row r="763" spans="1:12" ht="15">
      <c r="A763" s="92" t="s">
        <v>2646</v>
      </c>
      <c r="B763" s="91" t="s">
        <v>2566</v>
      </c>
      <c r="C763" s="91">
        <v>3</v>
      </c>
      <c r="D763" s="114">
        <v>0.000541690092991574</v>
      </c>
      <c r="E763" s="114">
        <v>0.643137014189504</v>
      </c>
      <c r="F763" s="91" t="s">
        <v>3159</v>
      </c>
      <c r="G763" s="91" t="b">
        <v>0</v>
      </c>
      <c r="H763" s="91" t="b">
        <v>0</v>
      </c>
      <c r="I763" s="91" t="b">
        <v>0</v>
      </c>
      <c r="J763" s="91" t="b">
        <v>0</v>
      </c>
      <c r="K763" s="91" t="b">
        <v>0</v>
      </c>
      <c r="L763" s="91" t="b">
        <v>0</v>
      </c>
    </row>
    <row r="764" spans="1:12" ht="15">
      <c r="A764" s="92" t="s">
        <v>2566</v>
      </c>
      <c r="B764" s="91" t="s">
        <v>3019</v>
      </c>
      <c r="C764" s="91">
        <v>3</v>
      </c>
      <c r="D764" s="114">
        <v>0.000541690092991574</v>
      </c>
      <c r="E764" s="114">
        <v>1.734940057231997</v>
      </c>
      <c r="F764" s="91" t="s">
        <v>3159</v>
      </c>
      <c r="G764" s="91" t="b">
        <v>0</v>
      </c>
      <c r="H764" s="91" t="b">
        <v>0</v>
      </c>
      <c r="I764" s="91" t="b">
        <v>0</v>
      </c>
      <c r="J764" s="91" t="b">
        <v>0</v>
      </c>
      <c r="K764" s="91" t="b">
        <v>0</v>
      </c>
      <c r="L764" s="91" t="b">
        <v>0</v>
      </c>
    </row>
    <row r="765" spans="1:12" ht="15">
      <c r="A765" s="92" t="s">
        <v>3019</v>
      </c>
      <c r="B765" s="91" t="s">
        <v>2965</v>
      </c>
      <c r="C765" s="91">
        <v>3</v>
      </c>
      <c r="D765" s="114">
        <v>0.000541690092991574</v>
      </c>
      <c r="E765" s="114">
        <v>3.4571625212017274</v>
      </c>
      <c r="F765" s="91" t="s">
        <v>3159</v>
      </c>
      <c r="G765" s="91" t="b">
        <v>0</v>
      </c>
      <c r="H765" s="91" t="b">
        <v>0</v>
      </c>
      <c r="I765" s="91" t="b">
        <v>0</v>
      </c>
      <c r="J765" s="91" t="b">
        <v>0</v>
      </c>
      <c r="K765" s="91" t="b">
        <v>0</v>
      </c>
      <c r="L765" s="91" t="b">
        <v>0</v>
      </c>
    </row>
    <row r="766" spans="1:12" ht="15">
      <c r="A766" s="92" t="s">
        <v>2779</v>
      </c>
      <c r="B766" s="91" t="s">
        <v>417</v>
      </c>
      <c r="C766" s="91">
        <v>3</v>
      </c>
      <c r="D766" s="114">
        <v>0.000541690092991574</v>
      </c>
      <c r="E766" s="114">
        <v>3.1049800030903647</v>
      </c>
      <c r="F766" s="91" t="s">
        <v>3159</v>
      </c>
      <c r="G766" s="91" t="b">
        <v>0</v>
      </c>
      <c r="H766" s="91" t="b">
        <v>0</v>
      </c>
      <c r="I766" s="91" t="b">
        <v>0</v>
      </c>
      <c r="J766" s="91" t="b">
        <v>0</v>
      </c>
      <c r="K766" s="91" t="b">
        <v>0</v>
      </c>
      <c r="L766" s="91" t="b">
        <v>0</v>
      </c>
    </row>
    <row r="767" spans="1:12" ht="15">
      <c r="A767" s="92" t="s">
        <v>417</v>
      </c>
      <c r="B767" s="91" t="s">
        <v>2663</v>
      </c>
      <c r="C767" s="91">
        <v>3</v>
      </c>
      <c r="D767" s="114">
        <v>0.000541690092991574</v>
      </c>
      <c r="E767" s="114">
        <v>3.281071262146046</v>
      </c>
      <c r="F767" s="91" t="s">
        <v>3159</v>
      </c>
      <c r="G767" s="91" t="b">
        <v>0</v>
      </c>
      <c r="H767" s="91" t="b">
        <v>0</v>
      </c>
      <c r="I767" s="91" t="b">
        <v>0</v>
      </c>
      <c r="J767" s="91" t="b">
        <v>0</v>
      </c>
      <c r="K767" s="91" t="b">
        <v>0</v>
      </c>
      <c r="L767" s="91" t="b">
        <v>0</v>
      </c>
    </row>
    <row r="768" spans="1:12" ht="15">
      <c r="A768" s="92" t="s">
        <v>2566</v>
      </c>
      <c r="B768" s="91" t="s">
        <v>3020</v>
      </c>
      <c r="C768" s="91">
        <v>3</v>
      </c>
      <c r="D768" s="114">
        <v>0.000541690092991574</v>
      </c>
      <c r="E768" s="114">
        <v>1.734940057231997</v>
      </c>
      <c r="F768" s="91" t="s">
        <v>3159</v>
      </c>
      <c r="G768" s="91" t="b">
        <v>0</v>
      </c>
      <c r="H768" s="91" t="b">
        <v>0</v>
      </c>
      <c r="I768" s="91" t="b">
        <v>0</v>
      </c>
      <c r="J768" s="91" t="b">
        <v>0</v>
      </c>
      <c r="K768" s="91" t="b">
        <v>0</v>
      </c>
      <c r="L768" s="91" t="b">
        <v>0</v>
      </c>
    </row>
    <row r="769" spans="1:12" ht="15">
      <c r="A769" s="92" t="s">
        <v>2669</v>
      </c>
      <c r="B769" s="91" t="s">
        <v>2795</v>
      </c>
      <c r="C769" s="91">
        <v>3</v>
      </c>
      <c r="D769" s="114">
        <v>0.000541690092991574</v>
      </c>
      <c r="E769" s="114">
        <v>2.2396785769878207</v>
      </c>
      <c r="F769" s="91" t="s">
        <v>3159</v>
      </c>
      <c r="G769" s="91" t="b">
        <v>0</v>
      </c>
      <c r="H769" s="91" t="b">
        <v>0</v>
      </c>
      <c r="I769" s="91" t="b">
        <v>0</v>
      </c>
      <c r="J769" s="91" t="b">
        <v>0</v>
      </c>
      <c r="K769" s="91" t="b">
        <v>0</v>
      </c>
      <c r="L769" s="91" t="b">
        <v>0</v>
      </c>
    </row>
    <row r="770" spans="1:12" ht="15">
      <c r="A770" s="92" t="s">
        <v>2795</v>
      </c>
      <c r="B770" s="91" t="s">
        <v>2796</v>
      </c>
      <c r="C770" s="91">
        <v>3</v>
      </c>
      <c r="D770" s="114">
        <v>0.000541690092991574</v>
      </c>
      <c r="E770" s="114">
        <v>2.6278587483707025</v>
      </c>
      <c r="F770" s="91" t="s">
        <v>3159</v>
      </c>
      <c r="G770" s="91" t="b">
        <v>0</v>
      </c>
      <c r="H770" s="91" t="b">
        <v>0</v>
      </c>
      <c r="I770" s="91" t="b">
        <v>0</v>
      </c>
      <c r="J770" s="91" t="b">
        <v>0</v>
      </c>
      <c r="K770" s="91" t="b">
        <v>0</v>
      </c>
      <c r="L770" s="91" t="b">
        <v>0</v>
      </c>
    </row>
    <row r="771" spans="1:12" ht="15">
      <c r="A771" s="92" t="s">
        <v>2796</v>
      </c>
      <c r="B771" s="91" t="s">
        <v>2895</v>
      </c>
      <c r="C771" s="91">
        <v>3</v>
      </c>
      <c r="D771" s="114">
        <v>0.000541690092991574</v>
      </c>
      <c r="E771" s="114">
        <v>2.8831312534740086</v>
      </c>
      <c r="F771" s="91" t="s">
        <v>3159</v>
      </c>
      <c r="G771" s="91" t="b">
        <v>0</v>
      </c>
      <c r="H771" s="91" t="b">
        <v>0</v>
      </c>
      <c r="I771" s="91" t="b">
        <v>0</v>
      </c>
      <c r="J771" s="91" t="b">
        <v>0</v>
      </c>
      <c r="K771" s="91" t="b">
        <v>0</v>
      </c>
      <c r="L771" s="91" t="b">
        <v>0</v>
      </c>
    </row>
    <row r="772" spans="1:12" ht="15">
      <c r="A772" s="92" t="s">
        <v>2895</v>
      </c>
      <c r="B772" s="91" t="s">
        <v>2612</v>
      </c>
      <c r="C772" s="91">
        <v>3</v>
      </c>
      <c r="D772" s="114">
        <v>0.000541690092991574</v>
      </c>
      <c r="E772" s="114">
        <v>2.002317661193217</v>
      </c>
      <c r="F772" s="91" t="s">
        <v>3159</v>
      </c>
      <c r="G772" s="91" t="b">
        <v>0</v>
      </c>
      <c r="H772" s="91" t="b">
        <v>0</v>
      </c>
      <c r="I772" s="91" t="b">
        <v>0</v>
      </c>
      <c r="J772" s="91" t="b">
        <v>0</v>
      </c>
      <c r="K772" s="91" t="b">
        <v>0</v>
      </c>
      <c r="L772" s="91" t="b">
        <v>0</v>
      </c>
    </row>
    <row r="773" spans="1:12" ht="15">
      <c r="A773" s="92" t="s">
        <v>2612</v>
      </c>
      <c r="B773" s="91" t="s">
        <v>2564</v>
      </c>
      <c r="C773" s="91">
        <v>3</v>
      </c>
      <c r="D773" s="114">
        <v>0.000541690092991574</v>
      </c>
      <c r="E773" s="114">
        <v>0.20655956818512036</v>
      </c>
      <c r="F773" s="91" t="s">
        <v>3159</v>
      </c>
      <c r="G773" s="91" t="b">
        <v>0</v>
      </c>
      <c r="H773" s="91" t="b">
        <v>0</v>
      </c>
      <c r="I773" s="91" t="b">
        <v>0</v>
      </c>
      <c r="J773" s="91" t="b">
        <v>0</v>
      </c>
      <c r="K773" s="91" t="b">
        <v>0</v>
      </c>
      <c r="L773" s="91" t="b">
        <v>0</v>
      </c>
    </row>
    <row r="774" spans="1:12" ht="15">
      <c r="A774" s="92" t="s">
        <v>2566</v>
      </c>
      <c r="B774" s="91" t="s">
        <v>2851</v>
      </c>
      <c r="C774" s="91">
        <v>3</v>
      </c>
      <c r="D774" s="114">
        <v>0.000541690092991574</v>
      </c>
      <c r="E774" s="114">
        <v>1.3669632719374025</v>
      </c>
      <c r="F774" s="91" t="s">
        <v>3159</v>
      </c>
      <c r="G774" s="91" t="b">
        <v>0</v>
      </c>
      <c r="H774" s="91" t="b">
        <v>0</v>
      </c>
      <c r="I774" s="91" t="b">
        <v>0</v>
      </c>
      <c r="J774" s="91" t="b">
        <v>0</v>
      </c>
      <c r="K774" s="91" t="b">
        <v>0</v>
      </c>
      <c r="L774" s="91" t="b">
        <v>0</v>
      </c>
    </row>
    <row r="775" spans="1:12" ht="15">
      <c r="A775" s="92" t="s">
        <v>2851</v>
      </c>
      <c r="B775" s="91" t="s">
        <v>3021</v>
      </c>
      <c r="C775" s="91">
        <v>3</v>
      </c>
      <c r="D775" s="114">
        <v>0.000541690092991574</v>
      </c>
      <c r="E775" s="114">
        <v>3.214124472515433</v>
      </c>
      <c r="F775" s="91" t="s">
        <v>3159</v>
      </c>
      <c r="G775" s="91" t="b">
        <v>0</v>
      </c>
      <c r="H775" s="91" t="b">
        <v>0</v>
      </c>
      <c r="I775" s="91" t="b">
        <v>0</v>
      </c>
      <c r="J775" s="91" t="b">
        <v>0</v>
      </c>
      <c r="K775" s="91" t="b">
        <v>0</v>
      </c>
      <c r="L775" s="91" t="b">
        <v>0</v>
      </c>
    </row>
    <row r="776" spans="1:12" ht="15">
      <c r="A776" s="92" t="s">
        <v>3021</v>
      </c>
      <c r="B776" s="91" t="s">
        <v>3022</v>
      </c>
      <c r="C776" s="91">
        <v>3</v>
      </c>
      <c r="D776" s="114">
        <v>0.000541690092991574</v>
      </c>
      <c r="E776" s="114">
        <v>3.5821012578100273</v>
      </c>
      <c r="F776" s="91" t="s">
        <v>3159</v>
      </c>
      <c r="G776" s="91" t="b">
        <v>0</v>
      </c>
      <c r="H776" s="91" t="b">
        <v>0</v>
      </c>
      <c r="I776" s="91" t="b">
        <v>0</v>
      </c>
      <c r="J776" s="91" t="b">
        <v>0</v>
      </c>
      <c r="K776" s="91" t="b">
        <v>0</v>
      </c>
      <c r="L776" s="91" t="b">
        <v>0</v>
      </c>
    </row>
    <row r="777" spans="1:12" ht="15">
      <c r="A777" s="92" t="s">
        <v>2779</v>
      </c>
      <c r="B777" s="91" t="s">
        <v>394</v>
      </c>
      <c r="C777" s="91">
        <v>3</v>
      </c>
      <c r="D777" s="114">
        <v>0.000541690092991574</v>
      </c>
      <c r="E777" s="114">
        <v>3.1049800030903647</v>
      </c>
      <c r="F777" s="91" t="s">
        <v>3159</v>
      </c>
      <c r="G777" s="91" t="b">
        <v>0</v>
      </c>
      <c r="H777" s="91" t="b">
        <v>0</v>
      </c>
      <c r="I777" s="91" t="b">
        <v>0</v>
      </c>
      <c r="J777" s="91" t="b">
        <v>0</v>
      </c>
      <c r="K777" s="91" t="b">
        <v>0</v>
      </c>
      <c r="L777" s="91" t="b">
        <v>0</v>
      </c>
    </row>
    <row r="778" spans="1:12" ht="15">
      <c r="A778" s="92" t="s">
        <v>394</v>
      </c>
      <c r="B778" s="91" t="s">
        <v>2779</v>
      </c>
      <c r="C778" s="91">
        <v>3</v>
      </c>
      <c r="D778" s="114">
        <v>0.000541690092991574</v>
      </c>
      <c r="E778" s="114">
        <v>3.5821012578100273</v>
      </c>
      <c r="F778" s="91" t="s">
        <v>3159</v>
      </c>
      <c r="G778" s="91" t="b">
        <v>0</v>
      </c>
      <c r="H778" s="91" t="b">
        <v>0</v>
      </c>
      <c r="I778" s="91" t="b">
        <v>0</v>
      </c>
      <c r="J778" s="91" t="b">
        <v>0</v>
      </c>
      <c r="K778" s="91" t="b">
        <v>0</v>
      </c>
      <c r="L778" s="91" t="b">
        <v>0</v>
      </c>
    </row>
    <row r="779" spans="1:12" ht="15">
      <c r="A779" s="92" t="s">
        <v>2779</v>
      </c>
      <c r="B779" s="91" t="s">
        <v>415</v>
      </c>
      <c r="C779" s="91">
        <v>3</v>
      </c>
      <c r="D779" s="114">
        <v>0.000541690092991574</v>
      </c>
      <c r="E779" s="114">
        <v>3.1049800030903647</v>
      </c>
      <c r="F779" s="91" t="s">
        <v>3159</v>
      </c>
      <c r="G779" s="91" t="b">
        <v>0</v>
      </c>
      <c r="H779" s="91" t="b">
        <v>0</v>
      </c>
      <c r="I779" s="91" t="b">
        <v>0</v>
      </c>
      <c r="J779" s="91" t="b">
        <v>0</v>
      </c>
      <c r="K779" s="91" t="b">
        <v>0</v>
      </c>
      <c r="L779" s="91" t="b">
        <v>0</v>
      </c>
    </row>
    <row r="780" spans="1:12" ht="15">
      <c r="A780" s="92" t="s">
        <v>415</v>
      </c>
      <c r="B780" s="91" t="s">
        <v>2578</v>
      </c>
      <c r="C780" s="91">
        <v>3</v>
      </c>
      <c r="D780" s="114">
        <v>0.000541690092991574</v>
      </c>
      <c r="E780" s="114">
        <v>1.9520125428818214</v>
      </c>
      <c r="F780" s="91" t="s">
        <v>3159</v>
      </c>
      <c r="G780" s="91" t="b">
        <v>0</v>
      </c>
      <c r="H780" s="91" t="b">
        <v>0</v>
      </c>
      <c r="I780" s="91" t="b">
        <v>0</v>
      </c>
      <c r="J780" s="91" t="b">
        <v>0</v>
      </c>
      <c r="K780" s="91" t="b">
        <v>0</v>
      </c>
      <c r="L780" s="91" t="b">
        <v>0</v>
      </c>
    </row>
    <row r="781" spans="1:12" ht="15">
      <c r="A781" s="92" t="s">
        <v>2594</v>
      </c>
      <c r="B781" s="91" t="s">
        <v>3023</v>
      </c>
      <c r="C781" s="91">
        <v>3</v>
      </c>
      <c r="D781" s="114">
        <v>0.000541690092991574</v>
      </c>
      <c r="E781" s="114">
        <v>2.266830823031436</v>
      </c>
      <c r="F781" s="91" t="s">
        <v>3159</v>
      </c>
      <c r="G781" s="91" t="b">
        <v>0</v>
      </c>
      <c r="H781" s="91" t="b">
        <v>0</v>
      </c>
      <c r="I781" s="91" t="b">
        <v>0</v>
      </c>
      <c r="J781" s="91" t="b">
        <v>0</v>
      </c>
      <c r="K781" s="91" t="b">
        <v>0</v>
      </c>
      <c r="L781" s="91" t="b">
        <v>0</v>
      </c>
    </row>
    <row r="782" spans="1:12" ht="15">
      <c r="A782" s="92" t="s">
        <v>2564</v>
      </c>
      <c r="B782" s="91" t="s">
        <v>3026</v>
      </c>
      <c r="C782" s="91">
        <v>3</v>
      </c>
      <c r="D782" s="114">
        <v>0.000541690092991574</v>
      </c>
      <c r="E782" s="114">
        <v>1.4637262907041155</v>
      </c>
      <c r="F782" s="91" t="s">
        <v>3159</v>
      </c>
      <c r="G782" s="91" t="b">
        <v>0</v>
      </c>
      <c r="H782" s="91" t="b">
        <v>0</v>
      </c>
      <c r="I782" s="91" t="b">
        <v>0</v>
      </c>
      <c r="J782" s="91" t="b">
        <v>0</v>
      </c>
      <c r="K782" s="91" t="b">
        <v>0</v>
      </c>
      <c r="L782" s="91" t="b">
        <v>0</v>
      </c>
    </row>
    <row r="783" spans="1:12" ht="15">
      <c r="A783" s="92" t="s">
        <v>3027</v>
      </c>
      <c r="B783" s="91" t="s">
        <v>2984</v>
      </c>
      <c r="C783" s="91">
        <v>3</v>
      </c>
      <c r="D783" s="114">
        <v>0.000541690092991574</v>
      </c>
      <c r="E783" s="114">
        <v>3.4571625212017274</v>
      </c>
      <c r="F783" s="91" t="s">
        <v>3159</v>
      </c>
      <c r="G783" s="91" t="b">
        <v>0</v>
      </c>
      <c r="H783" s="91" t="b">
        <v>0</v>
      </c>
      <c r="I783" s="91" t="b">
        <v>0</v>
      </c>
      <c r="J783" s="91" t="b">
        <v>0</v>
      </c>
      <c r="K783" s="91" t="b">
        <v>0</v>
      </c>
      <c r="L783" s="91" t="b">
        <v>0</v>
      </c>
    </row>
    <row r="784" spans="1:12" ht="15">
      <c r="A784" s="92" t="s">
        <v>2572</v>
      </c>
      <c r="B784" s="91" t="s">
        <v>2630</v>
      </c>
      <c r="C784" s="91">
        <v>3</v>
      </c>
      <c r="D784" s="114">
        <v>0.000541690092991574</v>
      </c>
      <c r="E784" s="114">
        <v>0.6523418424805649</v>
      </c>
      <c r="F784" s="91" t="s">
        <v>3159</v>
      </c>
      <c r="G784" s="91" t="b">
        <v>0</v>
      </c>
      <c r="H784" s="91" t="b">
        <v>0</v>
      </c>
      <c r="I784" s="91" t="b">
        <v>0</v>
      </c>
      <c r="J784" s="91" t="b">
        <v>0</v>
      </c>
      <c r="K784" s="91" t="b">
        <v>0</v>
      </c>
      <c r="L784" s="91" t="b">
        <v>0</v>
      </c>
    </row>
    <row r="785" spans="1:12" ht="15">
      <c r="A785" s="92" t="s">
        <v>2630</v>
      </c>
      <c r="B785" s="91" t="s">
        <v>2664</v>
      </c>
      <c r="C785" s="91">
        <v>3</v>
      </c>
      <c r="D785" s="114">
        <v>0.000541690092991574</v>
      </c>
      <c r="E785" s="114">
        <v>1.494951082091127</v>
      </c>
      <c r="F785" s="91" t="s">
        <v>3159</v>
      </c>
      <c r="G785" s="91" t="b">
        <v>0</v>
      </c>
      <c r="H785" s="91" t="b">
        <v>0</v>
      </c>
      <c r="I785" s="91" t="b">
        <v>0</v>
      </c>
      <c r="J785" s="91" t="b">
        <v>0</v>
      </c>
      <c r="K785" s="91" t="b">
        <v>0</v>
      </c>
      <c r="L785" s="91" t="b">
        <v>0</v>
      </c>
    </row>
    <row r="786" spans="1:12" ht="15">
      <c r="A786" s="92" t="s">
        <v>2664</v>
      </c>
      <c r="B786" s="91" t="s">
        <v>2591</v>
      </c>
      <c r="C786" s="91">
        <v>3</v>
      </c>
      <c r="D786" s="114">
        <v>0.000541690092991574</v>
      </c>
      <c r="E786" s="114">
        <v>1.246309155886834</v>
      </c>
      <c r="F786" s="91" t="s">
        <v>3159</v>
      </c>
      <c r="G786" s="91" t="b">
        <v>0</v>
      </c>
      <c r="H786" s="91" t="b">
        <v>0</v>
      </c>
      <c r="I786" s="91" t="b">
        <v>0</v>
      </c>
      <c r="J786" s="91" t="b">
        <v>0</v>
      </c>
      <c r="K786" s="91" t="b">
        <v>0</v>
      </c>
      <c r="L786" s="91" t="b">
        <v>0</v>
      </c>
    </row>
    <row r="787" spans="1:12" ht="15">
      <c r="A787" s="92" t="s">
        <v>2591</v>
      </c>
      <c r="B787" s="91" t="s">
        <v>3028</v>
      </c>
      <c r="C787" s="91">
        <v>3</v>
      </c>
      <c r="D787" s="114">
        <v>0.000541690092991574</v>
      </c>
      <c r="E787" s="114">
        <v>2.167127909839209</v>
      </c>
      <c r="F787" s="91" t="s">
        <v>3159</v>
      </c>
      <c r="G787" s="91" t="b">
        <v>0</v>
      </c>
      <c r="H787" s="91" t="b">
        <v>0</v>
      </c>
      <c r="I787" s="91" t="b">
        <v>0</v>
      </c>
      <c r="J787" s="91" t="b">
        <v>0</v>
      </c>
      <c r="K787" s="91" t="b">
        <v>0</v>
      </c>
      <c r="L787" s="91" t="b">
        <v>0</v>
      </c>
    </row>
    <row r="788" spans="1:12" ht="15">
      <c r="A788" s="92" t="s">
        <v>3028</v>
      </c>
      <c r="B788" s="91" t="s">
        <v>3029</v>
      </c>
      <c r="C788" s="91">
        <v>3</v>
      </c>
      <c r="D788" s="114">
        <v>0.000541690092991574</v>
      </c>
      <c r="E788" s="114">
        <v>3.5821012578100273</v>
      </c>
      <c r="F788" s="91" t="s">
        <v>3159</v>
      </c>
      <c r="G788" s="91" t="b">
        <v>0</v>
      </c>
      <c r="H788" s="91" t="b">
        <v>0</v>
      </c>
      <c r="I788" s="91" t="b">
        <v>0</v>
      </c>
      <c r="J788" s="91" t="b">
        <v>0</v>
      </c>
      <c r="K788" s="91" t="b">
        <v>0</v>
      </c>
      <c r="L788" s="91" t="b">
        <v>0</v>
      </c>
    </row>
    <row r="789" spans="1:12" ht="15">
      <c r="A789" s="92" t="s">
        <v>3029</v>
      </c>
      <c r="B789" s="91" t="s">
        <v>2737</v>
      </c>
      <c r="C789" s="91">
        <v>3</v>
      </c>
      <c r="D789" s="114">
        <v>0.000541690092991574</v>
      </c>
      <c r="E789" s="114">
        <v>2.9130944768514517</v>
      </c>
      <c r="F789" s="91" t="s">
        <v>3159</v>
      </c>
      <c r="G789" s="91" t="b">
        <v>0</v>
      </c>
      <c r="H789" s="91" t="b">
        <v>0</v>
      </c>
      <c r="I789" s="91" t="b">
        <v>0</v>
      </c>
      <c r="J789" s="91" t="b">
        <v>0</v>
      </c>
      <c r="K789" s="91" t="b">
        <v>0</v>
      </c>
      <c r="L789" s="91" t="b">
        <v>0</v>
      </c>
    </row>
    <row r="790" spans="1:12" ht="15">
      <c r="A790" s="92" t="s">
        <v>2737</v>
      </c>
      <c r="B790" s="91" t="s">
        <v>2752</v>
      </c>
      <c r="C790" s="91">
        <v>3</v>
      </c>
      <c r="D790" s="114">
        <v>0.000541690092991574</v>
      </c>
      <c r="E790" s="114">
        <v>2.390215731571114</v>
      </c>
      <c r="F790" s="91" t="s">
        <v>3159</v>
      </c>
      <c r="G790" s="91" t="b">
        <v>0</v>
      </c>
      <c r="H790" s="91" t="b">
        <v>0</v>
      </c>
      <c r="I790" s="91" t="b">
        <v>0</v>
      </c>
      <c r="J790" s="91" t="b">
        <v>0</v>
      </c>
      <c r="K790" s="91" t="b">
        <v>0</v>
      </c>
      <c r="L790" s="91" t="b">
        <v>0</v>
      </c>
    </row>
    <row r="791" spans="1:12" ht="15">
      <c r="A791" s="92" t="s">
        <v>2752</v>
      </c>
      <c r="B791" s="91" t="s">
        <v>2616</v>
      </c>
      <c r="C791" s="91">
        <v>3</v>
      </c>
      <c r="D791" s="114">
        <v>0.000541690092991574</v>
      </c>
      <c r="E791" s="114">
        <v>1.8821672253713915</v>
      </c>
      <c r="F791" s="91" t="s">
        <v>3159</v>
      </c>
      <c r="G791" s="91" t="b">
        <v>0</v>
      </c>
      <c r="H791" s="91" t="b">
        <v>0</v>
      </c>
      <c r="I791" s="91" t="b">
        <v>0</v>
      </c>
      <c r="J791" s="91" t="b">
        <v>0</v>
      </c>
      <c r="K791" s="91" t="b">
        <v>0</v>
      </c>
      <c r="L791" s="91" t="b">
        <v>0</v>
      </c>
    </row>
    <row r="792" spans="1:12" ht="15">
      <c r="A792" s="92" t="s">
        <v>2627</v>
      </c>
      <c r="B792" s="91" t="s">
        <v>2608</v>
      </c>
      <c r="C792" s="91">
        <v>3</v>
      </c>
      <c r="D792" s="114">
        <v>0.000541690092991574</v>
      </c>
      <c r="E792" s="114">
        <v>1.0506223407677722</v>
      </c>
      <c r="F792" s="91" t="s">
        <v>3159</v>
      </c>
      <c r="G792" s="91" t="b">
        <v>0</v>
      </c>
      <c r="H792" s="91" t="b">
        <v>0</v>
      </c>
      <c r="I792" s="91" t="b">
        <v>0</v>
      </c>
      <c r="J792" s="91" t="b">
        <v>0</v>
      </c>
      <c r="K792" s="91" t="b">
        <v>0</v>
      </c>
      <c r="L792" s="91" t="b">
        <v>0</v>
      </c>
    </row>
    <row r="793" spans="1:12" ht="15">
      <c r="A793" s="92" t="s">
        <v>2579</v>
      </c>
      <c r="B793" s="91" t="s">
        <v>2609</v>
      </c>
      <c r="C793" s="91">
        <v>3</v>
      </c>
      <c r="D793" s="114">
        <v>0.000541690092991574</v>
      </c>
      <c r="E793" s="114">
        <v>0.5962259005016335</v>
      </c>
      <c r="F793" s="91" t="s">
        <v>3159</v>
      </c>
      <c r="G793" s="91" t="b">
        <v>0</v>
      </c>
      <c r="H793" s="91" t="b">
        <v>0</v>
      </c>
      <c r="I793" s="91" t="b">
        <v>0</v>
      </c>
      <c r="J793" s="91" t="b">
        <v>0</v>
      </c>
      <c r="K793" s="91" t="b">
        <v>0</v>
      </c>
      <c r="L793" s="91" t="b">
        <v>0</v>
      </c>
    </row>
    <row r="794" spans="1:12" ht="15">
      <c r="A794" s="92" t="s">
        <v>2670</v>
      </c>
      <c r="B794" s="91" t="s">
        <v>2969</v>
      </c>
      <c r="C794" s="91">
        <v>3</v>
      </c>
      <c r="D794" s="114">
        <v>0.000541690092991574</v>
      </c>
      <c r="E794" s="114">
        <v>2.5918610950991834</v>
      </c>
      <c r="F794" s="91" t="s">
        <v>3159</v>
      </c>
      <c r="G794" s="91" t="b">
        <v>0</v>
      </c>
      <c r="H794" s="91" t="b">
        <v>0</v>
      </c>
      <c r="I794" s="91" t="b">
        <v>0</v>
      </c>
      <c r="J794" s="91" t="b">
        <v>0</v>
      </c>
      <c r="K794" s="91" t="b">
        <v>0</v>
      </c>
      <c r="L794" s="91" t="b">
        <v>0</v>
      </c>
    </row>
    <row r="795" spans="1:12" ht="15">
      <c r="A795" s="92" t="s">
        <v>2969</v>
      </c>
      <c r="B795" s="91" t="s">
        <v>2750</v>
      </c>
      <c r="C795" s="91">
        <v>3</v>
      </c>
      <c r="D795" s="114">
        <v>0.000541690092991574</v>
      </c>
      <c r="E795" s="114">
        <v>2.855102529873765</v>
      </c>
      <c r="F795" s="91" t="s">
        <v>3159</v>
      </c>
      <c r="G795" s="91" t="b">
        <v>0</v>
      </c>
      <c r="H795" s="91" t="b">
        <v>0</v>
      </c>
      <c r="I795" s="91" t="b">
        <v>0</v>
      </c>
      <c r="J795" s="91" t="b">
        <v>0</v>
      </c>
      <c r="K795" s="91" t="b">
        <v>0</v>
      </c>
      <c r="L795" s="91" t="b">
        <v>0</v>
      </c>
    </row>
    <row r="796" spans="1:12" ht="15">
      <c r="A796" s="92" t="s">
        <v>2750</v>
      </c>
      <c r="B796" s="91" t="s">
        <v>2933</v>
      </c>
      <c r="C796" s="91">
        <v>3</v>
      </c>
      <c r="D796" s="114">
        <v>0.000541690092991574</v>
      </c>
      <c r="E796" s="114">
        <v>2.6790112708180835</v>
      </c>
      <c r="F796" s="91" t="s">
        <v>3159</v>
      </c>
      <c r="G796" s="91" t="b">
        <v>0</v>
      </c>
      <c r="H796" s="91" t="b">
        <v>0</v>
      </c>
      <c r="I796" s="91" t="b">
        <v>0</v>
      </c>
      <c r="J796" s="91" t="b">
        <v>0</v>
      </c>
      <c r="K796" s="91" t="b">
        <v>0</v>
      </c>
      <c r="L796" s="91" t="b">
        <v>0</v>
      </c>
    </row>
    <row r="797" spans="1:12" ht="15">
      <c r="A797" s="92" t="s">
        <v>2933</v>
      </c>
      <c r="B797" s="91" t="s">
        <v>2716</v>
      </c>
      <c r="C797" s="91">
        <v>3</v>
      </c>
      <c r="D797" s="114">
        <v>0.000541690092991574</v>
      </c>
      <c r="E797" s="114">
        <v>2.4794389159128793</v>
      </c>
      <c r="F797" s="91" t="s">
        <v>3159</v>
      </c>
      <c r="G797" s="91" t="b">
        <v>0</v>
      </c>
      <c r="H797" s="91" t="b">
        <v>0</v>
      </c>
      <c r="I797" s="91" t="b">
        <v>0</v>
      </c>
      <c r="J797" s="91" t="b">
        <v>0</v>
      </c>
      <c r="K797" s="91" t="b">
        <v>0</v>
      </c>
      <c r="L797" s="91" t="b">
        <v>0</v>
      </c>
    </row>
    <row r="798" spans="1:12" ht="15">
      <c r="A798" s="92" t="s">
        <v>2716</v>
      </c>
      <c r="B798" s="91" t="s">
        <v>2733</v>
      </c>
      <c r="C798" s="91">
        <v>3</v>
      </c>
      <c r="D798" s="114">
        <v>0.000541690092991574</v>
      </c>
      <c r="E798" s="114">
        <v>2.111462130618285</v>
      </c>
      <c r="F798" s="91" t="s">
        <v>3159</v>
      </c>
      <c r="G798" s="91" t="b">
        <v>0</v>
      </c>
      <c r="H798" s="91" t="b">
        <v>0</v>
      </c>
      <c r="I798" s="91" t="b">
        <v>0</v>
      </c>
      <c r="J798" s="91" t="b">
        <v>0</v>
      </c>
      <c r="K798" s="91" t="b">
        <v>0</v>
      </c>
      <c r="L798" s="91" t="b">
        <v>0</v>
      </c>
    </row>
    <row r="799" spans="1:12" ht="15">
      <c r="A799" s="92" t="s">
        <v>2733</v>
      </c>
      <c r="B799" s="91" t="s">
        <v>2569</v>
      </c>
      <c r="C799" s="91">
        <v>3</v>
      </c>
      <c r="D799" s="114">
        <v>0.000541690092991574</v>
      </c>
      <c r="E799" s="114">
        <v>1.0913626551614075</v>
      </c>
      <c r="F799" s="91" t="s">
        <v>3159</v>
      </c>
      <c r="G799" s="91" t="b">
        <v>0</v>
      </c>
      <c r="H799" s="91" t="b">
        <v>0</v>
      </c>
      <c r="I799" s="91" t="b">
        <v>0</v>
      </c>
      <c r="J799" s="91" t="b">
        <v>0</v>
      </c>
      <c r="K799" s="91" t="b">
        <v>0</v>
      </c>
      <c r="L799" s="91" t="b">
        <v>0</v>
      </c>
    </row>
    <row r="800" spans="1:12" ht="15">
      <c r="A800" s="92" t="s">
        <v>2572</v>
      </c>
      <c r="B800" s="91" t="s">
        <v>2672</v>
      </c>
      <c r="C800" s="91">
        <v>3</v>
      </c>
      <c r="D800" s="114">
        <v>0.000541690092991574</v>
      </c>
      <c r="E800" s="114">
        <v>0.9533718381445461</v>
      </c>
      <c r="F800" s="91" t="s">
        <v>3159</v>
      </c>
      <c r="G800" s="91" t="b">
        <v>0</v>
      </c>
      <c r="H800" s="91" t="b">
        <v>0</v>
      </c>
      <c r="I800" s="91" t="b">
        <v>0</v>
      </c>
      <c r="J800" s="91" t="b">
        <v>0</v>
      </c>
      <c r="K800" s="91" t="b">
        <v>0</v>
      </c>
      <c r="L800" s="91" t="b">
        <v>0</v>
      </c>
    </row>
    <row r="801" spans="1:12" ht="15">
      <c r="A801" s="92" t="s">
        <v>2672</v>
      </c>
      <c r="B801" s="91" t="s">
        <v>3030</v>
      </c>
      <c r="C801" s="91">
        <v>3</v>
      </c>
      <c r="D801" s="114">
        <v>0.000541690092991574</v>
      </c>
      <c r="E801" s="114">
        <v>2.7167998317074833</v>
      </c>
      <c r="F801" s="91" t="s">
        <v>3159</v>
      </c>
      <c r="G801" s="91" t="b">
        <v>0</v>
      </c>
      <c r="H801" s="91" t="b">
        <v>0</v>
      </c>
      <c r="I801" s="91" t="b">
        <v>0</v>
      </c>
      <c r="J801" s="91" t="b">
        <v>0</v>
      </c>
      <c r="K801" s="91" t="b">
        <v>0</v>
      </c>
      <c r="L801" s="91" t="b">
        <v>0</v>
      </c>
    </row>
    <row r="802" spans="1:12" ht="15">
      <c r="A802" s="92" t="s">
        <v>3030</v>
      </c>
      <c r="B802" s="91" t="s">
        <v>3031</v>
      </c>
      <c r="C802" s="91">
        <v>3</v>
      </c>
      <c r="D802" s="114">
        <v>0.000541690092991574</v>
      </c>
      <c r="E802" s="114">
        <v>3.5821012578100273</v>
      </c>
      <c r="F802" s="91" t="s">
        <v>3159</v>
      </c>
      <c r="G802" s="91" t="b">
        <v>0</v>
      </c>
      <c r="H802" s="91" t="b">
        <v>0</v>
      </c>
      <c r="I802" s="91" t="b">
        <v>0</v>
      </c>
      <c r="J802" s="91" t="b">
        <v>0</v>
      </c>
      <c r="K802" s="91" t="b">
        <v>0</v>
      </c>
      <c r="L802" s="91" t="b">
        <v>0</v>
      </c>
    </row>
    <row r="803" spans="1:12" ht="15">
      <c r="A803" s="92" t="s">
        <v>3031</v>
      </c>
      <c r="B803" s="91" t="s">
        <v>2580</v>
      </c>
      <c r="C803" s="91">
        <v>3</v>
      </c>
      <c r="D803" s="114">
        <v>0.000541690092991574</v>
      </c>
      <c r="E803" s="114">
        <v>1.9486328022304407</v>
      </c>
      <c r="F803" s="91" t="s">
        <v>3159</v>
      </c>
      <c r="G803" s="91" t="b">
        <v>0</v>
      </c>
      <c r="H803" s="91" t="b">
        <v>0</v>
      </c>
      <c r="I803" s="91" t="b">
        <v>0</v>
      </c>
      <c r="J803" s="91" t="b">
        <v>0</v>
      </c>
      <c r="K803" s="91" t="b">
        <v>0</v>
      </c>
      <c r="L803" s="91" t="b">
        <v>0</v>
      </c>
    </row>
    <row r="804" spans="1:12" ht="15">
      <c r="A804" s="92" t="s">
        <v>2580</v>
      </c>
      <c r="B804" s="91" t="s">
        <v>3032</v>
      </c>
      <c r="C804" s="91">
        <v>3</v>
      </c>
      <c r="D804" s="114">
        <v>0.000541690092991574</v>
      </c>
      <c r="E804" s="114">
        <v>1.9486328022304407</v>
      </c>
      <c r="F804" s="91" t="s">
        <v>3159</v>
      </c>
      <c r="G804" s="91" t="b">
        <v>0</v>
      </c>
      <c r="H804" s="91" t="b">
        <v>0</v>
      </c>
      <c r="I804" s="91" t="b">
        <v>0</v>
      </c>
      <c r="J804" s="91" t="b">
        <v>0</v>
      </c>
      <c r="K804" s="91" t="b">
        <v>0</v>
      </c>
      <c r="L804" s="91" t="b">
        <v>0</v>
      </c>
    </row>
    <row r="805" spans="1:12" ht="15">
      <c r="A805" s="92" t="s">
        <v>3032</v>
      </c>
      <c r="B805" s="91" t="s">
        <v>2647</v>
      </c>
      <c r="C805" s="91">
        <v>3</v>
      </c>
      <c r="D805" s="114">
        <v>0.000541690092991574</v>
      </c>
      <c r="E805" s="114">
        <v>2.5540725342097836</v>
      </c>
      <c r="F805" s="91" t="s">
        <v>3159</v>
      </c>
      <c r="G805" s="91" t="b">
        <v>0</v>
      </c>
      <c r="H805" s="91" t="b">
        <v>0</v>
      </c>
      <c r="I805" s="91" t="b">
        <v>0</v>
      </c>
      <c r="J805" s="91" t="b">
        <v>0</v>
      </c>
      <c r="K805" s="91" t="b">
        <v>0</v>
      </c>
      <c r="L805" s="91" t="b">
        <v>0</v>
      </c>
    </row>
    <row r="806" spans="1:12" ht="15">
      <c r="A806" s="92" t="s">
        <v>2647</v>
      </c>
      <c r="B806" s="91" t="s">
        <v>3033</v>
      </c>
      <c r="C806" s="91">
        <v>3</v>
      </c>
      <c r="D806" s="114">
        <v>0.000541690092991574</v>
      </c>
      <c r="E806" s="114">
        <v>2.5540725342097836</v>
      </c>
      <c r="F806" s="91" t="s">
        <v>3159</v>
      </c>
      <c r="G806" s="91" t="b">
        <v>0</v>
      </c>
      <c r="H806" s="91" t="b">
        <v>0</v>
      </c>
      <c r="I806" s="91" t="b">
        <v>0</v>
      </c>
      <c r="J806" s="91" t="b">
        <v>0</v>
      </c>
      <c r="K806" s="91" t="b">
        <v>0</v>
      </c>
      <c r="L806" s="91" t="b">
        <v>0</v>
      </c>
    </row>
    <row r="807" spans="1:12" ht="15">
      <c r="A807" s="92" t="s">
        <v>3033</v>
      </c>
      <c r="B807" s="91" t="s">
        <v>2737</v>
      </c>
      <c r="C807" s="91">
        <v>3</v>
      </c>
      <c r="D807" s="114">
        <v>0.000541690092991574</v>
      </c>
      <c r="E807" s="114">
        <v>2.9130944768514517</v>
      </c>
      <c r="F807" s="91" t="s">
        <v>3159</v>
      </c>
      <c r="G807" s="91" t="b">
        <v>0</v>
      </c>
      <c r="H807" s="91" t="b">
        <v>0</v>
      </c>
      <c r="I807" s="91" t="b">
        <v>0</v>
      </c>
      <c r="J807" s="91" t="b">
        <v>0</v>
      </c>
      <c r="K807" s="91" t="b">
        <v>0</v>
      </c>
      <c r="L807" s="91" t="b">
        <v>0</v>
      </c>
    </row>
    <row r="808" spans="1:12" ht="15">
      <c r="A808" s="92" t="s">
        <v>2737</v>
      </c>
      <c r="B808" s="91" t="s">
        <v>2590</v>
      </c>
      <c r="C808" s="91">
        <v>3</v>
      </c>
      <c r="D808" s="114">
        <v>0.000541690092991574</v>
      </c>
      <c r="E808" s="114">
        <v>1.4871257445791706</v>
      </c>
      <c r="F808" s="91" t="s">
        <v>3159</v>
      </c>
      <c r="G808" s="91" t="b">
        <v>0</v>
      </c>
      <c r="H808" s="91" t="b">
        <v>0</v>
      </c>
      <c r="I808" s="91" t="b">
        <v>0</v>
      </c>
      <c r="J808" s="91" t="b">
        <v>0</v>
      </c>
      <c r="K808" s="91" t="b">
        <v>0</v>
      </c>
      <c r="L808" s="91" t="b">
        <v>0</v>
      </c>
    </row>
    <row r="809" spans="1:12" ht="15">
      <c r="A809" s="92" t="s">
        <v>2590</v>
      </c>
      <c r="B809" s="91" t="s">
        <v>2799</v>
      </c>
      <c r="C809" s="91">
        <v>3</v>
      </c>
      <c r="D809" s="114">
        <v>0.000541690092991574</v>
      </c>
      <c r="E809" s="114">
        <v>1.6790112708180835</v>
      </c>
      <c r="F809" s="91" t="s">
        <v>3159</v>
      </c>
      <c r="G809" s="91" t="b">
        <v>0</v>
      </c>
      <c r="H809" s="91" t="b">
        <v>0</v>
      </c>
      <c r="I809" s="91" t="b">
        <v>0</v>
      </c>
      <c r="J809" s="91" t="b">
        <v>0</v>
      </c>
      <c r="K809" s="91" t="b">
        <v>0</v>
      </c>
      <c r="L809" s="91" t="b">
        <v>0</v>
      </c>
    </row>
    <row r="810" spans="1:12" ht="15">
      <c r="A810" s="92" t="s">
        <v>2799</v>
      </c>
      <c r="B810" s="91" t="s">
        <v>2650</v>
      </c>
      <c r="C810" s="91">
        <v>3</v>
      </c>
      <c r="D810" s="114">
        <v>0.000541690092991574</v>
      </c>
      <c r="E810" s="114">
        <v>2.2396785769878207</v>
      </c>
      <c r="F810" s="91" t="s">
        <v>3159</v>
      </c>
      <c r="G810" s="91" t="b">
        <v>0</v>
      </c>
      <c r="H810" s="91" t="b">
        <v>0</v>
      </c>
      <c r="I810" s="91" t="b">
        <v>0</v>
      </c>
      <c r="J810" s="91" t="b">
        <v>0</v>
      </c>
      <c r="K810" s="91" t="b">
        <v>0</v>
      </c>
      <c r="L810" s="91" t="b">
        <v>0</v>
      </c>
    </row>
    <row r="811" spans="1:12" ht="15">
      <c r="A811" s="92" t="s">
        <v>2650</v>
      </c>
      <c r="B811" s="91" t="s">
        <v>3034</v>
      </c>
      <c r="C811" s="91">
        <v>3</v>
      </c>
      <c r="D811" s="114">
        <v>0.000541690092991574</v>
      </c>
      <c r="E811" s="114">
        <v>2.5968245146307334</v>
      </c>
      <c r="F811" s="91" t="s">
        <v>3159</v>
      </c>
      <c r="G811" s="91" t="b">
        <v>0</v>
      </c>
      <c r="H811" s="91" t="b">
        <v>0</v>
      </c>
      <c r="I811" s="91" t="b">
        <v>0</v>
      </c>
      <c r="J811" s="91" t="b">
        <v>0</v>
      </c>
      <c r="K811" s="91" t="b">
        <v>0</v>
      </c>
      <c r="L811" s="91" t="b">
        <v>0</v>
      </c>
    </row>
    <row r="812" spans="1:12" ht="15">
      <c r="A812" s="92" t="s">
        <v>3034</v>
      </c>
      <c r="B812" s="91" t="s">
        <v>2693</v>
      </c>
      <c r="C812" s="91">
        <v>3</v>
      </c>
      <c r="D812" s="114">
        <v>0.000541690092991574</v>
      </c>
      <c r="E812" s="114">
        <v>2.758192516865708</v>
      </c>
      <c r="F812" s="91" t="s">
        <v>3159</v>
      </c>
      <c r="G812" s="91" t="b">
        <v>0</v>
      </c>
      <c r="H812" s="91" t="b">
        <v>0</v>
      </c>
      <c r="I812" s="91" t="b">
        <v>0</v>
      </c>
      <c r="J812" s="91" t="b">
        <v>0</v>
      </c>
      <c r="K812" s="91" t="b">
        <v>0</v>
      </c>
      <c r="L812" s="91" t="b">
        <v>0</v>
      </c>
    </row>
    <row r="813" spans="1:12" ht="15">
      <c r="A813" s="92" t="s">
        <v>2693</v>
      </c>
      <c r="B813" s="91" t="s">
        <v>2568</v>
      </c>
      <c r="C813" s="91">
        <v>3</v>
      </c>
      <c r="D813" s="114">
        <v>0.000541690092991574</v>
      </c>
      <c r="E813" s="114">
        <v>0.9089779106566194</v>
      </c>
      <c r="F813" s="91" t="s">
        <v>3159</v>
      </c>
      <c r="G813" s="91" t="b">
        <v>0</v>
      </c>
      <c r="H813" s="91" t="b">
        <v>0</v>
      </c>
      <c r="I813" s="91" t="b">
        <v>0</v>
      </c>
      <c r="J813" s="91" t="b">
        <v>0</v>
      </c>
      <c r="K813" s="91" t="b">
        <v>0</v>
      </c>
      <c r="L813" s="91" t="b">
        <v>0</v>
      </c>
    </row>
    <row r="814" spans="1:12" ht="15">
      <c r="A814" s="92" t="s">
        <v>2568</v>
      </c>
      <c r="B814" s="91" t="s">
        <v>3035</v>
      </c>
      <c r="C814" s="91">
        <v>3</v>
      </c>
      <c r="D814" s="114">
        <v>0.000541690092991574</v>
      </c>
      <c r="E814" s="114">
        <v>1.7328866516009382</v>
      </c>
      <c r="F814" s="91" t="s">
        <v>3159</v>
      </c>
      <c r="G814" s="91" t="b">
        <v>0</v>
      </c>
      <c r="H814" s="91" t="b">
        <v>0</v>
      </c>
      <c r="I814" s="91" t="b">
        <v>0</v>
      </c>
      <c r="J814" s="91" t="b">
        <v>0</v>
      </c>
      <c r="K814" s="91" t="b">
        <v>0</v>
      </c>
      <c r="L814" s="91" t="b">
        <v>0</v>
      </c>
    </row>
    <row r="815" spans="1:12" ht="15">
      <c r="A815" s="92" t="s">
        <v>3035</v>
      </c>
      <c r="B815" s="91" t="s">
        <v>2589</v>
      </c>
      <c r="C815" s="91">
        <v>3</v>
      </c>
      <c r="D815" s="114">
        <v>0.000541690092991574</v>
      </c>
      <c r="E815" s="114">
        <v>2.1899907927987132</v>
      </c>
      <c r="F815" s="91" t="s">
        <v>3159</v>
      </c>
      <c r="G815" s="91" t="b">
        <v>0</v>
      </c>
      <c r="H815" s="91" t="b">
        <v>0</v>
      </c>
      <c r="I815" s="91" t="b">
        <v>0</v>
      </c>
      <c r="J815" s="91" t="b">
        <v>0</v>
      </c>
      <c r="K815" s="91" t="b">
        <v>0</v>
      </c>
      <c r="L815" s="91" t="b">
        <v>0</v>
      </c>
    </row>
    <row r="816" spans="1:12" ht="15">
      <c r="A816" s="92" t="s">
        <v>2589</v>
      </c>
      <c r="B816" s="91" t="s">
        <v>3036</v>
      </c>
      <c r="C816" s="91">
        <v>3</v>
      </c>
      <c r="D816" s="114">
        <v>0.000541690092991574</v>
      </c>
      <c r="E816" s="114">
        <v>2.1197032599110712</v>
      </c>
      <c r="F816" s="91" t="s">
        <v>3159</v>
      </c>
      <c r="G816" s="91" t="b">
        <v>0</v>
      </c>
      <c r="H816" s="91" t="b">
        <v>0</v>
      </c>
      <c r="I816" s="91" t="b">
        <v>0</v>
      </c>
      <c r="J816" s="91" t="b">
        <v>0</v>
      </c>
      <c r="K816" s="91" t="b">
        <v>0</v>
      </c>
      <c r="L816" s="91" t="b">
        <v>0</v>
      </c>
    </row>
    <row r="817" spans="1:12" ht="15">
      <c r="A817" s="92" t="s">
        <v>3036</v>
      </c>
      <c r="B817" s="91" t="s">
        <v>3037</v>
      </c>
      <c r="C817" s="91">
        <v>3</v>
      </c>
      <c r="D817" s="114">
        <v>0.000541690092991574</v>
      </c>
      <c r="E817" s="114">
        <v>3.5821012578100273</v>
      </c>
      <c r="F817" s="91" t="s">
        <v>3159</v>
      </c>
      <c r="G817" s="91" t="b">
        <v>0</v>
      </c>
      <c r="H817" s="91" t="b">
        <v>0</v>
      </c>
      <c r="I817" s="91" t="b">
        <v>0</v>
      </c>
      <c r="J817" s="91" t="b">
        <v>0</v>
      </c>
      <c r="K817" s="91" t="b">
        <v>0</v>
      </c>
      <c r="L817" s="91" t="b">
        <v>0</v>
      </c>
    </row>
    <row r="818" spans="1:12" ht="15">
      <c r="A818" s="92" t="s">
        <v>3037</v>
      </c>
      <c r="B818" s="91" t="s">
        <v>2616</v>
      </c>
      <c r="C818" s="91">
        <v>3</v>
      </c>
      <c r="D818" s="114">
        <v>0.000541690092991574</v>
      </c>
      <c r="E818" s="114">
        <v>2.446438655809954</v>
      </c>
      <c r="F818" s="91" t="s">
        <v>3159</v>
      </c>
      <c r="G818" s="91" t="b">
        <v>0</v>
      </c>
      <c r="H818" s="91" t="b">
        <v>0</v>
      </c>
      <c r="I818" s="91" t="b">
        <v>0</v>
      </c>
      <c r="J818" s="91" t="b">
        <v>0</v>
      </c>
      <c r="K818" s="91" t="b">
        <v>0</v>
      </c>
      <c r="L818" s="91" t="b">
        <v>0</v>
      </c>
    </row>
    <row r="819" spans="1:12" ht="15">
      <c r="A819" s="92" t="s">
        <v>2564</v>
      </c>
      <c r="B819" s="91" t="s">
        <v>3038</v>
      </c>
      <c r="C819" s="91">
        <v>3</v>
      </c>
      <c r="D819" s="114">
        <v>0.000541690092991574</v>
      </c>
      <c r="E819" s="114">
        <v>1.4637262907041155</v>
      </c>
      <c r="F819" s="91" t="s">
        <v>3159</v>
      </c>
      <c r="G819" s="91" t="b">
        <v>0</v>
      </c>
      <c r="H819" s="91" t="b">
        <v>0</v>
      </c>
      <c r="I819" s="91" t="b">
        <v>0</v>
      </c>
      <c r="J819" s="91" t="b">
        <v>0</v>
      </c>
      <c r="K819" s="91" t="b">
        <v>0</v>
      </c>
      <c r="L819" s="91" t="b">
        <v>0</v>
      </c>
    </row>
    <row r="820" spans="1:12" ht="15">
      <c r="A820" s="92" t="s">
        <v>3038</v>
      </c>
      <c r="B820" s="91" t="s">
        <v>3039</v>
      </c>
      <c r="C820" s="91">
        <v>3</v>
      </c>
      <c r="D820" s="114">
        <v>0.000541690092991574</v>
      </c>
      <c r="E820" s="114">
        <v>3.5821012578100273</v>
      </c>
      <c r="F820" s="91" t="s">
        <v>3159</v>
      </c>
      <c r="G820" s="91" t="b">
        <v>0</v>
      </c>
      <c r="H820" s="91" t="b">
        <v>0</v>
      </c>
      <c r="I820" s="91" t="b">
        <v>0</v>
      </c>
      <c r="J820" s="91" t="b">
        <v>0</v>
      </c>
      <c r="K820" s="91" t="b">
        <v>0</v>
      </c>
      <c r="L820" s="91" t="b">
        <v>0</v>
      </c>
    </row>
    <row r="821" spans="1:12" ht="15">
      <c r="A821" s="92" t="s">
        <v>3039</v>
      </c>
      <c r="B821" s="91" t="s">
        <v>2766</v>
      </c>
      <c r="C821" s="91">
        <v>3</v>
      </c>
      <c r="D821" s="114">
        <v>0.000541690092991574</v>
      </c>
      <c r="E821" s="114">
        <v>3.0178298273714645</v>
      </c>
      <c r="F821" s="91" t="s">
        <v>3159</v>
      </c>
      <c r="G821" s="91" t="b">
        <v>0</v>
      </c>
      <c r="H821" s="91" t="b">
        <v>0</v>
      </c>
      <c r="I821" s="91" t="b">
        <v>0</v>
      </c>
      <c r="J821" s="91" t="b">
        <v>0</v>
      </c>
      <c r="K821" s="91" t="b">
        <v>0</v>
      </c>
      <c r="L821" s="91" t="b">
        <v>0</v>
      </c>
    </row>
    <row r="822" spans="1:12" ht="15">
      <c r="A822" s="92" t="s">
        <v>2766</v>
      </c>
      <c r="B822" s="91" t="s">
        <v>2893</v>
      </c>
      <c r="C822" s="91">
        <v>3</v>
      </c>
      <c r="D822" s="114">
        <v>0.000541690092991574</v>
      </c>
      <c r="E822" s="114">
        <v>2.6498530420768702</v>
      </c>
      <c r="F822" s="91" t="s">
        <v>3159</v>
      </c>
      <c r="G822" s="91" t="b">
        <v>0</v>
      </c>
      <c r="H822" s="91" t="b">
        <v>0</v>
      </c>
      <c r="I822" s="91" t="b">
        <v>0</v>
      </c>
      <c r="J822" s="91" t="b">
        <v>0</v>
      </c>
      <c r="K822" s="91" t="b">
        <v>0</v>
      </c>
      <c r="L822" s="91" t="b">
        <v>0</v>
      </c>
    </row>
    <row r="823" spans="1:12" ht="15">
      <c r="A823" s="92" t="s">
        <v>3041</v>
      </c>
      <c r="B823" s="91" t="s">
        <v>3042</v>
      </c>
      <c r="C823" s="91">
        <v>3</v>
      </c>
      <c r="D823" s="114">
        <v>0.000541690092991574</v>
      </c>
      <c r="E823" s="114">
        <v>3.5821012578100273</v>
      </c>
      <c r="F823" s="91" t="s">
        <v>3159</v>
      </c>
      <c r="G823" s="91" t="b">
        <v>0</v>
      </c>
      <c r="H823" s="91" t="b">
        <v>0</v>
      </c>
      <c r="I823" s="91" t="b">
        <v>0</v>
      </c>
      <c r="J823" s="91" t="b">
        <v>0</v>
      </c>
      <c r="K823" s="91" t="b">
        <v>0</v>
      </c>
      <c r="L823" s="91" t="b">
        <v>0</v>
      </c>
    </row>
    <row r="824" spans="1:12" ht="15">
      <c r="A824" s="92" t="s">
        <v>3042</v>
      </c>
      <c r="B824" s="91" t="s">
        <v>3043</v>
      </c>
      <c r="C824" s="91">
        <v>3</v>
      </c>
      <c r="D824" s="114">
        <v>0.000541690092991574</v>
      </c>
      <c r="E824" s="114">
        <v>3.5821012578100273</v>
      </c>
      <c r="F824" s="91" t="s">
        <v>3159</v>
      </c>
      <c r="G824" s="91" t="b">
        <v>0</v>
      </c>
      <c r="H824" s="91" t="b">
        <v>0</v>
      </c>
      <c r="I824" s="91" t="b">
        <v>0</v>
      </c>
      <c r="J824" s="91" t="b">
        <v>0</v>
      </c>
      <c r="K824" s="91" t="b">
        <v>0</v>
      </c>
      <c r="L824" s="91" t="b">
        <v>0</v>
      </c>
    </row>
    <row r="825" spans="1:12" ht="15">
      <c r="A825" s="92" t="s">
        <v>3043</v>
      </c>
      <c r="B825" s="91" t="s">
        <v>2734</v>
      </c>
      <c r="C825" s="91">
        <v>3</v>
      </c>
      <c r="D825" s="114">
        <v>0.000541690092991574</v>
      </c>
      <c r="E825" s="114">
        <v>2.9130944768514517</v>
      </c>
      <c r="F825" s="91" t="s">
        <v>3159</v>
      </c>
      <c r="G825" s="91" t="b">
        <v>0</v>
      </c>
      <c r="H825" s="91" t="b">
        <v>0</v>
      </c>
      <c r="I825" s="91" t="b">
        <v>0</v>
      </c>
      <c r="J825" s="91" t="b">
        <v>0</v>
      </c>
      <c r="K825" s="91" t="b">
        <v>0</v>
      </c>
      <c r="L825" s="91" t="b">
        <v>0</v>
      </c>
    </row>
    <row r="826" spans="1:12" ht="15">
      <c r="A826" s="92" t="s">
        <v>2734</v>
      </c>
      <c r="B826" s="91" t="s">
        <v>2720</v>
      </c>
      <c r="C826" s="91">
        <v>3</v>
      </c>
      <c r="D826" s="114">
        <v>0.000541690092991574</v>
      </c>
      <c r="E826" s="114">
        <v>2.111462130618285</v>
      </c>
      <c r="F826" s="91" t="s">
        <v>3159</v>
      </c>
      <c r="G826" s="91" t="b">
        <v>0</v>
      </c>
      <c r="H826" s="91" t="b">
        <v>0</v>
      </c>
      <c r="I826" s="91" t="b">
        <v>0</v>
      </c>
      <c r="J826" s="91" t="b">
        <v>0</v>
      </c>
      <c r="K826" s="91" t="b">
        <v>0</v>
      </c>
      <c r="L826" s="91" t="b">
        <v>0</v>
      </c>
    </row>
    <row r="827" spans="1:12" ht="15">
      <c r="A827" s="92" t="s">
        <v>2720</v>
      </c>
      <c r="B827" s="91" t="s">
        <v>2874</v>
      </c>
      <c r="C827" s="91">
        <v>3</v>
      </c>
      <c r="D827" s="114">
        <v>0.000541690092991574</v>
      </c>
      <c r="E827" s="114">
        <v>2.4124921262822663</v>
      </c>
      <c r="F827" s="91" t="s">
        <v>3159</v>
      </c>
      <c r="G827" s="91" t="b">
        <v>0</v>
      </c>
      <c r="H827" s="91" t="b">
        <v>0</v>
      </c>
      <c r="I827" s="91" t="b">
        <v>0</v>
      </c>
      <c r="J827" s="91" t="b">
        <v>0</v>
      </c>
      <c r="K827" s="91" t="b">
        <v>0</v>
      </c>
      <c r="L827" s="91" t="b">
        <v>0</v>
      </c>
    </row>
    <row r="828" spans="1:12" ht="15">
      <c r="A828" s="92" t="s">
        <v>2874</v>
      </c>
      <c r="B828" s="91" t="s">
        <v>3044</v>
      </c>
      <c r="C828" s="91">
        <v>3</v>
      </c>
      <c r="D828" s="114">
        <v>0.000541690092991574</v>
      </c>
      <c r="E828" s="114">
        <v>3.214124472515433</v>
      </c>
      <c r="F828" s="91" t="s">
        <v>3159</v>
      </c>
      <c r="G828" s="91" t="b">
        <v>0</v>
      </c>
      <c r="H828" s="91" t="b">
        <v>0</v>
      </c>
      <c r="I828" s="91" t="b">
        <v>0</v>
      </c>
      <c r="J828" s="91" t="b">
        <v>0</v>
      </c>
      <c r="K828" s="91" t="b">
        <v>0</v>
      </c>
      <c r="L828" s="91" t="b">
        <v>0</v>
      </c>
    </row>
    <row r="829" spans="1:12" ht="15">
      <c r="A829" s="92" t="s">
        <v>3044</v>
      </c>
      <c r="B829" s="91" t="s">
        <v>2564</v>
      </c>
      <c r="C829" s="91">
        <v>3</v>
      </c>
      <c r="D829" s="114">
        <v>0.000541690092991574</v>
      </c>
      <c r="E829" s="114">
        <v>1.4370084895633943</v>
      </c>
      <c r="F829" s="91" t="s">
        <v>3159</v>
      </c>
      <c r="G829" s="91" t="b">
        <v>0</v>
      </c>
      <c r="H829" s="91" t="b">
        <v>0</v>
      </c>
      <c r="I829" s="91" t="b">
        <v>0</v>
      </c>
      <c r="J829" s="91" t="b">
        <v>0</v>
      </c>
      <c r="K829" s="91" t="b">
        <v>0</v>
      </c>
      <c r="L829" s="91" t="b">
        <v>0</v>
      </c>
    </row>
    <row r="830" spans="1:12" ht="15">
      <c r="A830" s="92" t="s">
        <v>2564</v>
      </c>
      <c r="B830" s="91" t="s">
        <v>3045</v>
      </c>
      <c r="C830" s="91">
        <v>3</v>
      </c>
      <c r="D830" s="114">
        <v>0.000541690092991574</v>
      </c>
      <c r="E830" s="114">
        <v>1.4637262907041155</v>
      </c>
      <c r="F830" s="91" t="s">
        <v>3159</v>
      </c>
      <c r="G830" s="91" t="b">
        <v>0</v>
      </c>
      <c r="H830" s="91" t="b">
        <v>0</v>
      </c>
      <c r="I830" s="91" t="b">
        <v>0</v>
      </c>
      <c r="J830" s="91" t="b">
        <v>0</v>
      </c>
      <c r="K830" s="91" t="b">
        <v>0</v>
      </c>
      <c r="L830" s="91" t="b">
        <v>0</v>
      </c>
    </row>
    <row r="831" spans="1:12" ht="15">
      <c r="A831" s="92" t="s">
        <v>3045</v>
      </c>
      <c r="B831" s="91" t="s">
        <v>2903</v>
      </c>
      <c r="C831" s="91">
        <v>3</v>
      </c>
      <c r="D831" s="114">
        <v>0.000541690092991574</v>
      </c>
      <c r="E831" s="114">
        <v>3.281071262146046</v>
      </c>
      <c r="F831" s="91" t="s">
        <v>3159</v>
      </c>
      <c r="G831" s="91" t="b">
        <v>0</v>
      </c>
      <c r="H831" s="91" t="b">
        <v>0</v>
      </c>
      <c r="I831" s="91" t="b">
        <v>0</v>
      </c>
      <c r="J831" s="91" t="b">
        <v>0</v>
      </c>
      <c r="K831" s="91" t="b">
        <v>0</v>
      </c>
      <c r="L831" s="91" t="b">
        <v>0</v>
      </c>
    </row>
    <row r="832" spans="1:12" ht="15">
      <c r="A832" s="92" t="s">
        <v>2903</v>
      </c>
      <c r="B832" s="91" t="s">
        <v>2571</v>
      </c>
      <c r="C832" s="91">
        <v>3</v>
      </c>
      <c r="D832" s="114">
        <v>0.000541690092991574</v>
      </c>
      <c r="E832" s="114">
        <v>1.4506964789524954</v>
      </c>
      <c r="F832" s="91" t="s">
        <v>3159</v>
      </c>
      <c r="G832" s="91" t="b">
        <v>0</v>
      </c>
      <c r="H832" s="91" t="b">
        <v>0</v>
      </c>
      <c r="I832" s="91" t="b">
        <v>0</v>
      </c>
      <c r="J832" s="91" t="b">
        <v>0</v>
      </c>
      <c r="K832" s="91" t="b">
        <v>0</v>
      </c>
      <c r="L832" s="91" t="b">
        <v>0</v>
      </c>
    </row>
    <row r="833" spans="1:12" ht="15">
      <c r="A833" s="92" t="s">
        <v>2571</v>
      </c>
      <c r="B833" s="91" t="s">
        <v>2617</v>
      </c>
      <c r="C833" s="91">
        <v>3</v>
      </c>
      <c r="D833" s="114">
        <v>0.000541690092991574</v>
      </c>
      <c r="E833" s="114">
        <v>0.5320223934667094</v>
      </c>
      <c r="F833" s="91" t="s">
        <v>3159</v>
      </c>
      <c r="G833" s="91" t="b">
        <v>0</v>
      </c>
      <c r="H833" s="91" t="b">
        <v>0</v>
      </c>
      <c r="I833" s="91" t="b">
        <v>0</v>
      </c>
      <c r="J833" s="91" t="b">
        <v>0</v>
      </c>
      <c r="K833" s="91" t="b">
        <v>0</v>
      </c>
      <c r="L833" s="91" t="b">
        <v>0</v>
      </c>
    </row>
    <row r="834" spans="1:12" ht="15">
      <c r="A834" s="92" t="s">
        <v>2617</v>
      </c>
      <c r="B834" s="91" t="s">
        <v>2567</v>
      </c>
      <c r="C834" s="91">
        <v>3</v>
      </c>
      <c r="D834" s="114">
        <v>0.000541690092991574</v>
      </c>
      <c r="E834" s="114">
        <v>0.7374860355018664</v>
      </c>
      <c r="F834" s="91" t="s">
        <v>3159</v>
      </c>
      <c r="G834" s="91" t="b">
        <v>0</v>
      </c>
      <c r="H834" s="91" t="b">
        <v>0</v>
      </c>
      <c r="I834" s="91" t="b">
        <v>0</v>
      </c>
      <c r="J834" s="91" t="b">
        <v>0</v>
      </c>
      <c r="K834" s="91" t="b">
        <v>0</v>
      </c>
      <c r="L834" s="91" t="b">
        <v>0</v>
      </c>
    </row>
    <row r="835" spans="1:12" ht="15">
      <c r="A835" s="92" t="s">
        <v>2567</v>
      </c>
      <c r="B835" s="91" t="s">
        <v>2616</v>
      </c>
      <c r="C835" s="91">
        <v>3</v>
      </c>
      <c r="D835" s="114">
        <v>0.000541690092991574</v>
      </c>
      <c r="E835" s="114">
        <v>0.5972240496008652</v>
      </c>
      <c r="F835" s="91" t="s">
        <v>3159</v>
      </c>
      <c r="G835" s="91" t="b">
        <v>0</v>
      </c>
      <c r="H835" s="91" t="b">
        <v>0</v>
      </c>
      <c r="I835" s="91" t="b">
        <v>0</v>
      </c>
      <c r="J835" s="91" t="b">
        <v>0</v>
      </c>
      <c r="K835" s="91" t="b">
        <v>0</v>
      </c>
      <c r="L835" s="91" t="b">
        <v>0</v>
      </c>
    </row>
    <row r="836" spans="1:12" ht="15">
      <c r="A836" s="92" t="s">
        <v>2616</v>
      </c>
      <c r="B836" s="91" t="s">
        <v>2587</v>
      </c>
      <c r="C836" s="91">
        <v>3</v>
      </c>
      <c r="D836" s="114">
        <v>0.000541690092991574</v>
      </c>
      <c r="E836" s="114">
        <v>0.8612990312934592</v>
      </c>
      <c r="F836" s="91" t="s">
        <v>3159</v>
      </c>
      <c r="G836" s="91" t="b">
        <v>0</v>
      </c>
      <c r="H836" s="91" t="b">
        <v>0</v>
      </c>
      <c r="I836" s="91" t="b">
        <v>0</v>
      </c>
      <c r="J836" s="91" t="b">
        <v>0</v>
      </c>
      <c r="K836" s="91" t="b">
        <v>0</v>
      </c>
      <c r="L836" s="91" t="b">
        <v>0</v>
      </c>
    </row>
    <row r="837" spans="1:12" ht="15">
      <c r="A837" s="92" t="s">
        <v>2612</v>
      </c>
      <c r="B837" s="91" t="s">
        <v>3046</v>
      </c>
      <c r="C837" s="91">
        <v>3</v>
      </c>
      <c r="D837" s="114">
        <v>0.000541690092991574</v>
      </c>
      <c r="E837" s="114">
        <v>2.351652336431753</v>
      </c>
      <c r="F837" s="91" t="s">
        <v>3159</v>
      </c>
      <c r="G837" s="91" t="b">
        <v>0</v>
      </c>
      <c r="H837" s="91" t="b">
        <v>0</v>
      </c>
      <c r="I837" s="91" t="b">
        <v>0</v>
      </c>
      <c r="J837" s="91" t="b">
        <v>0</v>
      </c>
      <c r="K837" s="91" t="b">
        <v>0</v>
      </c>
      <c r="L837" s="91" t="b">
        <v>0</v>
      </c>
    </row>
    <row r="838" spans="1:12" ht="15">
      <c r="A838" s="92" t="s">
        <v>3046</v>
      </c>
      <c r="B838" s="91" t="s">
        <v>3047</v>
      </c>
      <c r="C838" s="91">
        <v>3</v>
      </c>
      <c r="D838" s="114">
        <v>0.000541690092991574</v>
      </c>
      <c r="E838" s="114">
        <v>3.5821012578100273</v>
      </c>
      <c r="F838" s="91" t="s">
        <v>3159</v>
      </c>
      <c r="G838" s="91" t="b">
        <v>0</v>
      </c>
      <c r="H838" s="91" t="b">
        <v>0</v>
      </c>
      <c r="I838" s="91" t="b">
        <v>0</v>
      </c>
      <c r="J838" s="91" t="b">
        <v>0</v>
      </c>
      <c r="K838" s="91" t="b">
        <v>0</v>
      </c>
      <c r="L838" s="91" t="b">
        <v>0</v>
      </c>
    </row>
    <row r="839" spans="1:12" ht="15">
      <c r="A839" s="92" t="s">
        <v>3047</v>
      </c>
      <c r="B839" s="91" t="s">
        <v>3048</v>
      </c>
      <c r="C839" s="91">
        <v>3</v>
      </c>
      <c r="D839" s="114">
        <v>0.000541690092991574</v>
      </c>
      <c r="E839" s="114">
        <v>3.5821012578100273</v>
      </c>
      <c r="F839" s="91" t="s">
        <v>3159</v>
      </c>
      <c r="G839" s="91" t="b">
        <v>0</v>
      </c>
      <c r="H839" s="91" t="b">
        <v>0</v>
      </c>
      <c r="I839" s="91" t="b">
        <v>0</v>
      </c>
      <c r="J839" s="91" t="b">
        <v>0</v>
      </c>
      <c r="K839" s="91" t="b">
        <v>0</v>
      </c>
      <c r="L839" s="91" t="b">
        <v>0</v>
      </c>
    </row>
    <row r="840" spans="1:12" ht="15">
      <c r="A840" s="92" t="s">
        <v>3048</v>
      </c>
      <c r="B840" s="91" t="s">
        <v>3049</v>
      </c>
      <c r="C840" s="91">
        <v>3</v>
      </c>
      <c r="D840" s="114">
        <v>0.000541690092991574</v>
      </c>
      <c r="E840" s="114">
        <v>3.5821012578100273</v>
      </c>
      <c r="F840" s="91" t="s">
        <v>3159</v>
      </c>
      <c r="G840" s="91" t="b">
        <v>0</v>
      </c>
      <c r="H840" s="91" t="b">
        <v>0</v>
      </c>
      <c r="I840" s="91" t="b">
        <v>0</v>
      </c>
      <c r="J840" s="91" t="b">
        <v>0</v>
      </c>
      <c r="K840" s="91" t="b">
        <v>0</v>
      </c>
      <c r="L840" s="91" t="b">
        <v>0</v>
      </c>
    </row>
    <row r="841" spans="1:12" ht="15">
      <c r="A841" s="92" t="s">
        <v>3049</v>
      </c>
      <c r="B841" s="91" t="s">
        <v>2585</v>
      </c>
      <c r="C841" s="91">
        <v>3</v>
      </c>
      <c r="D841" s="114">
        <v>0.000541690092991574</v>
      </c>
      <c r="E841" s="114">
        <v>2.0724507782634447</v>
      </c>
      <c r="F841" s="91" t="s">
        <v>3159</v>
      </c>
      <c r="G841" s="91" t="b">
        <v>0</v>
      </c>
      <c r="H841" s="91" t="b">
        <v>0</v>
      </c>
      <c r="I841" s="91" t="b">
        <v>0</v>
      </c>
      <c r="J841" s="91" t="b">
        <v>0</v>
      </c>
      <c r="K841" s="91" t="b">
        <v>0</v>
      </c>
      <c r="L841" s="91" t="b">
        <v>0</v>
      </c>
    </row>
    <row r="842" spans="1:12" ht="15">
      <c r="A842" s="92" t="s">
        <v>2566</v>
      </c>
      <c r="B842" s="91" t="s">
        <v>2747</v>
      </c>
      <c r="C842" s="91">
        <v>3</v>
      </c>
      <c r="D842" s="114">
        <v>0.000541690092991574</v>
      </c>
      <c r="E842" s="114">
        <v>1.0981179596448225</v>
      </c>
      <c r="F842" s="91" t="s">
        <v>3159</v>
      </c>
      <c r="G842" s="91" t="b">
        <v>0</v>
      </c>
      <c r="H842" s="91" t="b">
        <v>0</v>
      </c>
      <c r="I842" s="91" t="b">
        <v>0</v>
      </c>
      <c r="J842" s="91" t="b">
        <v>0</v>
      </c>
      <c r="K842" s="91" t="b">
        <v>0</v>
      </c>
      <c r="L842" s="91" t="b">
        <v>0</v>
      </c>
    </row>
    <row r="843" spans="1:12" ht="15">
      <c r="A843" s="92" t="s">
        <v>2747</v>
      </c>
      <c r="B843" s="91" t="s">
        <v>2564</v>
      </c>
      <c r="C843" s="91">
        <v>3</v>
      </c>
      <c r="D843" s="114">
        <v>0.000541690092991574</v>
      </c>
      <c r="E843" s="114">
        <v>0.80018639197622</v>
      </c>
      <c r="F843" s="91" t="s">
        <v>3159</v>
      </c>
      <c r="G843" s="91" t="b">
        <v>0</v>
      </c>
      <c r="H843" s="91" t="b">
        <v>0</v>
      </c>
      <c r="I843" s="91" t="b">
        <v>0</v>
      </c>
      <c r="J843" s="91" t="b">
        <v>0</v>
      </c>
      <c r="K843" s="91" t="b">
        <v>0</v>
      </c>
      <c r="L843" s="91" t="b">
        <v>0</v>
      </c>
    </row>
    <row r="844" spans="1:12" ht="15">
      <c r="A844" s="92" t="s">
        <v>2564</v>
      </c>
      <c r="B844" s="91" t="s">
        <v>3050</v>
      </c>
      <c r="C844" s="91">
        <v>3</v>
      </c>
      <c r="D844" s="114">
        <v>0.000541690092991574</v>
      </c>
      <c r="E844" s="114">
        <v>1.4637262907041155</v>
      </c>
      <c r="F844" s="91" t="s">
        <v>3159</v>
      </c>
      <c r="G844" s="91" t="b">
        <v>0</v>
      </c>
      <c r="H844" s="91" t="b">
        <v>0</v>
      </c>
      <c r="I844" s="91" t="b">
        <v>0</v>
      </c>
      <c r="J844" s="91" t="b">
        <v>0</v>
      </c>
      <c r="K844" s="91" t="b">
        <v>0</v>
      </c>
      <c r="L844" s="91" t="b">
        <v>0</v>
      </c>
    </row>
    <row r="845" spans="1:12" ht="15">
      <c r="A845" s="92" t="s">
        <v>3050</v>
      </c>
      <c r="B845" s="91" t="s">
        <v>3051</v>
      </c>
      <c r="C845" s="91">
        <v>3</v>
      </c>
      <c r="D845" s="114">
        <v>0.000541690092991574</v>
      </c>
      <c r="E845" s="114">
        <v>3.5821012578100273</v>
      </c>
      <c r="F845" s="91" t="s">
        <v>3159</v>
      </c>
      <c r="G845" s="91" t="b">
        <v>0</v>
      </c>
      <c r="H845" s="91" t="b">
        <v>0</v>
      </c>
      <c r="I845" s="91" t="b">
        <v>0</v>
      </c>
      <c r="J845" s="91" t="b">
        <v>0</v>
      </c>
      <c r="K845" s="91" t="b">
        <v>0</v>
      </c>
      <c r="L845" s="91" t="b">
        <v>0</v>
      </c>
    </row>
    <row r="846" spans="1:12" ht="15">
      <c r="A846" s="92" t="s">
        <v>3051</v>
      </c>
      <c r="B846" s="91" t="s">
        <v>2717</v>
      </c>
      <c r="C846" s="91">
        <v>3</v>
      </c>
      <c r="D846" s="114">
        <v>0.000541690092991574</v>
      </c>
      <c r="E846" s="114">
        <v>2.7804689115768606</v>
      </c>
      <c r="F846" s="91" t="s">
        <v>3159</v>
      </c>
      <c r="G846" s="91" t="b">
        <v>0</v>
      </c>
      <c r="H846" s="91" t="b">
        <v>0</v>
      </c>
      <c r="I846" s="91" t="b">
        <v>0</v>
      </c>
      <c r="J846" s="91" t="b">
        <v>0</v>
      </c>
      <c r="K846" s="91" t="b">
        <v>0</v>
      </c>
      <c r="L846" s="91" t="b">
        <v>0</v>
      </c>
    </row>
    <row r="847" spans="1:12" ht="15">
      <c r="A847" s="92" t="s">
        <v>2643</v>
      </c>
      <c r="B847" s="91" t="s">
        <v>3052</v>
      </c>
      <c r="C847" s="91">
        <v>3</v>
      </c>
      <c r="D847" s="114">
        <v>0.000541690092991574</v>
      </c>
      <c r="E847" s="114">
        <v>2.515154468179414</v>
      </c>
      <c r="F847" s="91" t="s">
        <v>3159</v>
      </c>
      <c r="G847" s="91" t="b">
        <v>0</v>
      </c>
      <c r="H847" s="91" t="b">
        <v>0</v>
      </c>
      <c r="I847" s="91" t="b">
        <v>0</v>
      </c>
      <c r="J847" s="91" t="b">
        <v>0</v>
      </c>
      <c r="K847" s="91" t="b">
        <v>0</v>
      </c>
      <c r="L847" s="91" t="b">
        <v>0</v>
      </c>
    </row>
    <row r="848" spans="1:12" ht="15">
      <c r="A848" s="92" t="s">
        <v>3052</v>
      </c>
      <c r="B848" s="91" t="s">
        <v>2728</v>
      </c>
      <c r="C848" s="91">
        <v>3</v>
      </c>
      <c r="D848" s="114">
        <v>0.000541690092991574</v>
      </c>
      <c r="E848" s="114">
        <v>2.828773591151416</v>
      </c>
      <c r="F848" s="91" t="s">
        <v>3159</v>
      </c>
      <c r="G848" s="91" t="b">
        <v>0</v>
      </c>
      <c r="H848" s="91" t="b">
        <v>0</v>
      </c>
      <c r="I848" s="91" t="b">
        <v>0</v>
      </c>
      <c r="J848" s="91" t="b">
        <v>0</v>
      </c>
      <c r="K848" s="91" t="b">
        <v>0</v>
      </c>
      <c r="L848" s="91" t="b">
        <v>0</v>
      </c>
    </row>
    <row r="849" spans="1:12" ht="15">
      <c r="A849" s="92" t="s">
        <v>2890</v>
      </c>
      <c r="B849" s="91" t="s">
        <v>2891</v>
      </c>
      <c r="C849" s="91">
        <v>3</v>
      </c>
      <c r="D849" s="114">
        <v>0.000541690092991574</v>
      </c>
      <c r="E849" s="114">
        <v>2.8461476872208387</v>
      </c>
      <c r="F849" s="91" t="s">
        <v>3159</v>
      </c>
      <c r="G849" s="91" t="b">
        <v>0</v>
      </c>
      <c r="H849" s="91" t="b">
        <v>0</v>
      </c>
      <c r="I849" s="91" t="b">
        <v>0</v>
      </c>
      <c r="J849" s="91" t="b">
        <v>0</v>
      </c>
      <c r="K849" s="91" t="b">
        <v>0</v>
      </c>
      <c r="L849" s="91" t="b">
        <v>0</v>
      </c>
    </row>
    <row r="850" spans="1:12" ht="15">
      <c r="A850" s="92" t="s">
        <v>2891</v>
      </c>
      <c r="B850" s="91" t="s">
        <v>3053</v>
      </c>
      <c r="C850" s="91">
        <v>3</v>
      </c>
      <c r="D850" s="114">
        <v>0.000541690092991574</v>
      </c>
      <c r="E850" s="114">
        <v>3.214124472515433</v>
      </c>
      <c r="F850" s="91" t="s">
        <v>3159</v>
      </c>
      <c r="G850" s="91" t="b">
        <v>0</v>
      </c>
      <c r="H850" s="91" t="b">
        <v>0</v>
      </c>
      <c r="I850" s="91" t="b">
        <v>0</v>
      </c>
      <c r="J850" s="91" t="b">
        <v>0</v>
      </c>
      <c r="K850" s="91" t="b">
        <v>0</v>
      </c>
      <c r="L850" s="91" t="b">
        <v>0</v>
      </c>
    </row>
    <row r="851" spans="1:12" ht="15">
      <c r="A851" s="92" t="s">
        <v>3053</v>
      </c>
      <c r="B851" s="91" t="s">
        <v>3054</v>
      </c>
      <c r="C851" s="91">
        <v>3</v>
      </c>
      <c r="D851" s="114">
        <v>0.000541690092991574</v>
      </c>
      <c r="E851" s="114">
        <v>3.5821012578100273</v>
      </c>
      <c r="F851" s="91" t="s">
        <v>3159</v>
      </c>
      <c r="G851" s="91" t="b">
        <v>0</v>
      </c>
      <c r="H851" s="91" t="b">
        <v>0</v>
      </c>
      <c r="I851" s="91" t="b">
        <v>0</v>
      </c>
      <c r="J851" s="91" t="b">
        <v>0</v>
      </c>
      <c r="K851" s="91" t="b">
        <v>0</v>
      </c>
      <c r="L851" s="91" t="b">
        <v>0</v>
      </c>
    </row>
    <row r="852" spans="1:12" ht="15">
      <c r="A852" s="92" t="s">
        <v>3054</v>
      </c>
      <c r="B852" s="91" t="s">
        <v>3055</v>
      </c>
      <c r="C852" s="91">
        <v>3</v>
      </c>
      <c r="D852" s="114">
        <v>0.000541690092991574</v>
      </c>
      <c r="E852" s="114">
        <v>3.5821012578100273</v>
      </c>
      <c r="F852" s="91" t="s">
        <v>3159</v>
      </c>
      <c r="G852" s="91" t="b">
        <v>0</v>
      </c>
      <c r="H852" s="91" t="b">
        <v>0</v>
      </c>
      <c r="I852" s="91" t="b">
        <v>0</v>
      </c>
      <c r="J852" s="91" t="b">
        <v>0</v>
      </c>
      <c r="K852" s="91" t="b">
        <v>0</v>
      </c>
      <c r="L852" s="91" t="b">
        <v>0</v>
      </c>
    </row>
    <row r="853" spans="1:12" ht="15">
      <c r="A853" s="92" t="s">
        <v>3055</v>
      </c>
      <c r="B853" s="91" t="s">
        <v>2731</v>
      </c>
      <c r="C853" s="91">
        <v>3</v>
      </c>
      <c r="D853" s="114">
        <v>0.000541690092991574</v>
      </c>
      <c r="E853" s="114">
        <v>2.855102529873765</v>
      </c>
      <c r="F853" s="91" t="s">
        <v>3159</v>
      </c>
      <c r="G853" s="91" t="b">
        <v>0</v>
      </c>
      <c r="H853" s="91" t="b">
        <v>0</v>
      </c>
      <c r="I853" s="91" t="b">
        <v>0</v>
      </c>
      <c r="J853" s="91" t="b">
        <v>0</v>
      </c>
      <c r="K853" s="91" t="b">
        <v>0</v>
      </c>
      <c r="L853" s="91" t="b">
        <v>0</v>
      </c>
    </row>
    <row r="854" spans="1:12" ht="15">
      <c r="A854" s="92" t="s">
        <v>2731</v>
      </c>
      <c r="B854" s="91" t="s">
        <v>3056</v>
      </c>
      <c r="C854" s="91">
        <v>3</v>
      </c>
      <c r="D854" s="114">
        <v>0.000541690092991574</v>
      </c>
      <c r="E854" s="114">
        <v>2.855102529873765</v>
      </c>
      <c r="F854" s="91" t="s">
        <v>3159</v>
      </c>
      <c r="G854" s="91" t="b">
        <v>0</v>
      </c>
      <c r="H854" s="91" t="b">
        <v>0</v>
      </c>
      <c r="I854" s="91" t="b">
        <v>0</v>
      </c>
      <c r="J854" s="91" t="b">
        <v>0</v>
      </c>
      <c r="K854" s="91" t="b">
        <v>0</v>
      </c>
      <c r="L854" s="91" t="b">
        <v>0</v>
      </c>
    </row>
    <row r="855" spans="1:12" ht="15">
      <c r="A855" s="92" t="s">
        <v>3056</v>
      </c>
      <c r="B855" s="91" t="s">
        <v>3057</v>
      </c>
      <c r="C855" s="91">
        <v>3</v>
      </c>
      <c r="D855" s="114">
        <v>0.000541690092991574</v>
      </c>
      <c r="E855" s="114">
        <v>3.5821012578100273</v>
      </c>
      <c r="F855" s="91" t="s">
        <v>3159</v>
      </c>
      <c r="G855" s="91" t="b">
        <v>0</v>
      </c>
      <c r="H855" s="91" t="b">
        <v>0</v>
      </c>
      <c r="I855" s="91" t="b">
        <v>0</v>
      </c>
      <c r="J855" s="91" t="b">
        <v>0</v>
      </c>
      <c r="K855" s="91" t="b">
        <v>0</v>
      </c>
      <c r="L855" s="91" t="b">
        <v>0</v>
      </c>
    </row>
    <row r="856" spans="1:12" ht="15">
      <c r="A856" s="92" t="s">
        <v>3057</v>
      </c>
      <c r="B856" s="91" t="s">
        <v>3058</v>
      </c>
      <c r="C856" s="91">
        <v>3</v>
      </c>
      <c r="D856" s="114">
        <v>0.000541690092991574</v>
      </c>
      <c r="E856" s="114">
        <v>3.5821012578100273</v>
      </c>
      <c r="F856" s="91" t="s">
        <v>3159</v>
      </c>
      <c r="G856" s="91" t="b">
        <v>0</v>
      </c>
      <c r="H856" s="91" t="b">
        <v>0</v>
      </c>
      <c r="I856" s="91" t="b">
        <v>0</v>
      </c>
      <c r="J856" s="91" t="b">
        <v>0</v>
      </c>
      <c r="K856" s="91" t="b">
        <v>0</v>
      </c>
      <c r="L856" s="91" t="b">
        <v>0</v>
      </c>
    </row>
    <row r="857" spans="1:12" ht="15">
      <c r="A857" s="92" t="s">
        <v>3058</v>
      </c>
      <c r="B857" s="91" t="s">
        <v>2645</v>
      </c>
      <c r="C857" s="91">
        <v>3</v>
      </c>
      <c r="D857" s="114">
        <v>0.000541690092991574</v>
      </c>
      <c r="E857" s="114">
        <v>2.515154468179414</v>
      </c>
      <c r="F857" s="91" t="s">
        <v>3159</v>
      </c>
      <c r="G857" s="91" t="b">
        <v>0</v>
      </c>
      <c r="H857" s="91" t="b">
        <v>0</v>
      </c>
      <c r="I857" s="91" t="b">
        <v>0</v>
      </c>
      <c r="J857" s="91" t="b">
        <v>0</v>
      </c>
      <c r="K857" s="91" t="b">
        <v>0</v>
      </c>
      <c r="L857" s="91" t="b">
        <v>0</v>
      </c>
    </row>
    <row r="858" spans="1:12" ht="15">
      <c r="A858" s="92" t="s">
        <v>2645</v>
      </c>
      <c r="B858" s="91" t="s">
        <v>3059</v>
      </c>
      <c r="C858" s="91">
        <v>3</v>
      </c>
      <c r="D858" s="114">
        <v>0.000541690092991574</v>
      </c>
      <c r="E858" s="114">
        <v>2.5277435954874345</v>
      </c>
      <c r="F858" s="91" t="s">
        <v>3159</v>
      </c>
      <c r="G858" s="91" t="b">
        <v>0</v>
      </c>
      <c r="H858" s="91" t="b">
        <v>0</v>
      </c>
      <c r="I858" s="91" t="b">
        <v>0</v>
      </c>
      <c r="J858" s="91" t="b">
        <v>0</v>
      </c>
      <c r="K858" s="91" t="b">
        <v>0</v>
      </c>
      <c r="L858" s="91" t="b">
        <v>0</v>
      </c>
    </row>
    <row r="859" spans="1:12" ht="15">
      <c r="A859" s="92" t="s">
        <v>3060</v>
      </c>
      <c r="B859" s="91" t="s">
        <v>2801</v>
      </c>
      <c r="C859" s="91">
        <v>3</v>
      </c>
      <c r="D859" s="114">
        <v>0.000541690092991574</v>
      </c>
      <c r="E859" s="114">
        <v>3.1049800030903647</v>
      </c>
      <c r="F859" s="91" t="s">
        <v>3159</v>
      </c>
      <c r="G859" s="91" t="b">
        <v>0</v>
      </c>
      <c r="H859" s="91" t="b">
        <v>0</v>
      </c>
      <c r="I859" s="91" t="b">
        <v>0</v>
      </c>
      <c r="J859" s="91" t="b">
        <v>0</v>
      </c>
      <c r="K859" s="91" t="b">
        <v>0</v>
      </c>
      <c r="L859" s="91" t="b">
        <v>0</v>
      </c>
    </row>
    <row r="860" spans="1:12" ht="15">
      <c r="A860" s="92" t="s">
        <v>2801</v>
      </c>
      <c r="B860" s="91" t="s">
        <v>3061</v>
      </c>
      <c r="C860" s="91">
        <v>3</v>
      </c>
      <c r="D860" s="114">
        <v>0.000541690092991574</v>
      </c>
      <c r="E860" s="114">
        <v>3.1049800030903647</v>
      </c>
      <c r="F860" s="91" t="s">
        <v>3159</v>
      </c>
      <c r="G860" s="91" t="b">
        <v>0</v>
      </c>
      <c r="H860" s="91" t="b">
        <v>0</v>
      </c>
      <c r="I860" s="91" t="b">
        <v>0</v>
      </c>
      <c r="J860" s="91" t="b">
        <v>0</v>
      </c>
      <c r="K860" s="91" t="b">
        <v>0</v>
      </c>
      <c r="L860" s="91" t="b">
        <v>0</v>
      </c>
    </row>
    <row r="861" spans="1:12" ht="15">
      <c r="A861" s="92" t="s">
        <v>3061</v>
      </c>
      <c r="B861" s="91" t="s">
        <v>2847</v>
      </c>
      <c r="C861" s="91">
        <v>3</v>
      </c>
      <c r="D861" s="114">
        <v>0.000541690092991574</v>
      </c>
      <c r="E861" s="114">
        <v>3.214124472515433</v>
      </c>
      <c r="F861" s="91" t="s">
        <v>3159</v>
      </c>
      <c r="G861" s="91" t="b">
        <v>0</v>
      </c>
      <c r="H861" s="91" t="b">
        <v>0</v>
      </c>
      <c r="I861" s="91" t="b">
        <v>0</v>
      </c>
      <c r="J861" s="91" t="b">
        <v>0</v>
      </c>
      <c r="K861" s="91" t="b">
        <v>0</v>
      </c>
      <c r="L861" s="91" t="b">
        <v>0</v>
      </c>
    </row>
    <row r="862" spans="1:12" ht="15">
      <c r="A862" s="92" t="s">
        <v>2847</v>
      </c>
      <c r="B862" s="91" t="s">
        <v>2613</v>
      </c>
      <c r="C862" s="91">
        <v>3</v>
      </c>
      <c r="D862" s="114">
        <v>0.000541690092991574</v>
      </c>
      <c r="E862" s="114">
        <v>1.9508830377408515</v>
      </c>
      <c r="F862" s="91" t="s">
        <v>3159</v>
      </c>
      <c r="G862" s="91" t="b">
        <v>0</v>
      </c>
      <c r="H862" s="91" t="b">
        <v>0</v>
      </c>
      <c r="I862" s="91" t="b">
        <v>0</v>
      </c>
      <c r="J862" s="91" t="b">
        <v>0</v>
      </c>
      <c r="K862" s="91" t="b">
        <v>0</v>
      </c>
      <c r="L862" s="91" t="b">
        <v>0</v>
      </c>
    </row>
    <row r="863" spans="1:12" ht="15">
      <c r="A863" s="92" t="s">
        <v>2613</v>
      </c>
      <c r="B863" s="91" t="s">
        <v>3062</v>
      </c>
      <c r="C863" s="91">
        <v>3</v>
      </c>
      <c r="D863" s="114">
        <v>0.000541690092991574</v>
      </c>
      <c r="E863" s="114">
        <v>2.318859823035446</v>
      </c>
      <c r="F863" s="91" t="s">
        <v>3159</v>
      </c>
      <c r="G863" s="91" t="b">
        <v>0</v>
      </c>
      <c r="H863" s="91" t="b">
        <v>0</v>
      </c>
      <c r="I863" s="91" t="b">
        <v>0</v>
      </c>
      <c r="J863" s="91" t="b">
        <v>0</v>
      </c>
      <c r="K863" s="91" t="b">
        <v>0</v>
      </c>
      <c r="L863" s="91" t="b">
        <v>0</v>
      </c>
    </row>
    <row r="864" spans="1:12" ht="15">
      <c r="A864" s="92" t="s">
        <v>3062</v>
      </c>
      <c r="B864" s="91" t="s">
        <v>3063</v>
      </c>
      <c r="C864" s="91">
        <v>3</v>
      </c>
      <c r="D864" s="114">
        <v>0.000541690092991574</v>
      </c>
      <c r="E864" s="114">
        <v>3.5821012578100273</v>
      </c>
      <c r="F864" s="91" t="s">
        <v>3159</v>
      </c>
      <c r="G864" s="91" t="b">
        <v>0</v>
      </c>
      <c r="H864" s="91" t="b">
        <v>0</v>
      </c>
      <c r="I864" s="91" t="b">
        <v>0</v>
      </c>
      <c r="J864" s="91" t="b">
        <v>0</v>
      </c>
      <c r="K864" s="91" t="b">
        <v>0</v>
      </c>
      <c r="L864" s="91" t="b">
        <v>0</v>
      </c>
    </row>
    <row r="865" spans="1:12" ht="15">
      <c r="A865" s="92" t="s">
        <v>3063</v>
      </c>
      <c r="B865" s="91" t="s">
        <v>3064</v>
      </c>
      <c r="C865" s="91">
        <v>3</v>
      </c>
      <c r="D865" s="114">
        <v>0.000541690092991574</v>
      </c>
      <c r="E865" s="114">
        <v>3.5821012578100273</v>
      </c>
      <c r="F865" s="91" t="s">
        <v>3159</v>
      </c>
      <c r="G865" s="91" t="b">
        <v>0</v>
      </c>
      <c r="H865" s="91" t="b">
        <v>0</v>
      </c>
      <c r="I865" s="91" t="b">
        <v>0</v>
      </c>
      <c r="J865" s="91" t="b">
        <v>0</v>
      </c>
      <c r="K865" s="91" t="b">
        <v>0</v>
      </c>
      <c r="L865" s="91" t="b">
        <v>0</v>
      </c>
    </row>
    <row r="866" spans="1:12" ht="15">
      <c r="A866" s="92" t="s">
        <v>3064</v>
      </c>
      <c r="B866" s="91" t="s">
        <v>2612</v>
      </c>
      <c r="C866" s="91">
        <v>3</v>
      </c>
      <c r="D866" s="114">
        <v>0.000541690092991574</v>
      </c>
      <c r="E866" s="114">
        <v>2.303347656857198</v>
      </c>
      <c r="F866" s="91" t="s">
        <v>3159</v>
      </c>
      <c r="G866" s="91" t="b">
        <v>0</v>
      </c>
      <c r="H866" s="91" t="b">
        <v>0</v>
      </c>
      <c r="I866" s="91" t="b">
        <v>0</v>
      </c>
      <c r="J866" s="91" t="b">
        <v>0</v>
      </c>
      <c r="K866" s="91" t="b">
        <v>0</v>
      </c>
      <c r="L866" s="91" t="b">
        <v>0</v>
      </c>
    </row>
    <row r="867" spans="1:12" ht="15">
      <c r="A867" s="92" t="s">
        <v>2612</v>
      </c>
      <c r="B867" s="91" t="s">
        <v>2892</v>
      </c>
      <c r="C867" s="91">
        <v>3</v>
      </c>
      <c r="D867" s="114">
        <v>0.000541690092991574</v>
      </c>
      <c r="E867" s="114">
        <v>1.9836755511371589</v>
      </c>
      <c r="F867" s="91" t="s">
        <v>3159</v>
      </c>
      <c r="G867" s="91" t="b">
        <v>0</v>
      </c>
      <c r="H867" s="91" t="b">
        <v>0</v>
      </c>
      <c r="I867" s="91" t="b">
        <v>0</v>
      </c>
      <c r="J867" s="91" t="b">
        <v>0</v>
      </c>
      <c r="K867" s="91" t="b">
        <v>0</v>
      </c>
      <c r="L867" s="91" t="b">
        <v>0</v>
      </c>
    </row>
    <row r="868" spans="1:12" ht="15">
      <c r="A868" s="92" t="s">
        <v>2892</v>
      </c>
      <c r="B868" s="91" t="s">
        <v>2731</v>
      </c>
      <c r="C868" s="91">
        <v>3</v>
      </c>
      <c r="D868" s="114">
        <v>0.000541690092991574</v>
      </c>
      <c r="E868" s="114">
        <v>2.4871257445791706</v>
      </c>
      <c r="F868" s="91" t="s">
        <v>3159</v>
      </c>
      <c r="G868" s="91" t="b">
        <v>0</v>
      </c>
      <c r="H868" s="91" t="b">
        <v>0</v>
      </c>
      <c r="I868" s="91" t="b">
        <v>0</v>
      </c>
      <c r="J868" s="91" t="b">
        <v>0</v>
      </c>
      <c r="K868" s="91" t="b">
        <v>0</v>
      </c>
      <c r="L868" s="91" t="b">
        <v>0</v>
      </c>
    </row>
    <row r="869" spans="1:12" ht="15">
      <c r="A869" s="92" t="s">
        <v>2731</v>
      </c>
      <c r="B869" s="91" t="s">
        <v>2643</v>
      </c>
      <c r="C869" s="91">
        <v>3</v>
      </c>
      <c r="D869" s="114">
        <v>0.000541690092991574</v>
      </c>
      <c r="E869" s="114">
        <v>1.7881557402431516</v>
      </c>
      <c r="F869" s="91" t="s">
        <v>3159</v>
      </c>
      <c r="G869" s="91" t="b">
        <v>0</v>
      </c>
      <c r="H869" s="91" t="b">
        <v>0</v>
      </c>
      <c r="I869" s="91" t="b">
        <v>0</v>
      </c>
      <c r="J869" s="91" t="b">
        <v>0</v>
      </c>
      <c r="K869" s="91" t="b">
        <v>0</v>
      </c>
      <c r="L869" s="91" t="b">
        <v>0</v>
      </c>
    </row>
    <row r="870" spans="1:12" ht="15">
      <c r="A870" s="92" t="s">
        <v>2643</v>
      </c>
      <c r="B870" s="91" t="s">
        <v>3065</v>
      </c>
      <c r="C870" s="91">
        <v>3</v>
      </c>
      <c r="D870" s="114">
        <v>0.000541690092991574</v>
      </c>
      <c r="E870" s="114">
        <v>2.515154468179414</v>
      </c>
      <c r="F870" s="91" t="s">
        <v>3159</v>
      </c>
      <c r="G870" s="91" t="b">
        <v>0</v>
      </c>
      <c r="H870" s="91" t="b">
        <v>0</v>
      </c>
      <c r="I870" s="91" t="b">
        <v>0</v>
      </c>
      <c r="J870" s="91" t="b">
        <v>0</v>
      </c>
      <c r="K870" s="91" t="b">
        <v>0</v>
      </c>
      <c r="L870" s="91" t="b">
        <v>0</v>
      </c>
    </row>
    <row r="871" spans="1:12" ht="15">
      <c r="A871" s="92" t="s">
        <v>3065</v>
      </c>
      <c r="B871" s="91" t="s">
        <v>3066</v>
      </c>
      <c r="C871" s="91">
        <v>3</v>
      </c>
      <c r="D871" s="114">
        <v>0.000541690092991574</v>
      </c>
      <c r="E871" s="114">
        <v>3.5821012578100273</v>
      </c>
      <c r="F871" s="91" t="s">
        <v>3159</v>
      </c>
      <c r="G871" s="91" t="b">
        <v>0</v>
      </c>
      <c r="H871" s="91" t="b">
        <v>0</v>
      </c>
      <c r="I871" s="91" t="b">
        <v>0</v>
      </c>
      <c r="J871" s="91" t="b">
        <v>0</v>
      </c>
      <c r="K871" s="91" t="b">
        <v>0</v>
      </c>
      <c r="L871" s="91" t="b">
        <v>0</v>
      </c>
    </row>
    <row r="872" spans="1:12" ht="15">
      <c r="A872" s="92" t="s">
        <v>3066</v>
      </c>
      <c r="B872" s="91" t="s">
        <v>3067</v>
      </c>
      <c r="C872" s="91">
        <v>3</v>
      </c>
      <c r="D872" s="114">
        <v>0.000541690092991574</v>
      </c>
      <c r="E872" s="114">
        <v>3.5821012578100273</v>
      </c>
      <c r="F872" s="91" t="s">
        <v>3159</v>
      </c>
      <c r="G872" s="91" t="b">
        <v>0</v>
      </c>
      <c r="H872" s="91" t="b">
        <v>0</v>
      </c>
      <c r="I872" s="91" t="b">
        <v>0</v>
      </c>
      <c r="J872" s="91" t="b">
        <v>0</v>
      </c>
      <c r="K872" s="91" t="b">
        <v>0</v>
      </c>
      <c r="L872" s="91" t="b">
        <v>0</v>
      </c>
    </row>
    <row r="873" spans="1:12" ht="15">
      <c r="A873" s="92" t="s">
        <v>3067</v>
      </c>
      <c r="B873" s="91" t="s">
        <v>2585</v>
      </c>
      <c r="C873" s="91">
        <v>3</v>
      </c>
      <c r="D873" s="114">
        <v>0.000541690092991574</v>
      </c>
      <c r="E873" s="114">
        <v>2.0724507782634447</v>
      </c>
      <c r="F873" s="91" t="s">
        <v>3159</v>
      </c>
      <c r="G873" s="91" t="b">
        <v>0</v>
      </c>
      <c r="H873" s="91" t="b">
        <v>0</v>
      </c>
      <c r="I873" s="91" t="b">
        <v>0</v>
      </c>
      <c r="J873" s="91" t="b">
        <v>0</v>
      </c>
      <c r="K873" s="91" t="b">
        <v>0</v>
      </c>
      <c r="L873" s="91" t="b">
        <v>0</v>
      </c>
    </row>
    <row r="874" spans="1:12" ht="15">
      <c r="A874" s="92" t="s">
        <v>2585</v>
      </c>
      <c r="B874" s="91" t="s">
        <v>2802</v>
      </c>
      <c r="C874" s="91">
        <v>3</v>
      </c>
      <c r="D874" s="114">
        <v>0.000541690092991574</v>
      </c>
      <c r="E874" s="114">
        <v>1.5953295235437823</v>
      </c>
      <c r="F874" s="91" t="s">
        <v>3159</v>
      </c>
      <c r="G874" s="91" t="b">
        <v>0</v>
      </c>
      <c r="H874" s="91" t="b">
        <v>0</v>
      </c>
      <c r="I874" s="91" t="b">
        <v>0</v>
      </c>
      <c r="J874" s="91" t="b">
        <v>0</v>
      </c>
      <c r="K874" s="91" t="b">
        <v>0</v>
      </c>
      <c r="L874" s="91" t="b">
        <v>0</v>
      </c>
    </row>
    <row r="875" spans="1:12" ht="15">
      <c r="A875" s="92" t="s">
        <v>2802</v>
      </c>
      <c r="B875" s="91" t="s">
        <v>2800</v>
      </c>
      <c r="C875" s="91">
        <v>3</v>
      </c>
      <c r="D875" s="114">
        <v>0.000541690092991574</v>
      </c>
      <c r="E875" s="114">
        <v>2.6278587483707025</v>
      </c>
      <c r="F875" s="91" t="s">
        <v>3159</v>
      </c>
      <c r="G875" s="91" t="b">
        <v>0</v>
      </c>
      <c r="H875" s="91" t="b">
        <v>0</v>
      </c>
      <c r="I875" s="91" t="b">
        <v>0</v>
      </c>
      <c r="J875" s="91" t="b">
        <v>0</v>
      </c>
      <c r="K875" s="91" t="b">
        <v>0</v>
      </c>
      <c r="L875" s="91" t="b">
        <v>0</v>
      </c>
    </row>
    <row r="876" spans="1:12" ht="15">
      <c r="A876" s="92" t="s">
        <v>2800</v>
      </c>
      <c r="B876" s="91" t="s">
        <v>3068</v>
      </c>
      <c r="C876" s="91">
        <v>3</v>
      </c>
      <c r="D876" s="114">
        <v>0.000541690092991574</v>
      </c>
      <c r="E876" s="114">
        <v>3.1049800030903647</v>
      </c>
      <c r="F876" s="91" t="s">
        <v>3159</v>
      </c>
      <c r="G876" s="91" t="b">
        <v>0</v>
      </c>
      <c r="H876" s="91" t="b">
        <v>0</v>
      </c>
      <c r="I876" s="91" t="b">
        <v>0</v>
      </c>
      <c r="J876" s="91" t="b">
        <v>0</v>
      </c>
      <c r="K876" s="91" t="b">
        <v>0</v>
      </c>
      <c r="L876" s="91" t="b">
        <v>0</v>
      </c>
    </row>
    <row r="877" spans="1:12" ht="15">
      <c r="A877" s="92" t="s">
        <v>3068</v>
      </c>
      <c r="B877" s="91" t="s">
        <v>2620</v>
      </c>
      <c r="C877" s="91">
        <v>3</v>
      </c>
      <c r="D877" s="114">
        <v>0.000541690092991574</v>
      </c>
      <c r="E877" s="114">
        <v>2.3779812751541023</v>
      </c>
      <c r="F877" s="91" t="s">
        <v>3159</v>
      </c>
      <c r="G877" s="91" t="b">
        <v>0</v>
      </c>
      <c r="H877" s="91" t="b">
        <v>0</v>
      </c>
      <c r="I877" s="91" t="b">
        <v>0</v>
      </c>
      <c r="J877" s="91" t="b">
        <v>0</v>
      </c>
      <c r="K877" s="91" t="b">
        <v>0</v>
      </c>
      <c r="L877" s="91" t="b">
        <v>0</v>
      </c>
    </row>
    <row r="878" spans="1:12" ht="15">
      <c r="A878" s="92" t="s">
        <v>2620</v>
      </c>
      <c r="B878" s="91" t="s">
        <v>3069</v>
      </c>
      <c r="C878" s="91">
        <v>3</v>
      </c>
      <c r="D878" s="114">
        <v>0.000541690092991574</v>
      </c>
      <c r="E878" s="114">
        <v>2.3779812751541023</v>
      </c>
      <c r="F878" s="91" t="s">
        <v>3159</v>
      </c>
      <c r="G878" s="91" t="b">
        <v>0</v>
      </c>
      <c r="H878" s="91" t="b">
        <v>0</v>
      </c>
      <c r="I878" s="91" t="b">
        <v>0</v>
      </c>
      <c r="J878" s="91" t="b">
        <v>0</v>
      </c>
      <c r="K878" s="91" t="b">
        <v>0</v>
      </c>
      <c r="L878" s="91" t="b">
        <v>0</v>
      </c>
    </row>
    <row r="879" spans="1:12" ht="15">
      <c r="A879" s="92" t="s">
        <v>3069</v>
      </c>
      <c r="B879" s="91" t="s">
        <v>3070</v>
      </c>
      <c r="C879" s="91">
        <v>3</v>
      </c>
      <c r="D879" s="114">
        <v>0.000541690092991574</v>
      </c>
      <c r="E879" s="114">
        <v>3.5821012578100273</v>
      </c>
      <c r="F879" s="91" t="s">
        <v>3159</v>
      </c>
      <c r="G879" s="91" t="b">
        <v>0</v>
      </c>
      <c r="H879" s="91" t="b">
        <v>0</v>
      </c>
      <c r="I879" s="91" t="b">
        <v>0</v>
      </c>
      <c r="J879" s="91" t="b">
        <v>0</v>
      </c>
      <c r="K879" s="91" t="b">
        <v>0</v>
      </c>
      <c r="L879" s="91" t="b">
        <v>0</v>
      </c>
    </row>
    <row r="880" spans="1:12" ht="15">
      <c r="A880" s="92" t="s">
        <v>3070</v>
      </c>
      <c r="B880" s="91" t="s">
        <v>2564</v>
      </c>
      <c r="C880" s="91">
        <v>3</v>
      </c>
      <c r="D880" s="114">
        <v>0.000541690092991574</v>
      </c>
      <c r="E880" s="114">
        <v>1.4370084895633943</v>
      </c>
      <c r="F880" s="91" t="s">
        <v>3159</v>
      </c>
      <c r="G880" s="91" t="b">
        <v>0</v>
      </c>
      <c r="H880" s="91" t="b">
        <v>0</v>
      </c>
      <c r="I880" s="91" t="b">
        <v>0</v>
      </c>
      <c r="J880" s="91" t="b">
        <v>0</v>
      </c>
      <c r="K880" s="91" t="b">
        <v>0</v>
      </c>
      <c r="L880" s="91" t="b">
        <v>0</v>
      </c>
    </row>
    <row r="881" spans="1:12" ht="15">
      <c r="A881" s="92" t="s">
        <v>2564</v>
      </c>
      <c r="B881" s="91" t="s">
        <v>2728</v>
      </c>
      <c r="C881" s="91">
        <v>3</v>
      </c>
      <c r="D881" s="114">
        <v>0.000541690092991574</v>
      </c>
      <c r="E881" s="114">
        <v>0.710398624045504</v>
      </c>
      <c r="F881" s="91" t="s">
        <v>3159</v>
      </c>
      <c r="G881" s="91" t="b">
        <v>0</v>
      </c>
      <c r="H881" s="91" t="b">
        <v>0</v>
      </c>
      <c r="I881" s="91" t="b">
        <v>0</v>
      </c>
      <c r="J881" s="91" t="b">
        <v>0</v>
      </c>
      <c r="K881" s="91" t="b">
        <v>0</v>
      </c>
      <c r="L881" s="91" t="b">
        <v>0</v>
      </c>
    </row>
    <row r="882" spans="1:12" ht="15">
      <c r="A882" s="92" t="s">
        <v>3071</v>
      </c>
      <c r="B882" s="91" t="s">
        <v>2568</v>
      </c>
      <c r="C882" s="91">
        <v>3</v>
      </c>
      <c r="D882" s="114">
        <v>0.000541690092991574</v>
      </c>
      <c r="E882" s="114">
        <v>1.7328866516009382</v>
      </c>
      <c r="F882" s="91" t="s">
        <v>3159</v>
      </c>
      <c r="G882" s="91" t="b">
        <v>0</v>
      </c>
      <c r="H882" s="91" t="b">
        <v>0</v>
      </c>
      <c r="I882" s="91" t="b">
        <v>0</v>
      </c>
      <c r="J882" s="91" t="b">
        <v>0</v>
      </c>
      <c r="K882" s="91" t="b">
        <v>0</v>
      </c>
      <c r="L882" s="91" t="b">
        <v>0</v>
      </c>
    </row>
    <row r="883" spans="1:12" ht="15">
      <c r="A883" s="92" t="s">
        <v>2726</v>
      </c>
      <c r="B883" s="91" t="s">
        <v>3074</v>
      </c>
      <c r="C883" s="91">
        <v>2</v>
      </c>
      <c r="D883" s="114">
        <v>0.0003907717217680664</v>
      </c>
      <c r="E883" s="114">
        <v>2.828773591151416</v>
      </c>
      <c r="F883" s="91" t="s">
        <v>3159</v>
      </c>
      <c r="G883" s="91" t="b">
        <v>0</v>
      </c>
      <c r="H883" s="91" t="b">
        <v>0</v>
      </c>
      <c r="I883" s="91" t="b">
        <v>0</v>
      </c>
      <c r="J883" s="91" t="b">
        <v>0</v>
      </c>
      <c r="K883" s="91" t="b">
        <v>0</v>
      </c>
      <c r="L883" s="91" t="b">
        <v>0</v>
      </c>
    </row>
    <row r="884" spans="1:12" ht="15">
      <c r="A884" s="92" t="s">
        <v>3074</v>
      </c>
      <c r="B884" s="91" t="s">
        <v>2616</v>
      </c>
      <c r="C884" s="91">
        <v>2</v>
      </c>
      <c r="D884" s="114">
        <v>0.0003907717217680664</v>
      </c>
      <c r="E884" s="114">
        <v>2.446438655809954</v>
      </c>
      <c r="F884" s="91" t="s">
        <v>3159</v>
      </c>
      <c r="G884" s="91" t="b">
        <v>0</v>
      </c>
      <c r="H884" s="91" t="b">
        <v>0</v>
      </c>
      <c r="I884" s="91" t="b">
        <v>0</v>
      </c>
      <c r="J884" s="91" t="b">
        <v>0</v>
      </c>
      <c r="K884" s="91" t="b">
        <v>0</v>
      </c>
      <c r="L884" s="91" t="b">
        <v>0</v>
      </c>
    </row>
    <row r="885" spans="1:12" ht="15">
      <c r="A885" s="92" t="s">
        <v>2726</v>
      </c>
      <c r="B885" s="91" t="s">
        <v>3075</v>
      </c>
      <c r="C885" s="91">
        <v>2</v>
      </c>
      <c r="D885" s="114">
        <v>0.0003907717217680664</v>
      </c>
      <c r="E885" s="114">
        <v>2.828773591151416</v>
      </c>
      <c r="F885" s="91" t="s">
        <v>3159</v>
      </c>
      <c r="G885" s="91" t="b">
        <v>0</v>
      </c>
      <c r="H885" s="91" t="b">
        <v>0</v>
      </c>
      <c r="I885" s="91" t="b">
        <v>0</v>
      </c>
      <c r="J885" s="91" t="b">
        <v>0</v>
      </c>
      <c r="K885" s="91" t="b">
        <v>0</v>
      </c>
      <c r="L885" s="91" t="b">
        <v>0</v>
      </c>
    </row>
    <row r="886" spans="1:12" ht="15">
      <c r="A886" s="92" t="s">
        <v>3075</v>
      </c>
      <c r="B886" s="91" t="s">
        <v>2616</v>
      </c>
      <c r="C886" s="91">
        <v>2</v>
      </c>
      <c r="D886" s="114">
        <v>0.0003907717217680664</v>
      </c>
      <c r="E886" s="114">
        <v>2.446438655809954</v>
      </c>
      <c r="F886" s="91" t="s">
        <v>3159</v>
      </c>
      <c r="G886" s="91" t="b">
        <v>0</v>
      </c>
      <c r="H886" s="91" t="b">
        <v>0</v>
      </c>
      <c r="I886" s="91" t="b">
        <v>0</v>
      </c>
      <c r="J886" s="91" t="b">
        <v>0</v>
      </c>
      <c r="K886" s="91" t="b">
        <v>0</v>
      </c>
      <c r="L886" s="91" t="b">
        <v>0</v>
      </c>
    </row>
    <row r="887" spans="1:12" ht="15">
      <c r="A887" s="92" t="s">
        <v>2572</v>
      </c>
      <c r="B887" s="91" t="s">
        <v>3076</v>
      </c>
      <c r="C887" s="91">
        <v>2</v>
      </c>
      <c r="D887" s="114">
        <v>0.0003907717217680664</v>
      </c>
      <c r="E887" s="114">
        <v>1.81867326424709</v>
      </c>
      <c r="F887" s="91" t="s">
        <v>3159</v>
      </c>
      <c r="G887" s="91" t="b">
        <v>0</v>
      </c>
      <c r="H887" s="91" t="b">
        <v>0</v>
      </c>
      <c r="I887" s="91" t="b">
        <v>0</v>
      </c>
      <c r="J887" s="91" t="b">
        <v>0</v>
      </c>
      <c r="K887" s="91" t="b">
        <v>0</v>
      </c>
      <c r="L887" s="91" t="b">
        <v>0</v>
      </c>
    </row>
    <row r="888" spans="1:12" ht="15">
      <c r="A888" s="92" t="s">
        <v>3076</v>
      </c>
      <c r="B888" s="91" t="s">
        <v>2718</v>
      </c>
      <c r="C888" s="91">
        <v>2</v>
      </c>
      <c r="D888" s="114">
        <v>0.0003907717217680664</v>
      </c>
      <c r="E888" s="114">
        <v>2.7804689115768606</v>
      </c>
      <c r="F888" s="91" t="s">
        <v>3159</v>
      </c>
      <c r="G888" s="91" t="b">
        <v>0</v>
      </c>
      <c r="H888" s="91" t="b">
        <v>0</v>
      </c>
      <c r="I888" s="91" t="b">
        <v>0</v>
      </c>
      <c r="J888" s="91" t="b">
        <v>0</v>
      </c>
      <c r="K888" s="91" t="b">
        <v>0</v>
      </c>
      <c r="L888" s="91" t="b">
        <v>0</v>
      </c>
    </row>
    <row r="889" spans="1:12" ht="15">
      <c r="A889" s="92" t="s">
        <v>2718</v>
      </c>
      <c r="B889" s="91" t="s">
        <v>3077</v>
      </c>
      <c r="C889" s="91">
        <v>2</v>
      </c>
      <c r="D889" s="114">
        <v>0.0003907717217680664</v>
      </c>
      <c r="E889" s="114">
        <v>2.7804689115768606</v>
      </c>
      <c r="F889" s="91" t="s">
        <v>3159</v>
      </c>
      <c r="G889" s="91" t="b">
        <v>0</v>
      </c>
      <c r="H889" s="91" t="b">
        <v>0</v>
      </c>
      <c r="I889" s="91" t="b">
        <v>0</v>
      </c>
      <c r="J889" s="91" t="b">
        <v>0</v>
      </c>
      <c r="K889" s="91" t="b">
        <v>0</v>
      </c>
      <c r="L889" s="91" t="b">
        <v>0</v>
      </c>
    </row>
    <row r="890" spans="1:12" ht="15">
      <c r="A890" s="92" t="s">
        <v>3077</v>
      </c>
      <c r="B890" s="91" t="s">
        <v>2659</v>
      </c>
      <c r="C890" s="91">
        <v>2</v>
      </c>
      <c r="D890" s="114">
        <v>0.0003907717217680664</v>
      </c>
      <c r="E890" s="114">
        <v>2.661282503857652</v>
      </c>
      <c r="F890" s="91" t="s">
        <v>3159</v>
      </c>
      <c r="G890" s="91" t="b">
        <v>0</v>
      </c>
      <c r="H890" s="91" t="b">
        <v>0</v>
      </c>
      <c r="I890" s="91" t="b">
        <v>0</v>
      </c>
      <c r="J890" s="91" t="b">
        <v>0</v>
      </c>
      <c r="K890" s="91" t="b">
        <v>0</v>
      </c>
      <c r="L890" s="91" t="b">
        <v>0</v>
      </c>
    </row>
    <row r="891" spans="1:12" ht="15">
      <c r="A891" s="92" t="s">
        <v>2659</v>
      </c>
      <c r="B891" s="91" t="s">
        <v>2570</v>
      </c>
      <c r="C891" s="91">
        <v>2</v>
      </c>
      <c r="D891" s="114">
        <v>0.0003907717217680664</v>
      </c>
      <c r="E891" s="114">
        <v>0.6505586384658789</v>
      </c>
      <c r="F891" s="91" t="s">
        <v>3159</v>
      </c>
      <c r="G891" s="91" t="b">
        <v>0</v>
      </c>
      <c r="H891" s="91" t="b">
        <v>0</v>
      </c>
      <c r="I891" s="91" t="b">
        <v>0</v>
      </c>
      <c r="J891" s="91" t="b">
        <v>0</v>
      </c>
      <c r="K891" s="91" t="b">
        <v>0</v>
      </c>
      <c r="L891" s="91" t="b">
        <v>0</v>
      </c>
    </row>
    <row r="892" spans="1:12" ht="15">
      <c r="A892" s="92" t="s">
        <v>2570</v>
      </c>
      <c r="B892" s="91" t="s">
        <v>2740</v>
      </c>
      <c r="C892" s="91">
        <v>2</v>
      </c>
      <c r="D892" s="114">
        <v>0.0003907717217680664</v>
      </c>
      <c r="E892" s="114">
        <v>0.9452791602228529</v>
      </c>
      <c r="F892" s="91" t="s">
        <v>3159</v>
      </c>
      <c r="G892" s="91" t="b">
        <v>0</v>
      </c>
      <c r="H892" s="91" t="b">
        <v>0</v>
      </c>
      <c r="I892" s="91" t="b">
        <v>0</v>
      </c>
      <c r="J892" s="91" t="b">
        <v>0</v>
      </c>
      <c r="K892" s="91" t="b">
        <v>0</v>
      </c>
      <c r="L892" s="91" t="b">
        <v>0</v>
      </c>
    </row>
    <row r="893" spans="1:12" ht="15">
      <c r="A893" s="92" t="s">
        <v>2740</v>
      </c>
      <c r="B893" s="91" t="s">
        <v>2564</v>
      </c>
      <c r="C893" s="91">
        <v>2</v>
      </c>
      <c r="D893" s="114">
        <v>0.0003907717217680664</v>
      </c>
      <c r="E893" s="114">
        <v>0.6240951329205388</v>
      </c>
      <c r="F893" s="91" t="s">
        <v>3159</v>
      </c>
      <c r="G893" s="91" t="b">
        <v>0</v>
      </c>
      <c r="H893" s="91" t="b">
        <v>0</v>
      </c>
      <c r="I893" s="91" t="b">
        <v>0</v>
      </c>
      <c r="J893" s="91" t="b">
        <v>0</v>
      </c>
      <c r="K893" s="91" t="b">
        <v>0</v>
      </c>
      <c r="L893" s="91" t="b">
        <v>0</v>
      </c>
    </row>
    <row r="894" spans="1:12" ht="15">
      <c r="A894" s="92" t="s">
        <v>2564</v>
      </c>
      <c r="B894" s="91" t="s">
        <v>2903</v>
      </c>
      <c r="C894" s="91">
        <v>2</v>
      </c>
      <c r="D894" s="114">
        <v>0.0003907717217680664</v>
      </c>
      <c r="E894" s="114">
        <v>0.9866050359844531</v>
      </c>
      <c r="F894" s="91" t="s">
        <v>3159</v>
      </c>
      <c r="G894" s="91" t="b">
        <v>0</v>
      </c>
      <c r="H894" s="91" t="b">
        <v>0</v>
      </c>
      <c r="I894" s="91" t="b">
        <v>0</v>
      </c>
      <c r="J894" s="91" t="b">
        <v>0</v>
      </c>
      <c r="K894" s="91" t="b">
        <v>0</v>
      </c>
      <c r="L894" s="91" t="b">
        <v>0</v>
      </c>
    </row>
    <row r="895" spans="1:12" ht="15">
      <c r="A895" s="92" t="s">
        <v>2903</v>
      </c>
      <c r="B895" s="91" t="s">
        <v>2830</v>
      </c>
      <c r="C895" s="91">
        <v>2</v>
      </c>
      <c r="D895" s="114">
        <v>0.0003907717217680664</v>
      </c>
      <c r="E895" s="114">
        <v>2.6790112708180835</v>
      </c>
      <c r="F895" s="91" t="s">
        <v>3159</v>
      </c>
      <c r="G895" s="91" t="b">
        <v>0</v>
      </c>
      <c r="H895" s="91" t="b">
        <v>0</v>
      </c>
      <c r="I895" s="91" t="b">
        <v>0</v>
      </c>
      <c r="J895" s="91" t="b">
        <v>0</v>
      </c>
      <c r="K895" s="91" t="b">
        <v>0</v>
      </c>
      <c r="L895" s="91" t="b">
        <v>0</v>
      </c>
    </row>
    <row r="896" spans="1:12" ht="15">
      <c r="A896" s="92" t="s">
        <v>3026</v>
      </c>
      <c r="B896" s="91" t="s">
        <v>3025</v>
      </c>
      <c r="C896" s="91">
        <v>2</v>
      </c>
      <c r="D896" s="114">
        <v>0.0003907717217680664</v>
      </c>
      <c r="E896" s="114">
        <v>3.406009998754346</v>
      </c>
      <c r="F896" s="91" t="s">
        <v>3159</v>
      </c>
      <c r="G896" s="91" t="b">
        <v>0</v>
      </c>
      <c r="H896" s="91" t="b">
        <v>0</v>
      </c>
      <c r="I896" s="91" t="b">
        <v>0</v>
      </c>
      <c r="J896" s="91" t="b">
        <v>0</v>
      </c>
      <c r="K896" s="91" t="b">
        <v>0</v>
      </c>
      <c r="L896" s="91" t="b">
        <v>0</v>
      </c>
    </row>
    <row r="897" spans="1:12" ht="15">
      <c r="A897" s="92" t="s">
        <v>3079</v>
      </c>
      <c r="B897" s="91" t="s">
        <v>2773</v>
      </c>
      <c r="C897" s="91">
        <v>2</v>
      </c>
      <c r="D897" s="114">
        <v>0.0003907717217680664</v>
      </c>
      <c r="E897" s="114">
        <v>3.0592225125296895</v>
      </c>
      <c r="F897" s="91" t="s">
        <v>3159</v>
      </c>
      <c r="G897" s="91" t="b">
        <v>0</v>
      </c>
      <c r="H897" s="91" t="b">
        <v>0</v>
      </c>
      <c r="I897" s="91" t="b">
        <v>0</v>
      </c>
      <c r="J897" s="91" t="b">
        <v>0</v>
      </c>
      <c r="K897" s="91" t="b">
        <v>0</v>
      </c>
      <c r="L897" s="91" t="b">
        <v>0</v>
      </c>
    </row>
    <row r="898" spans="1:12" ht="15">
      <c r="A898" s="92" t="s">
        <v>2773</v>
      </c>
      <c r="B898" s="91" t="s">
        <v>2893</v>
      </c>
      <c r="C898" s="91">
        <v>2</v>
      </c>
      <c r="D898" s="114">
        <v>0.0003907717217680664</v>
      </c>
      <c r="E898" s="114">
        <v>2.5151544681794142</v>
      </c>
      <c r="F898" s="91" t="s">
        <v>3159</v>
      </c>
      <c r="G898" s="91" t="b">
        <v>0</v>
      </c>
      <c r="H898" s="91" t="b">
        <v>0</v>
      </c>
      <c r="I898" s="91" t="b">
        <v>0</v>
      </c>
      <c r="J898" s="91" t="b">
        <v>0</v>
      </c>
      <c r="K898" s="91" t="b">
        <v>0</v>
      </c>
      <c r="L898" s="91" t="b">
        <v>0</v>
      </c>
    </row>
    <row r="899" spans="1:12" ht="15">
      <c r="A899" s="92" t="s">
        <v>2776</v>
      </c>
      <c r="B899" s="91" t="s">
        <v>2932</v>
      </c>
      <c r="C899" s="91">
        <v>2</v>
      </c>
      <c r="D899" s="114">
        <v>0.0003907717217680664</v>
      </c>
      <c r="E899" s="114">
        <v>2.5821012578100273</v>
      </c>
      <c r="F899" s="91" t="s">
        <v>3159</v>
      </c>
      <c r="G899" s="91" t="b">
        <v>0</v>
      </c>
      <c r="H899" s="91" t="b">
        <v>0</v>
      </c>
      <c r="I899" s="91" t="b">
        <v>0</v>
      </c>
      <c r="J899" s="91" t="b">
        <v>0</v>
      </c>
      <c r="K899" s="91" t="b">
        <v>0</v>
      </c>
      <c r="L899" s="91" t="b">
        <v>0</v>
      </c>
    </row>
    <row r="900" spans="1:12" ht="15">
      <c r="A900" s="92" t="s">
        <v>2932</v>
      </c>
      <c r="B900" s="91" t="s">
        <v>3080</v>
      </c>
      <c r="C900" s="91">
        <v>2</v>
      </c>
      <c r="D900" s="114">
        <v>0.0003907717217680664</v>
      </c>
      <c r="E900" s="114">
        <v>3.281071262146046</v>
      </c>
      <c r="F900" s="91" t="s">
        <v>3159</v>
      </c>
      <c r="G900" s="91" t="b">
        <v>0</v>
      </c>
      <c r="H900" s="91" t="b">
        <v>0</v>
      </c>
      <c r="I900" s="91" t="b">
        <v>0</v>
      </c>
      <c r="J900" s="91" t="b">
        <v>0</v>
      </c>
      <c r="K900" s="91" t="b">
        <v>0</v>
      </c>
      <c r="L900" s="91" t="b">
        <v>0</v>
      </c>
    </row>
    <row r="901" spans="1:12" ht="15">
      <c r="A901" s="92" t="s">
        <v>3080</v>
      </c>
      <c r="B901" s="91" t="s">
        <v>3081</v>
      </c>
      <c r="C901" s="91">
        <v>2</v>
      </c>
      <c r="D901" s="114">
        <v>0.0003907717217680664</v>
      </c>
      <c r="E901" s="114">
        <v>3.758192516865708</v>
      </c>
      <c r="F901" s="91" t="s">
        <v>3159</v>
      </c>
      <c r="G901" s="91" t="b">
        <v>0</v>
      </c>
      <c r="H901" s="91" t="b">
        <v>0</v>
      </c>
      <c r="I901" s="91" t="b">
        <v>0</v>
      </c>
      <c r="J901" s="91" t="b">
        <v>0</v>
      </c>
      <c r="K901" s="91" t="b">
        <v>0</v>
      </c>
      <c r="L901" s="91" t="b">
        <v>0</v>
      </c>
    </row>
    <row r="902" spans="1:12" ht="15">
      <c r="A902" s="92" t="s">
        <v>3081</v>
      </c>
      <c r="B902" s="91" t="s">
        <v>3082</v>
      </c>
      <c r="C902" s="91">
        <v>2</v>
      </c>
      <c r="D902" s="114">
        <v>0.0003907717217680664</v>
      </c>
      <c r="E902" s="114">
        <v>3.758192516865708</v>
      </c>
      <c r="F902" s="91" t="s">
        <v>3159</v>
      </c>
      <c r="G902" s="91" t="b">
        <v>0</v>
      </c>
      <c r="H902" s="91" t="b">
        <v>0</v>
      </c>
      <c r="I902" s="91" t="b">
        <v>0</v>
      </c>
      <c r="J902" s="91" t="b">
        <v>0</v>
      </c>
      <c r="K902" s="91" t="b">
        <v>0</v>
      </c>
      <c r="L902" s="91" t="b">
        <v>0</v>
      </c>
    </row>
    <row r="903" spans="1:12" ht="15">
      <c r="A903" s="92" t="s">
        <v>3082</v>
      </c>
      <c r="B903" s="91" t="s">
        <v>3083</v>
      </c>
      <c r="C903" s="91">
        <v>2</v>
      </c>
      <c r="D903" s="114">
        <v>0.0003907717217680664</v>
      </c>
      <c r="E903" s="114">
        <v>3.758192516865708</v>
      </c>
      <c r="F903" s="91" t="s">
        <v>3159</v>
      </c>
      <c r="G903" s="91" t="b">
        <v>0</v>
      </c>
      <c r="H903" s="91" t="b">
        <v>0</v>
      </c>
      <c r="I903" s="91" t="b">
        <v>0</v>
      </c>
      <c r="J903" s="91" t="b">
        <v>0</v>
      </c>
      <c r="K903" s="91" t="b">
        <v>0</v>
      </c>
      <c r="L903" s="91" t="b">
        <v>0</v>
      </c>
    </row>
    <row r="904" spans="1:12" ht="15">
      <c r="A904" s="92" t="s">
        <v>3083</v>
      </c>
      <c r="B904" s="91" t="s">
        <v>2663</v>
      </c>
      <c r="C904" s="91">
        <v>2</v>
      </c>
      <c r="D904" s="114">
        <v>0.0003907717217680664</v>
      </c>
      <c r="E904" s="114">
        <v>3.281071262146046</v>
      </c>
      <c r="F904" s="91" t="s">
        <v>3159</v>
      </c>
      <c r="G904" s="91" t="b">
        <v>0</v>
      </c>
      <c r="H904" s="91" t="b">
        <v>0</v>
      </c>
      <c r="I904" s="91" t="b">
        <v>0</v>
      </c>
      <c r="J904" s="91" t="b">
        <v>0</v>
      </c>
      <c r="K904" s="91" t="b">
        <v>0</v>
      </c>
      <c r="L904" s="91" t="b">
        <v>0</v>
      </c>
    </row>
    <row r="905" spans="1:12" ht="15">
      <c r="A905" s="92" t="s">
        <v>2572</v>
      </c>
      <c r="B905" s="91" t="s">
        <v>2767</v>
      </c>
      <c r="C905" s="91">
        <v>2</v>
      </c>
      <c r="D905" s="114">
        <v>0.0003907717217680664</v>
      </c>
      <c r="E905" s="114">
        <v>1.078310574752846</v>
      </c>
      <c r="F905" s="91" t="s">
        <v>3159</v>
      </c>
      <c r="G905" s="91" t="b">
        <v>0</v>
      </c>
      <c r="H905" s="91" t="b">
        <v>0</v>
      </c>
      <c r="I905" s="91" t="b">
        <v>0</v>
      </c>
      <c r="J905" s="91" t="b">
        <v>0</v>
      </c>
      <c r="K905" s="91" t="b">
        <v>0</v>
      </c>
      <c r="L905" s="91" t="b">
        <v>0</v>
      </c>
    </row>
    <row r="906" spans="1:12" ht="15">
      <c r="A906" s="92" t="s">
        <v>2767</v>
      </c>
      <c r="B906" s="91" t="s">
        <v>2932</v>
      </c>
      <c r="C906" s="91">
        <v>2</v>
      </c>
      <c r="D906" s="114">
        <v>0.0003907717217680664</v>
      </c>
      <c r="E906" s="114">
        <v>2.5407085726518024</v>
      </c>
      <c r="F906" s="91" t="s">
        <v>3159</v>
      </c>
      <c r="G906" s="91" t="b">
        <v>0</v>
      </c>
      <c r="H906" s="91" t="b">
        <v>0</v>
      </c>
      <c r="I906" s="91" t="b">
        <v>0</v>
      </c>
      <c r="J906" s="91" t="b">
        <v>0</v>
      </c>
      <c r="K906" s="91" t="b">
        <v>0</v>
      </c>
      <c r="L906" s="91" t="b">
        <v>0</v>
      </c>
    </row>
    <row r="907" spans="1:12" ht="15">
      <c r="A907" s="92" t="s">
        <v>2932</v>
      </c>
      <c r="B907" s="91" t="s">
        <v>3084</v>
      </c>
      <c r="C907" s="91">
        <v>2</v>
      </c>
      <c r="D907" s="114">
        <v>0.0003907717217680664</v>
      </c>
      <c r="E907" s="114">
        <v>3.281071262146046</v>
      </c>
      <c r="F907" s="91" t="s">
        <v>3159</v>
      </c>
      <c r="G907" s="91" t="b">
        <v>0</v>
      </c>
      <c r="H907" s="91" t="b">
        <v>0</v>
      </c>
      <c r="I907" s="91" t="b">
        <v>0</v>
      </c>
      <c r="J907" s="91" t="b">
        <v>0</v>
      </c>
      <c r="K907" s="91" t="b">
        <v>0</v>
      </c>
      <c r="L907" s="91" t="b">
        <v>0</v>
      </c>
    </row>
    <row r="908" spans="1:12" ht="15">
      <c r="A908" s="92" t="s">
        <v>3084</v>
      </c>
      <c r="B908" s="91" t="s">
        <v>2933</v>
      </c>
      <c r="C908" s="91">
        <v>2</v>
      </c>
      <c r="D908" s="114">
        <v>0.0003907717217680664</v>
      </c>
      <c r="E908" s="114">
        <v>3.281071262146046</v>
      </c>
      <c r="F908" s="91" t="s">
        <v>3159</v>
      </c>
      <c r="G908" s="91" t="b">
        <v>0</v>
      </c>
      <c r="H908" s="91" t="b">
        <v>0</v>
      </c>
      <c r="I908" s="91" t="b">
        <v>0</v>
      </c>
      <c r="J908" s="91" t="b">
        <v>0</v>
      </c>
      <c r="K908" s="91" t="b">
        <v>0</v>
      </c>
      <c r="L908" s="91" t="b">
        <v>0</v>
      </c>
    </row>
    <row r="909" spans="1:12" ht="15">
      <c r="A909" s="92" t="s">
        <v>2933</v>
      </c>
      <c r="B909" s="91" t="s">
        <v>3085</v>
      </c>
      <c r="C909" s="91">
        <v>2</v>
      </c>
      <c r="D909" s="114">
        <v>0.0003907717217680664</v>
      </c>
      <c r="E909" s="114">
        <v>3.281071262146046</v>
      </c>
      <c r="F909" s="91" t="s">
        <v>3159</v>
      </c>
      <c r="G909" s="91" t="b">
        <v>0</v>
      </c>
      <c r="H909" s="91" t="b">
        <v>0</v>
      </c>
      <c r="I909" s="91" t="b">
        <v>0</v>
      </c>
      <c r="J909" s="91" t="b">
        <v>0</v>
      </c>
      <c r="K909" s="91" t="b">
        <v>0</v>
      </c>
      <c r="L909" s="91" t="b">
        <v>0</v>
      </c>
    </row>
    <row r="910" spans="1:12" ht="15">
      <c r="A910" s="92" t="s">
        <v>3085</v>
      </c>
      <c r="B910" s="91" t="s">
        <v>2772</v>
      </c>
      <c r="C910" s="91">
        <v>2</v>
      </c>
      <c r="D910" s="114">
        <v>0.0003907717217680664</v>
      </c>
      <c r="E910" s="114">
        <v>3.0592225125296895</v>
      </c>
      <c r="F910" s="91" t="s">
        <v>3159</v>
      </c>
      <c r="G910" s="91" t="b">
        <v>0</v>
      </c>
      <c r="H910" s="91" t="b">
        <v>0</v>
      </c>
      <c r="I910" s="91" t="b">
        <v>0</v>
      </c>
      <c r="J910" s="91" t="b">
        <v>0</v>
      </c>
      <c r="K910" s="91" t="b">
        <v>0</v>
      </c>
      <c r="L910" s="91" t="b">
        <v>0</v>
      </c>
    </row>
    <row r="911" spans="1:12" ht="15">
      <c r="A911" s="92" t="s">
        <v>2772</v>
      </c>
      <c r="B911" s="91" t="s">
        <v>3086</v>
      </c>
      <c r="C911" s="91">
        <v>2</v>
      </c>
      <c r="D911" s="114">
        <v>0.0003907717217680664</v>
      </c>
      <c r="E911" s="114">
        <v>3.0592225125296895</v>
      </c>
      <c r="F911" s="91" t="s">
        <v>3159</v>
      </c>
      <c r="G911" s="91" t="b">
        <v>0</v>
      </c>
      <c r="H911" s="91" t="b">
        <v>0</v>
      </c>
      <c r="I911" s="91" t="b">
        <v>0</v>
      </c>
      <c r="J911" s="91" t="b">
        <v>0</v>
      </c>
      <c r="K911" s="91" t="b">
        <v>0</v>
      </c>
      <c r="L911" s="91" t="b">
        <v>0</v>
      </c>
    </row>
    <row r="912" spans="1:12" ht="15">
      <c r="A912" s="92" t="s">
        <v>3086</v>
      </c>
      <c r="B912" s="91" t="s">
        <v>2776</v>
      </c>
      <c r="C912" s="91">
        <v>2</v>
      </c>
      <c r="D912" s="114">
        <v>0.0003907717217680664</v>
      </c>
      <c r="E912" s="114">
        <v>3.0592225125296895</v>
      </c>
      <c r="F912" s="91" t="s">
        <v>3159</v>
      </c>
      <c r="G912" s="91" t="b">
        <v>0</v>
      </c>
      <c r="H912" s="91" t="b">
        <v>0</v>
      </c>
      <c r="I912" s="91" t="b">
        <v>0</v>
      </c>
      <c r="J912" s="91" t="b">
        <v>0</v>
      </c>
      <c r="K912" s="91" t="b">
        <v>0</v>
      </c>
      <c r="L912" s="91" t="b">
        <v>0</v>
      </c>
    </row>
    <row r="913" spans="1:12" ht="15">
      <c r="A913" s="92" t="s">
        <v>2776</v>
      </c>
      <c r="B913" s="91" t="s">
        <v>2577</v>
      </c>
      <c r="C913" s="91">
        <v>2</v>
      </c>
      <c r="D913" s="114">
        <v>0.0003907717217680664</v>
      </c>
      <c r="E913" s="114">
        <v>1.2172377079395758</v>
      </c>
      <c r="F913" s="91" t="s">
        <v>3159</v>
      </c>
      <c r="G913" s="91" t="b">
        <v>0</v>
      </c>
      <c r="H913" s="91" t="b">
        <v>0</v>
      </c>
      <c r="I913" s="91" t="b">
        <v>0</v>
      </c>
      <c r="J913" s="91" t="b">
        <v>0</v>
      </c>
      <c r="K913" s="91" t="b">
        <v>0</v>
      </c>
      <c r="L913" s="91" t="b">
        <v>0</v>
      </c>
    </row>
    <row r="914" spans="1:12" ht="15">
      <c r="A914" s="92" t="s">
        <v>2610</v>
      </c>
      <c r="B914" s="91" t="s">
        <v>3087</v>
      </c>
      <c r="C914" s="91">
        <v>2</v>
      </c>
      <c r="D914" s="114">
        <v>0.0003907717217680664</v>
      </c>
      <c r="E914" s="114">
        <v>2.281071262146046</v>
      </c>
      <c r="F914" s="91" t="s">
        <v>3159</v>
      </c>
      <c r="G914" s="91" t="b">
        <v>0</v>
      </c>
      <c r="H914" s="91" t="b">
        <v>0</v>
      </c>
      <c r="I914" s="91" t="b">
        <v>0</v>
      </c>
      <c r="J914" s="91" t="b">
        <v>0</v>
      </c>
      <c r="K914" s="91" t="b">
        <v>0</v>
      </c>
      <c r="L914" s="91" t="b">
        <v>0</v>
      </c>
    </row>
    <row r="915" spans="1:12" ht="15">
      <c r="A915" s="92" t="s">
        <v>3087</v>
      </c>
      <c r="B915" s="91" t="s">
        <v>2589</v>
      </c>
      <c r="C915" s="91">
        <v>2</v>
      </c>
      <c r="D915" s="114">
        <v>0.0003907717217680664</v>
      </c>
      <c r="E915" s="114">
        <v>2.1899907927987132</v>
      </c>
      <c r="F915" s="91" t="s">
        <v>3159</v>
      </c>
      <c r="G915" s="91" t="b">
        <v>0</v>
      </c>
      <c r="H915" s="91" t="b">
        <v>0</v>
      </c>
      <c r="I915" s="91" t="b">
        <v>0</v>
      </c>
      <c r="J915" s="91" t="b">
        <v>0</v>
      </c>
      <c r="K915" s="91" t="b">
        <v>0</v>
      </c>
      <c r="L915" s="91" t="b">
        <v>0</v>
      </c>
    </row>
    <row r="916" spans="1:12" ht="15">
      <c r="A916" s="92" t="s">
        <v>2776</v>
      </c>
      <c r="B916" s="91" t="s">
        <v>3088</v>
      </c>
      <c r="C916" s="91">
        <v>2</v>
      </c>
      <c r="D916" s="114">
        <v>0.0003907717217680664</v>
      </c>
      <c r="E916" s="114">
        <v>3.0592225125296895</v>
      </c>
      <c r="F916" s="91" t="s">
        <v>3159</v>
      </c>
      <c r="G916" s="91" t="b">
        <v>0</v>
      </c>
      <c r="H916" s="91" t="b">
        <v>0</v>
      </c>
      <c r="I916" s="91" t="b">
        <v>0</v>
      </c>
      <c r="J916" s="91" t="b">
        <v>0</v>
      </c>
      <c r="K916" s="91" t="b">
        <v>0</v>
      </c>
      <c r="L916" s="91" t="b">
        <v>0</v>
      </c>
    </row>
    <row r="917" spans="1:12" ht="15">
      <c r="A917" s="92" t="s">
        <v>3088</v>
      </c>
      <c r="B917" s="91" t="s">
        <v>2590</v>
      </c>
      <c r="C917" s="91">
        <v>2</v>
      </c>
      <c r="D917" s="114">
        <v>0.0003907717217680664</v>
      </c>
      <c r="E917" s="114">
        <v>2.156132525537746</v>
      </c>
      <c r="F917" s="91" t="s">
        <v>3159</v>
      </c>
      <c r="G917" s="91" t="b">
        <v>0</v>
      </c>
      <c r="H917" s="91" t="b">
        <v>0</v>
      </c>
      <c r="I917" s="91" t="b">
        <v>0</v>
      </c>
      <c r="J917" s="91" t="b">
        <v>0</v>
      </c>
      <c r="K917" s="91" t="b">
        <v>0</v>
      </c>
      <c r="L917" s="91" t="b">
        <v>0</v>
      </c>
    </row>
    <row r="918" spans="1:12" ht="15">
      <c r="A918" s="92" t="s">
        <v>2607</v>
      </c>
      <c r="B918" s="91" t="s">
        <v>3089</v>
      </c>
      <c r="C918" s="91">
        <v>2</v>
      </c>
      <c r="D918" s="114">
        <v>0.0003907717217680664</v>
      </c>
      <c r="E918" s="114">
        <v>2.2267135998234533</v>
      </c>
      <c r="F918" s="91" t="s">
        <v>3159</v>
      </c>
      <c r="G918" s="91" t="b">
        <v>0</v>
      </c>
      <c r="H918" s="91" t="b">
        <v>0</v>
      </c>
      <c r="I918" s="91" t="b">
        <v>0</v>
      </c>
      <c r="J918" s="91" t="b">
        <v>0</v>
      </c>
      <c r="K918" s="91" t="b">
        <v>0</v>
      </c>
      <c r="L918" s="91" t="b">
        <v>0</v>
      </c>
    </row>
    <row r="919" spans="1:12" ht="15">
      <c r="A919" s="92" t="s">
        <v>3089</v>
      </c>
      <c r="B919" s="91" t="s">
        <v>3090</v>
      </c>
      <c r="C919" s="91">
        <v>2</v>
      </c>
      <c r="D919" s="114">
        <v>0.0003907717217680664</v>
      </c>
      <c r="E919" s="114">
        <v>3.758192516865708</v>
      </c>
      <c r="F919" s="91" t="s">
        <v>3159</v>
      </c>
      <c r="G919" s="91" t="b">
        <v>0</v>
      </c>
      <c r="H919" s="91" t="b">
        <v>0</v>
      </c>
      <c r="I919" s="91" t="b">
        <v>0</v>
      </c>
      <c r="J919" s="91" t="b">
        <v>0</v>
      </c>
      <c r="K919" s="91" t="b">
        <v>0</v>
      </c>
      <c r="L919" s="91" t="b">
        <v>0</v>
      </c>
    </row>
    <row r="920" spans="1:12" ht="15">
      <c r="A920" s="92" t="s">
        <v>3090</v>
      </c>
      <c r="B920" s="91" t="s">
        <v>2637</v>
      </c>
      <c r="C920" s="91">
        <v>2</v>
      </c>
      <c r="D920" s="114">
        <v>0.0003907717217680664</v>
      </c>
      <c r="E920" s="114">
        <v>2.4681579055031904</v>
      </c>
      <c r="F920" s="91" t="s">
        <v>3159</v>
      </c>
      <c r="G920" s="91" t="b">
        <v>0</v>
      </c>
      <c r="H920" s="91" t="b">
        <v>0</v>
      </c>
      <c r="I920" s="91" t="b">
        <v>0</v>
      </c>
      <c r="J920" s="91" t="b">
        <v>0</v>
      </c>
      <c r="K920" s="91" t="b">
        <v>0</v>
      </c>
      <c r="L920" s="91" t="b">
        <v>0</v>
      </c>
    </row>
    <row r="921" spans="1:12" ht="15">
      <c r="A921" s="92" t="s">
        <v>2637</v>
      </c>
      <c r="B921" s="91" t="s">
        <v>2607</v>
      </c>
      <c r="C921" s="91">
        <v>2</v>
      </c>
      <c r="D921" s="114">
        <v>0.0003907717217680664</v>
      </c>
      <c r="E921" s="114">
        <v>0.9366789884609353</v>
      </c>
      <c r="F921" s="91" t="s">
        <v>3159</v>
      </c>
      <c r="G921" s="91" t="b">
        <v>0</v>
      </c>
      <c r="H921" s="91" t="b">
        <v>0</v>
      </c>
      <c r="I921" s="91" t="b">
        <v>0</v>
      </c>
      <c r="J921" s="91" t="b">
        <v>0</v>
      </c>
      <c r="K921" s="91" t="b">
        <v>0</v>
      </c>
      <c r="L921" s="91" t="b">
        <v>0</v>
      </c>
    </row>
    <row r="922" spans="1:12" ht="15">
      <c r="A922" s="92" t="s">
        <v>2607</v>
      </c>
      <c r="B922" s="91" t="s">
        <v>3091</v>
      </c>
      <c r="C922" s="91">
        <v>2</v>
      </c>
      <c r="D922" s="114">
        <v>0.0003907717217680664</v>
      </c>
      <c r="E922" s="114">
        <v>2.2267135998234533</v>
      </c>
      <c r="F922" s="91" t="s">
        <v>3159</v>
      </c>
      <c r="G922" s="91" t="b">
        <v>0</v>
      </c>
      <c r="H922" s="91" t="b">
        <v>0</v>
      </c>
      <c r="I922" s="91" t="b">
        <v>0</v>
      </c>
      <c r="J922" s="91" t="b">
        <v>0</v>
      </c>
      <c r="K922" s="91" t="b">
        <v>0</v>
      </c>
      <c r="L922" s="91" t="b">
        <v>0</v>
      </c>
    </row>
    <row r="923" spans="1:12" ht="15">
      <c r="A923" s="92" t="s">
        <v>3091</v>
      </c>
      <c r="B923" s="91" t="s">
        <v>2576</v>
      </c>
      <c r="C923" s="91">
        <v>2</v>
      </c>
      <c r="D923" s="114">
        <v>0.0003907717217680664</v>
      </c>
      <c r="E923" s="114">
        <v>1.8919051777815137</v>
      </c>
      <c r="F923" s="91" t="s">
        <v>3159</v>
      </c>
      <c r="G923" s="91" t="b">
        <v>0</v>
      </c>
      <c r="H923" s="91" t="b">
        <v>0</v>
      </c>
      <c r="I923" s="91" t="b">
        <v>0</v>
      </c>
      <c r="J923" s="91" t="b">
        <v>0</v>
      </c>
      <c r="K923" s="91" t="b">
        <v>0</v>
      </c>
      <c r="L923" s="91" t="b">
        <v>0</v>
      </c>
    </row>
    <row r="924" spans="1:12" ht="15">
      <c r="A924" s="92" t="s">
        <v>2576</v>
      </c>
      <c r="B924" s="91" t="s">
        <v>2932</v>
      </c>
      <c r="C924" s="91">
        <v>2</v>
      </c>
      <c r="D924" s="114">
        <v>0.0003907717217680664</v>
      </c>
      <c r="E924" s="114">
        <v>1.414783923061851</v>
      </c>
      <c r="F924" s="91" t="s">
        <v>3159</v>
      </c>
      <c r="G924" s="91" t="b">
        <v>0</v>
      </c>
      <c r="H924" s="91" t="b">
        <v>0</v>
      </c>
      <c r="I924" s="91" t="b">
        <v>0</v>
      </c>
      <c r="J924" s="91" t="b">
        <v>0</v>
      </c>
      <c r="K924" s="91" t="b">
        <v>0</v>
      </c>
      <c r="L924" s="91" t="b">
        <v>0</v>
      </c>
    </row>
    <row r="925" spans="1:12" ht="15">
      <c r="A925" s="92" t="s">
        <v>2932</v>
      </c>
      <c r="B925" s="91" t="s">
        <v>3092</v>
      </c>
      <c r="C925" s="91">
        <v>2</v>
      </c>
      <c r="D925" s="114">
        <v>0.0003907717217680664</v>
      </c>
      <c r="E925" s="114">
        <v>3.281071262146046</v>
      </c>
      <c r="F925" s="91" t="s">
        <v>3159</v>
      </c>
      <c r="G925" s="91" t="b">
        <v>0</v>
      </c>
      <c r="H925" s="91" t="b">
        <v>0</v>
      </c>
      <c r="I925" s="91" t="b">
        <v>0</v>
      </c>
      <c r="J925" s="91" t="b">
        <v>0</v>
      </c>
      <c r="K925" s="91" t="b">
        <v>0</v>
      </c>
      <c r="L925" s="91" t="b">
        <v>0</v>
      </c>
    </row>
    <row r="926" spans="1:12" ht="15">
      <c r="A926" s="92" t="s">
        <v>3092</v>
      </c>
      <c r="B926" s="91" t="s">
        <v>3093</v>
      </c>
      <c r="C926" s="91">
        <v>2</v>
      </c>
      <c r="D926" s="114">
        <v>0.0003907717217680664</v>
      </c>
      <c r="E926" s="114">
        <v>3.758192516865708</v>
      </c>
      <c r="F926" s="91" t="s">
        <v>3159</v>
      </c>
      <c r="G926" s="91" t="b">
        <v>0</v>
      </c>
      <c r="H926" s="91" t="b">
        <v>0</v>
      </c>
      <c r="I926" s="91" t="b">
        <v>0</v>
      </c>
      <c r="J926" s="91" t="b">
        <v>0</v>
      </c>
      <c r="K926" s="91" t="b">
        <v>0</v>
      </c>
      <c r="L926" s="91" t="b">
        <v>0</v>
      </c>
    </row>
    <row r="927" spans="1:12" ht="15">
      <c r="A927" s="92" t="s">
        <v>3093</v>
      </c>
      <c r="B927" s="91" t="s">
        <v>2564</v>
      </c>
      <c r="C927" s="91">
        <v>2</v>
      </c>
      <c r="D927" s="114">
        <v>0.0003907717217680664</v>
      </c>
      <c r="E927" s="114">
        <v>1.4370084895633943</v>
      </c>
      <c r="F927" s="91" t="s">
        <v>3159</v>
      </c>
      <c r="G927" s="91" t="b">
        <v>0</v>
      </c>
      <c r="H927" s="91" t="b">
        <v>0</v>
      </c>
      <c r="I927" s="91" t="b">
        <v>0</v>
      </c>
      <c r="J927" s="91" t="b">
        <v>0</v>
      </c>
      <c r="K927" s="91" t="b">
        <v>0</v>
      </c>
      <c r="L927" s="91" t="b">
        <v>0</v>
      </c>
    </row>
    <row r="928" spans="1:12" ht="15">
      <c r="A928" s="92" t="s">
        <v>2721</v>
      </c>
      <c r="B928" s="91" t="s">
        <v>3094</v>
      </c>
      <c r="C928" s="91">
        <v>2</v>
      </c>
      <c r="D928" s="114">
        <v>0.0003907717217680664</v>
      </c>
      <c r="E928" s="114">
        <v>2.7804689115768606</v>
      </c>
      <c r="F928" s="91" t="s">
        <v>3159</v>
      </c>
      <c r="G928" s="91" t="b">
        <v>0</v>
      </c>
      <c r="H928" s="91" t="b">
        <v>0</v>
      </c>
      <c r="I928" s="91" t="b">
        <v>0</v>
      </c>
      <c r="J928" s="91" t="b">
        <v>0</v>
      </c>
      <c r="K928" s="91" t="b">
        <v>0</v>
      </c>
      <c r="L928" s="91" t="b">
        <v>0</v>
      </c>
    </row>
    <row r="929" spans="1:12" ht="15">
      <c r="A929" s="92" t="s">
        <v>3094</v>
      </c>
      <c r="B929" s="91" t="s">
        <v>3095</v>
      </c>
      <c r="C929" s="91">
        <v>2</v>
      </c>
      <c r="D929" s="114">
        <v>0.0003907717217680664</v>
      </c>
      <c r="E929" s="114">
        <v>3.758192516865708</v>
      </c>
      <c r="F929" s="91" t="s">
        <v>3159</v>
      </c>
      <c r="G929" s="91" t="b">
        <v>0</v>
      </c>
      <c r="H929" s="91" t="b">
        <v>0</v>
      </c>
      <c r="I929" s="91" t="b">
        <v>0</v>
      </c>
      <c r="J929" s="91" t="b">
        <v>0</v>
      </c>
      <c r="K929" s="91" t="b">
        <v>0</v>
      </c>
      <c r="L929" s="91" t="b">
        <v>0</v>
      </c>
    </row>
    <row r="930" spans="1:12" ht="15">
      <c r="A930" s="92" t="s">
        <v>3095</v>
      </c>
      <c r="B930" s="91" t="s">
        <v>2569</v>
      </c>
      <c r="C930" s="91">
        <v>2</v>
      </c>
      <c r="D930" s="114">
        <v>0.0003907717217680664</v>
      </c>
      <c r="E930" s="114">
        <v>1.7603694361199829</v>
      </c>
      <c r="F930" s="91" t="s">
        <v>3159</v>
      </c>
      <c r="G930" s="91" t="b">
        <v>0</v>
      </c>
      <c r="H930" s="91" t="b">
        <v>0</v>
      </c>
      <c r="I930" s="91" t="b">
        <v>0</v>
      </c>
      <c r="J930" s="91" t="b">
        <v>0</v>
      </c>
      <c r="K930" s="91" t="b">
        <v>0</v>
      </c>
      <c r="L930" s="91" t="b">
        <v>0</v>
      </c>
    </row>
    <row r="931" spans="1:12" ht="15">
      <c r="A931" s="92" t="s">
        <v>2572</v>
      </c>
      <c r="B931" s="91" t="s">
        <v>2590</v>
      </c>
      <c r="C931" s="91">
        <v>2</v>
      </c>
      <c r="D931" s="114">
        <v>0.0003907717217680664</v>
      </c>
      <c r="E931" s="114">
        <v>0.21661327291912744</v>
      </c>
      <c r="F931" s="91" t="s">
        <v>3159</v>
      </c>
      <c r="G931" s="91" t="b">
        <v>0</v>
      </c>
      <c r="H931" s="91" t="b">
        <v>0</v>
      </c>
      <c r="I931" s="91" t="b">
        <v>0</v>
      </c>
      <c r="J931" s="91" t="b">
        <v>0</v>
      </c>
      <c r="K931" s="91" t="b">
        <v>0</v>
      </c>
      <c r="L931" s="91" t="b">
        <v>0</v>
      </c>
    </row>
    <row r="932" spans="1:12" ht="15">
      <c r="A932" s="92" t="s">
        <v>2590</v>
      </c>
      <c r="B932" s="91" t="s">
        <v>2848</v>
      </c>
      <c r="C932" s="91">
        <v>2</v>
      </c>
      <c r="D932" s="114">
        <v>0.0003907717217680664</v>
      </c>
      <c r="E932" s="114">
        <v>1.6120644811874705</v>
      </c>
      <c r="F932" s="91" t="s">
        <v>3159</v>
      </c>
      <c r="G932" s="91" t="b">
        <v>0</v>
      </c>
      <c r="H932" s="91" t="b">
        <v>0</v>
      </c>
      <c r="I932" s="91" t="b">
        <v>0</v>
      </c>
      <c r="J932" s="91" t="b">
        <v>0</v>
      </c>
      <c r="K932" s="91" t="b">
        <v>0</v>
      </c>
      <c r="L932" s="91" t="b">
        <v>0</v>
      </c>
    </row>
    <row r="933" spans="1:12" ht="15">
      <c r="A933" s="92" t="s">
        <v>2850</v>
      </c>
      <c r="B933" s="91" t="s">
        <v>2718</v>
      </c>
      <c r="C933" s="91">
        <v>2</v>
      </c>
      <c r="D933" s="114">
        <v>0.0003907717217680664</v>
      </c>
      <c r="E933" s="114">
        <v>2.236400867226585</v>
      </c>
      <c r="F933" s="91" t="s">
        <v>3159</v>
      </c>
      <c r="G933" s="91" t="b">
        <v>0</v>
      </c>
      <c r="H933" s="91" t="b">
        <v>0</v>
      </c>
      <c r="I933" s="91" t="b">
        <v>0</v>
      </c>
      <c r="J933" s="91" t="b">
        <v>0</v>
      </c>
      <c r="K933" s="91" t="b">
        <v>0</v>
      </c>
      <c r="L933" s="91" t="b">
        <v>0</v>
      </c>
    </row>
    <row r="934" spans="1:12" ht="15">
      <c r="A934" s="92" t="s">
        <v>2718</v>
      </c>
      <c r="B934" s="91" t="s">
        <v>3096</v>
      </c>
      <c r="C934" s="91">
        <v>2</v>
      </c>
      <c r="D934" s="114">
        <v>0.0003907717217680664</v>
      </c>
      <c r="E934" s="114">
        <v>2.7804689115768606</v>
      </c>
      <c r="F934" s="91" t="s">
        <v>3159</v>
      </c>
      <c r="G934" s="91" t="b">
        <v>0</v>
      </c>
      <c r="H934" s="91" t="b">
        <v>0</v>
      </c>
      <c r="I934" s="91" t="b">
        <v>0</v>
      </c>
      <c r="J934" s="91" t="b">
        <v>0</v>
      </c>
      <c r="K934" s="91" t="b">
        <v>0</v>
      </c>
      <c r="L934" s="91" t="b">
        <v>0</v>
      </c>
    </row>
    <row r="935" spans="1:12" ht="15">
      <c r="A935" s="92" t="s">
        <v>3096</v>
      </c>
      <c r="B935" s="91" t="s">
        <v>3097</v>
      </c>
      <c r="C935" s="91">
        <v>2</v>
      </c>
      <c r="D935" s="114">
        <v>0.0003907717217680664</v>
      </c>
      <c r="E935" s="114">
        <v>3.758192516865708</v>
      </c>
      <c r="F935" s="91" t="s">
        <v>3159</v>
      </c>
      <c r="G935" s="91" t="b">
        <v>0</v>
      </c>
      <c r="H935" s="91" t="b">
        <v>0</v>
      </c>
      <c r="I935" s="91" t="b">
        <v>0</v>
      </c>
      <c r="J935" s="91" t="b">
        <v>0</v>
      </c>
      <c r="K935" s="91" t="b">
        <v>0</v>
      </c>
      <c r="L935" s="91" t="b">
        <v>0</v>
      </c>
    </row>
    <row r="936" spans="1:12" ht="15">
      <c r="A936" s="92" t="s">
        <v>3097</v>
      </c>
      <c r="B936" s="91" t="s">
        <v>3098</v>
      </c>
      <c r="C936" s="91">
        <v>2</v>
      </c>
      <c r="D936" s="114">
        <v>0.0003907717217680664</v>
      </c>
      <c r="E936" s="114">
        <v>3.758192516865708</v>
      </c>
      <c r="F936" s="91" t="s">
        <v>3159</v>
      </c>
      <c r="G936" s="91" t="b">
        <v>0</v>
      </c>
      <c r="H936" s="91" t="b">
        <v>0</v>
      </c>
      <c r="I936" s="91" t="b">
        <v>0</v>
      </c>
      <c r="J936" s="91" t="b">
        <v>0</v>
      </c>
      <c r="K936" s="91" t="b">
        <v>0</v>
      </c>
      <c r="L936" s="91" t="b">
        <v>0</v>
      </c>
    </row>
    <row r="937" spans="1:12" ht="15">
      <c r="A937" s="92" t="s">
        <v>3098</v>
      </c>
      <c r="B937" s="91" t="s">
        <v>2661</v>
      </c>
      <c r="C937" s="91">
        <v>2</v>
      </c>
      <c r="D937" s="114">
        <v>0.0003907717217680664</v>
      </c>
      <c r="E937" s="114">
        <v>2.661282503857652</v>
      </c>
      <c r="F937" s="91" t="s">
        <v>3159</v>
      </c>
      <c r="G937" s="91" t="b">
        <v>0</v>
      </c>
      <c r="H937" s="91" t="b">
        <v>0</v>
      </c>
      <c r="I937" s="91" t="b">
        <v>0</v>
      </c>
      <c r="J937" s="91" t="b">
        <v>0</v>
      </c>
      <c r="K937" s="91" t="b">
        <v>0</v>
      </c>
      <c r="L937" s="91" t="b">
        <v>0</v>
      </c>
    </row>
    <row r="938" spans="1:12" ht="15">
      <c r="A938" s="92" t="s">
        <v>2661</v>
      </c>
      <c r="B938" s="91" t="s">
        <v>3099</v>
      </c>
      <c r="C938" s="91">
        <v>2</v>
      </c>
      <c r="D938" s="114">
        <v>0.0003907717217680664</v>
      </c>
      <c r="E938" s="114">
        <v>2.661282503857652</v>
      </c>
      <c r="F938" s="91" t="s">
        <v>3159</v>
      </c>
      <c r="G938" s="91" t="b">
        <v>0</v>
      </c>
      <c r="H938" s="91" t="b">
        <v>0</v>
      </c>
      <c r="I938" s="91" t="b">
        <v>0</v>
      </c>
      <c r="J938" s="91" t="b">
        <v>0</v>
      </c>
      <c r="K938" s="91" t="b">
        <v>0</v>
      </c>
      <c r="L938" s="91" t="b">
        <v>0</v>
      </c>
    </row>
    <row r="939" spans="1:12" ht="15">
      <c r="A939" s="92" t="s">
        <v>3099</v>
      </c>
      <c r="B939" s="91" t="s">
        <v>3100</v>
      </c>
      <c r="C939" s="91">
        <v>2</v>
      </c>
      <c r="D939" s="114">
        <v>0.0003907717217680664</v>
      </c>
      <c r="E939" s="114">
        <v>3.758192516865708</v>
      </c>
      <c r="F939" s="91" t="s">
        <v>3159</v>
      </c>
      <c r="G939" s="91" t="b">
        <v>0</v>
      </c>
      <c r="H939" s="91" t="b">
        <v>0</v>
      </c>
      <c r="I939" s="91" t="b">
        <v>0</v>
      </c>
      <c r="J939" s="91" t="b">
        <v>0</v>
      </c>
      <c r="K939" s="91" t="b">
        <v>0</v>
      </c>
      <c r="L939" s="91" t="b">
        <v>0</v>
      </c>
    </row>
    <row r="940" spans="1:12" ht="15">
      <c r="A940" s="92" t="s">
        <v>3100</v>
      </c>
      <c r="B940" s="91" t="s">
        <v>2564</v>
      </c>
      <c r="C940" s="91">
        <v>2</v>
      </c>
      <c r="D940" s="114">
        <v>0.0003907717217680664</v>
      </c>
      <c r="E940" s="114">
        <v>1.4370084895633943</v>
      </c>
      <c r="F940" s="91" t="s">
        <v>3159</v>
      </c>
      <c r="G940" s="91" t="b">
        <v>0</v>
      </c>
      <c r="H940" s="91" t="b">
        <v>0</v>
      </c>
      <c r="I940" s="91" t="b">
        <v>0</v>
      </c>
      <c r="J940" s="91" t="b">
        <v>0</v>
      </c>
      <c r="K940" s="91" t="b">
        <v>0</v>
      </c>
      <c r="L940" s="91" t="b">
        <v>0</v>
      </c>
    </row>
    <row r="941" spans="1:12" ht="15">
      <c r="A941" s="92" t="s">
        <v>2594</v>
      </c>
      <c r="B941" s="91" t="s">
        <v>2769</v>
      </c>
      <c r="C941" s="91">
        <v>2</v>
      </c>
      <c r="D941" s="114">
        <v>0.0003907717217680664</v>
      </c>
      <c r="E941" s="114">
        <v>1.5678608186954168</v>
      </c>
      <c r="F941" s="91" t="s">
        <v>3159</v>
      </c>
      <c r="G941" s="91" t="b">
        <v>0</v>
      </c>
      <c r="H941" s="91" t="b">
        <v>0</v>
      </c>
      <c r="I941" s="91" t="b">
        <v>0</v>
      </c>
      <c r="J941" s="91" t="b">
        <v>0</v>
      </c>
      <c r="K941" s="91" t="b">
        <v>0</v>
      </c>
      <c r="L941" s="91" t="b">
        <v>0</v>
      </c>
    </row>
    <row r="942" spans="1:12" ht="15">
      <c r="A942" s="92" t="s">
        <v>586</v>
      </c>
      <c r="B942" s="91" t="s">
        <v>2564</v>
      </c>
      <c r="C942" s="91">
        <v>2</v>
      </c>
      <c r="D942" s="114">
        <v>0.0003907717217680664</v>
      </c>
      <c r="E942" s="114">
        <v>0.04784240519886183</v>
      </c>
      <c r="F942" s="91" t="s">
        <v>3159</v>
      </c>
      <c r="G942" s="91" t="b">
        <v>0</v>
      </c>
      <c r="H942" s="91" t="b">
        <v>0</v>
      </c>
      <c r="I942" s="91" t="b">
        <v>0</v>
      </c>
      <c r="J942" s="91" t="b">
        <v>0</v>
      </c>
      <c r="K942" s="91" t="b">
        <v>0</v>
      </c>
      <c r="L942" s="91" t="b">
        <v>0</v>
      </c>
    </row>
    <row r="943" spans="1:12" ht="15">
      <c r="A943" s="92" t="s">
        <v>2564</v>
      </c>
      <c r="B943" s="91" t="s">
        <v>2616</v>
      </c>
      <c r="C943" s="91">
        <v>2</v>
      </c>
      <c r="D943" s="114">
        <v>0.0003907717217680664</v>
      </c>
      <c r="E943" s="114">
        <v>0.15197242964836122</v>
      </c>
      <c r="F943" s="91" t="s">
        <v>3159</v>
      </c>
      <c r="G943" s="91" t="b">
        <v>0</v>
      </c>
      <c r="H943" s="91" t="b">
        <v>0</v>
      </c>
      <c r="I943" s="91" t="b">
        <v>0</v>
      </c>
      <c r="J943" s="91" t="b">
        <v>0</v>
      </c>
      <c r="K943" s="91" t="b">
        <v>0</v>
      </c>
      <c r="L943" s="91" t="b">
        <v>0</v>
      </c>
    </row>
    <row r="944" spans="1:12" ht="15">
      <c r="A944" s="92" t="s">
        <v>2594</v>
      </c>
      <c r="B944" s="91" t="s">
        <v>2573</v>
      </c>
      <c r="C944" s="91">
        <v>2</v>
      </c>
      <c r="D944" s="114">
        <v>0.0003907717217680664</v>
      </c>
      <c r="E944" s="114">
        <v>0.35037687448151067</v>
      </c>
      <c r="F944" s="91" t="s">
        <v>3159</v>
      </c>
      <c r="G944" s="91" t="b">
        <v>0</v>
      </c>
      <c r="H944" s="91" t="b">
        <v>0</v>
      </c>
      <c r="I944" s="91" t="b">
        <v>0</v>
      </c>
      <c r="J944" s="91" t="b">
        <v>0</v>
      </c>
      <c r="K944" s="91" t="b">
        <v>0</v>
      </c>
      <c r="L944" s="91" t="b">
        <v>0</v>
      </c>
    </row>
    <row r="945" spans="1:12" ht="15">
      <c r="A945" s="92" t="s">
        <v>2573</v>
      </c>
      <c r="B945" s="91" t="s">
        <v>2583</v>
      </c>
      <c r="C945" s="91">
        <v>2</v>
      </c>
      <c r="D945" s="114">
        <v>0.0003907717217680664</v>
      </c>
      <c r="E945" s="114">
        <v>0.10534206603914097</v>
      </c>
      <c r="F945" s="91" t="s">
        <v>3159</v>
      </c>
      <c r="G945" s="91" t="b">
        <v>0</v>
      </c>
      <c r="H945" s="91" t="b">
        <v>0</v>
      </c>
      <c r="I945" s="91" t="b">
        <v>0</v>
      </c>
      <c r="J945" s="91" t="b">
        <v>0</v>
      </c>
      <c r="K945" s="91" t="b">
        <v>0</v>
      </c>
      <c r="L945" s="91" t="b">
        <v>0</v>
      </c>
    </row>
    <row r="946" spans="1:12" ht="15">
      <c r="A946" s="92" t="s">
        <v>2572</v>
      </c>
      <c r="B946" s="91" t="s">
        <v>3102</v>
      </c>
      <c r="C946" s="91">
        <v>2</v>
      </c>
      <c r="D946" s="114">
        <v>0.0003907717217680664</v>
      </c>
      <c r="E946" s="114">
        <v>1.81867326424709</v>
      </c>
      <c r="F946" s="91" t="s">
        <v>3159</v>
      </c>
      <c r="G946" s="91" t="b">
        <v>0</v>
      </c>
      <c r="H946" s="91" t="b">
        <v>0</v>
      </c>
      <c r="I946" s="91" t="b">
        <v>0</v>
      </c>
      <c r="J946" s="91" t="b">
        <v>0</v>
      </c>
      <c r="K946" s="91" t="b">
        <v>0</v>
      </c>
      <c r="L946" s="91" t="b">
        <v>0</v>
      </c>
    </row>
    <row r="947" spans="1:12" ht="15">
      <c r="A947" s="92" t="s">
        <v>3102</v>
      </c>
      <c r="B947" s="91" t="s">
        <v>2989</v>
      </c>
      <c r="C947" s="91">
        <v>2</v>
      </c>
      <c r="D947" s="114">
        <v>0.0003907717217680664</v>
      </c>
      <c r="E947" s="114">
        <v>3.457162521201727</v>
      </c>
      <c r="F947" s="91" t="s">
        <v>3159</v>
      </c>
      <c r="G947" s="91" t="b">
        <v>0</v>
      </c>
      <c r="H947" s="91" t="b">
        <v>0</v>
      </c>
      <c r="I947" s="91" t="b">
        <v>0</v>
      </c>
      <c r="J947" s="91" t="b">
        <v>0</v>
      </c>
      <c r="K947" s="91" t="b">
        <v>0</v>
      </c>
      <c r="L947" s="91" t="b">
        <v>0</v>
      </c>
    </row>
    <row r="948" spans="1:12" ht="15">
      <c r="A948" s="92" t="s">
        <v>2590</v>
      </c>
      <c r="B948" s="91" t="s">
        <v>2578</v>
      </c>
      <c r="C948" s="91">
        <v>2</v>
      </c>
      <c r="D948" s="114">
        <v>0.0003907717217680664</v>
      </c>
      <c r="E948" s="114">
        <v>0.34995255155385885</v>
      </c>
      <c r="F948" s="91" t="s">
        <v>3159</v>
      </c>
      <c r="G948" s="91" t="b">
        <v>0</v>
      </c>
      <c r="H948" s="91" t="b">
        <v>0</v>
      </c>
      <c r="I948" s="91" t="b">
        <v>0</v>
      </c>
      <c r="J948" s="91" t="b">
        <v>0</v>
      </c>
      <c r="K948" s="91" t="b">
        <v>0</v>
      </c>
      <c r="L948" s="91" t="b">
        <v>0</v>
      </c>
    </row>
    <row r="949" spans="1:12" ht="15">
      <c r="A949" s="92" t="s">
        <v>2578</v>
      </c>
      <c r="B949" s="91" t="s">
        <v>3103</v>
      </c>
      <c r="C949" s="91">
        <v>2</v>
      </c>
      <c r="D949" s="114">
        <v>0.0003907717217680664</v>
      </c>
      <c r="E949" s="114">
        <v>1.9288887440346834</v>
      </c>
      <c r="F949" s="91" t="s">
        <v>3159</v>
      </c>
      <c r="G949" s="91" t="b">
        <v>0</v>
      </c>
      <c r="H949" s="91" t="b">
        <v>0</v>
      </c>
      <c r="I949" s="91" t="b">
        <v>0</v>
      </c>
      <c r="J949" s="91" t="b">
        <v>0</v>
      </c>
      <c r="K949" s="91" t="b">
        <v>0</v>
      </c>
      <c r="L949" s="91" t="b">
        <v>0</v>
      </c>
    </row>
    <row r="950" spans="1:12" ht="15">
      <c r="A950" s="92" t="s">
        <v>3103</v>
      </c>
      <c r="B950" s="91" t="s">
        <v>2580</v>
      </c>
      <c r="C950" s="91">
        <v>2</v>
      </c>
      <c r="D950" s="114">
        <v>0.0003907717217680664</v>
      </c>
      <c r="E950" s="114">
        <v>1.9486328022304407</v>
      </c>
      <c r="F950" s="91" t="s">
        <v>3159</v>
      </c>
      <c r="G950" s="91" t="b">
        <v>0</v>
      </c>
      <c r="H950" s="91" t="b">
        <v>0</v>
      </c>
      <c r="I950" s="91" t="b">
        <v>0</v>
      </c>
      <c r="J950" s="91" t="b">
        <v>0</v>
      </c>
      <c r="K950" s="91" t="b">
        <v>0</v>
      </c>
      <c r="L950" s="91" t="b">
        <v>0</v>
      </c>
    </row>
    <row r="951" spans="1:12" ht="15">
      <c r="A951" s="92" t="s">
        <v>2580</v>
      </c>
      <c r="B951" s="91" t="s">
        <v>2734</v>
      </c>
      <c r="C951" s="91">
        <v>2</v>
      </c>
      <c r="D951" s="114">
        <v>0.0003907717217680664</v>
      </c>
      <c r="E951" s="114">
        <v>1.103534762216184</v>
      </c>
      <c r="F951" s="91" t="s">
        <v>3159</v>
      </c>
      <c r="G951" s="91" t="b">
        <v>0</v>
      </c>
      <c r="H951" s="91" t="b">
        <v>0</v>
      </c>
      <c r="I951" s="91" t="b">
        <v>0</v>
      </c>
      <c r="J951" s="91" t="b">
        <v>0</v>
      </c>
      <c r="K951" s="91" t="b">
        <v>0</v>
      </c>
      <c r="L951" s="91" t="b">
        <v>0</v>
      </c>
    </row>
    <row r="952" spans="1:12" ht="15">
      <c r="A952" s="92" t="s">
        <v>2734</v>
      </c>
      <c r="B952" s="91" t="s">
        <v>2730</v>
      </c>
      <c r="C952" s="91">
        <v>2</v>
      </c>
      <c r="D952" s="114">
        <v>0.0003907717217680664</v>
      </c>
      <c r="E952" s="114">
        <v>2.010004489859508</v>
      </c>
      <c r="F952" s="91" t="s">
        <v>3159</v>
      </c>
      <c r="G952" s="91" t="b">
        <v>0</v>
      </c>
      <c r="H952" s="91" t="b">
        <v>0</v>
      </c>
      <c r="I952" s="91" t="b">
        <v>0</v>
      </c>
      <c r="J952" s="91" t="b">
        <v>0</v>
      </c>
      <c r="K952" s="91" t="b">
        <v>0</v>
      </c>
      <c r="L952" s="91" t="b">
        <v>0</v>
      </c>
    </row>
    <row r="953" spans="1:12" ht="15">
      <c r="A953" s="92" t="s">
        <v>2730</v>
      </c>
      <c r="B953" s="91" t="s">
        <v>2893</v>
      </c>
      <c r="C953" s="91">
        <v>2</v>
      </c>
      <c r="D953" s="114">
        <v>0.0003907717217680664</v>
      </c>
      <c r="E953" s="114">
        <v>2.3110344855234892</v>
      </c>
      <c r="F953" s="91" t="s">
        <v>3159</v>
      </c>
      <c r="G953" s="91" t="b">
        <v>0</v>
      </c>
      <c r="H953" s="91" t="b">
        <v>0</v>
      </c>
      <c r="I953" s="91" t="b">
        <v>0</v>
      </c>
      <c r="J953" s="91" t="b">
        <v>0</v>
      </c>
      <c r="K953" s="91" t="b">
        <v>0</v>
      </c>
      <c r="L953" s="91" t="b">
        <v>0</v>
      </c>
    </row>
    <row r="954" spans="1:12" ht="15">
      <c r="A954" s="92" t="s">
        <v>2589</v>
      </c>
      <c r="B954" s="91" t="s">
        <v>3104</v>
      </c>
      <c r="C954" s="91">
        <v>2</v>
      </c>
      <c r="D954" s="114">
        <v>0.0003907717217680664</v>
      </c>
      <c r="E954" s="114">
        <v>2.1197032599110712</v>
      </c>
      <c r="F954" s="91" t="s">
        <v>3159</v>
      </c>
      <c r="G954" s="91" t="b">
        <v>0</v>
      </c>
      <c r="H954" s="91" t="b">
        <v>0</v>
      </c>
      <c r="I954" s="91" t="b">
        <v>0</v>
      </c>
      <c r="J954" s="91" t="b">
        <v>0</v>
      </c>
      <c r="K954" s="91" t="b">
        <v>0</v>
      </c>
      <c r="L954" s="91" t="b">
        <v>0</v>
      </c>
    </row>
    <row r="955" spans="1:12" ht="15">
      <c r="A955" s="92" t="s">
        <v>3104</v>
      </c>
      <c r="B955" s="91" t="s">
        <v>2668</v>
      </c>
      <c r="C955" s="91">
        <v>2</v>
      </c>
      <c r="D955" s="114">
        <v>0.0003907717217680664</v>
      </c>
      <c r="E955" s="114">
        <v>2.7167998317074833</v>
      </c>
      <c r="F955" s="91" t="s">
        <v>3159</v>
      </c>
      <c r="G955" s="91" t="b">
        <v>0</v>
      </c>
      <c r="H955" s="91" t="b">
        <v>0</v>
      </c>
      <c r="I955" s="91" t="b">
        <v>0</v>
      </c>
      <c r="J955" s="91" t="b">
        <v>0</v>
      </c>
      <c r="K955" s="91" t="b">
        <v>0</v>
      </c>
      <c r="L955" s="91" t="b">
        <v>0</v>
      </c>
    </row>
    <row r="956" spans="1:12" ht="15">
      <c r="A956" s="92" t="s">
        <v>2668</v>
      </c>
      <c r="B956" s="91" t="s">
        <v>2729</v>
      </c>
      <c r="C956" s="91">
        <v>2</v>
      </c>
      <c r="D956" s="114">
        <v>0.0003907717217680664</v>
      </c>
      <c r="E956" s="114">
        <v>1.8137098447155398</v>
      </c>
      <c r="F956" s="91" t="s">
        <v>3159</v>
      </c>
      <c r="G956" s="91" t="b">
        <v>0</v>
      </c>
      <c r="H956" s="91" t="b">
        <v>0</v>
      </c>
      <c r="I956" s="91" t="b">
        <v>0</v>
      </c>
      <c r="J956" s="91" t="b">
        <v>0</v>
      </c>
      <c r="K956" s="91" t="b">
        <v>0</v>
      </c>
      <c r="L956" s="91" t="b">
        <v>0</v>
      </c>
    </row>
    <row r="957" spans="1:12" ht="15">
      <c r="A957" s="92" t="s">
        <v>2729</v>
      </c>
      <c r="B957" s="91" t="s">
        <v>2989</v>
      </c>
      <c r="C957" s="91">
        <v>2</v>
      </c>
      <c r="D957" s="114">
        <v>0.0003907717217680664</v>
      </c>
      <c r="E957" s="114">
        <v>2.5540725342097836</v>
      </c>
      <c r="F957" s="91" t="s">
        <v>3159</v>
      </c>
      <c r="G957" s="91" t="b">
        <v>0</v>
      </c>
      <c r="H957" s="91" t="b">
        <v>0</v>
      </c>
      <c r="I957" s="91" t="b">
        <v>0</v>
      </c>
      <c r="J957" s="91" t="b">
        <v>0</v>
      </c>
      <c r="K957" s="91" t="b">
        <v>0</v>
      </c>
      <c r="L957" s="91" t="b">
        <v>0</v>
      </c>
    </row>
    <row r="958" spans="1:12" ht="15">
      <c r="A958" s="92" t="s">
        <v>2590</v>
      </c>
      <c r="B958" s="91" t="s">
        <v>3105</v>
      </c>
      <c r="C958" s="91">
        <v>2</v>
      </c>
      <c r="D958" s="114">
        <v>0.0003907717217680664</v>
      </c>
      <c r="E958" s="114">
        <v>2.156132525537746</v>
      </c>
      <c r="F958" s="91" t="s">
        <v>3159</v>
      </c>
      <c r="G958" s="91" t="b">
        <v>0</v>
      </c>
      <c r="H958" s="91" t="b">
        <v>0</v>
      </c>
      <c r="I958" s="91" t="b">
        <v>0</v>
      </c>
      <c r="J958" s="91" t="b">
        <v>0</v>
      </c>
      <c r="K958" s="91" t="b">
        <v>0</v>
      </c>
      <c r="L958" s="91" t="b">
        <v>0</v>
      </c>
    </row>
    <row r="959" spans="1:12" ht="15">
      <c r="A959" s="92" t="s">
        <v>3105</v>
      </c>
      <c r="B959" s="91" t="s">
        <v>2721</v>
      </c>
      <c r="C959" s="91">
        <v>2</v>
      </c>
      <c r="D959" s="114">
        <v>0.0003907717217680664</v>
      </c>
      <c r="E959" s="114">
        <v>2.828773591151416</v>
      </c>
      <c r="F959" s="91" t="s">
        <v>3159</v>
      </c>
      <c r="G959" s="91" t="b">
        <v>0</v>
      </c>
      <c r="H959" s="91" t="b">
        <v>0</v>
      </c>
      <c r="I959" s="91" t="b">
        <v>0</v>
      </c>
      <c r="J959" s="91" t="b">
        <v>0</v>
      </c>
      <c r="K959" s="91" t="b">
        <v>0</v>
      </c>
      <c r="L959" s="91" t="b">
        <v>0</v>
      </c>
    </row>
    <row r="960" spans="1:12" ht="15">
      <c r="A960" s="92" t="s">
        <v>2721</v>
      </c>
      <c r="B960" s="91" t="s">
        <v>3106</v>
      </c>
      <c r="C960" s="91">
        <v>2</v>
      </c>
      <c r="D960" s="114">
        <v>0.0003907717217680664</v>
      </c>
      <c r="E960" s="114">
        <v>2.7804689115768606</v>
      </c>
      <c r="F960" s="91" t="s">
        <v>3159</v>
      </c>
      <c r="G960" s="91" t="b">
        <v>0</v>
      </c>
      <c r="H960" s="91" t="b">
        <v>0</v>
      </c>
      <c r="I960" s="91" t="b">
        <v>0</v>
      </c>
      <c r="J960" s="91" t="b">
        <v>0</v>
      </c>
      <c r="K960" s="91" t="b">
        <v>0</v>
      </c>
      <c r="L960" s="91" t="b">
        <v>0</v>
      </c>
    </row>
    <row r="961" spans="1:12" ht="15">
      <c r="A961" s="92" t="s">
        <v>3106</v>
      </c>
      <c r="B961" s="91" t="s">
        <v>2589</v>
      </c>
      <c r="C961" s="91">
        <v>2</v>
      </c>
      <c r="D961" s="114">
        <v>0.0003907717217680664</v>
      </c>
      <c r="E961" s="114">
        <v>2.1899907927987132</v>
      </c>
      <c r="F961" s="91" t="s">
        <v>3159</v>
      </c>
      <c r="G961" s="91" t="b">
        <v>0</v>
      </c>
      <c r="H961" s="91" t="b">
        <v>0</v>
      </c>
      <c r="I961" s="91" t="b">
        <v>0</v>
      </c>
      <c r="J961" s="91" t="b">
        <v>0</v>
      </c>
      <c r="K961" s="91" t="b">
        <v>0</v>
      </c>
      <c r="L961" s="91" t="b">
        <v>0</v>
      </c>
    </row>
    <row r="962" spans="1:12" ht="15">
      <c r="A962" s="92" t="s">
        <v>2589</v>
      </c>
      <c r="B962" s="91" t="s">
        <v>3107</v>
      </c>
      <c r="C962" s="91">
        <v>2</v>
      </c>
      <c r="D962" s="114">
        <v>0.0003907717217680664</v>
      </c>
      <c r="E962" s="114">
        <v>2.1197032599110712</v>
      </c>
      <c r="F962" s="91" t="s">
        <v>3159</v>
      </c>
      <c r="G962" s="91" t="b">
        <v>0</v>
      </c>
      <c r="H962" s="91" t="b">
        <v>0</v>
      </c>
      <c r="I962" s="91" t="b">
        <v>0</v>
      </c>
      <c r="J962" s="91" t="b">
        <v>0</v>
      </c>
      <c r="K962" s="91" t="b">
        <v>0</v>
      </c>
      <c r="L962" s="91" t="b">
        <v>0</v>
      </c>
    </row>
    <row r="963" spans="1:12" ht="15">
      <c r="A963" s="92" t="s">
        <v>3107</v>
      </c>
      <c r="B963" s="91" t="s">
        <v>2568</v>
      </c>
      <c r="C963" s="91">
        <v>2</v>
      </c>
      <c r="D963" s="114">
        <v>0.0003907717217680664</v>
      </c>
      <c r="E963" s="114">
        <v>1.7328866516009382</v>
      </c>
      <c r="F963" s="91" t="s">
        <v>3159</v>
      </c>
      <c r="G963" s="91" t="b">
        <v>0</v>
      </c>
      <c r="H963" s="91" t="b">
        <v>0</v>
      </c>
      <c r="I963" s="91" t="b">
        <v>0</v>
      </c>
      <c r="J963" s="91" t="b">
        <v>0</v>
      </c>
      <c r="K963" s="91" t="b">
        <v>0</v>
      </c>
      <c r="L963" s="91" t="b">
        <v>0</v>
      </c>
    </row>
    <row r="964" spans="1:12" ht="15">
      <c r="A964" s="92" t="s">
        <v>2753</v>
      </c>
      <c r="B964" s="91" t="s">
        <v>3040</v>
      </c>
      <c r="C964" s="91">
        <v>2</v>
      </c>
      <c r="D964" s="114">
        <v>0.0003907717217680664</v>
      </c>
      <c r="E964" s="114">
        <v>2.8417385683157836</v>
      </c>
      <c r="F964" s="91" t="s">
        <v>3159</v>
      </c>
      <c r="G964" s="91" t="b">
        <v>0</v>
      </c>
      <c r="H964" s="91" t="b">
        <v>0</v>
      </c>
      <c r="I964" s="91" t="b">
        <v>0</v>
      </c>
      <c r="J964" s="91" t="b">
        <v>0</v>
      </c>
      <c r="K964" s="91" t="b">
        <v>0</v>
      </c>
      <c r="L964" s="91" t="b">
        <v>0</v>
      </c>
    </row>
    <row r="965" spans="1:12" ht="15">
      <c r="A965" s="92" t="s">
        <v>3040</v>
      </c>
      <c r="B965" s="91" t="s">
        <v>2661</v>
      </c>
      <c r="C965" s="91">
        <v>2</v>
      </c>
      <c r="D965" s="114">
        <v>0.0003907717217680664</v>
      </c>
      <c r="E965" s="114">
        <v>2.485191244801971</v>
      </c>
      <c r="F965" s="91" t="s">
        <v>3159</v>
      </c>
      <c r="G965" s="91" t="b">
        <v>0</v>
      </c>
      <c r="H965" s="91" t="b">
        <v>0</v>
      </c>
      <c r="I965" s="91" t="b">
        <v>0</v>
      </c>
      <c r="J965" s="91" t="b">
        <v>0</v>
      </c>
      <c r="K965" s="91" t="b">
        <v>0</v>
      </c>
      <c r="L965" s="91" t="b">
        <v>0</v>
      </c>
    </row>
    <row r="966" spans="1:12" ht="15">
      <c r="A966" s="92" t="s">
        <v>2661</v>
      </c>
      <c r="B966" s="91" t="s">
        <v>3108</v>
      </c>
      <c r="C966" s="91">
        <v>2</v>
      </c>
      <c r="D966" s="114">
        <v>0.0003907717217680664</v>
      </c>
      <c r="E966" s="114">
        <v>2.661282503857652</v>
      </c>
      <c r="F966" s="91" t="s">
        <v>3159</v>
      </c>
      <c r="G966" s="91" t="b">
        <v>0</v>
      </c>
      <c r="H966" s="91" t="b">
        <v>0</v>
      </c>
      <c r="I966" s="91" t="b">
        <v>0</v>
      </c>
      <c r="J966" s="91" t="b">
        <v>0</v>
      </c>
      <c r="K966" s="91" t="b">
        <v>0</v>
      </c>
      <c r="L966" s="91" t="b">
        <v>0</v>
      </c>
    </row>
    <row r="967" spans="1:12" ht="15">
      <c r="A967" s="92" t="s">
        <v>3108</v>
      </c>
      <c r="B967" s="91" t="s">
        <v>3109</v>
      </c>
      <c r="C967" s="91">
        <v>2</v>
      </c>
      <c r="D967" s="114">
        <v>0.0003907717217680664</v>
      </c>
      <c r="E967" s="114">
        <v>3.758192516865708</v>
      </c>
      <c r="F967" s="91" t="s">
        <v>3159</v>
      </c>
      <c r="G967" s="91" t="b">
        <v>0</v>
      </c>
      <c r="H967" s="91" t="b">
        <v>0</v>
      </c>
      <c r="I967" s="91" t="b">
        <v>0</v>
      </c>
      <c r="J967" s="91" t="b">
        <v>0</v>
      </c>
      <c r="K967" s="91" t="b">
        <v>0</v>
      </c>
      <c r="L967" s="91" t="b">
        <v>0</v>
      </c>
    </row>
    <row r="968" spans="1:12" ht="15">
      <c r="A968" s="92" t="s">
        <v>3109</v>
      </c>
      <c r="B968" s="91" t="s">
        <v>3110</v>
      </c>
      <c r="C968" s="91">
        <v>2</v>
      </c>
      <c r="D968" s="114">
        <v>0.0003907717217680664</v>
      </c>
      <c r="E968" s="114">
        <v>3.758192516865708</v>
      </c>
      <c r="F968" s="91" t="s">
        <v>3159</v>
      </c>
      <c r="G968" s="91" t="b">
        <v>0</v>
      </c>
      <c r="H968" s="91" t="b">
        <v>0</v>
      </c>
      <c r="I968" s="91" t="b">
        <v>0</v>
      </c>
      <c r="J968" s="91" t="b">
        <v>0</v>
      </c>
      <c r="K968" s="91" t="b">
        <v>0</v>
      </c>
      <c r="L968" s="91" t="b">
        <v>0</v>
      </c>
    </row>
    <row r="969" spans="1:12" ht="15">
      <c r="A969" s="92" t="s">
        <v>3110</v>
      </c>
      <c r="B969" s="91" t="s">
        <v>3111</v>
      </c>
      <c r="C969" s="91">
        <v>2</v>
      </c>
      <c r="D969" s="114">
        <v>0.0003907717217680664</v>
      </c>
      <c r="E969" s="114">
        <v>3.758192516865708</v>
      </c>
      <c r="F969" s="91" t="s">
        <v>3159</v>
      </c>
      <c r="G969" s="91" t="b">
        <v>0</v>
      </c>
      <c r="H969" s="91" t="b">
        <v>0</v>
      </c>
      <c r="I969" s="91" t="b">
        <v>0</v>
      </c>
      <c r="J969" s="91" t="b">
        <v>0</v>
      </c>
      <c r="K969" s="91" t="b">
        <v>0</v>
      </c>
      <c r="L969" s="91" t="b">
        <v>0</v>
      </c>
    </row>
    <row r="970" spans="1:12" ht="15">
      <c r="A970" s="92" t="s">
        <v>3111</v>
      </c>
      <c r="B970" s="91" t="s">
        <v>2578</v>
      </c>
      <c r="C970" s="91">
        <v>2</v>
      </c>
      <c r="D970" s="114">
        <v>0.0003907717217680664</v>
      </c>
      <c r="E970" s="114">
        <v>1.9520125428818211</v>
      </c>
      <c r="F970" s="91" t="s">
        <v>3159</v>
      </c>
      <c r="G970" s="91" t="b">
        <v>0</v>
      </c>
      <c r="H970" s="91" t="b">
        <v>0</v>
      </c>
      <c r="I970" s="91" t="b">
        <v>0</v>
      </c>
      <c r="J970" s="91" t="b">
        <v>0</v>
      </c>
      <c r="K970" s="91" t="b">
        <v>0</v>
      </c>
      <c r="L970" s="91" t="b">
        <v>0</v>
      </c>
    </row>
    <row r="971" spans="1:12" ht="15">
      <c r="A971" s="92" t="s">
        <v>2578</v>
      </c>
      <c r="B971" s="91" t="s">
        <v>3112</v>
      </c>
      <c r="C971" s="91">
        <v>2</v>
      </c>
      <c r="D971" s="114">
        <v>0.0003907717217680664</v>
      </c>
      <c r="E971" s="114">
        <v>1.9288887440346834</v>
      </c>
      <c r="F971" s="91" t="s">
        <v>3159</v>
      </c>
      <c r="G971" s="91" t="b">
        <v>0</v>
      </c>
      <c r="H971" s="91" t="b">
        <v>0</v>
      </c>
      <c r="I971" s="91" t="b">
        <v>0</v>
      </c>
      <c r="J971" s="91" t="b">
        <v>0</v>
      </c>
      <c r="K971" s="91" t="b">
        <v>0</v>
      </c>
      <c r="L971" s="91" t="b">
        <v>0</v>
      </c>
    </row>
    <row r="972" spans="1:12" ht="15">
      <c r="A972" s="92" t="s">
        <v>3112</v>
      </c>
      <c r="B972" s="91" t="s">
        <v>3113</v>
      </c>
      <c r="C972" s="91">
        <v>2</v>
      </c>
      <c r="D972" s="114">
        <v>0.0003907717217680664</v>
      </c>
      <c r="E972" s="114">
        <v>3.758192516865708</v>
      </c>
      <c r="F972" s="91" t="s">
        <v>3159</v>
      </c>
      <c r="G972" s="91" t="b">
        <v>0</v>
      </c>
      <c r="H972" s="91" t="b">
        <v>0</v>
      </c>
      <c r="I972" s="91" t="b">
        <v>0</v>
      </c>
      <c r="J972" s="91" t="b">
        <v>0</v>
      </c>
      <c r="K972" s="91" t="b">
        <v>0</v>
      </c>
      <c r="L972" s="91" t="b">
        <v>0</v>
      </c>
    </row>
    <row r="973" spans="1:12" ht="15">
      <c r="A973" s="92" t="s">
        <v>3113</v>
      </c>
      <c r="B973" s="91" t="s">
        <v>2577</v>
      </c>
      <c r="C973" s="91">
        <v>2</v>
      </c>
      <c r="D973" s="114">
        <v>0.0003907717217680664</v>
      </c>
      <c r="E973" s="114">
        <v>1.9162077122755945</v>
      </c>
      <c r="F973" s="91" t="s">
        <v>3159</v>
      </c>
      <c r="G973" s="91" t="b">
        <v>0</v>
      </c>
      <c r="H973" s="91" t="b">
        <v>0</v>
      </c>
      <c r="I973" s="91" t="b">
        <v>0</v>
      </c>
      <c r="J973" s="91" t="b">
        <v>0</v>
      </c>
      <c r="K973" s="91" t="b">
        <v>0</v>
      </c>
      <c r="L973" s="91" t="b">
        <v>0</v>
      </c>
    </row>
    <row r="974" spans="1:12" ht="15">
      <c r="A974" s="92" t="s">
        <v>2577</v>
      </c>
      <c r="B974" s="91" t="s">
        <v>3024</v>
      </c>
      <c r="C974" s="91">
        <v>2</v>
      </c>
      <c r="D974" s="114">
        <v>0.0003907717217680664</v>
      </c>
      <c r="E974" s="114">
        <v>1.7401164532199134</v>
      </c>
      <c r="F974" s="91" t="s">
        <v>3159</v>
      </c>
      <c r="G974" s="91" t="b">
        <v>0</v>
      </c>
      <c r="H974" s="91" t="b">
        <v>0</v>
      </c>
      <c r="I974" s="91" t="b">
        <v>0</v>
      </c>
      <c r="J974" s="91" t="b">
        <v>0</v>
      </c>
      <c r="K974" s="91" t="b">
        <v>0</v>
      </c>
      <c r="L974" s="91" t="b">
        <v>0</v>
      </c>
    </row>
    <row r="975" spans="1:12" ht="15">
      <c r="A975" s="92" t="s">
        <v>3024</v>
      </c>
      <c r="B975" s="91" t="s">
        <v>2845</v>
      </c>
      <c r="C975" s="91">
        <v>2</v>
      </c>
      <c r="D975" s="114">
        <v>0.0003907717217680664</v>
      </c>
      <c r="E975" s="114">
        <v>2.980041266482065</v>
      </c>
      <c r="F975" s="91" t="s">
        <v>3159</v>
      </c>
      <c r="G975" s="91" t="b">
        <v>0</v>
      </c>
      <c r="H975" s="91" t="b">
        <v>0</v>
      </c>
      <c r="I975" s="91" t="b">
        <v>0</v>
      </c>
      <c r="J975" s="91" t="b">
        <v>0</v>
      </c>
      <c r="K975" s="91" t="b">
        <v>0</v>
      </c>
      <c r="L975" s="91" t="b">
        <v>0</v>
      </c>
    </row>
    <row r="976" spans="1:12" ht="15">
      <c r="A976" s="92" t="s">
        <v>2845</v>
      </c>
      <c r="B976" s="91" t="s">
        <v>2580</v>
      </c>
      <c r="C976" s="91">
        <v>2</v>
      </c>
      <c r="D976" s="114">
        <v>0.0003907717217680664</v>
      </c>
      <c r="E976" s="114">
        <v>1.3465728109024782</v>
      </c>
      <c r="F976" s="91" t="s">
        <v>3159</v>
      </c>
      <c r="G976" s="91" t="b">
        <v>0</v>
      </c>
      <c r="H976" s="91" t="b">
        <v>0</v>
      </c>
      <c r="I976" s="91" t="b">
        <v>0</v>
      </c>
      <c r="J976" s="91" t="b">
        <v>0</v>
      </c>
      <c r="K976" s="91" t="b">
        <v>0</v>
      </c>
      <c r="L976" s="91" t="b">
        <v>0</v>
      </c>
    </row>
    <row r="977" spans="1:12" ht="15">
      <c r="A977" s="92" t="s">
        <v>2580</v>
      </c>
      <c r="B977" s="91" t="s">
        <v>3114</v>
      </c>
      <c r="C977" s="91">
        <v>2</v>
      </c>
      <c r="D977" s="114">
        <v>0.0003907717217680664</v>
      </c>
      <c r="E977" s="114">
        <v>1.9486328022304407</v>
      </c>
      <c r="F977" s="91" t="s">
        <v>3159</v>
      </c>
      <c r="G977" s="91" t="b">
        <v>0</v>
      </c>
      <c r="H977" s="91" t="b">
        <v>0</v>
      </c>
      <c r="I977" s="91" t="b">
        <v>0</v>
      </c>
      <c r="J977" s="91" t="b">
        <v>0</v>
      </c>
      <c r="K977" s="91" t="b">
        <v>0</v>
      </c>
      <c r="L977" s="91" t="b">
        <v>0</v>
      </c>
    </row>
    <row r="978" spans="1:12" ht="15">
      <c r="A978" s="92" t="s">
        <v>3114</v>
      </c>
      <c r="B978" s="91" t="s">
        <v>2729</v>
      </c>
      <c r="C978" s="91">
        <v>2</v>
      </c>
      <c r="D978" s="114">
        <v>0.0003907717217680664</v>
      </c>
      <c r="E978" s="114">
        <v>2.855102529873765</v>
      </c>
      <c r="F978" s="91" t="s">
        <v>3159</v>
      </c>
      <c r="G978" s="91" t="b">
        <v>0</v>
      </c>
      <c r="H978" s="91" t="b">
        <v>0</v>
      </c>
      <c r="I978" s="91" t="b">
        <v>0</v>
      </c>
      <c r="J978" s="91" t="b">
        <v>0</v>
      </c>
      <c r="K978" s="91" t="b">
        <v>0</v>
      </c>
      <c r="L978" s="91" t="b">
        <v>0</v>
      </c>
    </row>
    <row r="979" spans="1:12" ht="15">
      <c r="A979" s="92" t="s">
        <v>2729</v>
      </c>
      <c r="B979" s="91" t="s">
        <v>2666</v>
      </c>
      <c r="C979" s="91">
        <v>2</v>
      </c>
      <c r="D979" s="114">
        <v>0.0003907717217680664</v>
      </c>
      <c r="E979" s="114">
        <v>1.77592128382614</v>
      </c>
      <c r="F979" s="91" t="s">
        <v>3159</v>
      </c>
      <c r="G979" s="91" t="b">
        <v>0</v>
      </c>
      <c r="H979" s="91" t="b">
        <v>0</v>
      </c>
      <c r="I979" s="91" t="b">
        <v>0</v>
      </c>
      <c r="J979" s="91" t="b">
        <v>0</v>
      </c>
      <c r="K979" s="91" t="b">
        <v>0</v>
      </c>
      <c r="L979" s="91" t="b">
        <v>0</v>
      </c>
    </row>
    <row r="980" spans="1:12" ht="15">
      <c r="A980" s="92" t="s">
        <v>2666</v>
      </c>
      <c r="B980" s="91" t="s">
        <v>3115</v>
      </c>
      <c r="C980" s="91">
        <v>2</v>
      </c>
      <c r="D980" s="114">
        <v>0.0003907717217680664</v>
      </c>
      <c r="E980" s="114">
        <v>2.6790112708180835</v>
      </c>
      <c r="F980" s="91" t="s">
        <v>3159</v>
      </c>
      <c r="G980" s="91" t="b">
        <v>0</v>
      </c>
      <c r="H980" s="91" t="b">
        <v>0</v>
      </c>
      <c r="I980" s="91" t="b">
        <v>0</v>
      </c>
      <c r="J980" s="91" t="b">
        <v>0</v>
      </c>
      <c r="K980" s="91" t="b">
        <v>0</v>
      </c>
      <c r="L980" s="91" t="b">
        <v>0</v>
      </c>
    </row>
    <row r="981" spans="1:12" ht="15">
      <c r="A981" s="92" t="s">
        <v>3115</v>
      </c>
      <c r="B981" s="91" t="s">
        <v>2797</v>
      </c>
      <c r="C981" s="91">
        <v>2</v>
      </c>
      <c r="D981" s="114">
        <v>0.0003907717217680664</v>
      </c>
      <c r="E981" s="114">
        <v>3.1049800030903647</v>
      </c>
      <c r="F981" s="91" t="s">
        <v>3159</v>
      </c>
      <c r="G981" s="91" t="b">
        <v>0</v>
      </c>
      <c r="H981" s="91" t="b">
        <v>0</v>
      </c>
      <c r="I981" s="91" t="b">
        <v>0</v>
      </c>
      <c r="J981" s="91" t="b">
        <v>0</v>
      </c>
      <c r="K981" s="91" t="b">
        <v>0</v>
      </c>
      <c r="L981" s="91" t="b">
        <v>0</v>
      </c>
    </row>
    <row r="982" spans="1:12" ht="15">
      <c r="A982" s="92" t="s">
        <v>2797</v>
      </c>
      <c r="B982" s="91" t="s">
        <v>2661</v>
      </c>
      <c r="C982" s="91">
        <v>2</v>
      </c>
      <c r="D982" s="114">
        <v>0.0003907717217680664</v>
      </c>
      <c r="E982" s="114">
        <v>2.0080699900823085</v>
      </c>
      <c r="F982" s="91" t="s">
        <v>3159</v>
      </c>
      <c r="G982" s="91" t="b">
        <v>0</v>
      </c>
      <c r="H982" s="91" t="b">
        <v>0</v>
      </c>
      <c r="I982" s="91" t="b">
        <v>0</v>
      </c>
      <c r="J982" s="91" t="b">
        <v>0</v>
      </c>
      <c r="K982" s="91" t="b">
        <v>0</v>
      </c>
      <c r="L982" s="91" t="b">
        <v>0</v>
      </c>
    </row>
    <row r="983" spans="1:12" ht="15">
      <c r="A983" s="92" t="s">
        <v>2656</v>
      </c>
      <c r="B983" s="91" t="s">
        <v>3116</v>
      </c>
      <c r="C983" s="91">
        <v>2</v>
      </c>
      <c r="D983" s="114">
        <v>0.0003907717217680664</v>
      </c>
      <c r="E983" s="114">
        <v>2.6442491645588717</v>
      </c>
      <c r="F983" s="91" t="s">
        <v>3159</v>
      </c>
      <c r="G983" s="91" t="b">
        <v>0</v>
      </c>
      <c r="H983" s="91" t="b">
        <v>0</v>
      </c>
      <c r="I983" s="91" t="b">
        <v>0</v>
      </c>
      <c r="J983" s="91" t="b">
        <v>0</v>
      </c>
      <c r="K983" s="91" t="b">
        <v>0</v>
      </c>
      <c r="L983" s="91" t="b">
        <v>0</v>
      </c>
    </row>
    <row r="984" spans="1:12" ht="15">
      <c r="A984" s="92" t="s">
        <v>3116</v>
      </c>
      <c r="B984" s="91" t="s">
        <v>2774</v>
      </c>
      <c r="C984" s="91">
        <v>2</v>
      </c>
      <c r="D984" s="114">
        <v>0.0003907717217680664</v>
      </c>
      <c r="E984" s="114">
        <v>3.0592225125296895</v>
      </c>
      <c r="F984" s="91" t="s">
        <v>3159</v>
      </c>
      <c r="G984" s="91" t="b">
        <v>0</v>
      </c>
      <c r="H984" s="91" t="b">
        <v>0</v>
      </c>
      <c r="I984" s="91" t="b">
        <v>0</v>
      </c>
      <c r="J984" s="91" t="b">
        <v>0</v>
      </c>
      <c r="K984" s="91" t="b">
        <v>0</v>
      </c>
      <c r="L984" s="91" t="b">
        <v>0</v>
      </c>
    </row>
    <row r="985" spans="1:12" ht="15">
      <c r="A985" s="92" t="s">
        <v>2774</v>
      </c>
      <c r="B985" s="91" t="s">
        <v>2590</v>
      </c>
      <c r="C985" s="91">
        <v>2</v>
      </c>
      <c r="D985" s="114">
        <v>0.0003907717217680664</v>
      </c>
      <c r="E985" s="114">
        <v>1.4571625212017272</v>
      </c>
      <c r="F985" s="91" t="s">
        <v>3159</v>
      </c>
      <c r="G985" s="91" t="b">
        <v>0</v>
      </c>
      <c r="H985" s="91" t="b">
        <v>0</v>
      </c>
      <c r="I985" s="91" t="b">
        <v>0</v>
      </c>
      <c r="J985" s="91" t="b">
        <v>0</v>
      </c>
      <c r="K985" s="91" t="b">
        <v>0</v>
      </c>
      <c r="L985" s="91" t="b">
        <v>0</v>
      </c>
    </row>
    <row r="986" spans="1:12" ht="15">
      <c r="A986" s="92" t="s">
        <v>2590</v>
      </c>
      <c r="B986" s="91" t="s">
        <v>2564</v>
      </c>
      <c r="C986" s="91">
        <v>2</v>
      </c>
      <c r="D986" s="114">
        <v>0.0003907717217680664</v>
      </c>
      <c r="E986" s="114">
        <v>-0.16505150176456812</v>
      </c>
      <c r="F986" s="91" t="s">
        <v>3159</v>
      </c>
      <c r="G986" s="91" t="b">
        <v>0</v>
      </c>
      <c r="H986" s="91" t="b">
        <v>0</v>
      </c>
      <c r="I986" s="91" t="b">
        <v>0</v>
      </c>
      <c r="J986" s="91" t="b">
        <v>0</v>
      </c>
      <c r="K986" s="91" t="b">
        <v>0</v>
      </c>
      <c r="L986" s="91" t="b">
        <v>0</v>
      </c>
    </row>
    <row r="987" spans="1:12" ht="15">
      <c r="A987" s="92" t="s">
        <v>2564</v>
      </c>
      <c r="B987" s="91" t="s">
        <v>3117</v>
      </c>
      <c r="C987" s="91">
        <v>2</v>
      </c>
      <c r="D987" s="114">
        <v>0.0003907717217680664</v>
      </c>
      <c r="E987" s="114">
        <v>1.4637262907041155</v>
      </c>
      <c r="F987" s="91" t="s">
        <v>3159</v>
      </c>
      <c r="G987" s="91" t="b">
        <v>0</v>
      </c>
      <c r="H987" s="91" t="b">
        <v>0</v>
      </c>
      <c r="I987" s="91" t="b">
        <v>0</v>
      </c>
      <c r="J987" s="91" t="b">
        <v>0</v>
      </c>
      <c r="K987" s="91" t="b">
        <v>0</v>
      </c>
      <c r="L987" s="91" t="b">
        <v>0</v>
      </c>
    </row>
    <row r="988" spans="1:12" ht="15">
      <c r="A988" s="92" t="s">
        <v>3117</v>
      </c>
      <c r="B988" s="91" t="s">
        <v>3118</v>
      </c>
      <c r="C988" s="91">
        <v>2</v>
      </c>
      <c r="D988" s="114">
        <v>0.0003907717217680664</v>
      </c>
      <c r="E988" s="114">
        <v>3.758192516865708</v>
      </c>
      <c r="F988" s="91" t="s">
        <v>3159</v>
      </c>
      <c r="G988" s="91" t="b">
        <v>0</v>
      </c>
      <c r="H988" s="91" t="b">
        <v>0</v>
      </c>
      <c r="I988" s="91" t="b">
        <v>0</v>
      </c>
      <c r="J988" s="91" t="b">
        <v>0</v>
      </c>
      <c r="K988" s="91" t="b">
        <v>0</v>
      </c>
      <c r="L988" s="91" t="b">
        <v>0</v>
      </c>
    </row>
    <row r="989" spans="1:12" ht="15">
      <c r="A989" s="92" t="s">
        <v>2894</v>
      </c>
      <c r="B989" s="91" t="s">
        <v>3120</v>
      </c>
      <c r="C989" s="91">
        <v>2</v>
      </c>
      <c r="D989" s="114">
        <v>0.0003907717217680664</v>
      </c>
      <c r="E989" s="114">
        <v>3.214124472515433</v>
      </c>
      <c r="F989" s="91" t="s">
        <v>3159</v>
      </c>
      <c r="G989" s="91" t="b">
        <v>0</v>
      </c>
      <c r="H989" s="91" t="b">
        <v>0</v>
      </c>
      <c r="I989" s="91" t="b">
        <v>0</v>
      </c>
      <c r="J989" s="91" t="b">
        <v>0</v>
      </c>
      <c r="K989" s="91" t="b">
        <v>0</v>
      </c>
      <c r="L989" s="91" t="b">
        <v>0</v>
      </c>
    </row>
    <row r="990" spans="1:12" ht="15">
      <c r="A990" s="92" t="s">
        <v>3120</v>
      </c>
      <c r="B990" s="91" t="s">
        <v>2612</v>
      </c>
      <c r="C990" s="91">
        <v>2</v>
      </c>
      <c r="D990" s="114">
        <v>0.0003907717217680664</v>
      </c>
      <c r="E990" s="114">
        <v>2.3033476568571984</v>
      </c>
      <c r="F990" s="91" t="s">
        <v>3159</v>
      </c>
      <c r="G990" s="91" t="b">
        <v>0</v>
      </c>
      <c r="H990" s="91" t="b">
        <v>0</v>
      </c>
      <c r="I990" s="91" t="b">
        <v>0</v>
      </c>
      <c r="J990" s="91" t="b">
        <v>0</v>
      </c>
      <c r="K990" s="91" t="b">
        <v>0</v>
      </c>
      <c r="L990" s="91" t="b">
        <v>0</v>
      </c>
    </row>
    <row r="991" spans="1:12" ht="15">
      <c r="A991" s="92" t="s">
        <v>3121</v>
      </c>
      <c r="B991" s="91" t="s">
        <v>3122</v>
      </c>
      <c r="C991" s="91">
        <v>2</v>
      </c>
      <c r="D991" s="114">
        <v>0.0003907717217680664</v>
      </c>
      <c r="E991" s="114">
        <v>3.758192516865708</v>
      </c>
      <c r="F991" s="91" t="s">
        <v>3159</v>
      </c>
      <c r="G991" s="91" t="b">
        <v>0</v>
      </c>
      <c r="H991" s="91" t="b">
        <v>0</v>
      </c>
      <c r="I991" s="91" t="b">
        <v>0</v>
      </c>
      <c r="J991" s="91" t="b">
        <v>0</v>
      </c>
      <c r="K991" s="91" t="b">
        <v>0</v>
      </c>
      <c r="L991" s="91" t="b">
        <v>0</v>
      </c>
    </row>
    <row r="992" spans="1:12" ht="15">
      <c r="A992" s="92" t="s">
        <v>3122</v>
      </c>
      <c r="B992" s="91" t="s">
        <v>3071</v>
      </c>
      <c r="C992" s="91">
        <v>2</v>
      </c>
      <c r="D992" s="114">
        <v>0.0003907717217680664</v>
      </c>
      <c r="E992" s="114">
        <v>3.758192516865708</v>
      </c>
      <c r="F992" s="91" t="s">
        <v>3159</v>
      </c>
      <c r="G992" s="91" t="b">
        <v>0</v>
      </c>
      <c r="H992" s="91" t="b">
        <v>0</v>
      </c>
      <c r="I992" s="91" t="b">
        <v>0</v>
      </c>
      <c r="J992" s="91" t="b">
        <v>0</v>
      </c>
      <c r="K992" s="91" t="b">
        <v>0</v>
      </c>
      <c r="L992" s="91" t="b">
        <v>0</v>
      </c>
    </row>
    <row r="993" spans="1:12" ht="15">
      <c r="A993" s="92" t="s">
        <v>2568</v>
      </c>
      <c r="B993" s="91" t="s">
        <v>3123</v>
      </c>
      <c r="C993" s="91">
        <v>2</v>
      </c>
      <c r="D993" s="114">
        <v>0.0003907717217680664</v>
      </c>
      <c r="E993" s="114">
        <v>1.7328866516009382</v>
      </c>
      <c r="F993" s="91" t="s">
        <v>3159</v>
      </c>
      <c r="G993" s="91" t="b">
        <v>0</v>
      </c>
      <c r="H993" s="91" t="b">
        <v>0</v>
      </c>
      <c r="I993" s="91" t="b">
        <v>0</v>
      </c>
      <c r="J993" s="91" t="b">
        <v>0</v>
      </c>
      <c r="K993" s="91" t="b">
        <v>0</v>
      </c>
      <c r="L993" s="91" t="b">
        <v>0</v>
      </c>
    </row>
    <row r="994" spans="1:12" ht="15">
      <c r="A994" s="92" t="s">
        <v>3123</v>
      </c>
      <c r="B994" s="91" t="s">
        <v>3124</v>
      </c>
      <c r="C994" s="91">
        <v>2</v>
      </c>
      <c r="D994" s="114">
        <v>0.0003907717217680664</v>
      </c>
      <c r="E994" s="114">
        <v>3.758192516865708</v>
      </c>
      <c r="F994" s="91" t="s">
        <v>3159</v>
      </c>
      <c r="G994" s="91" t="b">
        <v>0</v>
      </c>
      <c r="H994" s="91" t="b">
        <v>0</v>
      </c>
      <c r="I994" s="91" t="b">
        <v>0</v>
      </c>
      <c r="J994" s="91" t="b">
        <v>0</v>
      </c>
      <c r="K994" s="91" t="b">
        <v>0</v>
      </c>
      <c r="L994" s="91" t="b">
        <v>0</v>
      </c>
    </row>
    <row r="995" spans="1:12" ht="15">
      <c r="A995" s="92" t="s">
        <v>3124</v>
      </c>
      <c r="B995" s="91" t="s">
        <v>2589</v>
      </c>
      <c r="C995" s="91">
        <v>2</v>
      </c>
      <c r="D995" s="114">
        <v>0.0003907717217680664</v>
      </c>
      <c r="E995" s="114">
        <v>2.1899907927987132</v>
      </c>
      <c r="F995" s="91" t="s">
        <v>3159</v>
      </c>
      <c r="G995" s="91" t="b">
        <v>0</v>
      </c>
      <c r="H995" s="91" t="b">
        <v>0</v>
      </c>
      <c r="I995" s="91" t="b">
        <v>0</v>
      </c>
      <c r="J995" s="91" t="b">
        <v>0</v>
      </c>
      <c r="K995" s="91" t="b">
        <v>0</v>
      </c>
      <c r="L995" s="91" t="b">
        <v>0</v>
      </c>
    </row>
    <row r="996" spans="1:12" ht="15">
      <c r="A996" s="92" t="s">
        <v>2569</v>
      </c>
      <c r="B996" s="91" t="s">
        <v>3125</v>
      </c>
      <c r="C996" s="91">
        <v>2</v>
      </c>
      <c r="D996" s="114">
        <v>0.0003907717217680664</v>
      </c>
      <c r="E996" s="114">
        <v>1.7432521670727719</v>
      </c>
      <c r="F996" s="91" t="s">
        <v>3159</v>
      </c>
      <c r="G996" s="91" t="b">
        <v>0</v>
      </c>
      <c r="H996" s="91" t="b">
        <v>0</v>
      </c>
      <c r="I996" s="91" t="b">
        <v>0</v>
      </c>
      <c r="J996" s="91" t="b">
        <v>0</v>
      </c>
      <c r="K996" s="91" t="b">
        <v>0</v>
      </c>
      <c r="L996" s="91" t="b">
        <v>0</v>
      </c>
    </row>
    <row r="997" spans="1:12" ht="15">
      <c r="A997" s="92" t="s">
        <v>3125</v>
      </c>
      <c r="B997" s="91" t="s">
        <v>3126</v>
      </c>
      <c r="C997" s="91">
        <v>2</v>
      </c>
      <c r="D997" s="114">
        <v>0.0003907717217680664</v>
      </c>
      <c r="E997" s="114">
        <v>3.758192516865708</v>
      </c>
      <c r="F997" s="91" t="s">
        <v>3159</v>
      </c>
      <c r="G997" s="91" t="b">
        <v>0</v>
      </c>
      <c r="H997" s="91" t="b">
        <v>0</v>
      </c>
      <c r="I997" s="91" t="b">
        <v>0</v>
      </c>
      <c r="J997" s="91" t="b">
        <v>0</v>
      </c>
      <c r="K997" s="91" t="b">
        <v>0</v>
      </c>
      <c r="L997" s="91" t="b">
        <v>0</v>
      </c>
    </row>
    <row r="998" spans="1:12" ht="15">
      <c r="A998" s="92" t="s">
        <v>3126</v>
      </c>
      <c r="B998" s="91" t="s">
        <v>3127</v>
      </c>
      <c r="C998" s="91">
        <v>2</v>
      </c>
      <c r="D998" s="114">
        <v>0.0003907717217680664</v>
      </c>
      <c r="E998" s="114">
        <v>3.758192516865708</v>
      </c>
      <c r="F998" s="91" t="s">
        <v>3159</v>
      </c>
      <c r="G998" s="91" t="b">
        <v>0</v>
      </c>
      <c r="H998" s="91" t="b">
        <v>0</v>
      </c>
      <c r="I998" s="91" t="b">
        <v>0</v>
      </c>
      <c r="J998" s="91" t="b">
        <v>0</v>
      </c>
      <c r="K998" s="91" t="b">
        <v>0</v>
      </c>
      <c r="L998" s="91" t="b">
        <v>0</v>
      </c>
    </row>
    <row r="999" spans="1:12" ht="15">
      <c r="A999" s="92" t="s">
        <v>3127</v>
      </c>
      <c r="B999" s="91" t="s">
        <v>3072</v>
      </c>
      <c r="C999" s="91">
        <v>2</v>
      </c>
      <c r="D999" s="114">
        <v>0.0003907717217680664</v>
      </c>
      <c r="E999" s="114">
        <v>3.5821012578100273</v>
      </c>
      <c r="F999" s="91" t="s">
        <v>3159</v>
      </c>
      <c r="G999" s="91" t="b">
        <v>0</v>
      </c>
      <c r="H999" s="91" t="b">
        <v>0</v>
      </c>
      <c r="I999" s="91" t="b">
        <v>0</v>
      </c>
      <c r="J999" s="91" t="b">
        <v>0</v>
      </c>
      <c r="K999" s="91" t="b">
        <v>0</v>
      </c>
      <c r="L999" s="91" t="b">
        <v>0</v>
      </c>
    </row>
    <row r="1000" spans="1:12" ht="15">
      <c r="A1000" s="92" t="s">
        <v>3072</v>
      </c>
      <c r="B1000" s="91" t="s">
        <v>2647</v>
      </c>
      <c r="C1000" s="91">
        <v>2</v>
      </c>
      <c r="D1000" s="114">
        <v>0.0003907717217680664</v>
      </c>
      <c r="E1000" s="114">
        <v>2.3779812751541023</v>
      </c>
      <c r="F1000" s="91" t="s">
        <v>3159</v>
      </c>
      <c r="G1000" s="91" t="b">
        <v>0</v>
      </c>
      <c r="H1000" s="91" t="b">
        <v>0</v>
      </c>
      <c r="I1000" s="91" t="b">
        <v>0</v>
      </c>
      <c r="J1000" s="91" t="b">
        <v>0</v>
      </c>
      <c r="K1000" s="91" t="b">
        <v>0</v>
      </c>
      <c r="L1000" s="91" t="b">
        <v>0</v>
      </c>
    </row>
    <row r="1001" spans="1:12" ht="15">
      <c r="A1001" s="92" t="s">
        <v>2647</v>
      </c>
      <c r="B1001" s="91" t="s">
        <v>3128</v>
      </c>
      <c r="C1001" s="91">
        <v>2</v>
      </c>
      <c r="D1001" s="114">
        <v>0.0003907717217680664</v>
      </c>
      <c r="E1001" s="114">
        <v>2.5540725342097836</v>
      </c>
      <c r="F1001" s="91" t="s">
        <v>3159</v>
      </c>
      <c r="G1001" s="91" t="b">
        <v>0</v>
      </c>
      <c r="H1001" s="91" t="b">
        <v>0</v>
      </c>
      <c r="I1001" s="91" t="b">
        <v>0</v>
      </c>
      <c r="J1001" s="91" t="b">
        <v>0</v>
      </c>
      <c r="K1001" s="91" t="b">
        <v>0</v>
      </c>
      <c r="L1001" s="91" t="b">
        <v>0</v>
      </c>
    </row>
    <row r="1002" spans="1:12" ht="15">
      <c r="A1002" s="92" t="s">
        <v>3128</v>
      </c>
      <c r="B1002" s="91" t="s">
        <v>2775</v>
      </c>
      <c r="C1002" s="91">
        <v>2</v>
      </c>
      <c r="D1002" s="114">
        <v>0.0003907717217680664</v>
      </c>
      <c r="E1002" s="114">
        <v>3.0592225125296895</v>
      </c>
      <c r="F1002" s="91" t="s">
        <v>3159</v>
      </c>
      <c r="G1002" s="91" t="b">
        <v>0</v>
      </c>
      <c r="H1002" s="91" t="b">
        <v>0</v>
      </c>
      <c r="I1002" s="91" t="b">
        <v>0</v>
      </c>
      <c r="J1002" s="91" t="b">
        <v>0</v>
      </c>
      <c r="K1002" s="91" t="b">
        <v>0</v>
      </c>
      <c r="L1002" s="91" t="b">
        <v>0</v>
      </c>
    </row>
    <row r="1003" spans="1:12" ht="15">
      <c r="A1003" s="92" t="s">
        <v>2775</v>
      </c>
      <c r="B1003" s="91" t="s">
        <v>2589</v>
      </c>
      <c r="C1003" s="91">
        <v>2</v>
      </c>
      <c r="D1003" s="114">
        <v>0.0003907717217680664</v>
      </c>
      <c r="E1003" s="114">
        <v>1.4910207884626947</v>
      </c>
      <c r="F1003" s="91" t="s">
        <v>3159</v>
      </c>
      <c r="G1003" s="91" t="b">
        <v>0</v>
      </c>
      <c r="H1003" s="91" t="b">
        <v>0</v>
      </c>
      <c r="I1003" s="91" t="b">
        <v>0</v>
      </c>
      <c r="J1003" s="91" t="b">
        <v>0</v>
      </c>
      <c r="K1003" s="91" t="b">
        <v>0</v>
      </c>
      <c r="L1003" s="91" t="b">
        <v>0</v>
      </c>
    </row>
    <row r="1004" spans="1:12" ht="15">
      <c r="A1004" s="92" t="s">
        <v>2589</v>
      </c>
      <c r="B1004" s="91" t="s">
        <v>3129</v>
      </c>
      <c r="C1004" s="91">
        <v>2</v>
      </c>
      <c r="D1004" s="114">
        <v>0.0003907717217680664</v>
      </c>
      <c r="E1004" s="114">
        <v>2.1197032599110712</v>
      </c>
      <c r="F1004" s="91" t="s">
        <v>3159</v>
      </c>
      <c r="G1004" s="91" t="b">
        <v>0</v>
      </c>
      <c r="H1004" s="91" t="b">
        <v>0</v>
      </c>
      <c r="I1004" s="91" t="b">
        <v>0</v>
      </c>
      <c r="J1004" s="91" t="b">
        <v>0</v>
      </c>
      <c r="K1004" s="91" t="b">
        <v>0</v>
      </c>
      <c r="L1004" s="91" t="b">
        <v>0</v>
      </c>
    </row>
    <row r="1005" spans="1:12" ht="15">
      <c r="A1005" s="92" t="s">
        <v>3129</v>
      </c>
      <c r="B1005" s="91" t="s">
        <v>3130</v>
      </c>
      <c r="C1005" s="91">
        <v>2</v>
      </c>
      <c r="D1005" s="114">
        <v>0.0003907717217680664</v>
      </c>
      <c r="E1005" s="114">
        <v>3.758192516865708</v>
      </c>
      <c r="F1005" s="91" t="s">
        <v>3159</v>
      </c>
      <c r="G1005" s="91" t="b">
        <v>0</v>
      </c>
      <c r="H1005" s="91" t="b">
        <v>0</v>
      </c>
      <c r="I1005" s="91" t="b">
        <v>0</v>
      </c>
      <c r="J1005" s="91" t="b">
        <v>0</v>
      </c>
      <c r="K1005" s="91" t="b">
        <v>0</v>
      </c>
      <c r="L1005" s="91" t="b">
        <v>0</v>
      </c>
    </row>
    <row r="1006" spans="1:12" ht="15">
      <c r="A1006" s="92" t="s">
        <v>3130</v>
      </c>
      <c r="B1006" s="91" t="s">
        <v>3131</v>
      </c>
      <c r="C1006" s="91">
        <v>2</v>
      </c>
      <c r="D1006" s="114">
        <v>0.0003907717217680664</v>
      </c>
      <c r="E1006" s="114">
        <v>3.758192516865708</v>
      </c>
      <c r="F1006" s="91" t="s">
        <v>3159</v>
      </c>
      <c r="G1006" s="91" t="b">
        <v>0</v>
      </c>
      <c r="H1006" s="91" t="b">
        <v>0</v>
      </c>
      <c r="I1006" s="91" t="b">
        <v>0</v>
      </c>
      <c r="J1006" s="91" t="b">
        <v>0</v>
      </c>
      <c r="K1006" s="91" t="b">
        <v>0</v>
      </c>
      <c r="L1006" s="91" t="b">
        <v>0</v>
      </c>
    </row>
    <row r="1007" spans="1:12" ht="15">
      <c r="A1007" s="92" t="s">
        <v>3131</v>
      </c>
      <c r="B1007" s="91" t="s">
        <v>2577</v>
      </c>
      <c r="C1007" s="91">
        <v>2</v>
      </c>
      <c r="D1007" s="114">
        <v>0.0003907717217680664</v>
      </c>
      <c r="E1007" s="114">
        <v>1.9162077122755945</v>
      </c>
      <c r="F1007" s="91" t="s">
        <v>3159</v>
      </c>
      <c r="G1007" s="91" t="b">
        <v>0</v>
      </c>
      <c r="H1007" s="91" t="b">
        <v>0</v>
      </c>
      <c r="I1007" s="91" t="b">
        <v>0</v>
      </c>
      <c r="J1007" s="91" t="b">
        <v>0</v>
      </c>
      <c r="K1007" s="91" t="b">
        <v>0</v>
      </c>
      <c r="L1007" s="91" t="b">
        <v>0</v>
      </c>
    </row>
    <row r="1008" spans="1:12" ht="15">
      <c r="A1008" s="92" t="s">
        <v>2577</v>
      </c>
      <c r="B1008" s="91" t="s">
        <v>3132</v>
      </c>
      <c r="C1008" s="91">
        <v>2</v>
      </c>
      <c r="D1008" s="114">
        <v>0.0003907717217680664</v>
      </c>
      <c r="E1008" s="114">
        <v>1.9162077122755945</v>
      </c>
      <c r="F1008" s="91" t="s">
        <v>3159</v>
      </c>
      <c r="G1008" s="91" t="b">
        <v>0</v>
      </c>
      <c r="H1008" s="91" t="b">
        <v>0</v>
      </c>
      <c r="I1008" s="91" t="b">
        <v>0</v>
      </c>
      <c r="J1008" s="91" t="b">
        <v>0</v>
      </c>
      <c r="K1008" s="91" t="b">
        <v>0</v>
      </c>
      <c r="L1008" s="91" t="b">
        <v>0</v>
      </c>
    </row>
    <row r="1009" spans="1:12" ht="15">
      <c r="A1009" s="92" t="s">
        <v>3132</v>
      </c>
      <c r="B1009" s="91" t="s">
        <v>3133</v>
      </c>
      <c r="C1009" s="91">
        <v>2</v>
      </c>
      <c r="D1009" s="114">
        <v>0.0003907717217680664</v>
      </c>
      <c r="E1009" s="114">
        <v>3.758192516865708</v>
      </c>
      <c r="F1009" s="91" t="s">
        <v>3159</v>
      </c>
      <c r="G1009" s="91" t="b">
        <v>0</v>
      </c>
      <c r="H1009" s="91" t="b">
        <v>0</v>
      </c>
      <c r="I1009" s="91" t="b">
        <v>0</v>
      </c>
      <c r="J1009" s="91" t="b">
        <v>0</v>
      </c>
      <c r="K1009" s="91" t="b">
        <v>0</v>
      </c>
      <c r="L1009" s="91" t="b">
        <v>0</v>
      </c>
    </row>
    <row r="1010" spans="1:12" ht="15">
      <c r="A1010" s="92" t="s">
        <v>3133</v>
      </c>
      <c r="B1010" s="91" t="s">
        <v>2720</v>
      </c>
      <c r="C1010" s="91">
        <v>2</v>
      </c>
      <c r="D1010" s="114">
        <v>0.0003907717217680664</v>
      </c>
      <c r="E1010" s="114">
        <v>2.7804689115768606</v>
      </c>
      <c r="F1010" s="91" t="s">
        <v>3159</v>
      </c>
      <c r="G1010" s="91" t="b">
        <v>0</v>
      </c>
      <c r="H1010" s="91" t="b">
        <v>0</v>
      </c>
      <c r="I1010" s="91" t="b">
        <v>0</v>
      </c>
      <c r="J1010" s="91" t="b">
        <v>0</v>
      </c>
      <c r="K1010" s="91" t="b">
        <v>0</v>
      </c>
      <c r="L1010" s="91" t="b">
        <v>0</v>
      </c>
    </row>
    <row r="1011" spans="1:12" ht="15">
      <c r="A1011" s="92" t="s">
        <v>2720</v>
      </c>
      <c r="B1011" s="91" t="s">
        <v>3134</v>
      </c>
      <c r="C1011" s="91">
        <v>2</v>
      </c>
      <c r="D1011" s="114">
        <v>0.0003907717217680664</v>
      </c>
      <c r="E1011" s="114">
        <v>2.7804689115768606</v>
      </c>
      <c r="F1011" s="91" t="s">
        <v>3159</v>
      </c>
      <c r="G1011" s="91" t="b">
        <v>0</v>
      </c>
      <c r="H1011" s="91" t="b">
        <v>0</v>
      </c>
      <c r="I1011" s="91" t="b">
        <v>0</v>
      </c>
      <c r="J1011" s="91" t="b">
        <v>0</v>
      </c>
      <c r="K1011" s="91" t="b">
        <v>0</v>
      </c>
      <c r="L1011" s="91" t="b">
        <v>0</v>
      </c>
    </row>
    <row r="1012" spans="1:12" ht="15">
      <c r="A1012" s="92" t="s">
        <v>3134</v>
      </c>
      <c r="B1012" s="91" t="s">
        <v>2568</v>
      </c>
      <c r="C1012" s="91">
        <v>2</v>
      </c>
      <c r="D1012" s="114">
        <v>0.0003907717217680664</v>
      </c>
      <c r="E1012" s="114">
        <v>1.7328866516009382</v>
      </c>
      <c r="F1012" s="91" t="s">
        <v>3159</v>
      </c>
      <c r="G1012" s="91" t="b">
        <v>0</v>
      </c>
      <c r="H1012" s="91" t="b">
        <v>0</v>
      </c>
      <c r="I1012" s="91" t="b">
        <v>0</v>
      </c>
      <c r="J1012" s="91" t="b">
        <v>0</v>
      </c>
      <c r="K1012" s="91" t="b">
        <v>0</v>
      </c>
      <c r="L1012" s="91" t="b">
        <v>0</v>
      </c>
    </row>
    <row r="1013" spans="1:12" ht="15">
      <c r="A1013" s="92" t="s">
        <v>2589</v>
      </c>
      <c r="B1013" s="91" t="s">
        <v>2671</v>
      </c>
      <c r="C1013" s="91">
        <v>2</v>
      </c>
      <c r="D1013" s="114">
        <v>0.0003907717217680664</v>
      </c>
      <c r="E1013" s="114">
        <v>1.078310574752846</v>
      </c>
      <c r="F1013" s="91" t="s">
        <v>3159</v>
      </c>
      <c r="G1013" s="91" t="b">
        <v>0</v>
      </c>
      <c r="H1013" s="91" t="b">
        <v>0</v>
      </c>
      <c r="I1013" s="91" t="b">
        <v>0</v>
      </c>
      <c r="J1013" s="91" t="b">
        <v>0</v>
      </c>
      <c r="K1013" s="91" t="b">
        <v>0</v>
      </c>
      <c r="L1013" s="91" t="b">
        <v>0</v>
      </c>
    </row>
    <row r="1014" spans="1:12" ht="15">
      <c r="A1014" s="92" t="s">
        <v>2671</v>
      </c>
      <c r="B1014" s="91" t="s">
        <v>3135</v>
      </c>
      <c r="C1014" s="91">
        <v>2</v>
      </c>
      <c r="D1014" s="114">
        <v>0.0003907717217680664</v>
      </c>
      <c r="E1014" s="114">
        <v>2.7167998317074833</v>
      </c>
      <c r="F1014" s="91" t="s">
        <v>3159</v>
      </c>
      <c r="G1014" s="91" t="b">
        <v>0</v>
      </c>
      <c r="H1014" s="91" t="b">
        <v>0</v>
      </c>
      <c r="I1014" s="91" t="b">
        <v>0</v>
      </c>
      <c r="J1014" s="91" t="b">
        <v>0</v>
      </c>
      <c r="K1014" s="91" t="b">
        <v>0</v>
      </c>
      <c r="L1014" s="91" t="b">
        <v>0</v>
      </c>
    </row>
    <row r="1015" spans="1:12" ht="15">
      <c r="A1015" s="92" t="s">
        <v>3135</v>
      </c>
      <c r="B1015" s="91" t="s">
        <v>2652</v>
      </c>
      <c r="C1015" s="91">
        <v>2</v>
      </c>
      <c r="D1015" s="114">
        <v>0.0003907717217680664</v>
      </c>
      <c r="E1015" s="114">
        <v>2.6120644811874705</v>
      </c>
      <c r="F1015" s="91" t="s">
        <v>3159</v>
      </c>
      <c r="G1015" s="91" t="b">
        <v>0</v>
      </c>
      <c r="H1015" s="91" t="b">
        <v>0</v>
      </c>
      <c r="I1015" s="91" t="b">
        <v>0</v>
      </c>
      <c r="J1015" s="91" t="b">
        <v>0</v>
      </c>
      <c r="K1015" s="91" t="b">
        <v>0</v>
      </c>
      <c r="L1015" s="91" t="b">
        <v>0</v>
      </c>
    </row>
    <row r="1016" spans="1:12" ht="15">
      <c r="A1016" s="92" t="s">
        <v>2652</v>
      </c>
      <c r="B1016" s="91" t="s">
        <v>3136</v>
      </c>
      <c r="C1016" s="91">
        <v>2</v>
      </c>
      <c r="D1016" s="114">
        <v>0.0003907717217680664</v>
      </c>
      <c r="E1016" s="114">
        <v>2.6120644811874705</v>
      </c>
      <c r="F1016" s="91" t="s">
        <v>3159</v>
      </c>
      <c r="G1016" s="91" t="b">
        <v>0</v>
      </c>
      <c r="H1016" s="91" t="b">
        <v>0</v>
      </c>
      <c r="I1016" s="91" t="b">
        <v>0</v>
      </c>
      <c r="J1016" s="91" t="b">
        <v>0</v>
      </c>
      <c r="K1016" s="91" t="b">
        <v>0</v>
      </c>
      <c r="L1016" s="91" t="b">
        <v>0</v>
      </c>
    </row>
    <row r="1017" spans="1:12" ht="15">
      <c r="A1017" s="92" t="s">
        <v>3136</v>
      </c>
      <c r="B1017" s="91" t="s">
        <v>2577</v>
      </c>
      <c r="C1017" s="91">
        <v>2</v>
      </c>
      <c r="D1017" s="114">
        <v>0.0003907717217680664</v>
      </c>
      <c r="E1017" s="114">
        <v>1.9162077122755945</v>
      </c>
      <c r="F1017" s="91" t="s">
        <v>3159</v>
      </c>
      <c r="G1017" s="91" t="b">
        <v>0</v>
      </c>
      <c r="H1017" s="91" t="b">
        <v>0</v>
      </c>
      <c r="I1017" s="91" t="b">
        <v>0</v>
      </c>
      <c r="J1017" s="91" t="b">
        <v>0</v>
      </c>
      <c r="K1017" s="91" t="b">
        <v>0</v>
      </c>
      <c r="L1017" s="91" t="b">
        <v>0</v>
      </c>
    </row>
    <row r="1018" spans="1:12" ht="15">
      <c r="A1018" s="92" t="s">
        <v>2610</v>
      </c>
      <c r="B1018" s="91" t="s">
        <v>2798</v>
      </c>
      <c r="C1018" s="91">
        <v>2</v>
      </c>
      <c r="D1018" s="114">
        <v>0.0003907717217680664</v>
      </c>
      <c r="E1018" s="114">
        <v>1.6278587483707023</v>
      </c>
      <c r="F1018" s="91" t="s">
        <v>3159</v>
      </c>
      <c r="G1018" s="91" t="b">
        <v>0</v>
      </c>
      <c r="H1018" s="91" t="b">
        <v>0</v>
      </c>
      <c r="I1018" s="91" t="b">
        <v>0</v>
      </c>
      <c r="J1018" s="91" t="b">
        <v>0</v>
      </c>
      <c r="K1018" s="91" t="b">
        <v>0</v>
      </c>
      <c r="L1018" s="91" t="b">
        <v>0</v>
      </c>
    </row>
    <row r="1019" spans="1:12" ht="15">
      <c r="A1019" s="92" t="s">
        <v>2798</v>
      </c>
      <c r="B1019" s="91" t="s">
        <v>3137</v>
      </c>
      <c r="C1019" s="91">
        <v>2</v>
      </c>
      <c r="D1019" s="114">
        <v>0.0003907717217680664</v>
      </c>
      <c r="E1019" s="114">
        <v>3.1049800030903647</v>
      </c>
      <c r="F1019" s="91" t="s">
        <v>3159</v>
      </c>
      <c r="G1019" s="91" t="b">
        <v>0</v>
      </c>
      <c r="H1019" s="91" t="b">
        <v>0</v>
      </c>
      <c r="I1019" s="91" t="b">
        <v>0</v>
      </c>
      <c r="J1019" s="91" t="b">
        <v>0</v>
      </c>
      <c r="K1019" s="91" t="b">
        <v>0</v>
      </c>
      <c r="L1019" s="91" t="b">
        <v>0</v>
      </c>
    </row>
    <row r="1020" spans="1:12" ht="15">
      <c r="A1020" s="92" t="s">
        <v>3137</v>
      </c>
      <c r="B1020" s="91" t="s">
        <v>3138</v>
      </c>
      <c r="C1020" s="91">
        <v>2</v>
      </c>
      <c r="D1020" s="114">
        <v>0.0003907717217680664</v>
      </c>
      <c r="E1020" s="114">
        <v>3.758192516865708</v>
      </c>
      <c r="F1020" s="91" t="s">
        <v>3159</v>
      </c>
      <c r="G1020" s="91" t="b">
        <v>0</v>
      </c>
      <c r="H1020" s="91" t="b">
        <v>0</v>
      </c>
      <c r="I1020" s="91" t="b">
        <v>0</v>
      </c>
      <c r="J1020" s="91" t="b">
        <v>0</v>
      </c>
      <c r="K1020" s="91" t="b">
        <v>0</v>
      </c>
      <c r="L1020" s="91" t="b">
        <v>0</v>
      </c>
    </row>
    <row r="1021" spans="1:12" ht="15">
      <c r="A1021" s="92" t="s">
        <v>3138</v>
      </c>
      <c r="B1021" s="91" t="s">
        <v>2844</v>
      </c>
      <c r="C1021" s="91">
        <v>2</v>
      </c>
      <c r="D1021" s="114">
        <v>0.0003907717217680664</v>
      </c>
      <c r="E1021" s="114">
        <v>3.156132525537746</v>
      </c>
      <c r="F1021" s="91" t="s">
        <v>3159</v>
      </c>
      <c r="G1021" s="91" t="b">
        <v>0</v>
      </c>
      <c r="H1021" s="91" t="b">
        <v>0</v>
      </c>
      <c r="I1021" s="91" t="b">
        <v>0</v>
      </c>
      <c r="J1021" s="91" t="b">
        <v>0</v>
      </c>
      <c r="K1021" s="91" t="b">
        <v>0</v>
      </c>
      <c r="L1021" s="91" t="b">
        <v>0</v>
      </c>
    </row>
    <row r="1022" spans="1:12" ht="15">
      <c r="A1022" s="92" t="s">
        <v>2844</v>
      </c>
      <c r="B1022" s="91" t="s">
        <v>2564</v>
      </c>
      <c r="C1022" s="91">
        <v>2</v>
      </c>
      <c r="D1022" s="114">
        <v>0.0003907717217680664</v>
      </c>
      <c r="E1022" s="114">
        <v>0.8349484982354319</v>
      </c>
      <c r="F1022" s="91" t="s">
        <v>3159</v>
      </c>
      <c r="G1022" s="91" t="b">
        <v>0</v>
      </c>
      <c r="H1022" s="91" t="b">
        <v>0</v>
      </c>
      <c r="I1022" s="91" t="b">
        <v>0</v>
      </c>
      <c r="J1022" s="91" t="b">
        <v>0</v>
      </c>
      <c r="K1022" s="91" t="b">
        <v>0</v>
      </c>
      <c r="L1022" s="91" t="b">
        <v>0</v>
      </c>
    </row>
    <row r="1023" spans="1:12" ht="15">
      <c r="A1023" s="92" t="s">
        <v>2564</v>
      </c>
      <c r="B1023" s="91" t="s">
        <v>2621</v>
      </c>
      <c r="C1023" s="91">
        <v>2</v>
      </c>
      <c r="D1023" s="114">
        <v>0.0003907717217680664</v>
      </c>
      <c r="E1023" s="114">
        <v>0.08351504899250953</v>
      </c>
      <c r="F1023" s="91" t="s">
        <v>3159</v>
      </c>
      <c r="G1023" s="91" t="b">
        <v>0</v>
      </c>
      <c r="H1023" s="91" t="b">
        <v>0</v>
      </c>
      <c r="I1023" s="91" t="b">
        <v>0</v>
      </c>
      <c r="J1023" s="91" t="b">
        <v>0</v>
      </c>
      <c r="K1023" s="91" t="b">
        <v>0</v>
      </c>
      <c r="L1023" s="91" t="b">
        <v>0</v>
      </c>
    </row>
    <row r="1024" spans="1:12" ht="15">
      <c r="A1024" s="92" t="s">
        <v>2621</v>
      </c>
      <c r="B1024" s="91" t="s">
        <v>2577</v>
      </c>
      <c r="C1024" s="91">
        <v>2</v>
      </c>
      <c r="D1024" s="114">
        <v>0.0003907717217680664</v>
      </c>
      <c r="E1024" s="114">
        <v>0.5359964705639885</v>
      </c>
      <c r="F1024" s="91" t="s">
        <v>3159</v>
      </c>
      <c r="G1024" s="91" t="b">
        <v>0</v>
      </c>
      <c r="H1024" s="91" t="b">
        <v>0</v>
      </c>
      <c r="I1024" s="91" t="b">
        <v>0</v>
      </c>
      <c r="J1024" s="91" t="b">
        <v>0</v>
      </c>
      <c r="K1024" s="91" t="b">
        <v>0</v>
      </c>
      <c r="L1024" s="91" t="b">
        <v>0</v>
      </c>
    </row>
    <row r="1025" spans="1:12" ht="15">
      <c r="A1025" s="92" t="s">
        <v>2577</v>
      </c>
      <c r="B1025" s="91" t="s">
        <v>3139</v>
      </c>
      <c r="C1025" s="91">
        <v>2</v>
      </c>
      <c r="D1025" s="114">
        <v>0.0003907717217680664</v>
      </c>
      <c r="E1025" s="114">
        <v>1.9162077122755945</v>
      </c>
      <c r="F1025" s="91" t="s">
        <v>3159</v>
      </c>
      <c r="G1025" s="91" t="b">
        <v>0</v>
      </c>
      <c r="H1025" s="91" t="b">
        <v>0</v>
      </c>
      <c r="I1025" s="91" t="b">
        <v>0</v>
      </c>
      <c r="J1025" s="91" t="b">
        <v>0</v>
      </c>
      <c r="K1025" s="91" t="b">
        <v>0</v>
      </c>
      <c r="L1025" s="91" t="b">
        <v>0</v>
      </c>
    </row>
    <row r="1026" spans="1:12" ht="15">
      <c r="A1026" s="92" t="s">
        <v>3139</v>
      </c>
      <c r="B1026" s="91" t="s">
        <v>2934</v>
      </c>
      <c r="C1026" s="91">
        <v>2</v>
      </c>
      <c r="D1026" s="114">
        <v>0.0003907717217680664</v>
      </c>
      <c r="E1026" s="114">
        <v>3.281071262146046</v>
      </c>
      <c r="F1026" s="91" t="s">
        <v>3159</v>
      </c>
      <c r="G1026" s="91" t="b">
        <v>0</v>
      </c>
      <c r="H1026" s="91" t="b">
        <v>0</v>
      </c>
      <c r="I1026" s="91" t="b">
        <v>0</v>
      </c>
      <c r="J1026" s="91" t="b">
        <v>0</v>
      </c>
      <c r="K1026" s="91" t="b">
        <v>0</v>
      </c>
      <c r="L1026" s="91" t="b">
        <v>0</v>
      </c>
    </row>
    <row r="1027" spans="1:12" ht="15">
      <c r="A1027" s="92" t="s">
        <v>2934</v>
      </c>
      <c r="B1027" s="91" t="s">
        <v>3140</v>
      </c>
      <c r="C1027" s="91">
        <v>2</v>
      </c>
      <c r="D1027" s="114">
        <v>0.0003907717217680664</v>
      </c>
      <c r="E1027" s="114">
        <v>3.281071262146046</v>
      </c>
      <c r="F1027" s="91" t="s">
        <v>3159</v>
      </c>
      <c r="G1027" s="91" t="b">
        <v>0</v>
      </c>
      <c r="H1027" s="91" t="b">
        <v>0</v>
      </c>
      <c r="I1027" s="91" t="b">
        <v>0</v>
      </c>
      <c r="J1027" s="91" t="b">
        <v>0</v>
      </c>
      <c r="K1027" s="91" t="b">
        <v>0</v>
      </c>
      <c r="L1027" s="91" t="b">
        <v>0</v>
      </c>
    </row>
    <row r="1028" spans="1:12" ht="15">
      <c r="A1028" s="92" t="s">
        <v>3140</v>
      </c>
      <c r="B1028" s="91" t="s">
        <v>2568</v>
      </c>
      <c r="C1028" s="91">
        <v>2</v>
      </c>
      <c r="D1028" s="114">
        <v>0.0003907717217680664</v>
      </c>
      <c r="E1028" s="114">
        <v>1.7328866516009382</v>
      </c>
      <c r="F1028" s="91" t="s">
        <v>3159</v>
      </c>
      <c r="G1028" s="91" t="b">
        <v>0</v>
      </c>
      <c r="H1028" s="91" t="b">
        <v>0</v>
      </c>
      <c r="I1028" s="91" t="b">
        <v>0</v>
      </c>
      <c r="J1028" s="91" t="b">
        <v>0</v>
      </c>
      <c r="K1028" s="91" t="b">
        <v>0</v>
      </c>
      <c r="L1028" s="91" t="b">
        <v>0</v>
      </c>
    </row>
    <row r="1029" spans="1:12" ht="15">
      <c r="A1029" s="92" t="s">
        <v>2568</v>
      </c>
      <c r="B1029" s="91" t="s">
        <v>3141</v>
      </c>
      <c r="C1029" s="91">
        <v>2</v>
      </c>
      <c r="D1029" s="114">
        <v>0.0003907717217680664</v>
      </c>
      <c r="E1029" s="114">
        <v>1.7328866516009382</v>
      </c>
      <c r="F1029" s="91" t="s">
        <v>3159</v>
      </c>
      <c r="G1029" s="91" t="b">
        <v>0</v>
      </c>
      <c r="H1029" s="91" t="b">
        <v>0</v>
      </c>
      <c r="I1029" s="91" t="b">
        <v>0</v>
      </c>
      <c r="J1029" s="91" t="b">
        <v>0</v>
      </c>
      <c r="K1029" s="91" t="b">
        <v>0</v>
      </c>
      <c r="L1029" s="91" t="b">
        <v>0</v>
      </c>
    </row>
    <row r="1030" spans="1:12" ht="15">
      <c r="A1030" s="92" t="s">
        <v>3141</v>
      </c>
      <c r="B1030" s="91" t="s">
        <v>3142</v>
      </c>
      <c r="C1030" s="91">
        <v>2</v>
      </c>
      <c r="D1030" s="114">
        <v>0.0003907717217680664</v>
      </c>
      <c r="E1030" s="114">
        <v>3.758192516865708</v>
      </c>
      <c r="F1030" s="91" t="s">
        <v>3159</v>
      </c>
      <c r="G1030" s="91" t="b">
        <v>0</v>
      </c>
      <c r="H1030" s="91" t="b">
        <v>0</v>
      </c>
      <c r="I1030" s="91" t="b">
        <v>0</v>
      </c>
      <c r="J1030" s="91" t="b">
        <v>0</v>
      </c>
      <c r="K1030" s="91" t="b">
        <v>0</v>
      </c>
      <c r="L1030" s="91" t="b">
        <v>0</v>
      </c>
    </row>
    <row r="1031" spans="1:12" ht="15">
      <c r="A1031" s="92" t="s">
        <v>2658</v>
      </c>
      <c r="B1031" s="91" t="s">
        <v>2766</v>
      </c>
      <c r="C1031" s="91">
        <v>2</v>
      </c>
      <c r="D1031" s="114">
        <v>0.0003907717217680664</v>
      </c>
      <c r="E1031" s="114">
        <v>1.9038864750646278</v>
      </c>
      <c r="F1031" s="91" t="s">
        <v>3159</v>
      </c>
      <c r="G1031" s="91" t="b">
        <v>0</v>
      </c>
      <c r="H1031" s="91" t="b">
        <v>0</v>
      </c>
      <c r="I1031" s="91" t="b">
        <v>0</v>
      </c>
      <c r="J1031" s="91" t="b">
        <v>0</v>
      </c>
      <c r="K1031" s="91" t="b">
        <v>0</v>
      </c>
      <c r="L1031" s="91" t="b">
        <v>0</v>
      </c>
    </row>
    <row r="1032" spans="1:12" ht="15">
      <c r="A1032" s="92" t="s">
        <v>2766</v>
      </c>
      <c r="B1032" s="91" t="s">
        <v>3014</v>
      </c>
      <c r="C1032" s="91">
        <v>2</v>
      </c>
      <c r="D1032" s="114">
        <v>0.0003907717217680664</v>
      </c>
      <c r="E1032" s="114">
        <v>2.7167998317074833</v>
      </c>
      <c r="F1032" s="91" t="s">
        <v>3159</v>
      </c>
      <c r="G1032" s="91" t="b">
        <v>0</v>
      </c>
      <c r="H1032" s="91" t="b">
        <v>0</v>
      </c>
      <c r="I1032" s="91" t="b">
        <v>0</v>
      </c>
      <c r="J1032" s="91" t="b">
        <v>0</v>
      </c>
      <c r="K1032" s="91" t="b">
        <v>0</v>
      </c>
      <c r="L1032" s="91" t="b">
        <v>0</v>
      </c>
    </row>
    <row r="1033" spans="1:12" ht="15">
      <c r="A1033" s="92" t="s">
        <v>3014</v>
      </c>
      <c r="B1033" s="91" t="s">
        <v>2576</v>
      </c>
      <c r="C1033" s="91">
        <v>2</v>
      </c>
      <c r="D1033" s="114">
        <v>0.0003907717217680664</v>
      </c>
      <c r="E1033" s="114">
        <v>1.5908751821175324</v>
      </c>
      <c r="F1033" s="91" t="s">
        <v>3159</v>
      </c>
      <c r="G1033" s="91" t="b">
        <v>0</v>
      </c>
      <c r="H1033" s="91" t="b">
        <v>0</v>
      </c>
      <c r="I1033" s="91" t="b">
        <v>0</v>
      </c>
      <c r="J1033" s="91" t="b">
        <v>0</v>
      </c>
      <c r="K1033" s="91" t="b">
        <v>0</v>
      </c>
      <c r="L1033" s="91" t="b">
        <v>0</v>
      </c>
    </row>
    <row r="1034" spans="1:12" ht="15">
      <c r="A1034" s="92" t="s">
        <v>2589</v>
      </c>
      <c r="B1034" s="91" t="s">
        <v>3143</v>
      </c>
      <c r="C1034" s="91">
        <v>2</v>
      </c>
      <c r="D1034" s="114">
        <v>0.0003907717217680664</v>
      </c>
      <c r="E1034" s="114">
        <v>2.1197032599110712</v>
      </c>
      <c r="F1034" s="91" t="s">
        <v>3159</v>
      </c>
      <c r="G1034" s="91" t="b">
        <v>0</v>
      </c>
      <c r="H1034" s="91" t="b">
        <v>0</v>
      </c>
      <c r="I1034" s="91" t="b">
        <v>0</v>
      </c>
      <c r="J1034" s="91" t="b">
        <v>0</v>
      </c>
      <c r="K1034" s="91" t="b">
        <v>0</v>
      </c>
      <c r="L1034" s="91" t="b">
        <v>0</v>
      </c>
    </row>
    <row r="1035" spans="1:12" ht="15">
      <c r="A1035" s="92" t="s">
        <v>3143</v>
      </c>
      <c r="B1035" s="91" t="s">
        <v>2577</v>
      </c>
      <c r="C1035" s="91">
        <v>2</v>
      </c>
      <c r="D1035" s="114">
        <v>0.0003907717217680664</v>
      </c>
      <c r="E1035" s="114">
        <v>1.9162077122755945</v>
      </c>
      <c r="F1035" s="91" t="s">
        <v>3159</v>
      </c>
      <c r="G1035" s="91" t="b">
        <v>0</v>
      </c>
      <c r="H1035" s="91" t="b">
        <v>0</v>
      </c>
      <c r="I1035" s="91" t="b">
        <v>0</v>
      </c>
      <c r="J1035" s="91" t="b">
        <v>0</v>
      </c>
      <c r="K1035" s="91" t="b">
        <v>0</v>
      </c>
      <c r="L1035" s="91" t="b">
        <v>0</v>
      </c>
    </row>
    <row r="1036" spans="1:12" ht="15">
      <c r="A1036" s="92" t="s">
        <v>2577</v>
      </c>
      <c r="B1036" s="91" t="s">
        <v>3144</v>
      </c>
      <c r="C1036" s="91">
        <v>2</v>
      </c>
      <c r="D1036" s="114">
        <v>0.0003907717217680664</v>
      </c>
      <c r="E1036" s="114">
        <v>1.9162077122755945</v>
      </c>
      <c r="F1036" s="91" t="s">
        <v>3159</v>
      </c>
      <c r="G1036" s="91" t="b">
        <v>0</v>
      </c>
      <c r="H1036" s="91" t="b">
        <v>0</v>
      </c>
      <c r="I1036" s="91" t="b">
        <v>0</v>
      </c>
      <c r="J1036" s="91" t="b">
        <v>0</v>
      </c>
      <c r="K1036" s="91" t="b">
        <v>0</v>
      </c>
      <c r="L1036" s="91" t="b">
        <v>0</v>
      </c>
    </row>
    <row r="1037" spans="1:12" ht="15">
      <c r="A1037" s="92" t="s">
        <v>3144</v>
      </c>
      <c r="B1037" s="91" t="s">
        <v>3145</v>
      </c>
      <c r="C1037" s="91">
        <v>2</v>
      </c>
      <c r="D1037" s="114">
        <v>0.0003907717217680664</v>
      </c>
      <c r="E1037" s="114">
        <v>3.758192516865708</v>
      </c>
      <c r="F1037" s="91" t="s">
        <v>3159</v>
      </c>
      <c r="G1037" s="91" t="b">
        <v>0</v>
      </c>
      <c r="H1037" s="91" t="b">
        <v>0</v>
      </c>
      <c r="I1037" s="91" t="b">
        <v>0</v>
      </c>
      <c r="J1037" s="91" t="b">
        <v>0</v>
      </c>
      <c r="K1037" s="91" t="b">
        <v>0</v>
      </c>
      <c r="L1037" s="91" t="b">
        <v>0</v>
      </c>
    </row>
    <row r="1038" spans="1:12" ht="15">
      <c r="A1038" s="92" t="s">
        <v>3145</v>
      </c>
      <c r="B1038" s="91" t="s">
        <v>2650</v>
      </c>
      <c r="C1038" s="91">
        <v>2</v>
      </c>
      <c r="D1038" s="114">
        <v>0.0003907717217680664</v>
      </c>
      <c r="E1038" s="114">
        <v>2.7167998317074833</v>
      </c>
      <c r="F1038" s="91" t="s">
        <v>3159</v>
      </c>
      <c r="G1038" s="91" t="b">
        <v>0</v>
      </c>
      <c r="H1038" s="91" t="b">
        <v>0</v>
      </c>
      <c r="I1038" s="91" t="b">
        <v>0</v>
      </c>
      <c r="J1038" s="91" t="b">
        <v>0</v>
      </c>
      <c r="K1038" s="91" t="b">
        <v>0</v>
      </c>
      <c r="L1038" s="91" t="b">
        <v>0</v>
      </c>
    </row>
    <row r="1039" spans="1:12" ht="15">
      <c r="A1039" s="92" t="s">
        <v>2650</v>
      </c>
      <c r="B1039" s="91" t="s">
        <v>3146</v>
      </c>
      <c r="C1039" s="91">
        <v>2</v>
      </c>
      <c r="D1039" s="114">
        <v>0.0003907717217680664</v>
      </c>
      <c r="E1039" s="114">
        <v>2.5968245146307334</v>
      </c>
      <c r="F1039" s="91" t="s">
        <v>3159</v>
      </c>
      <c r="G1039" s="91" t="b">
        <v>0</v>
      </c>
      <c r="H1039" s="91" t="b">
        <v>0</v>
      </c>
      <c r="I1039" s="91" t="b">
        <v>0</v>
      </c>
      <c r="J1039" s="91" t="b">
        <v>0</v>
      </c>
      <c r="K1039" s="91" t="b">
        <v>0</v>
      </c>
      <c r="L1039" s="91" t="b">
        <v>0</v>
      </c>
    </row>
    <row r="1040" spans="1:12" ht="15">
      <c r="A1040" s="92" t="s">
        <v>3146</v>
      </c>
      <c r="B1040" s="91" t="s">
        <v>586</v>
      </c>
      <c r="C1040" s="91">
        <v>2</v>
      </c>
      <c r="D1040" s="114">
        <v>0.0003907717217680664</v>
      </c>
      <c r="E1040" s="114">
        <v>2.3602525081936707</v>
      </c>
      <c r="F1040" s="91" t="s">
        <v>3159</v>
      </c>
      <c r="G1040" s="91" t="b">
        <v>0</v>
      </c>
      <c r="H1040" s="91" t="b">
        <v>0</v>
      </c>
      <c r="I1040" s="91" t="b">
        <v>0</v>
      </c>
      <c r="J1040" s="91" t="b">
        <v>0</v>
      </c>
      <c r="K1040" s="91" t="b">
        <v>0</v>
      </c>
      <c r="L1040" s="91" t="b">
        <v>0</v>
      </c>
    </row>
    <row r="1041" spans="1:12" ht="15">
      <c r="A1041" s="92" t="s">
        <v>586</v>
      </c>
      <c r="B1041" s="91" t="s">
        <v>2576</v>
      </c>
      <c r="C1041" s="91">
        <v>2</v>
      </c>
      <c r="D1041" s="114">
        <v>0.0003907717217680664</v>
      </c>
      <c r="E1041" s="114">
        <v>0.5027390934169811</v>
      </c>
      <c r="F1041" s="91" t="s">
        <v>3159</v>
      </c>
      <c r="G1041" s="91" t="b">
        <v>0</v>
      </c>
      <c r="H1041" s="91" t="b">
        <v>0</v>
      </c>
      <c r="I1041" s="91" t="b">
        <v>0</v>
      </c>
      <c r="J1041" s="91" t="b">
        <v>0</v>
      </c>
      <c r="K1041" s="91" t="b">
        <v>0</v>
      </c>
      <c r="L1041" s="91" t="b">
        <v>0</v>
      </c>
    </row>
    <row r="1042" spans="1:12" ht="15">
      <c r="A1042" s="92" t="s">
        <v>2576</v>
      </c>
      <c r="B1042" s="91" t="s">
        <v>2871</v>
      </c>
      <c r="C1042" s="91">
        <v>2</v>
      </c>
      <c r="D1042" s="114">
        <v>0.0003907717217680664</v>
      </c>
      <c r="E1042" s="114">
        <v>1.347837133431238</v>
      </c>
      <c r="F1042" s="91" t="s">
        <v>3159</v>
      </c>
      <c r="G1042" s="91" t="b">
        <v>0</v>
      </c>
      <c r="H1042" s="91" t="b">
        <v>0</v>
      </c>
      <c r="I1042" s="91" t="b">
        <v>0</v>
      </c>
      <c r="J1042" s="91" t="b">
        <v>0</v>
      </c>
      <c r="K1042" s="91" t="b">
        <v>0</v>
      </c>
      <c r="L1042" s="91" t="b">
        <v>0</v>
      </c>
    </row>
    <row r="1043" spans="1:12" ht="15">
      <c r="A1043" s="92" t="s">
        <v>2872</v>
      </c>
      <c r="B1043" s="91" t="s">
        <v>2652</v>
      </c>
      <c r="C1043" s="91">
        <v>2</v>
      </c>
      <c r="D1043" s="114">
        <v>0.0003907717217680664</v>
      </c>
      <c r="E1043" s="114">
        <v>2.067996436837195</v>
      </c>
      <c r="F1043" s="91" t="s">
        <v>3159</v>
      </c>
      <c r="G1043" s="91" t="b">
        <v>0</v>
      </c>
      <c r="H1043" s="91" t="b">
        <v>0</v>
      </c>
      <c r="I1043" s="91" t="b">
        <v>0</v>
      </c>
      <c r="J1043" s="91" t="b">
        <v>0</v>
      </c>
      <c r="K1043" s="91" t="b">
        <v>0</v>
      </c>
      <c r="L1043" s="91" t="b">
        <v>0</v>
      </c>
    </row>
    <row r="1044" spans="1:12" ht="15">
      <c r="A1044" s="92" t="s">
        <v>2652</v>
      </c>
      <c r="B1044" s="91" t="s">
        <v>2589</v>
      </c>
      <c r="C1044" s="91">
        <v>2</v>
      </c>
      <c r="D1044" s="114">
        <v>0.0003907717217680664</v>
      </c>
      <c r="E1044" s="114">
        <v>1.0438627571204755</v>
      </c>
      <c r="F1044" s="91" t="s">
        <v>3159</v>
      </c>
      <c r="G1044" s="91" t="b">
        <v>0</v>
      </c>
      <c r="H1044" s="91" t="b">
        <v>0</v>
      </c>
      <c r="I1044" s="91" t="b">
        <v>0</v>
      </c>
      <c r="J1044" s="91" t="b">
        <v>0</v>
      </c>
      <c r="K1044" s="91" t="b">
        <v>0</v>
      </c>
      <c r="L1044" s="91" t="b">
        <v>0</v>
      </c>
    </row>
    <row r="1045" spans="1:12" ht="15">
      <c r="A1045" s="92" t="s">
        <v>2589</v>
      </c>
      <c r="B1045" s="91" t="s">
        <v>3147</v>
      </c>
      <c r="C1045" s="91">
        <v>2</v>
      </c>
      <c r="D1045" s="114">
        <v>0.0003907717217680664</v>
      </c>
      <c r="E1045" s="114">
        <v>2.1197032599110712</v>
      </c>
      <c r="F1045" s="91" t="s">
        <v>3159</v>
      </c>
      <c r="G1045" s="91" t="b">
        <v>0</v>
      </c>
      <c r="H1045" s="91" t="b">
        <v>0</v>
      </c>
      <c r="I1045" s="91" t="b">
        <v>0</v>
      </c>
      <c r="J1045" s="91" t="b">
        <v>0</v>
      </c>
      <c r="K1045" s="91" t="b">
        <v>0</v>
      </c>
      <c r="L1045" s="91" t="b">
        <v>0</v>
      </c>
    </row>
    <row r="1046" spans="1:12" ht="15">
      <c r="A1046" s="92" t="s">
        <v>3147</v>
      </c>
      <c r="B1046" s="91" t="s">
        <v>2580</v>
      </c>
      <c r="C1046" s="91">
        <v>2</v>
      </c>
      <c r="D1046" s="114">
        <v>0.0003907717217680664</v>
      </c>
      <c r="E1046" s="114">
        <v>1.9486328022304407</v>
      </c>
      <c r="F1046" s="91" t="s">
        <v>3159</v>
      </c>
      <c r="G1046" s="91" t="b">
        <v>0</v>
      </c>
      <c r="H1046" s="91" t="b">
        <v>0</v>
      </c>
      <c r="I1046" s="91" t="b">
        <v>0</v>
      </c>
      <c r="J1046" s="91" t="b">
        <v>0</v>
      </c>
      <c r="K1046" s="91" t="b">
        <v>0</v>
      </c>
      <c r="L1046" s="91" t="b">
        <v>0</v>
      </c>
    </row>
    <row r="1047" spans="1:12" ht="15">
      <c r="A1047" s="92" t="s">
        <v>2580</v>
      </c>
      <c r="B1047" s="91" t="s">
        <v>3014</v>
      </c>
      <c r="C1047" s="91">
        <v>2</v>
      </c>
      <c r="D1047" s="114">
        <v>0.0003907717217680664</v>
      </c>
      <c r="E1047" s="114">
        <v>1.6476028065664594</v>
      </c>
      <c r="F1047" s="91" t="s">
        <v>3159</v>
      </c>
      <c r="G1047" s="91" t="b">
        <v>0</v>
      </c>
      <c r="H1047" s="91" t="b">
        <v>0</v>
      </c>
      <c r="I1047" s="91" t="b">
        <v>0</v>
      </c>
      <c r="J1047" s="91" t="b">
        <v>0</v>
      </c>
      <c r="K1047" s="91" t="b">
        <v>0</v>
      </c>
      <c r="L1047" s="91" t="b">
        <v>0</v>
      </c>
    </row>
    <row r="1048" spans="1:12" ht="15">
      <c r="A1048" s="92" t="s">
        <v>3014</v>
      </c>
      <c r="B1048" s="91" t="s">
        <v>2589</v>
      </c>
      <c r="C1048" s="91">
        <v>2</v>
      </c>
      <c r="D1048" s="114">
        <v>0.0003907717217680664</v>
      </c>
      <c r="E1048" s="114">
        <v>1.8889607971347322</v>
      </c>
      <c r="F1048" s="91" t="s">
        <v>3159</v>
      </c>
      <c r="G1048" s="91" t="b">
        <v>0</v>
      </c>
      <c r="H1048" s="91" t="b">
        <v>0</v>
      </c>
      <c r="I1048" s="91" t="b">
        <v>0</v>
      </c>
      <c r="J1048" s="91" t="b">
        <v>0</v>
      </c>
      <c r="K1048" s="91" t="b">
        <v>0</v>
      </c>
      <c r="L1048" s="91" t="b">
        <v>0</v>
      </c>
    </row>
    <row r="1049" spans="1:12" ht="15">
      <c r="A1049" s="92" t="s">
        <v>2589</v>
      </c>
      <c r="B1049" s="91" t="s">
        <v>3148</v>
      </c>
      <c r="C1049" s="91">
        <v>2</v>
      </c>
      <c r="D1049" s="114">
        <v>0.0003907717217680664</v>
      </c>
      <c r="E1049" s="114">
        <v>2.1197032599110712</v>
      </c>
      <c r="F1049" s="91" t="s">
        <v>3159</v>
      </c>
      <c r="G1049" s="91" t="b">
        <v>0</v>
      </c>
      <c r="H1049" s="91" t="b">
        <v>0</v>
      </c>
      <c r="I1049" s="91" t="b">
        <v>0</v>
      </c>
      <c r="J1049" s="91" t="b">
        <v>0</v>
      </c>
      <c r="K1049" s="91" t="b">
        <v>0</v>
      </c>
      <c r="L1049" s="91" t="b">
        <v>0</v>
      </c>
    </row>
    <row r="1050" spans="1:12" ht="15">
      <c r="A1050" s="92" t="s">
        <v>3148</v>
      </c>
      <c r="B1050" s="91" t="s">
        <v>2636</v>
      </c>
      <c r="C1050" s="91">
        <v>2</v>
      </c>
      <c r="D1050" s="114">
        <v>0.0003907717217680664</v>
      </c>
      <c r="E1050" s="114">
        <v>2.7370032177957704</v>
      </c>
      <c r="F1050" s="91" t="s">
        <v>3159</v>
      </c>
      <c r="G1050" s="91" t="b">
        <v>0</v>
      </c>
      <c r="H1050" s="91" t="b">
        <v>0</v>
      </c>
      <c r="I1050" s="91" t="b">
        <v>0</v>
      </c>
      <c r="J1050" s="91" t="b">
        <v>0</v>
      </c>
      <c r="K1050" s="91" t="b">
        <v>0</v>
      </c>
      <c r="L1050" s="91" t="b">
        <v>0</v>
      </c>
    </row>
    <row r="1051" spans="1:12" ht="15">
      <c r="A1051" s="92" t="s">
        <v>2636</v>
      </c>
      <c r="B1051" s="91" t="s">
        <v>3149</v>
      </c>
      <c r="C1051" s="91">
        <v>2</v>
      </c>
      <c r="D1051" s="114">
        <v>0.0003907717217680664</v>
      </c>
      <c r="E1051" s="114">
        <v>2.4571625212017274</v>
      </c>
      <c r="F1051" s="91" t="s">
        <v>3159</v>
      </c>
      <c r="G1051" s="91" t="b">
        <v>0</v>
      </c>
      <c r="H1051" s="91" t="b">
        <v>0</v>
      </c>
      <c r="I1051" s="91" t="b">
        <v>0</v>
      </c>
      <c r="J1051" s="91" t="b">
        <v>0</v>
      </c>
      <c r="K1051" s="91" t="b">
        <v>0</v>
      </c>
      <c r="L1051" s="91" t="b">
        <v>0</v>
      </c>
    </row>
    <row r="1052" spans="1:12" ht="15">
      <c r="A1052" s="92" t="s">
        <v>3149</v>
      </c>
      <c r="B1052" s="91" t="s">
        <v>2895</v>
      </c>
      <c r="C1052" s="91">
        <v>2</v>
      </c>
      <c r="D1052" s="114">
        <v>0.0003907717217680664</v>
      </c>
      <c r="E1052" s="114">
        <v>3.3602525081936707</v>
      </c>
      <c r="F1052" s="91" t="s">
        <v>3159</v>
      </c>
      <c r="G1052" s="91" t="b">
        <v>0</v>
      </c>
      <c r="H1052" s="91" t="b">
        <v>0</v>
      </c>
      <c r="I1052" s="91" t="b">
        <v>0</v>
      </c>
      <c r="J1052" s="91" t="b">
        <v>0</v>
      </c>
      <c r="K1052" s="91" t="b">
        <v>0</v>
      </c>
      <c r="L1052" s="91" t="b">
        <v>0</v>
      </c>
    </row>
    <row r="1053" spans="1:12" ht="15">
      <c r="A1053" s="92" t="s">
        <v>2895</v>
      </c>
      <c r="B1053" s="91" t="s">
        <v>3150</v>
      </c>
      <c r="C1053" s="91">
        <v>2</v>
      </c>
      <c r="D1053" s="114">
        <v>0.0003907717217680664</v>
      </c>
      <c r="E1053" s="114">
        <v>3.281071262146046</v>
      </c>
      <c r="F1053" s="91" t="s">
        <v>3159</v>
      </c>
      <c r="G1053" s="91" t="b">
        <v>0</v>
      </c>
      <c r="H1053" s="91" t="b">
        <v>0</v>
      </c>
      <c r="I1053" s="91" t="b">
        <v>0</v>
      </c>
      <c r="J1053" s="91" t="b">
        <v>0</v>
      </c>
      <c r="K1053" s="91" t="b">
        <v>0</v>
      </c>
      <c r="L1053" s="91" t="b">
        <v>0</v>
      </c>
    </row>
    <row r="1054" spans="1:12" ht="15">
      <c r="A1054" s="92" t="s">
        <v>3150</v>
      </c>
      <c r="B1054" s="91" t="s">
        <v>2608</v>
      </c>
      <c r="C1054" s="91">
        <v>2</v>
      </c>
      <c r="D1054" s="114">
        <v>0.0003907717217680664</v>
      </c>
      <c r="E1054" s="114">
        <v>2.2267135998234533</v>
      </c>
      <c r="F1054" s="91" t="s">
        <v>3159</v>
      </c>
      <c r="G1054" s="91" t="b">
        <v>0</v>
      </c>
      <c r="H1054" s="91" t="b">
        <v>0</v>
      </c>
      <c r="I1054" s="91" t="b">
        <v>0</v>
      </c>
      <c r="J1054" s="91" t="b">
        <v>0</v>
      </c>
      <c r="K1054" s="91" t="b">
        <v>0</v>
      </c>
      <c r="L1054" s="91" t="b">
        <v>0</v>
      </c>
    </row>
    <row r="1055" spans="1:12" ht="15">
      <c r="A1055" s="92" t="s">
        <v>2608</v>
      </c>
      <c r="B1055" s="91" t="s">
        <v>2573</v>
      </c>
      <c r="C1055" s="91">
        <v>2</v>
      </c>
      <c r="D1055" s="114">
        <v>0.0003907717217680664</v>
      </c>
      <c r="E1055" s="114">
        <v>0.3102596512735282</v>
      </c>
      <c r="F1055" s="91" t="s">
        <v>3159</v>
      </c>
      <c r="G1055" s="91" t="b">
        <v>0</v>
      </c>
      <c r="H1055" s="91" t="b">
        <v>0</v>
      </c>
      <c r="I1055" s="91" t="b">
        <v>0</v>
      </c>
      <c r="J1055" s="91" t="b">
        <v>0</v>
      </c>
      <c r="K1055" s="91" t="b">
        <v>0</v>
      </c>
      <c r="L1055" s="91" t="b">
        <v>0</v>
      </c>
    </row>
    <row r="1056" spans="1:12" ht="15">
      <c r="A1056" s="92" t="s">
        <v>2573</v>
      </c>
      <c r="B1056" s="91" t="s">
        <v>3151</v>
      </c>
      <c r="C1056" s="91">
        <v>2</v>
      </c>
      <c r="D1056" s="114">
        <v>0.0003907717217680664</v>
      </c>
      <c r="E1056" s="114">
        <v>1.8417385683157834</v>
      </c>
      <c r="F1056" s="91" t="s">
        <v>3159</v>
      </c>
      <c r="G1056" s="91" t="b">
        <v>0</v>
      </c>
      <c r="H1056" s="91" t="b">
        <v>0</v>
      </c>
      <c r="I1056" s="91" t="b">
        <v>0</v>
      </c>
      <c r="J1056" s="91" t="b">
        <v>0</v>
      </c>
      <c r="K1056" s="91" t="b">
        <v>0</v>
      </c>
      <c r="L1056" s="91" t="b">
        <v>0</v>
      </c>
    </row>
    <row r="1057" spans="1:12" ht="15">
      <c r="A1057" s="92" t="s">
        <v>3151</v>
      </c>
      <c r="B1057" s="91" t="s">
        <v>3152</v>
      </c>
      <c r="C1057" s="91">
        <v>2</v>
      </c>
      <c r="D1057" s="114">
        <v>0.0003907717217680664</v>
      </c>
      <c r="E1057" s="114">
        <v>3.758192516865708</v>
      </c>
      <c r="F1057" s="91" t="s">
        <v>3159</v>
      </c>
      <c r="G1057" s="91" t="b">
        <v>0</v>
      </c>
      <c r="H1057" s="91" t="b">
        <v>0</v>
      </c>
      <c r="I1057" s="91" t="b">
        <v>0</v>
      </c>
      <c r="J1057" s="91" t="b">
        <v>0</v>
      </c>
      <c r="K1057" s="91" t="b">
        <v>0</v>
      </c>
      <c r="L1057" s="91" t="b">
        <v>0</v>
      </c>
    </row>
    <row r="1058" spans="1:12" ht="15">
      <c r="A1058" s="92" t="s">
        <v>3152</v>
      </c>
      <c r="B1058" s="91" t="s">
        <v>2564</v>
      </c>
      <c r="C1058" s="91">
        <v>2</v>
      </c>
      <c r="D1058" s="114">
        <v>0.0003907717217680664</v>
      </c>
      <c r="E1058" s="114">
        <v>1.4370084895633943</v>
      </c>
      <c r="F1058" s="91" t="s">
        <v>3159</v>
      </c>
      <c r="G1058" s="91" t="b">
        <v>0</v>
      </c>
      <c r="H1058" s="91" t="b">
        <v>0</v>
      </c>
      <c r="I1058" s="91" t="b">
        <v>0</v>
      </c>
      <c r="J1058" s="91" t="b">
        <v>0</v>
      </c>
      <c r="K1058" s="91" t="b">
        <v>0</v>
      </c>
      <c r="L1058" s="91" t="b">
        <v>0</v>
      </c>
    </row>
    <row r="1059" spans="1:12" ht="15">
      <c r="A1059" s="92" t="s">
        <v>2564</v>
      </c>
      <c r="B1059" s="91" t="s">
        <v>3153</v>
      </c>
      <c r="C1059" s="91">
        <v>2</v>
      </c>
      <c r="D1059" s="114">
        <v>0.0003907717217680664</v>
      </c>
      <c r="E1059" s="114">
        <v>1.4637262907041155</v>
      </c>
      <c r="F1059" s="91" t="s">
        <v>3159</v>
      </c>
      <c r="G1059" s="91" t="b">
        <v>0</v>
      </c>
      <c r="H1059" s="91" t="b">
        <v>0</v>
      </c>
      <c r="I1059" s="91" t="b">
        <v>0</v>
      </c>
      <c r="J1059" s="91" t="b">
        <v>0</v>
      </c>
      <c r="K1059" s="91" t="b">
        <v>0</v>
      </c>
      <c r="L1059" s="91" t="b">
        <v>0</v>
      </c>
    </row>
    <row r="1060" spans="1:12" ht="15">
      <c r="A1060" s="92" t="s">
        <v>2564</v>
      </c>
      <c r="B1060" s="91" t="s">
        <v>2574</v>
      </c>
      <c r="C1060" s="91">
        <v>80</v>
      </c>
      <c r="D1060" s="114">
        <v>0.005292992945502348</v>
      </c>
      <c r="E1060" s="114">
        <v>1.3218732130690123</v>
      </c>
      <c r="F1060" s="91" t="s">
        <v>2518</v>
      </c>
      <c r="G1060" s="91" t="b">
        <v>0</v>
      </c>
      <c r="H1060" s="91" t="b">
        <v>0</v>
      </c>
      <c r="I1060" s="91" t="b">
        <v>0</v>
      </c>
      <c r="J1060" s="91" t="b">
        <v>0</v>
      </c>
      <c r="K1060" s="91" t="b">
        <v>0</v>
      </c>
      <c r="L1060" s="91" t="b">
        <v>0</v>
      </c>
    </row>
    <row r="1061" spans="1:12" ht="15">
      <c r="A1061" s="92" t="s">
        <v>2566</v>
      </c>
      <c r="B1061" s="91" t="s">
        <v>2584</v>
      </c>
      <c r="C1061" s="91">
        <v>80</v>
      </c>
      <c r="D1061" s="114">
        <v>0.005292992945502348</v>
      </c>
      <c r="E1061" s="114">
        <v>1.5265250935034913</v>
      </c>
      <c r="F1061" s="91" t="s">
        <v>2518</v>
      </c>
      <c r="G1061" s="91" t="b">
        <v>0</v>
      </c>
      <c r="H1061" s="91" t="b">
        <v>0</v>
      </c>
      <c r="I1061" s="91" t="b">
        <v>0</v>
      </c>
      <c r="J1061" s="91" t="b">
        <v>0</v>
      </c>
      <c r="K1061" s="91" t="b">
        <v>0</v>
      </c>
      <c r="L1061" s="91" t="b">
        <v>0</v>
      </c>
    </row>
    <row r="1062" spans="1:12" ht="15">
      <c r="A1062" s="92" t="s">
        <v>2575</v>
      </c>
      <c r="B1062" s="91" t="s">
        <v>2570</v>
      </c>
      <c r="C1062" s="91">
        <v>74</v>
      </c>
      <c r="D1062" s="114">
        <v>0.005366713905232466</v>
      </c>
      <c r="E1062" s="114">
        <v>1.3173331678707252</v>
      </c>
      <c r="F1062" s="91" t="s">
        <v>2518</v>
      </c>
      <c r="G1062" s="91" t="b">
        <v>0</v>
      </c>
      <c r="H1062" s="91" t="b">
        <v>0</v>
      </c>
      <c r="I1062" s="91" t="b">
        <v>0</v>
      </c>
      <c r="J1062" s="91" t="b">
        <v>0</v>
      </c>
      <c r="K1062" s="91" t="b">
        <v>0</v>
      </c>
      <c r="L1062" s="91" t="b">
        <v>0</v>
      </c>
    </row>
    <row r="1063" spans="1:12" ht="15">
      <c r="A1063" s="92" t="s">
        <v>2568</v>
      </c>
      <c r="B1063" s="91" t="s">
        <v>2592</v>
      </c>
      <c r="C1063" s="91">
        <v>63</v>
      </c>
      <c r="D1063" s="114">
        <v>0.005396151269196438</v>
      </c>
      <c r="E1063" s="114">
        <v>1.6818327466358804</v>
      </c>
      <c r="F1063" s="91" t="s">
        <v>2518</v>
      </c>
      <c r="G1063" s="91" t="b">
        <v>0</v>
      </c>
      <c r="H1063" s="91" t="b">
        <v>0</v>
      </c>
      <c r="I1063" s="91" t="b">
        <v>0</v>
      </c>
      <c r="J1063" s="91" t="b">
        <v>0</v>
      </c>
      <c r="K1063" s="91" t="b">
        <v>0</v>
      </c>
      <c r="L1063" s="91" t="b">
        <v>0</v>
      </c>
    </row>
    <row r="1064" spans="1:12" ht="15">
      <c r="A1064" s="92" t="s">
        <v>2581</v>
      </c>
      <c r="B1064" s="91" t="s">
        <v>2586</v>
      </c>
      <c r="C1064" s="91">
        <v>62</v>
      </c>
      <c r="D1064" s="114">
        <v>0.005391435387471959</v>
      </c>
      <c r="E1064" s="114">
        <v>1.7569740148817652</v>
      </c>
      <c r="F1064" s="91" t="s">
        <v>2518</v>
      </c>
      <c r="G1064" s="91" t="b">
        <v>0</v>
      </c>
      <c r="H1064" s="91" t="b">
        <v>0</v>
      </c>
      <c r="I1064" s="91" t="b">
        <v>0</v>
      </c>
      <c r="J1064" s="91" t="b">
        <v>0</v>
      </c>
      <c r="K1064" s="91" t="b">
        <v>0</v>
      </c>
      <c r="L1064" s="91" t="b">
        <v>0</v>
      </c>
    </row>
    <row r="1065" spans="1:12" ht="15">
      <c r="A1065" s="92" t="s">
        <v>2585</v>
      </c>
      <c r="B1065" s="91" t="s">
        <v>2566</v>
      </c>
      <c r="C1065" s="91">
        <v>61</v>
      </c>
      <c r="D1065" s="114">
        <v>0.005385403508481097</v>
      </c>
      <c r="E1065" s="114">
        <v>1.4985487229238528</v>
      </c>
      <c r="F1065" s="91" t="s">
        <v>2518</v>
      </c>
      <c r="G1065" s="91" t="b">
        <v>0</v>
      </c>
      <c r="H1065" s="91" t="b">
        <v>0</v>
      </c>
      <c r="I1065" s="91" t="b">
        <v>0</v>
      </c>
      <c r="J1065" s="91" t="b">
        <v>0</v>
      </c>
      <c r="K1065" s="91" t="b">
        <v>0</v>
      </c>
      <c r="L1065" s="91" t="b">
        <v>0</v>
      </c>
    </row>
    <row r="1066" spans="1:12" ht="15">
      <c r="A1066" s="92" t="s">
        <v>2586</v>
      </c>
      <c r="B1066" s="91" t="s">
        <v>2595</v>
      </c>
      <c r="C1066" s="91">
        <v>55</v>
      </c>
      <c r="D1066" s="114">
        <v>0.0053203155849142255</v>
      </c>
      <c r="E1066" s="114">
        <v>1.9188248348228363</v>
      </c>
      <c r="F1066" s="91" t="s">
        <v>2518</v>
      </c>
      <c r="G1066" s="91" t="b">
        <v>0</v>
      </c>
      <c r="H1066" s="91" t="b">
        <v>0</v>
      </c>
      <c r="I1066" s="91" t="b">
        <v>0</v>
      </c>
      <c r="J1066" s="91" t="b">
        <v>0</v>
      </c>
      <c r="K1066" s="91" t="b">
        <v>0</v>
      </c>
      <c r="L1066" s="91" t="b">
        <v>0</v>
      </c>
    </row>
    <row r="1067" spans="1:12" ht="15">
      <c r="A1067" s="92" t="s">
        <v>2595</v>
      </c>
      <c r="B1067" s="91" t="s">
        <v>2568</v>
      </c>
      <c r="C1067" s="91">
        <v>55</v>
      </c>
      <c r="D1067" s="114">
        <v>0.0053203155849142255</v>
      </c>
      <c r="E1067" s="114">
        <v>1.6818327466358804</v>
      </c>
      <c r="F1067" s="91" t="s">
        <v>2518</v>
      </c>
      <c r="G1067" s="91" t="b">
        <v>0</v>
      </c>
      <c r="H1067" s="91" t="b">
        <v>0</v>
      </c>
      <c r="I1067" s="91" t="b">
        <v>0</v>
      </c>
      <c r="J1067" s="91" t="b">
        <v>0</v>
      </c>
      <c r="K1067" s="91" t="b">
        <v>0</v>
      </c>
      <c r="L1067" s="91" t="b">
        <v>0</v>
      </c>
    </row>
    <row r="1068" spans="1:12" ht="15">
      <c r="A1068" s="92" t="s">
        <v>2592</v>
      </c>
      <c r="B1068" s="91" t="s">
        <v>2567</v>
      </c>
      <c r="C1068" s="91">
        <v>55</v>
      </c>
      <c r="D1068" s="114">
        <v>0.0053203155849142255</v>
      </c>
      <c r="E1068" s="114">
        <v>1.5155180972053455</v>
      </c>
      <c r="F1068" s="91" t="s">
        <v>2518</v>
      </c>
      <c r="G1068" s="91" t="b">
        <v>0</v>
      </c>
      <c r="H1068" s="91" t="b">
        <v>0</v>
      </c>
      <c r="I1068" s="91" t="b">
        <v>0</v>
      </c>
      <c r="J1068" s="91" t="b">
        <v>0</v>
      </c>
      <c r="K1068" s="91" t="b">
        <v>0</v>
      </c>
      <c r="L1068" s="91" t="b">
        <v>0</v>
      </c>
    </row>
    <row r="1069" spans="1:12" ht="15">
      <c r="A1069" s="92" t="s">
        <v>2567</v>
      </c>
      <c r="B1069" s="91" t="s">
        <v>2576</v>
      </c>
      <c r="C1069" s="91">
        <v>55</v>
      </c>
      <c r="D1069" s="114">
        <v>0.0053203155849142255</v>
      </c>
      <c r="E1069" s="114">
        <v>1.4159893965718766</v>
      </c>
      <c r="F1069" s="91" t="s">
        <v>2518</v>
      </c>
      <c r="G1069" s="91" t="b">
        <v>0</v>
      </c>
      <c r="H1069" s="91" t="b">
        <v>0</v>
      </c>
      <c r="I1069" s="91" t="b">
        <v>0</v>
      </c>
      <c r="J1069" s="91" t="b">
        <v>0</v>
      </c>
      <c r="K1069" s="91" t="b">
        <v>0</v>
      </c>
      <c r="L1069" s="91" t="b">
        <v>0</v>
      </c>
    </row>
    <row r="1070" spans="1:12" ht="15">
      <c r="A1070" s="92" t="s">
        <v>2576</v>
      </c>
      <c r="B1070" s="91" t="s">
        <v>2596</v>
      </c>
      <c r="C1070" s="91">
        <v>55</v>
      </c>
      <c r="D1070" s="114">
        <v>0.0053203155849142255</v>
      </c>
      <c r="E1070" s="114">
        <v>1.8027315054424404</v>
      </c>
      <c r="F1070" s="91" t="s">
        <v>2518</v>
      </c>
      <c r="G1070" s="91" t="b">
        <v>0</v>
      </c>
      <c r="H1070" s="91" t="b">
        <v>0</v>
      </c>
      <c r="I1070" s="91" t="b">
        <v>0</v>
      </c>
      <c r="J1070" s="91" t="b">
        <v>0</v>
      </c>
      <c r="K1070" s="91" t="b">
        <v>0</v>
      </c>
      <c r="L1070" s="91" t="b">
        <v>0</v>
      </c>
    </row>
    <row r="1071" spans="1:12" ht="15">
      <c r="A1071" s="92" t="s">
        <v>2596</v>
      </c>
      <c r="B1071" s="91" t="s">
        <v>2597</v>
      </c>
      <c r="C1071" s="91">
        <v>55</v>
      </c>
      <c r="D1071" s="114">
        <v>0.0053203155849142255</v>
      </c>
      <c r="E1071" s="114">
        <v>1.9708538348268463</v>
      </c>
      <c r="F1071" s="91" t="s">
        <v>2518</v>
      </c>
      <c r="G1071" s="91" t="b">
        <v>0</v>
      </c>
      <c r="H1071" s="91" t="b">
        <v>0</v>
      </c>
      <c r="I1071" s="91" t="b">
        <v>0</v>
      </c>
      <c r="J1071" s="91" t="b">
        <v>0</v>
      </c>
      <c r="K1071" s="91" t="b">
        <v>0</v>
      </c>
      <c r="L1071" s="91" t="b">
        <v>0</v>
      </c>
    </row>
    <row r="1072" spans="1:12" ht="15">
      <c r="A1072" s="92" t="s">
        <v>2597</v>
      </c>
      <c r="B1072" s="91" t="s">
        <v>2598</v>
      </c>
      <c r="C1072" s="91">
        <v>55</v>
      </c>
      <c r="D1072" s="114">
        <v>0.0053203155849142255</v>
      </c>
      <c r="E1072" s="114">
        <v>1.9708538348268463</v>
      </c>
      <c r="F1072" s="91" t="s">
        <v>2518</v>
      </c>
      <c r="G1072" s="91" t="b">
        <v>0</v>
      </c>
      <c r="H1072" s="91" t="b">
        <v>0</v>
      </c>
      <c r="I1072" s="91" t="b">
        <v>0</v>
      </c>
      <c r="J1072" s="91" t="b">
        <v>0</v>
      </c>
      <c r="K1072" s="91" t="b">
        <v>0</v>
      </c>
      <c r="L1072" s="91" t="b">
        <v>0</v>
      </c>
    </row>
    <row r="1073" spans="1:12" ht="15">
      <c r="A1073" s="92" t="s">
        <v>2598</v>
      </c>
      <c r="B1073" s="91" t="s">
        <v>2599</v>
      </c>
      <c r="C1073" s="91">
        <v>55</v>
      </c>
      <c r="D1073" s="114">
        <v>0.0053203155849142255</v>
      </c>
      <c r="E1073" s="114">
        <v>1.9708538348268463</v>
      </c>
      <c r="F1073" s="91" t="s">
        <v>2518</v>
      </c>
      <c r="G1073" s="91" t="b">
        <v>0</v>
      </c>
      <c r="H1073" s="91" t="b">
        <v>0</v>
      </c>
      <c r="I1073" s="91" t="b">
        <v>0</v>
      </c>
      <c r="J1073" s="91" t="b">
        <v>0</v>
      </c>
      <c r="K1073" s="91" t="b">
        <v>0</v>
      </c>
      <c r="L1073" s="91" t="b">
        <v>0</v>
      </c>
    </row>
    <row r="1074" spans="1:12" ht="15">
      <c r="A1074" s="92" t="s">
        <v>2599</v>
      </c>
      <c r="B1074" s="91" t="s">
        <v>2600</v>
      </c>
      <c r="C1074" s="91">
        <v>55</v>
      </c>
      <c r="D1074" s="114">
        <v>0.0053203155849142255</v>
      </c>
      <c r="E1074" s="114">
        <v>1.9708538348268463</v>
      </c>
      <c r="F1074" s="91" t="s">
        <v>2518</v>
      </c>
      <c r="G1074" s="91" t="b">
        <v>0</v>
      </c>
      <c r="H1074" s="91" t="b">
        <v>0</v>
      </c>
      <c r="I1074" s="91" t="b">
        <v>0</v>
      </c>
      <c r="J1074" s="91" t="b">
        <v>0</v>
      </c>
      <c r="K1074" s="91" t="b">
        <v>0</v>
      </c>
      <c r="L1074" s="91" t="b">
        <v>0</v>
      </c>
    </row>
    <row r="1075" spans="1:12" ht="15">
      <c r="A1075" s="92" t="s">
        <v>2600</v>
      </c>
      <c r="B1075" s="91" t="s">
        <v>2601</v>
      </c>
      <c r="C1075" s="91">
        <v>55</v>
      </c>
      <c r="D1075" s="114">
        <v>0.0053203155849142255</v>
      </c>
      <c r="E1075" s="114">
        <v>1.9708538348268463</v>
      </c>
      <c r="F1075" s="91" t="s">
        <v>2518</v>
      </c>
      <c r="G1075" s="91" t="b">
        <v>0</v>
      </c>
      <c r="H1075" s="91" t="b">
        <v>0</v>
      </c>
      <c r="I1075" s="91" t="b">
        <v>0</v>
      </c>
      <c r="J1075" s="91" t="b">
        <v>0</v>
      </c>
      <c r="K1075" s="91" t="b">
        <v>0</v>
      </c>
      <c r="L1075" s="91" t="b">
        <v>0</v>
      </c>
    </row>
    <row r="1076" spans="1:12" ht="15">
      <c r="A1076" s="92" t="s">
        <v>2601</v>
      </c>
      <c r="B1076" s="91" t="s">
        <v>2565</v>
      </c>
      <c r="C1076" s="91">
        <v>55</v>
      </c>
      <c r="D1076" s="114">
        <v>0.0053203155849142255</v>
      </c>
      <c r="E1076" s="114">
        <v>1.5873648833540044</v>
      </c>
      <c r="F1076" s="91" t="s">
        <v>2518</v>
      </c>
      <c r="G1076" s="91" t="b">
        <v>0</v>
      </c>
      <c r="H1076" s="91" t="b">
        <v>0</v>
      </c>
      <c r="I1076" s="91" t="b">
        <v>0</v>
      </c>
      <c r="J1076" s="91" t="b">
        <v>0</v>
      </c>
      <c r="K1076" s="91" t="b">
        <v>0</v>
      </c>
      <c r="L1076" s="91" t="b">
        <v>0</v>
      </c>
    </row>
    <row r="1077" spans="1:12" ht="15">
      <c r="A1077" s="92" t="s">
        <v>2565</v>
      </c>
      <c r="B1077" s="91" t="s">
        <v>2564</v>
      </c>
      <c r="C1077" s="91">
        <v>55</v>
      </c>
      <c r="D1077" s="114">
        <v>0.0053203155849142255</v>
      </c>
      <c r="E1077" s="114">
        <v>1.072455067744942</v>
      </c>
      <c r="F1077" s="91" t="s">
        <v>2518</v>
      </c>
      <c r="G1077" s="91" t="b">
        <v>0</v>
      </c>
      <c r="H1077" s="91" t="b">
        <v>0</v>
      </c>
      <c r="I1077" s="91" t="b">
        <v>0</v>
      </c>
      <c r="J1077" s="91" t="b">
        <v>0</v>
      </c>
      <c r="K1077" s="91" t="b">
        <v>0</v>
      </c>
      <c r="L1077" s="91" t="b">
        <v>0</v>
      </c>
    </row>
    <row r="1078" spans="1:12" ht="15">
      <c r="A1078" s="92" t="s">
        <v>2574</v>
      </c>
      <c r="B1078" s="91" t="s">
        <v>2585</v>
      </c>
      <c r="C1078" s="91">
        <v>55</v>
      </c>
      <c r="D1078" s="114">
        <v>0.0053203155849142255</v>
      </c>
      <c r="E1078" s="114">
        <v>1.5953338130252797</v>
      </c>
      <c r="F1078" s="91" t="s">
        <v>2518</v>
      </c>
      <c r="G1078" s="91" t="b">
        <v>0</v>
      </c>
      <c r="H1078" s="91" t="b">
        <v>0</v>
      </c>
      <c r="I1078" s="91" t="b">
        <v>0</v>
      </c>
      <c r="J1078" s="91" t="b">
        <v>0</v>
      </c>
      <c r="K1078" s="91" t="b">
        <v>0</v>
      </c>
      <c r="L1078" s="91" t="b">
        <v>0</v>
      </c>
    </row>
    <row r="1079" spans="1:12" ht="15">
      <c r="A1079" s="92" t="s">
        <v>2584</v>
      </c>
      <c r="B1079" s="91" t="s">
        <v>2575</v>
      </c>
      <c r="C1079" s="91">
        <v>55</v>
      </c>
      <c r="D1079" s="114">
        <v>0.0053203155849142255</v>
      </c>
      <c r="E1079" s="114">
        <v>1.484031237596472</v>
      </c>
      <c r="F1079" s="91" t="s">
        <v>2518</v>
      </c>
      <c r="G1079" s="91" t="b">
        <v>0</v>
      </c>
      <c r="H1079" s="91" t="b">
        <v>0</v>
      </c>
      <c r="I1079" s="91" t="b">
        <v>0</v>
      </c>
      <c r="J1079" s="91" t="b">
        <v>0</v>
      </c>
      <c r="K1079" s="91" t="b">
        <v>0</v>
      </c>
      <c r="L1079" s="91" t="b">
        <v>0</v>
      </c>
    </row>
    <row r="1080" spans="1:12" ht="15">
      <c r="A1080" s="92" t="s">
        <v>2570</v>
      </c>
      <c r="B1080" s="91" t="s">
        <v>2602</v>
      </c>
      <c r="C1080" s="91">
        <v>55</v>
      </c>
      <c r="D1080" s="114">
        <v>0.0053203155849142255</v>
      </c>
      <c r="E1080" s="114">
        <v>1.5180919259666283</v>
      </c>
      <c r="F1080" s="91" t="s">
        <v>2518</v>
      </c>
      <c r="G1080" s="91" t="b">
        <v>0</v>
      </c>
      <c r="H1080" s="91" t="b">
        <v>0</v>
      </c>
      <c r="I1080" s="91" t="b">
        <v>0</v>
      </c>
      <c r="J1080" s="91" t="b">
        <v>0</v>
      </c>
      <c r="K1080" s="91" t="b">
        <v>0</v>
      </c>
      <c r="L1080" s="91" t="b">
        <v>0</v>
      </c>
    </row>
    <row r="1081" spans="1:12" ht="15">
      <c r="A1081" s="92" t="s">
        <v>2602</v>
      </c>
      <c r="B1081" s="91" t="s">
        <v>2603</v>
      </c>
      <c r="C1081" s="91">
        <v>55</v>
      </c>
      <c r="D1081" s="114">
        <v>0.0053203155849142255</v>
      </c>
      <c r="E1081" s="114">
        <v>1.9708538348268463</v>
      </c>
      <c r="F1081" s="91" t="s">
        <v>2518</v>
      </c>
      <c r="G1081" s="91" t="b">
        <v>0</v>
      </c>
      <c r="H1081" s="91" t="b">
        <v>0</v>
      </c>
      <c r="I1081" s="91" t="b">
        <v>0</v>
      </c>
      <c r="J1081" s="91" t="b">
        <v>0</v>
      </c>
      <c r="K1081" s="91" t="b">
        <v>0</v>
      </c>
      <c r="L1081" s="91" t="b">
        <v>0</v>
      </c>
    </row>
    <row r="1082" spans="1:12" ht="15">
      <c r="A1082" s="92" t="s">
        <v>2603</v>
      </c>
      <c r="B1082" s="91" t="s">
        <v>2604</v>
      </c>
      <c r="C1082" s="91">
        <v>55</v>
      </c>
      <c r="D1082" s="114">
        <v>0.0053203155849142255</v>
      </c>
      <c r="E1082" s="114">
        <v>1.9708538348268463</v>
      </c>
      <c r="F1082" s="91" t="s">
        <v>2518</v>
      </c>
      <c r="G1082" s="91" t="b">
        <v>0</v>
      </c>
      <c r="H1082" s="91" t="b">
        <v>0</v>
      </c>
      <c r="I1082" s="91" t="b">
        <v>0</v>
      </c>
      <c r="J1082" s="91" t="b">
        <v>0</v>
      </c>
      <c r="K1082" s="91" t="b">
        <v>0</v>
      </c>
      <c r="L1082" s="91" t="b">
        <v>0</v>
      </c>
    </row>
    <row r="1083" spans="1:12" ht="15">
      <c r="A1083" s="92" t="s">
        <v>2604</v>
      </c>
      <c r="B1083" s="91" t="s">
        <v>2587</v>
      </c>
      <c r="C1083" s="91">
        <v>55</v>
      </c>
      <c r="D1083" s="114">
        <v>0.0053203155849142255</v>
      </c>
      <c r="E1083" s="114">
        <v>1.8661184843068332</v>
      </c>
      <c r="F1083" s="91" t="s">
        <v>2518</v>
      </c>
      <c r="G1083" s="91" t="b">
        <v>0</v>
      </c>
      <c r="H1083" s="91" t="b">
        <v>0</v>
      </c>
      <c r="I1083" s="91" t="b">
        <v>0</v>
      </c>
      <c r="J1083" s="91" t="b">
        <v>0</v>
      </c>
      <c r="K1083" s="91" t="b">
        <v>0</v>
      </c>
      <c r="L1083" s="91" t="b">
        <v>0</v>
      </c>
    </row>
    <row r="1084" spans="1:12" ht="15">
      <c r="A1084" s="92" t="s">
        <v>2587</v>
      </c>
      <c r="B1084" s="91" t="s">
        <v>2593</v>
      </c>
      <c r="C1084" s="91">
        <v>55</v>
      </c>
      <c r="D1084" s="114">
        <v>0.0053203155849142255</v>
      </c>
      <c r="E1084" s="114">
        <v>1.8661184843068332</v>
      </c>
      <c r="F1084" s="91" t="s">
        <v>2518</v>
      </c>
      <c r="G1084" s="91" t="b">
        <v>0</v>
      </c>
      <c r="H1084" s="91" t="b">
        <v>0</v>
      </c>
      <c r="I1084" s="91" t="b">
        <v>0</v>
      </c>
      <c r="J1084" s="91" t="b">
        <v>0</v>
      </c>
      <c r="K1084" s="91" t="b">
        <v>0</v>
      </c>
      <c r="L1084" s="91" t="b">
        <v>0</v>
      </c>
    </row>
    <row r="1085" spans="1:12" ht="15">
      <c r="A1085" s="92" t="s">
        <v>2593</v>
      </c>
      <c r="B1085" s="91" t="s">
        <v>2605</v>
      </c>
      <c r="C1085" s="91">
        <v>55</v>
      </c>
      <c r="D1085" s="114">
        <v>0.0053203155849142255</v>
      </c>
      <c r="E1085" s="114">
        <v>1.9708538348268463</v>
      </c>
      <c r="F1085" s="91" t="s">
        <v>2518</v>
      </c>
      <c r="G1085" s="91" t="b">
        <v>0</v>
      </c>
      <c r="H1085" s="91" t="b">
        <v>0</v>
      </c>
      <c r="I1085" s="91" t="b">
        <v>0</v>
      </c>
      <c r="J1085" s="91" t="b">
        <v>0</v>
      </c>
      <c r="K1085" s="91" t="b">
        <v>0</v>
      </c>
      <c r="L1085" s="91" t="b">
        <v>0</v>
      </c>
    </row>
    <row r="1086" spans="1:12" ht="15">
      <c r="A1086" s="92" t="s">
        <v>2605</v>
      </c>
      <c r="B1086" s="91" t="s">
        <v>2606</v>
      </c>
      <c r="C1086" s="91">
        <v>55</v>
      </c>
      <c r="D1086" s="114">
        <v>0.0053203155849142255</v>
      </c>
      <c r="E1086" s="114">
        <v>1.9708538348268463</v>
      </c>
      <c r="F1086" s="91" t="s">
        <v>2518</v>
      </c>
      <c r="G1086" s="91" t="b">
        <v>0</v>
      </c>
      <c r="H1086" s="91" t="b">
        <v>0</v>
      </c>
      <c r="I1086" s="91" t="b">
        <v>0</v>
      </c>
      <c r="J1086" s="91" t="b">
        <v>0</v>
      </c>
      <c r="K1086" s="91" t="b">
        <v>0</v>
      </c>
      <c r="L1086" s="91" t="b">
        <v>0</v>
      </c>
    </row>
    <row r="1087" spans="1:12" ht="15">
      <c r="A1087" s="92" t="s">
        <v>2569</v>
      </c>
      <c r="B1087" s="91" t="s">
        <v>2572</v>
      </c>
      <c r="C1087" s="91">
        <v>51</v>
      </c>
      <c r="D1087" s="114">
        <v>0.005247570689324413</v>
      </c>
      <c r="E1087" s="114">
        <v>1.986940654720301</v>
      </c>
      <c r="F1087" s="91" t="s">
        <v>2518</v>
      </c>
      <c r="G1087" s="91" t="b">
        <v>0</v>
      </c>
      <c r="H1087" s="91" t="b">
        <v>0</v>
      </c>
      <c r="I1087" s="91" t="b">
        <v>0</v>
      </c>
      <c r="J1087" s="91" t="b">
        <v>0</v>
      </c>
      <c r="K1087" s="91" t="b">
        <v>0</v>
      </c>
      <c r="L1087" s="91" t="b">
        <v>0</v>
      </c>
    </row>
    <row r="1088" spans="1:12" ht="15">
      <c r="A1088" s="92" t="s">
        <v>2606</v>
      </c>
      <c r="B1088" s="91" t="s">
        <v>2583</v>
      </c>
      <c r="C1088" s="91">
        <v>40</v>
      </c>
      <c r="D1088" s="114">
        <v>0.0049086042740961395</v>
      </c>
      <c r="E1088" s="114">
        <v>2.0984326676013545</v>
      </c>
      <c r="F1088" s="91" t="s">
        <v>2518</v>
      </c>
      <c r="G1088" s="91" t="b">
        <v>0</v>
      </c>
      <c r="H1088" s="91" t="b">
        <v>0</v>
      </c>
      <c r="I1088" s="91" t="b">
        <v>0</v>
      </c>
      <c r="J1088" s="91" t="b">
        <v>0</v>
      </c>
      <c r="K1088" s="91" t="b">
        <v>0</v>
      </c>
      <c r="L1088" s="91" t="b">
        <v>0</v>
      </c>
    </row>
    <row r="1089" spans="1:12" ht="15">
      <c r="A1089" s="92" t="s">
        <v>2574</v>
      </c>
      <c r="B1089" s="91" t="s">
        <v>2566</v>
      </c>
      <c r="C1089" s="91">
        <v>39</v>
      </c>
      <c r="D1089" s="114">
        <v>0.00486644899962342</v>
      </c>
      <c r="E1089" s="114">
        <v>1.0467191930566941</v>
      </c>
      <c r="F1089" s="91" t="s">
        <v>2518</v>
      </c>
      <c r="G1089" s="91" t="b">
        <v>0</v>
      </c>
      <c r="H1089" s="91" t="b">
        <v>0</v>
      </c>
      <c r="I1089" s="91" t="b">
        <v>0</v>
      </c>
      <c r="J1089" s="91" t="b">
        <v>0</v>
      </c>
      <c r="K1089" s="91" t="b">
        <v>0</v>
      </c>
      <c r="L1089" s="91" t="b">
        <v>0</v>
      </c>
    </row>
    <row r="1090" spans="1:12" ht="15">
      <c r="A1090" s="92" t="s">
        <v>2567</v>
      </c>
      <c r="B1090" s="91" t="s">
        <v>2579</v>
      </c>
      <c r="C1090" s="91">
        <v>34</v>
      </c>
      <c r="D1090" s="114">
        <v>0.004623141460468858</v>
      </c>
      <c r="E1090" s="114">
        <v>1.3231989535002837</v>
      </c>
      <c r="F1090" s="91" t="s">
        <v>2518</v>
      </c>
      <c r="G1090" s="91" t="b">
        <v>0</v>
      </c>
      <c r="H1090" s="91" t="b">
        <v>0</v>
      </c>
      <c r="I1090" s="91" t="b">
        <v>0</v>
      </c>
      <c r="J1090" s="91" t="b">
        <v>0</v>
      </c>
      <c r="K1090" s="91" t="b">
        <v>0</v>
      </c>
      <c r="L1090" s="91" t="b">
        <v>0</v>
      </c>
    </row>
    <row r="1091" spans="1:12" ht="15">
      <c r="A1091" s="92" t="s">
        <v>2579</v>
      </c>
      <c r="B1091" s="91" t="s">
        <v>2613</v>
      </c>
      <c r="C1091" s="91">
        <v>34</v>
      </c>
      <c r="D1091" s="114">
        <v>0.004623141460468858</v>
      </c>
      <c r="E1091" s="114">
        <v>1.8270544614671909</v>
      </c>
      <c r="F1091" s="91" t="s">
        <v>2518</v>
      </c>
      <c r="G1091" s="91" t="b">
        <v>0</v>
      </c>
      <c r="H1091" s="91" t="b">
        <v>0</v>
      </c>
      <c r="I1091" s="91" t="b">
        <v>0</v>
      </c>
      <c r="J1091" s="91" t="b">
        <v>0</v>
      </c>
      <c r="K1091" s="91" t="b">
        <v>0</v>
      </c>
      <c r="L1091" s="91" t="b">
        <v>0</v>
      </c>
    </row>
    <row r="1092" spans="1:12" ht="15">
      <c r="A1092" s="92" t="s">
        <v>2611</v>
      </c>
      <c r="B1092" s="91" t="s">
        <v>2642</v>
      </c>
      <c r="C1092" s="91">
        <v>34</v>
      </c>
      <c r="D1092" s="114">
        <v>0.004623141460468858</v>
      </c>
      <c r="E1092" s="114">
        <v>2.0580040105457464</v>
      </c>
      <c r="F1092" s="91" t="s">
        <v>2518</v>
      </c>
      <c r="G1092" s="91" t="b">
        <v>0</v>
      </c>
      <c r="H1092" s="91" t="b">
        <v>0</v>
      </c>
      <c r="I1092" s="91" t="b">
        <v>0</v>
      </c>
      <c r="J1092" s="91" t="b">
        <v>0</v>
      </c>
      <c r="K1092" s="91" t="b">
        <v>0</v>
      </c>
      <c r="L1092" s="91" t="b">
        <v>0</v>
      </c>
    </row>
    <row r="1093" spans="1:12" ht="15">
      <c r="A1093" s="92" t="s">
        <v>2615</v>
      </c>
      <c r="B1093" s="91" t="s">
        <v>2571</v>
      </c>
      <c r="C1093" s="91">
        <v>34</v>
      </c>
      <c r="D1093" s="114">
        <v>0.004623141460468858</v>
      </c>
      <c r="E1093" s="114">
        <v>1.7443848875737447</v>
      </c>
      <c r="F1093" s="91" t="s">
        <v>2518</v>
      </c>
      <c r="G1093" s="91" t="b">
        <v>0</v>
      </c>
      <c r="H1093" s="91" t="b">
        <v>0</v>
      </c>
      <c r="I1093" s="91" t="b">
        <v>0</v>
      </c>
      <c r="J1093" s="91" t="b">
        <v>0</v>
      </c>
      <c r="K1093" s="91" t="b">
        <v>0</v>
      </c>
      <c r="L1093" s="91" t="b">
        <v>0</v>
      </c>
    </row>
    <row r="1094" spans="1:12" ht="15">
      <c r="A1094" s="92" t="s">
        <v>2571</v>
      </c>
      <c r="B1094" s="91" t="s">
        <v>2575</v>
      </c>
      <c r="C1094" s="91">
        <v>34</v>
      </c>
      <c r="D1094" s="114">
        <v>0.004623141460468858</v>
      </c>
      <c r="E1094" s="114">
        <v>1.223994942697102</v>
      </c>
      <c r="F1094" s="91" t="s">
        <v>2518</v>
      </c>
      <c r="G1094" s="91" t="b">
        <v>0</v>
      </c>
      <c r="H1094" s="91" t="b">
        <v>0</v>
      </c>
      <c r="I1094" s="91" t="b">
        <v>0</v>
      </c>
      <c r="J1094" s="91" t="b">
        <v>0</v>
      </c>
      <c r="K1094" s="91" t="b">
        <v>0</v>
      </c>
      <c r="L1094" s="91" t="b">
        <v>0</v>
      </c>
    </row>
    <row r="1095" spans="1:12" ht="15">
      <c r="A1095" s="92" t="s">
        <v>2575</v>
      </c>
      <c r="B1095" s="91" t="s">
        <v>2638</v>
      </c>
      <c r="C1095" s="91">
        <v>34</v>
      </c>
      <c r="D1095" s="114">
        <v>0.004623141460468858</v>
      </c>
      <c r="E1095" s="114">
        <v>1.6467585350941716</v>
      </c>
      <c r="F1095" s="91" t="s">
        <v>2518</v>
      </c>
      <c r="G1095" s="91" t="b">
        <v>0</v>
      </c>
      <c r="H1095" s="91" t="b">
        <v>0</v>
      </c>
      <c r="I1095" s="91" t="b">
        <v>0</v>
      </c>
      <c r="J1095" s="91" t="b">
        <v>0</v>
      </c>
      <c r="K1095" s="91" t="b">
        <v>0</v>
      </c>
      <c r="L1095" s="91" t="b">
        <v>0</v>
      </c>
    </row>
    <row r="1096" spans="1:12" ht="15">
      <c r="A1096" s="92" t="s">
        <v>2638</v>
      </c>
      <c r="B1096" s="91" t="s">
        <v>2570</v>
      </c>
      <c r="C1096" s="91">
        <v>34</v>
      </c>
      <c r="D1096" s="114">
        <v>0.004623141460468858</v>
      </c>
      <c r="E1096" s="114">
        <v>1.5125594373666675</v>
      </c>
      <c r="F1096" s="91" t="s">
        <v>2518</v>
      </c>
      <c r="G1096" s="91" t="b">
        <v>0</v>
      </c>
      <c r="H1096" s="91" t="b">
        <v>0</v>
      </c>
      <c r="I1096" s="91" t="b">
        <v>0</v>
      </c>
      <c r="J1096" s="91" t="b">
        <v>0</v>
      </c>
      <c r="K1096" s="91" t="b">
        <v>0</v>
      </c>
      <c r="L1096" s="91" t="b">
        <v>0</v>
      </c>
    </row>
    <row r="1097" spans="1:12" ht="15">
      <c r="A1097" s="92" t="s">
        <v>2570</v>
      </c>
      <c r="B1097" s="91" t="s">
        <v>2574</v>
      </c>
      <c r="C1097" s="91">
        <v>34</v>
      </c>
      <c r="D1097" s="114">
        <v>0.004623141460468858</v>
      </c>
      <c r="E1097" s="114">
        <v>0.992665991672411</v>
      </c>
      <c r="F1097" s="91" t="s">
        <v>2518</v>
      </c>
      <c r="G1097" s="91" t="b">
        <v>0</v>
      </c>
      <c r="H1097" s="91" t="b">
        <v>0</v>
      </c>
      <c r="I1097" s="91" t="b">
        <v>0</v>
      </c>
      <c r="J1097" s="91" t="b">
        <v>0</v>
      </c>
      <c r="K1097" s="91" t="b">
        <v>0</v>
      </c>
      <c r="L1097" s="91" t="b">
        <v>0</v>
      </c>
    </row>
    <row r="1098" spans="1:12" ht="15">
      <c r="A1098" s="92" t="s">
        <v>2566</v>
      </c>
      <c r="B1098" s="91" t="s">
        <v>2639</v>
      </c>
      <c r="C1098" s="91">
        <v>34</v>
      </c>
      <c r="D1098" s="114">
        <v>0.004623141460468858</v>
      </c>
      <c r="E1098" s="114">
        <v>1.5265250935034913</v>
      </c>
      <c r="F1098" s="91" t="s">
        <v>2518</v>
      </c>
      <c r="G1098" s="91" t="b">
        <v>0</v>
      </c>
      <c r="H1098" s="91" t="b">
        <v>0</v>
      </c>
      <c r="I1098" s="91" t="b">
        <v>0</v>
      </c>
      <c r="J1098" s="91" t="b">
        <v>0</v>
      </c>
      <c r="K1098" s="91" t="b">
        <v>0</v>
      </c>
      <c r="L1098" s="91" t="b">
        <v>0</v>
      </c>
    </row>
    <row r="1099" spans="1:12" ht="15">
      <c r="A1099" s="92" t="s">
        <v>2635</v>
      </c>
      <c r="B1099" s="91" t="s">
        <v>2581</v>
      </c>
      <c r="C1099" s="91">
        <v>32</v>
      </c>
      <c r="D1099" s="114">
        <v>0.004509472263210371</v>
      </c>
      <c r="E1099" s="114">
        <v>1.7569740148817652</v>
      </c>
      <c r="F1099" s="91" t="s">
        <v>2518</v>
      </c>
      <c r="G1099" s="91" t="b">
        <v>0</v>
      </c>
      <c r="H1099" s="91" t="b">
        <v>0</v>
      </c>
      <c r="I1099" s="91" t="b">
        <v>0</v>
      </c>
      <c r="J1099" s="91" t="b">
        <v>0</v>
      </c>
      <c r="K1099" s="91" t="b">
        <v>0</v>
      </c>
      <c r="L1099" s="91" t="b">
        <v>0</v>
      </c>
    </row>
    <row r="1100" spans="1:12" ht="15">
      <c r="A1100" s="92" t="s">
        <v>2613</v>
      </c>
      <c r="B1100" s="91" t="s">
        <v>2614</v>
      </c>
      <c r="C1100" s="91">
        <v>26</v>
      </c>
      <c r="D1100" s="114">
        <v>0.004104410686726412</v>
      </c>
      <c r="E1100" s="114">
        <v>1.890156725174272</v>
      </c>
      <c r="F1100" s="91" t="s">
        <v>2518</v>
      </c>
      <c r="G1100" s="91" t="b">
        <v>0</v>
      </c>
      <c r="H1100" s="91" t="b">
        <v>0</v>
      </c>
      <c r="I1100" s="91" t="b">
        <v>0</v>
      </c>
      <c r="J1100" s="91" t="b">
        <v>0</v>
      </c>
      <c r="K1100" s="91" t="b">
        <v>0</v>
      </c>
      <c r="L1100" s="91" t="b">
        <v>0</v>
      </c>
    </row>
    <row r="1101" spans="1:12" ht="15">
      <c r="A1101" s="92" t="s">
        <v>2614</v>
      </c>
      <c r="B1101" s="91" t="s">
        <v>2615</v>
      </c>
      <c r="C1101" s="91">
        <v>26</v>
      </c>
      <c r="D1101" s="114">
        <v>0.004104410686726412</v>
      </c>
      <c r="E1101" s="114">
        <v>1.969337971221897</v>
      </c>
      <c r="F1101" s="91" t="s">
        <v>2518</v>
      </c>
      <c r="G1101" s="91" t="b">
        <v>0</v>
      </c>
      <c r="H1101" s="91" t="b">
        <v>0</v>
      </c>
      <c r="I1101" s="91" t="b">
        <v>0</v>
      </c>
      <c r="J1101" s="91" t="b">
        <v>0</v>
      </c>
      <c r="K1101" s="91" t="b">
        <v>0</v>
      </c>
      <c r="L1101" s="91" t="b">
        <v>0</v>
      </c>
    </row>
    <row r="1102" spans="1:12" ht="15">
      <c r="A1102" s="92" t="s">
        <v>2640</v>
      </c>
      <c r="B1102" s="91" t="s">
        <v>2649</v>
      </c>
      <c r="C1102" s="91">
        <v>26</v>
      </c>
      <c r="D1102" s="114">
        <v>0.004104410686726412</v>
      </c>
      <c r="E1102" s="114">
        <v>2.179737607278835</v>
      </c>
      <c r="F1102" s="91" t="s">
        <v>2518</v>
      </c>
      <c r="G1102" s="91" t="b">
        <v>0</v>
      </c>
      <c r="H1102" s="91" t="b">
        <v>0</v>
      </c>
      <c r="I1102" s="91" t="b">
        <v>0</v>
      </c>
      <c r="J1102" s="91" t="b">
        <v>0</v>
      </c>
      <c r="K1102" s="91" t="b">
        <v>0</v>
      </c>
      <c r="L1102" s="91" t="b">
        <v>0</v>
      </c>
    </row>
    <row r="1103" spans="1:12" ht="15">
      <c r="A1103" s="92" t="s">
        <v>2649</v>
      </c>
      <c r="B1103" s="91" t="s">
        <v>2641</v>
      </c>
      <c r="C1103" s="91">
        <v>26</v>
      </c>
      <c r="D1103" s="114">
        <v>0.004104410686726412</v>
      </c>
      <c r="E1103" s="114">
        <v>2.179737607278835</v>
      </c>
      <c r="F1103" s="91" t="s">
        <v>2518</v>
      </c>
      <c r="G1103" s="91" t="b">
        <v>0</v>
      </c>
      <c r="H1103" s="91" t="b">
        <v>0</v>
      </c>
      <c r="I1103" s="91" t="b">
        <v>0</v>
      </c>
      <c r="J1103" s="91" t="b">
        <v>0</v>
      </c>
      <c r="K1103" s="91" t="b">
        <v>0</v>
      </c>
      <c r="L1103" s="91" t="b">
        <v>0</v>
      </c>
    </row>
    <row r="1104" spans="1:12" ht="15">
      <c r="A1104" s="92" t="s">
        <v>2565</v>
      </c>
      <c r="B1104" s="91" t="s">
        <v>2567</v>
      </c>
      <c r="C1104" s="91">
        <v>25</v>
      </c>
      <c r="D1104" s="114">
        <v>0.004026547512827675</v>
      </c>
      <c r="E1104" s="114">
        <v>0.8485843248696352</v>
      </c>
      <c r="F1104" s="91" t="s">
        <v>2518</v>
      </c>
      <c r="G1104" s="91" t="b">
        <v>0</v>
      </c>
      <c r="H1104" s="91" t="b">
        <v>0</v>
      </c>
      <c r="I1104" s="91" t="b">
        <v>0</v>
      </c>
      <c r="J1104" s="91" t="b">
        <v>0</v>
      </c>
      <c r="K1104" s="91" t="b">
        <v>0</v>
      </c>
      <c r="L1104" s="91" t="b">
        <v>0</v>
      </c>
    </row>
    <row r="1105" spans="1:12" ht="15">
      <c r="A1105" s="92" t="s">
        <v>2651</v>
      </c>
      <c r="B1105" s="91" t="s">
        <v>2581</v>
      </c>
      <c r="C1105" s="91">
        <v>23</v>
      </c>
      <c r="D1105" s="114">
        <v>0.0038608918634175093</v>
      </c>
      <c r="E1105" s="114">
        <v>1.7569740148817652</v>
      </c>
      <c r="F1105" s="91" t="s">
        <v>2518</v>
      </c>
      <c r="G1105" s="91" t="b">
        <v>0</v>
      </c>
      <c r="H1105" s="91" t="b">
        <v>0</v>
      </c>
      <c r="I1105" s="91" t="b">
        <v>0</v>
      </c>
      <c r="J1105" s="91" t="b">
        <v>0</v>
      </c>
      <c r="K1105" s="91" t="b">
        <v>0</v>
      </c>
      <c r="L1105" s="91" t="b">
        <v>0</v>
      </c>
    </row>
    <row r="1106" spans="1:12" ht="15">
      <c r="A1106" s="92" t="s">
        <v>2564</v>
      </c>
      <c r="B1106" s="91" t="s">
        <v>2573</v>
      </c>
      <c r="C1106" s="91">
        <v>23</v>
      </c>
      <c r="D1106" s="114">
        <v>0.0038608918634175093</v>
      </c>
      <c r="E1106" s="114">
        <v>1.0892278864249336</v>
      </c>
      <c r="F1106" s="91" t="s">
        <v>2518</v>
      </c>
      <c r="G1106" s="91" t="b">
        <v>0</v>
      </c>
      <c r="H1106" s="91" t="b">
        <v>0</v>
      </c>
      <c r="I1106" s="91" t="b">
        <v>0</v>
      </c>
      <c r="J1106" s="91" t="b">
        <v>0</v>
      </c>
      <c r="K1106" s="91" t="b">
        <v>0</v>
      </c>
      <c r="L1106" s="91" t="b">
        <v>0</v>
      </c>
    </row>
    <row r="1107" spans="1:12" ht="15">
      <c r="A1107" s="92" t="s">
        <v>2570</v>
      </c>
      <c r="B1107" s="91" t="s">
        <v>2564</v>
      </c>
      <c r="C1107" s="91">
        <v>22</v>
      </c>
      <c r="D1107" s="114">
        <v>0.0037728153549096742</v>
      </c>
      <c r="E1107" s="114">
        <v>0.6052421016855286</v>
      </c>
      <c r="F1107" s="91" t="s">
        <v>2518</v>
      </c>
      <c r="G1107" s="91" t="b">
        <v>0</v>
      </c>
      <c r="H1107" s="91" t="b">
        <v>0</v>
      </c>
      <c r="I1107" s="91" t="b">
        <v>0</v>
      </c>
      <c r="J1107" s="91" t="b">
        <v>0</v>
      </c>
      <c r="K1107" s="91" t="b">
        <v>0</v>
      </c>
      <c r="L1107" s="91" t="b">
        <v>0</v>
      </c>
    </row>
    <row r="1108" spans="1:12" ht="15">
      <c r="A1108" s="92" t="s">
        <v>2644</v>
      </c>
      <c r="B1108" s="91" t="s">
        <v>2588</v>
      </c>
      <c r="C1108" s="91">
        <v>21</v>
      </c>
      <c r="D1108" s="114">
        <v>0.003681029009535436</v>
      </c>
      <c r="E1108" s="114">
        <v>2.264058492978871</v>
      </c>
      <c r="F1108" s="91" t="s">
        <v>2518</v>
      </c>
      <c r="G1108" s="91" t="b">
        <v>0</v>
      </c>
      <c r="H1108" s="91" t="b">
        <v>0</v>
      </c>
      <c r="I1108" s="91" t="b">
        <v>0</v>
      </c>
      <c r="J1108" s="91" t="b">
        <v>0</v>
      </c>
      <c r="K1108" s="91" t="b">
        <v>0</v>
      </c>
      <c r="L1108" s="91" t="b">
        <v>0</v>
      </c>
    </row>
    <row r="1109" spans="1:12" ht="15">
      <c r="A1109" s="92" t="s">
        <v>2588</v>
      </c>
      <c r="B1109" s="91" t="s">
        <v>2575</v>
      </c>
      <c r="C1109" s="91">
        <v>21</v>
      </c>
      <c r="D1109" s="114">
        <v>0.003681029009535436</v>
      </c>
      <c r="E1109" s="114">
        <v>1.5218197984858717</v>
      </c>
      <c r="F1109" s="91" t="s">
        <v>2518</v>
      </c>
      <c r="G1109" s="91" t="b">
        <v>0</v>
      </c>
      <c r="H1109" s="91" t="b">
        <v>0</v>
      </c>
      <c r="I1109" s="91" t="b">
        <v>0</v>
      </c>
      <c r="J1109" s="91" t="b">
        <v>0</v>
      </c>
      <c r="K1109" s="91" t="b">
        <v>0</v>
      </c>
      <c r="L1109" s="91" t="b">
        <v>0</v>
      </c>
    </row>
    <row r="1110" spans="1:12" ht="15">
      <c r="A1110" s="92" t="s">
        <v>2673</v>
      </c>
      <c r="B1110" s="91" t="s">
        <v>2674</v>
      </c>
      <c r="C1110" s="91">
        <v>19</v>
      </c>
      <c r="D1110" s="114">
        <v>0.0034856019498138388</v>
      </c>
      <c r="E1110" s="114">
        <v>2.432462923368261</v>
      </c>
      <c r="F1110" s="91" t="s">
        <v>2518</v>
      </c>
      <c r="G1110" s="91" t="b">
        <v>0</v>
      </c>
      <c r="H1110" s="91" t="b">
        <v>0</v>
      </c>
      <c r="I1110" s="91" t="b">
        <v>0</v>
      </c>
      <c r="J1110" s="91" t="b">
        <v>0</v>
      </c>
      <c r="K1110" s="91" t="b">
        <v>0</v>
      </c>
      <c r="L1110" s="91" t="b">
        <v>0</v>
      </c>
    </row>
    <row r="1111" spans="1:12" ht="15">
      <c r="A1111" s="92" t="s">
        <v>2674</v>
      </c>
      <c r="B1111" s="91" t="s">
        <v>2581</v>
      </c>
      <c r="C1111" s="91">
        <v>19</v>
      </c>
      <c r="D1111" s="114">
        <v>0.0034856019498138388</v>
      </c>
      <c r="E1111" s="114">
        <v>1.7569740148817652</v>
      </c>
      <c r="F1111" s="91" t="s">
        <v>2518</v>
      </c>
      <c r="G1111" s="91" t="b">
        <v>0</v>
      </c>
      <c r="H1111" s="91" t="b">
        <v>0</v>
      </c>
      <c r="I1111" s="91" t="b">
        <v>0</v>
      </c>
      <c r="J1111" s="91" t="b">
        <v>0</v>
      </c>
      <c r="K1111" s="91" t="b">
        <v>0</v>
      </c>
      <c r="L1111" s="91" t="b">
        <v>0</v>
      </c>
    </row>
    <row r="1112" spans="1:12" ht="15">
      <c r="A1112" s="92" t="s">
        <v>2581</v>
      </c>
      <c r="B1112" s="91" t="s">
        <v>2675</v>
      </c>
      <c r="C1112" s="91">
        <v>19</v>
      </c>
      <c r="D1112" s="114">
        <v>0.0034856019498138388</v>
      </c>
      <c r="E1112" s="114">
        <v>1.7569740148817652</v>
      </c>
      <c r="F1112" s="91" t="s">
        <v>2518</v>
      </c>
      <c r="G1112" s="91" t="b">
        <v>0</v>
      </c>
      <c r="H1112" s="91" t="b">
        <v>0</v>
      </c>
      <c r="I1112" s="91" t="b">
        <v>0</v>
      </c>
      <c r="J1112" s="91" t="b">
        <v>0</v>
      </c>
      <c r="K1112" s="91" t="b">
        <v>0</v>
      </c>
      <c r="L1112" s="91" t="b">
        <v>0</v>
      </c>
    </row>
    <row r="1113" spans="1:12" ht="15">
      <c r="A1113" s="92" t="s">
        <v>2675</v>
      </c>
      <c r="B1113" s="91" t="s">
        <v>2610</v>
      </c>
      <c r="C1113" s="91">
        <v>19</v>
      </c>
      <c r="D1113" s="114">
        <v>0.0034856019498138388</v>
      </c>
      <c r="E1113" s="114">
        <v>2.192702584443203</v>
      </c>
      <c r="F1113" s="91" t="s">
        <v>2518</v>
      </c>
      <c r="G1113" s="91" t="b">
        <v>0</v>
      </c>
      <c r="H1113" s="91" t="b">
        <v>0</v>
      </c>
      <c r="I1113" s="91" t="b">
        <v>0</v>
      </c>
      <c r="J1113" s="91" t="b">
        <v>0</v>
      </c>
      <c r="K1113" s="91" t="b">
        <v>0</v>
      </c>
      <c r="L1113" s="91" t="b">
        <v>0</v>
      </c>
    </row>
    <row r="1114" spans="1:12" ht="15">
      <c r="A1114" s="92" t="s">
        <v>2610</v>
      </c>
      <c r="B1114" s="91" t="s">
        <v>2567</v>
      </c>
      <c r="C1114" s="91">
        <v>19</v>
      </c>
      <c r="D1114" s="114">
        <v>0.0034856019498138388</v>
      </c>
      <c r="E1114" s="114">
        <v>1.3347356182396248</v>
      </c>
      <c r="F1114" s="91" t="s">
        <v>2518</v>
      </c>
      <c r="G1114" s="91" t="b">
        <v>0</v>
      </c>
      <c r="H1114" s="91" t="b">
        <v>0</v>
      </c>
      <c r="I1114" s="91" t="b">
        <v>0</v>
      </c>
      <c r="J1114" s="91" t="b">
        <v>0</v>
      </c>
      <c r="K1114" s="91" t="b">
        <v>0</v>
      </c>
      <c r="L1114" s="91" t="b">
        <v>0</v>
      </c>
    </row>
    <row r="1115" spans="1:12" ht="15">
      <c r="A1115" s="92" t="s">
        <v>2567</v>
      </c>
      <c r="B1115" s="91" t="s">
        <v>2617</v>
      </c>
      <c r="C1115" s="91">
        <v>19</v>
      </c>
      <c r="D1115" s="114">
        <v>0.0034856019498138388</v>
      </c>
      <c r="E1115" s="114">
        <v>1.306562826141824</v>
      </c>
      <c r="F1115" s="91" t="s">
        <v>2518</v>
      </c>
      <c r="G1115" s="91" t="b">
        <v>0</v>
      </c>
      <c r="H1115" s="91" t="b">
        <v>0</v>
      </c>
      <c r="I1115" s="91" t="b">
        <v>0</v>
      </c>
      <c r="J1115" s="91" t="b">
        <v>0</v>
      </c>
      <c r="K1115" s="91" t="b">
        <v>0</v>
      </c>
      <c r="L1115" s="91" t="b">
        <v>0</v>
      </c>
    </row>
    <row r="1116" spans="1:12" ht="15">
      <c r="A1116" s="92" t="s">
        <v>2617</v>
      </c>
      <c r="B1116" s="91" t="s">
        <v>2577</v>
      </c>
      <c r="C1116" s="91">
        <v>19</v>
      </c>
      <c r="D1116" s="114">
        <v>0.0034856019498138388</v>
      </c>
      <c r="E1116" s="114">
        <v>1.940364512678946</v>
      </c>
      <c r="F1116" s="91" t="s">
        <v>2518</v>
      </c>
      <c r="G1116" s="91" t="b">
        <v>0</v>
      </c>
      <c r="H1116" s="91" t="b">
        <v>0</v>
      </c>
      <c r="I1116" s="91" t="b">
        <v>0</v>
      </c>
      <c r="J1116" s="91" t="b">
        <v>0</v>
      </c>
      <c r="K1116" s="91" t="b">
        <v>0</v>
      </c>
      <c r="L1116" s="91" t="b">
        <v>0</v>
      </c>
    </row>
    <row r="1117" spans="1:12" ht="15">
      <c r="A1117" s="92" t="s">
        <v>2577</v>
      </c>
      <c r="B1117" s="91" t="s">
        <v>2571</v>
      </c>
      <c r="C1117" s="91">
        <v>19</v>
      </c>
      <c r="D1117" s="114">
        <v>0.0034856019498138388</v>
      </c>
      <c r="E1117" s="114">
        <v>1.26487560419245</v>
      </c>
      <c r="F1117" s="91" t="s">
        <v>2518</v>
      </c>
      <c r="G1117" s="91" t="b">
        <v>0</v>
      </c>
      <c r="H1117" s="91" t="b">
        <v>0</v>
      </c>
      <c r="I1117" s="91" t="b">
        <v>0</v>
      </c>
      <c r="J1117" s="91" t="b">
        <v>0</v>
      </c>
      <c r="K1117" s="91" t="b">
        <v>0</v>
      </c>
      <c r="L1117" s="91" t="b">
        <v>0</v>
      </c>
    </row>
    <row r="1118" spans="1:12" ht="15">
      <c r="A1118" s="92" t="s">
        <v>2571</v>
      </c>
      <c r="B1118" s="91" t="s">
        <v>2631</v>
      </c>
      <c r="C1118" s="91">
        <v>19</v>
      </c>
      <c r="D1118" s="114">
        <v>0.0034856019498138388</v>
      </c>
      <c r="E1118" s="114">
        <v>1.604363851675607</v>
      </c>
      <c r="F1118" s="91" t="s">
        <v>2518</v>
      </c>
      <c r="G1118" s="91" t="b">
        <v>0</v>
      </c>
      <c r="H1118" s="91" t="b">
        <v>0</v>
      </c>
      <c r="I1118" s="91" t="b">
        <v>0</v>
      </c>
      <c r="J1118" s="91" t="b">
        <v>0</v>
      </c>
      <c r="K1118" s="91" t="b">
        <v>0</v>
      </c>
      <c r="L1118" s="91" t="b">
        <v>0</v>
      </c>
    </row>
    <row r="1119" spans="1:12" ht="15">
      <c r="A1119" s="92" t="s">
        <v>2631</v>
      </c>
      <c r="B1119" s="91" t="s">
        <v>2659</v>
      </c>
      <c r="C1119" s="91">
        <v>19</v>
      </c>
      <c r="D1119" s="114">
        <v>0.0034856019498138388</v>
      </c>
      <c r="E1119" s="114">
        <v>2.2363870663810124</v>
      </c>
      <c r="F1119" s="91" t="s">
        <v>2518</v>
      </c>
      <c r="G1119" s="91" t="b">
        <v>0</v>
      </c>
      <c r="H1119" s="91" t="b">
        <v>0</v>
      </c>
      <c r="I1119" s="91" t="b">
        <v>0</v>
      </c>
      <c r="J1119" s="91" t="b">
        <v>0</v>
      </c>
      <c r="K1119" s="91" t="b">
        <v>0</v>
      </c>
      <c r="L1119" s="91" t="b">
        <v>0</v>
      </c>
    </row>
    <row r="1120" spans="1:12" ht="15">
      <c r="A1120" s="92" t="s">
        <v>2659</v>
      </c>
      <c r="B1120" s="91" t="s">
        <v>2573</v>
      </c>
      <c r="C1120" s="91">
        <v>19</v>
      </c>
      <c r="D1120" s="114">
        <v>0.0034856019498138388</v>
      </c>
      <c r="E1120" s="114">
        <v>1.9195628035337993</v>
      </c>
      <c r="F1120" s="91" t="s">
        <v>2518</v>
      </c>
      <c r="G1120" s="91" t="b">
        <v>0</v>
      </c>
      <c r="H1120" s="91" t="b">
        <v>0</v>
      </c>
      <c r="I1120" s="91" t="b">
        <v>0</v>
      </c>
      <c r="J1120" s="91" t="b">
        <v>0</v>
      </c>
      <c r="K1120" s="91" t="b">
        <v>0</v>
      </c>
      <c r="L1120" s="91" t="b">
        <v>0</v>
      </c>
    </row>
    <row r="1121" spans="1:12" ht="15">
      <c r="A1121" s="92" t="s">
        <v>2573</v>
      </c>
      <c r="B1121" s="91" t="s">
        <v>2565</v>
      </c>
      <c r="C1121" s="91">
        <v>19</v>
      </c>
      <c r="D1121" s="114">
        <v>0.0034856019498138388</v>
      </c>
      <c r="E1121" s="114">
        <v>1.1179304573006328</v>
      </c>
      <c r="F1121" s="91" t="s">
        <v>2518</v>
      </c>
      <c r="G1121" s="91" t="b">
        <v>0</v>
      </c>
      <c r="H1121" s="91" t="b">
        <v>0</v>
      </c>
      <c r="I1121" s="91" t="b">
        <v>0</v>
      </c>
      <c r="J1121" s="91" t="b">
        <v>0</v>
      </c>
      <c r="K1121" s="91" t="b">
        <v>0</v>
      </c>
      <c r="L1121" s="91" t="b">
        <v>0</v>
      </c>
    </row>
    <row r="1122" spans="1:12" ht="15">
      <c r="A1122" s="92" t="s">
        <v>2565</v>
      </c>
      <c r="B1122" s="91" t="s">
        <v>2579</v>
      </c>
      <c r="C1122" s="91">
        <v>19</v>
      </c>
      <c r="D1122" s="114">
        <v>0.0034856019498138388</v>
      </c>
      <c r="E1122" s="114">
        <v>1.0737267948085794</v>
      </c>
      <c r="F1122" s="91" t="s">
        <v>2518</v>
      </c>
      <c r="G1122" s="91" t="b">
        <v>0</v>
      </c>
      <c r="H1122" s="91" t="b">
        <v>0</v>
      </c>
      <c r="I1122" s="91" t="b">
        <v>0</v>
      </c>
      <c r="J1122" s="91" t="b">
        <v>0</v>
      </c>
      <c r="K1122" s="91" t="b">
        <v>0</v>
      </c>
      <c r="L1122" s="91" t="b">
        <v>0</v>
      </c>
    </row>
    <row r="1123" spans="1:12" ht="15">
      <c r="A1123" s="92" t="s">
        <v>2579</v>
      </c>
      <c r="B1123" s="91" t="s">
        <v>2564</v>
      </c>
      <c r="C1123" s="91">
        <v>19</v>
      </c>
      <c r="D1123" s="114">
        <v>0.0034856019498138388</v>
      </c>
      <c r="E1123" s="114">
        <v>0.9423059306723591</v>
      </c>
      <c r="F1123" s="91" t="s">
        <v>2518</v>
      </c>
      <c r="G1123" s="91" t="b">
        <v>0</v>
      </c>
      <c r="H1123" s="91" t="b">
        <v>0</v>
      </c>
      <c r="I1123" s="91" t="b">
        <v>0</v>
      </c>
      <c r="J1123" s="91" t="b">
        <v>0</v>
      </c>
      <c r="K1123" s="91" t="b">
        <v>0</v>
      </c>
      <c r="L1123" s="91" t="b">
        <v>0</v>
      </c>
    </row>
    <row r="1124" spans="1:12" ht="15">
      <c r="A1124" s="92" t="s">
        <v>2584</v>
      </c>
      <c r="B1124" s="91" t="s">
        <v>2644</v>
      </c>
      <c r="C1124" s="91">
        <v>19</v>
      </c>
      <c r="D1124" s="114">
        <v>0.0034856019498138388</v>
      </c>
      <c r="E1124" s="114">
        <v>1.7646608435480562</v>
      </c>
      <c r="F1124" s="91" t="s">
        <v>2518</v>
      </c>
      <c r="G1124" s="91" t="b">
        <v>0</v>
      </c>
      <c r="H1124" s="91" t="b">
        <v>0</v>
      </c>
      <c r="I1124" s="91" t="b">
        <v>0</v>
      </c>
      <c r="J1124" s="91" t="b">
        <v>0</v>
      </c>
      <c r="K1124" s="91" t="b">
        <v>0</v>
      </c>
      <c r="L1124" s="91" t="b">
        <v>0</v>
      </c>
    </row>
    <row r="1125" spans="1:12" ht="15">
      <c r="A1125" s="92" t="s">
        <v>2570</v>
      </c>
      <c r="B1125" s="91" t="s">
        <v>2645</v>
      </c>
      <c r="C1125" s="91">
        <v>19</v>
      </c>
      <c r="D1125" s="114">
        <v>0.0034856019498138388</v>
      </c>
      <c r="E1125" s="114">
        <v>1.3989055182474197</v>
      </c>
      <c r="F1125" s="91" t="s">
        <v>2518</v>
      </c>
      <c r="G1125" s="91" t="b">
        <v>0</v>
      </c>
      <c r="H1125" s="91" t="b">
        <v>0</v>
      </c>
      <c r="I1125" s="91" t="b">
        <v>0</v>
      </c>
      <c r="J1125" s="91" t="b">
        <v>0</v>
      </c>
      <c r="K1125" s="91" t="b">
        <v>0</v>
      </c>
      <c r="L1125" s="91" t="b">
        <v>0</v>
      </c>
    </row>
    <row r="1126" spans="1:12" ht="15">
      <c r="A1126" s="92" t="s">
        <v>2645</v>
      </c>
      <c r="B1126" s="91" t="s">
        <v>2632</v>
      </c>
      <c r="C1126" s="91">
        <v>19</v>
      </c>
      <c r="D1126" s="114">
        <v>0.0034856019498138388</v>
      </c>
      <c r="E1126" s="114">
        <v>2.035727615834594</v>
      </c>
      <c r="F1126" s="91" t="s">
        <v>2518</v>
      </c>
      <c r="G1126" s="91" t="b">
        <v>0</v>
      </c>
      <c r="H1126" s="91" t="b">
        <v>0</v>
      </c>
      <c r="I1126" s="91" t="b">
        <v>0</v>
      </c>
      <c r="J1126" s="91" t="b">
        <v>0</v>
      </c>
      <c r="K1126" s="91" t="b">
        <v>0</v>
      </c>
      <c r="L1126" s="91" t="b">
        <v>0</v>
      </c>
    </row>
    <row r="1127" spans="1:12" ht="15">
      <c r="A1127" s="92" t="s">
        <v>2632</v>
      </c>
      <c r="B1127" s="91" t="s">
        <v>436</v>
      </c>
      <c r="C1127" s="91">
        <v>19</v>
      </c>
      <c r="D1127" s="114">
        <v>0.0034856019498138388</v>
      </c>
      <c r="E1127" s="114">
        <v>2.1549140235538027</v>
      </c>
      <c r="F1127" s="91" t="s">
        <v>2518</v>
      </c>
      <c r="G1127" s="91" t="b">
        <v>0</v>
      </c>
      <c r="H1127" s="91" t="b">
        <v>0</v>
      </c>
      <c r="I1127" s="91" t="b">
        <v>0</v>
      </c>
      <c r="J1127" s="91" t="b">
        <v>0</v>
      </c>
      <c r="K1127" s="91" t="b">
        <v>0</v>
      </c>
      <c r="L1127" s="91" t="b">
        <v>0</v>
      </c>
    </row>
    <row r="1128" spans="1:12" ht="15">
      <c r="A1128" s="92" t="s">
        <v>2583</v>
      </c>
      <c r="B1128" s="91" t="s">
        <v>2617</v>
      </c>
      <c r="C1128" s="91">
        <v>17</v>
      </c>
      <c r="D1128" s="114">
        <v>0.003272966545806039</v>
      </c>
      <c r="E1128" s="114">
        <v>2.1300904398287708</v>
      </c>
      <c r="F1128" s="91" t="s">
        <v>2518</v>
      </c>
      <c r="G1128" s="91" t="b">
        <v>0</v>
      </c>
      <c r="H1128" s="91" t="b">
        <v>0</v>
      </c>
      <c r="I1128" s="91" t="b">
        <v>0</v>
      </c>
      <c r="J1128" s="91" t="b">
        <v>0</v>
      </c>
      <c r="K1128" s="91" t="b">
        <v>0</v>
      </c>
      <c r="L1128" s="91" t="b">
        <v>0</v>
      </c>
    </row>
    <row r="1129" spans="1:12" ht="15">
      <c r="A1129" s="92" t="s">
        <v>2641</v>
      </c>
      <c r="B1129" s="91" t="s">
        <v>2611</v>
      </c>
      <c r="C1129" s="91">
        <v>17</v>
      </c>
      <c r="D1129" s="114">
        <v>0.003272966545806039</v>
      </c>
      <c r="E1129" s="114">
        <v>1.7026163525591724</v>
      </c>
      <c r="F1129" s="91" t="s">
        <v>2518</v>
      </c>
      <c r="G1129" s="91" t="b">
        <v>0</v>
      </c>
      <c r="H1129" s="91" t="b">
        <v>0</v>
      </c>
      <c r="I1129" s="91" t="b">
        <v>0</v>
      </c>
      <c r="J1129" s="91" t="b">
        <v>0</v>
      </c>
      <c r="K1129" s="91" t="b">
        <v>0</v>
      </c>
      <c r="L1129" s="91" t="b">
        <v>0</v>
      </c>
    </row>
    <row r="1130" spans="1:12" ht="15">
      <c r="A1130" s="92" t="s">
        <v>2636</v>
      </c>
      <c r="B1130" s="91" t="s">
        <v>2692</v>
      </c>
      <c r="C1130" s="91">
        <v>17</v>
      </c>
      <c r="D1130" s="114">
        <v>0.003272966545806039</v>
      </c>
      <c r="E1130" s="114">
        <v>2.296243176350272</v>
      </c>
      <c r="F1130" s="91" t="s">
        <v>2518</v>
      </c>
      <c r="G1130" s="91" t="b">
        <v>0</v>
      </c>
      <c r="H1130" s="91" t="b">
        <v>0</v>
      </c>
      <c r="I1130" s="91" t="b">
        <v>0</v>
      </c>
      <c r="J1130" s="91" t="b">
        <v>0</v>
      </c>
      <c r="K1130" s="91" t="b">
        <v>0</v>
      </c>
      <c r="L1130" s="91" t="b">
        <v>0</v>
      </c>
    </row>
    <row r="1131" spans="1:12" ht="15">
      <c r="A1131" s="92" t="s">
        <v>2692</v>
      </c>
      <c r="B1131" s="91" t="s">
        <v>2712</v>
      </c>
      <c r="C1131" s="91">
        <v>17</v>
      </c>
      <c r="D1131" s="114">
        <v>0.003272966545806039</v>
      </c>
      <c r="E1131" s="114">
        <v>2.4807676029428163</v>
      </c>
      <c r="F1131" s="91" t="s">
        <v>2518</v>
      </c>
      <c r="G1131" s="91" t="b">
        <v>0</v>
      </c>
      <c r="H1131" s="91" t="b">
        <v>0</v>
      </c>
      <c r="I1131" s="91" t="b">
        <v>0</v>
      </c>
      <c r="J1131" s="91" t="b">
        <v>0</v>
      </c>
      <c r="K1131" s="91" t="b">
        <v>0</v>
      </c>
      <c r="L1131" s="91" t="b">
        <v>0</v>
      </c>
    </row>
    <row r="1132" spans="1:12" ht="15">
      <c r="A1132" s="92" t="s">
        <v>2712</v>
      </c>
      <c r="B1132" s="91" t="s">
        <v>2578</v>
      </c>
      <c r="C1132" s="91">
        <v>17</v>
      </c>
      <c r="D1132" s="114">
        <v>0.003272966545806039</v>
      </c>
      <c r="E1132" s="114">
        <v>2.0299752869455028</v>
      </c>
      <c r="F1132" s="91" t="s">
        <v>2518</v>
      </c>
      <c r="G1132" s="91" t="b">
        <v>0</v>
      </c>
      <c r="H1132" s="91" t="b">
        <v>0</v>
      </c>
      <c r="I1132" s="91" t="b">
        <v>0</v>
      </c>
      <c r="J1132" s="91" t="b">
        <v>0</v>
      </c>
      <c r="K1132" s="91" t="b">
        <v>0</v>
      </c>
      <c r="L1132" s="91" t="b">
        <v>0</v>
      </c>
    </row>
    <row r="1133" spans="1:12" ht="15">
      <c r="A1133" s="92" t="s">
        <v>2578</v>
      </c>
      <c r="B1133" s="91" t="s">
        <v>2637</v>
      </c>
      <c r="C1133" s="91">
        <v>17</v>
      </c>
      <c r="D1133" s="114">
        <v>0.003272966545806039</v>
      </c>
      <c r="E1133" s="114">
        <v>1.9553416686485987</v>
      </c>
      <c r="F1133" s="91" t="s">
        <v>2518</v>
      </c>
      <c r="G1133" s="91" t="b">
        <v>0</v>
      </c>
      <c r="H1133" s="91" t="b">
        <v>0</v>
      </c>
      <c r="I1133" s="91" t="b">
        <v>0</v>
      </c>
      <c r="J1133" s="91" t="b">
        <v>0</v>
      </c>
      <c r="K1133" s="91" t="b">
        <v>0</v>
      </c>
      <c r="L1133" s="91" t="b">
        <v>0</v>
      </c>
    </row>
    <row r="1134" spans="1:12" ht="15">
      <c r="A1134" s="92" t="s">
        <v>2637</v>
      </c>
      <c r="B1134" s="91" t="s">
        <v>2620</v>
      </c>
      <c r="C1134" s="91">
        <v>17</v>
      </c>
      <c r="D1134" s="114">
        <v>0.003272966545806039</v>
      </c>
      <c r="E1134" s="114">
        <v>2.2649718360744973</v>
      </c>
      <c r="F1134" s="91" t="s">
        <v>2518</v>
      </c>
      <c r="G1134" s="91" t="b">
        <v>0</v>
      </c>
      <c r="H1134" s="91" t="b">
        <v>0</v>
      </c>
      <c r="I1134" s="91" t="b">
        <v>0</v>
      </c>
      <c r="J1134" s="91" t="b">
        <v>0</v>
      </c>
      <c r="K1134" s="91" t="b">
        <v>0</v>
      </c>
      <c r="L1134" s="91" t="b">
        <v>0</v>
      </c>
    </row>
    <row r="1135" spans="1:12" ht="15">
      <c r="A1135" s="92" t="s">
        <v>2620</v>
      </c>
      <c r="B1135" s="91" t="s">
        <v>2713</v>
      </c>
      <c r="C1135" s="91">
        <v>17</v>
      </c>
      <c r="D1135" s="114">
        <v>0.003272966545806039</v>
      </c>
      <c r="E1135" s="114">
        <v>2.3132765156490525</v>
      </c>
      <c r="F1135" s="91" t="s">
        <v>2518</v>
      </c>
      <c r="G1135" s="91" t="b">
        <v>0</v>
      </c>
      <c r="H1135" s="91" t="b">
        <v>0</v>
      </c>
      <c r="I1135" s="91" t="b">
        <v>0</v>
      </c>
      <c r="J1135" s="91" t="b">
        <v>0</v>
      </c>
      <c r="K1135" s="91" t="b">
        <v>0</v>
      </c>
      <c r="L1135" s="91" t="b">
        <v>0</v>
      </c>
    </row>
    <row r="1136" spans="1:12" ht="15">
      <c r="A1136" s="92" t="s">
        <v>2713</v>
      </c>
      <c r="B1136" s="91" t="s">
        <v>2714</v>
      </c>
      <c r="C1136" s="91">
        <v>17</v>
      </c>
      <c r="D1136" s="114">
        <v>0.003272966545806039</v>
      </c>
      <c r="E1136" s="114">
        <v>2.4807676029428163</v>
      </c>
      <c r="F1136" s="91" t="s">
        <v>2518</v>
      </c>
      <c r="G1136" s="91" t="b">
        <v>0</v>
      </c>
      <c r="H1136" s="91" t="b">
        <v>0</v>
      </c>
      <c r="I1136" s="91" t="b">
        <v>0</v>
      </c>
      <c r="J1136" s="91" t="b">
        <v>0</v>
      </c>
      <c r="K1136" s="91" t="b">
        <v>0</v>
      </c>
      <c r="L1136" s="91" t="b">
        <v>0</v>
      </c>
    </row>
    <row r="1137" spans="1:12" ht="15">
      <c r="A1137" s="92" t="s">
        <v>2714</v>
      </c>
      <c r="B1137" s="91" t="s">
        <v>2715</v>
      </c>
      <c r="C1137" s="91">
        <v>17</v>
      </c>
      <c r="D1137" s="114">
        <v>0.003272966545806039</v>
      </c>
      <c r="E1137" s="114">
        <v>2.4807676029428163</v>
      </c>
      <c r="F1137" s="91" t="s">
        <v>2518</v>
      </c>
      <c r="G1137" s="91" t="b">
        <v>0</v>
      </c>
      <c r="H1137" s="91" t="b">
        <v>0</v>
      </c>
      <c r="I1137" s="91" t="b">
        <v>0</v>
      </c>
      <c r="J1137" s="91" t="b">
        <v>0</v>
      </c>
      <c r="K1137" s="91" t="b">
        <v>0</v>
      </c>
      <c r="L1137" s="91" t="b">
        <v>0</v>
      </c>
    </row>
    <row r="1138" spans="1:12" ht="15">
      <c r="A1138" s="92" t="s">
        <v>2715</v>
      </c>
      <c r="B1138" s="91" t="s">
        <v>2632</v>
      </c>
      <c r="C1138" s="91">
        <v>17</v>
      </c>
      <c r="D1138" s="114">
        <v>0.003272966545806039</v>
      </c>
      <c r="E1138" s="114">
        <v>2.1549140235538027</v>
      </c>
      <c r="F1138" s="91" t="s">
        <v>2518</v>
      </c>
      <c r="G1138" s="91" t="b">
        <v>0</v>
      </c>
      <c r="H1138" s="91" t="b">
        <v>0</v>
      </c>
      <c r="I1138" s="91" t="b">
        <v>0</v>
      </c>
      <c r="J1138" s="91" t="b">
        <v>0</v>
      </c>
      <c r="K1138" s="91" t="b">
        <v>0</v>
      </c>
      <c r="L1138" s="91" t="b">
        <v>0</v>
      </c>
    </row>
    <row r="1139" spans="1:12" ht="15">
      <c r="A1139" s="92" t="s">
        <v>2632</v>
      </c>
      <c r="B1139" s="91" t="s">
        <v>435</v>
      </c>
      <c r="C1139" s="91">
        <v>17</v>
      </c>
      <c r="D1139" s="114">
        <v>0.003272966545806039</v>
      </c>
      <c r="E1139" s="114">
        <v>2.1549140235538027</v>
      </c>
      <c r="F1139" s="91" t="s">
        <v>2518</v>
      </c>
      <c r="G1139" s="91" t="b">
        <v>0</v>
      </c>
      <c r="H1139" s="91" t="b">
        <v>0</v>
      </c>
      <c r="I1139" s="91" t="b">
        <v>0</v>
      </c>
      <c r="J1139" s="91" t="b">
        <v>0</v>
      </c>
      <c r="K1139" s="91" t="b">
        <v>0</v>
      </c>
      <c r="L1139" s="91" t="b">
        <v>0</v>
      </c>
    </row>
    <row r="1140" spans="1:12" ht="15">
      <c r="A1140" s="92" t="s">
        <v>435</v>
      </c>
      <c r="B1140" s="91" t="s">
        <v>2565</v>
      </c>
      <c r="C1140" s="91">
        <v>17</v>
      </c>
      <c r="D1140" s="114">
        <v>0.003272966545806039</v>
      </c>
      <c r="E1140" s="114">
        <v>1.5873648833540042</v>
      </c>
      <c r="F1140" s="91" t="s">
        <v>2518</v>
      </c>
      <c r="G1140" s="91" t="b">
        <v>0</v>
      </c>
      <c r="H1140" s="91" t="b">
        <v>0</v>
      </c>
      <c r="I1140" s="91" t="b">
        <v>0</v>
      </c>
      <c r="J1140" s="91" t="b">
        <v>0</v>
      </c>
      <c r="K1140" s="91" t="b">
        <v>0</v>
      </c>
      <c r="L1140" s="91" t="b">
        <v>0</v>
      </c>
    </row>
    <row r="1141" spans="1:12" ht="15">
      <c r="A1141" s="92" t="s">
        <v>2639</v>
      </c>
      <c r="B1141" s="91" t="s">
        <v>2640</v>
      </c>
      <c r="C1141" s="91">
        <v>17</v>
      </c>
      <c r="D1141" s="114">
        <v>0.003272966545806039</v>
      </c>
      <c r="E1141" s="114">
        <v>1.995213180686291</v>
      </c>
      <c r="F1141" s="91" t="s">
        <v>2518</v>
      </c>
      <c r="G1141" s="91" t="b">
        <v>0</v>
      </c>
      <c r="H1141" s="91" t="b">
        <v>0</v>
      </c>
      <c r="I1141" s="91" t="b">
        <v>0</v>
      </c>
      <c r="J1141" s="91" t="b">
        <v>0</v>
      </c>
      <c r="K1141" s="91" t="b">
        <v>0</v>
      </c>
      <c r="L1141" s="91" t="b">
        <v>0</v>
      </c>
    </row>
    <row r="1142" spans="1:12" ht="15">
      <c r="A1142" s="92" t="s">
        <v>2641</v>
      </c>
      <c r="B1142" s="91" t="s">
        <v>2564</v>
      </c>
      <c r="C1142" s="91">
        <v>17</v>
      </c>
      <c r="D1142" s="114">
        <v>0.003272966545806039</v>
      </c>
      <c r="E1142" s="114">
        <v>1.154914023553803</v>
      </c>
      <c r="F1142" s="91" t="s">
        <v>2518</v>
      </c>
      <c r="G1142" s="91" t="b">
        <v>0</v>
      </c>
      <c r="H1142" s="91" t="b">
        <v>0</v>
      </c>
      <c r="I1142" s="91" t="b">
        <v>0</v>
      </c>
      <c r="J1142" s="91" t="b">
        <v>0</v>
      </c>
      <c r="K1142" s="91" t="b">
        <v>0</v>
      </c>
      <c r="L1142" s="91" t="b">
        <v>0</v>
      </c>
    </row>
    <row r="1143" spans="1:12" ht="15">
      <c r="A1143" s="92" t="s">
        <v>2573</v>
      </c>
      <c r="B1143" s="91" t="s">
        <v>2611</v>
      </c>
      <c r="C1143" s="91">
        <v>17</v>
      </c>
      <c r="D1143" s="114">
        <v>0.003272966545806039</v>
      </c>
      <c r="E1143" s="114">
        <v>1.485907242595227</v>
      </c>
      <c r="F1143" s="91" t="s">
        <v>2518</v>
      </c>
      <c r="G1143" s="91" t="b">
        <v>0</v>
      </c>
      <c r="H1143" s="91" t="b">
        <v>0</v>
      </c>
      <c r="I1143" s="91" t="b">
        <v>0</v>
      </c>
      <c r="J1143" s="91" t="b">
        <v>0</v>
      </c>
      <c r="K1143" s="91" t="b">
        <v>0</v>
      </c>
      <c r="L1143" s="91" t="b">
        <v>0</v>
      </c>
    </row>
    <row r="1144" spans="1:12" ht="15">
      <c r="A1144" s="92" t="s">
        <v>2669</v>
      </c>
      <c r="B1144" s="91" t="s">
        <v>2607</v>
      </c>
      <c r="C1144" s="91">
        <v>15</v>
      </c>
      <c r="D1144" s="114">
        <v>0.0030410893651539304</v>
      </c>
      <c r="E1144" s="114">
        <v>2.075732777506178</v>
      </c>
      <c r="F1144" s="91" t="s">
        <v>2518</v>
      </c>
      <c r="G1144" s="91" t="b">
        <v>0</v>
      </c>
      <c r="H1144" s="91" t="b">
        <v>0</v>
      </c>
      <c r="I1144" s="91" t="b">
        <v>0</v>
      </c>
      <c r="J1144" s="91" t="b">
        <v>0</v>
      </c>
      <c r="K1144" s="91" t="b">
        <v>0</v>
      </c>
      <c r="L1144" s="91" t="b">
        <v>0</v>
      </c>
    </row>
    <row r="1145" spans="1:12" ht="15">
      <c r="A1145" s="92" t="s">
        <v>2607</v>
      </c>
      <c r="B1145" s="91" t="s">
        <v>2698</v>
      </c>
      <c r="C1145" s="91">
        <v>15</v>
      </c>
      <c r="D1145" s="114">
        <v>0.0030410893651539304</v>
      </c>
      <c r="E1145" s="114">
        <v>2.1549140235538027</v>
      </c>
      <c r="F1145" s="91" t="s">
        <v>2518</v>
      </c>
      <c r="G1145" s="91" t="b">
        <v>0</v>
      </c>
      <c r="H1145" s="91" t="b">
        <v>0</v>
      </c>
      <c r="I1145" s="91" t="b">
        <v>0</v>
      </c>
      <c r="J1145" s="91" t="b">
        <v>0</v>
      </c>
      <c r="K1145" s="91" t="b">
        <v>0</v>
      </c>
      <c r="L1145" s="91" t="b">
        <v>0</v>
      </c>
    </row>
    <row r="1146" spans="1:12" ht="15">
      <c r="A1146" s="92" t="s">
        <v>2698</v>
      </c>
      <c r="B1146" s="91" t="s">
        <v>2699</v>
      </c>
      <c r="C1146" s="91">
        <v>15</v>
      </c>
      <c r="D1146" s="114">
        <v>0.0030410893651539304</v>
      </c>
      <c r="E1146" s="114">
        <v>2.5351252652654086</v>
      </c>
      <c r="F1146" s="91" t="s">
        <v>2518</v>
      </c>
      <c r="G1146" s="91" t="b">
        <v>0</v>
      </c>
      <c r="H1146" s="91" t="b">
        <v>0</v>
      </c>
      <c r="I1146" s="91" t="b">
        <v>0</v>
      </c>
      <c r="J1146" s="91" t="b">
        <v>0</v>
      </c>
      <c r="K1146" s="91" t="b">
        <v>0</v>
      </c>
      <c r="L1146" s="91" t="b">
        <v>0</v>
      </c>
    </row>
    <row r="1147" spans="1:12" ht="15">
      <c r="A1147" s="92" t="s">
        <v>2699</v>
      </c>
      <c r="B1147" s="91" t="s">
        <v>2635</v>
      </c>
      <c r="C1147" s="91">
        <v>15</v>
      </c>
      <c r="D1147" s="114">
        <v>0.0030410893651539304</v>
      </c>
      <c r="E1147" s="114">
        <v>2.5351252652654086</v>
      </c>
      <c r="F1147" s="91" t="s">
        <v>2518</v>
      </c>
      <c r="G1147" s="91" t="b">
        <v>0</v>
      </c>
      <c r="H1147" s="91" t="b">
        <v>0</v>
      </c>
      <c r="I1147" s="91" t="b">
        <v>0</v>
      </c>
      <c r="J1147" s="91" t="b">
        <v>0</v>
      </c>
      <c r="K1147" s="91" t="b">
        <v>0</v>
      </c>
      <c r="L1147" s="91" t="b">
        <v>0</v>
      </c>
    </row>
    <row r="1148" spans="1:12" ht="15">
      <c r="A1148" s="92" t="s">
        <v>2564</v>
      </c>
      <c r="B1148" s="91" t="s">
        <v>2566</v>
      </c>
      <c r="C1148" s="91">
        <v>15</v>
      </c>
      <c r="D1148" s="114">
        <v>0.0030410893651539304</v>
      </c>
      <c r="E1148" s="114">
        <v>0.45312224951479985</v>
      </c>
      <c r="F1148" s="91" t="s">
        <v>2518</v>
      </c>
      <c r="G1148" s="91" t="b">
        <v>0</v>
      </c>
      <c r="H1148" s="91" t="b">
        <v>0</v>
      </c>
      <c r="I1148" s="91" t="b">
        <v>0</v>
      </c>
      <c r="J1148" s="91" t="b">
        <v>0</v>
      </c>
      <c r="K1148" s="91" t="b">
        <v>0</v>
      </c>
      <c r="L1148" s="91" t="b">
        <v>0</v>
      </c>
    </row>
    <row r="1149" spans="1:12" ht="15">
      <c r="A1149" s="92" t="s">
        <v>2655</v>
      </c>
      <c r="B1149" s="91" t="s">
        <v>2580</v>
      </c>
      <c r="C1149" s="91">
        <v>13</v>
      </c>
      <c r="D1149" s="114">
        <v>0.0027873903788003195</v>
      </c>
      <c r="E1149" s="114">
        <v>2.0580040105457464</v>
      </c>
      <c r="F1149" s="91" t="s">
        <v>2518</v>
      </c>
      <c r="G1149" s="91" t="b">
        <v>0</v>
      </c>
      <c r="H1149" s="91" t="b">
        <v>0</v>
      </c>
      <c r="I1149" s="91" t="b">
        <v>0</v>
      </c>
      <c r="J1149" s="91" t="b">
        <v>0</v>
      </c>
      <c r="K1149" s="91" t="b">
        <v>0</v>
      </c>
      <c r="L1149" s="91" t="b">
        <v>0</v>
      </c>
    </row>
    <row r="1150" spans="1:12" ht="15">
      <c r="A1150" s="92" t="s">
        <v>2580</v>
      </c>
      <c r="B1150" s="91" t="s">
        <v>2569</v>
      </c>
      <c r="C1150" s="91">
        <v>13</v>
      </c>
      <c r="D1150" s="114">
        <v>0.0027873903788003195</v>
      </c>
      <c r="E1150" s="114">
        <v>1.4643771867546467</v>
      </c>
      <c r="F1150" s="91" t="s">
        <v>2518</v>
      </c>
      <c r="G1150" s="91" t="b">
        <v>0</v>
      </c>
      <c r="H1150" s="91" t="b">
        <v>0</v>
      </c>
      <c r="I1150" s="91" t="b">
        <v>0</v>
      </c>
      <c r="J1150" s="91" t="b">
        <v>0</v>
      </c>
      <c r="K1150" s="91" t="b">
        <v>0</v>
      </c>
      <c r="L1150" s="91" t="b">
        <v>0</v>
      </c>
    </row>
    <row r="1151" spans="1:12" ht="15">
      <c r="A1151" s="92" t="s">
        <v>2754</v>
      </c>
      <c r="B1151" s="91" t="s">
        <v>2580</v>
      </c>
      <c r="C1151" s="91">
        <v>11</v>
      </c>
      <c r="D1151" s="114">
        <v>0.0025084873228247025</v>
      </c>
      <c r="E1151" s="114">
        <v>2.0580040105457464</v>
      </c>
      <c r="F1151" s="91" t="s">
        <v>2518</v>
      </c>
      <c r="G1151" s="91" t="b">
        <v>0</v>
      </c>
      <c r="H1151" s="91" t="b">
        <v>0</v>
      </c>
      <c r="I1151" s="91" t="b">
        <v>0</v>
      </c>
      <c r="J1151" s="91" t="b">
        <v>0</v>
      </c>
      <c r="K1151" s="91" t="b">
        <v>0</v>
      </c>
      <c r="L1151" s="91" t="b">
        <v>0</v>
      </c>
    </row>
    <row r="1152" spans="1:12" ht="15">
      <c r="A1152" s="92" t="s">
        <v>2572</v>
      </c>
      <c r="B1152" s="91" t="s">
        <v>2733</v>
      </c>
      <c r="C1152" s="91">
        <v>11</v>
      </c>
      <c r="D1152" s="114">
        <v>0.0025084873228247025</v>
      </c>
      <c r="E1152" s="114">
        <v>2.0036463482231537</v>
      </c>
      <c r="F1152" s="91" t="s">
        <v>2518</v>
      </c>
      <c r="G1152" s="91" t="b">
        <v>0</v>
      </c>
      <c r="H1152" s="91" t="b">
        <v>0</v>
      </c>
      <c r="I1152" s="91" t="b">
        <v>0</v>
      </c>
      <c r="J1152" s="91" t="b">
        <v>0</v>
      </c>
      <c r="K1152" s="91" t="b">
        <v>0</v>
      </c>
      <c r="L1152" s="91" t="b">
        <v>0</v>
      </c>
    </row>
    <row r="1153" spans="1:12" ht="15">
      <c r="A1153" s="92" t="s">
        <v>2733</v>
      </c>
      <c r="B1153" s="91" t="s">
        <v>2672</v>
      </c>
      <c r="C1153" s="91">
        <v>11</v>
      </c>
      <c r="D1153" s="114">
        <v>0.0025084873228247025</v>
      </c>
      <c r="E1153" s="114">
        <v>2.432462923368261</v>
      </c>
      <c r="F1153" s="91" t="s">
        <v>2518</v>
      </c>
      <c r="G1153" s="91" t="b">
        <v>0</v>
      </c>
      <c r="H1153" s="91" t="b">
        <v>0</v>
      </c>
      <c r="I1153" s="91" t="b">
        <v>0</v>
      </c>
      <c r="J1153" s="91" t="b">
        <v>0</v>
      </c>
      <c r="K1153" s="91" t="b">
        <v>0</v>
      </c>
      <c r="L1153" s="91" t="b">
        <v>0</v>
      </c>
    </row>
    <row r="1154" spans="1:12" ht="15">
      <c r="A1154" s="92" t="s">
        <v>2672</v>
      </c>
      <c r="B1154" s="91" t="s">
        <v>2755</v>
      </c>
      <c r="C1154" s="91">
        <v>11</v>
      </c>
      <c r="D1154" s="114">
        <v>0.0025084873228247025</v>
      </c>
      <c r="E1154" s="114">
        <v>2.432462923368261</v>
      </c>
      <c r="F1154" s="91" t="s">
        <v>2518</v>
      </c>
      <c r="G1154" s="91" t="b">
        <v>0</v>
      </c>
      <c r="H1154" s="91" t="b">
        <v>0</v>
      </c>
      <c r="I1154" s="91" t="b">
        <v>0</v>
      </c>
      <c r="J1154" s="91" t="b">
        <v>0</v>
      </c>
      <c r="K1154" s="91" t="b">
        <v>0</v>
      </c>
      <c r="L1154" s="91" t="b">
        <v>0</v>
      </c>
    </row>
    <row r="1155" spans="1:12" ht="15">
      <c r="A1155" s="92" t="s">
        <v>2755</v>
      </c>
      <c r="B1155" s="91" t="s">
        <v>2668</v>
      </c>
      <c r="C1155" s="91">
        <v>11</v>
      </c>
      <c r="D1155" s="114">
        <v>0.0025084873228247025</v>
      </c>
      <c r="E1155" s="114">
        <v>2.669823839162865</v>
      </c>
      <c r="F1155" s="91" t="s">
        <v>2518</v>
      </c>
      <c r="G1155" s="91" t="b">
        <v>0</v>
      </c>
      <c r="H1155" s="91" t="b">
        <v>0</v>
      </c>
      <c r="I1155" s="91" t="b">
        <v>0</v>
      </c>
      <c r="J1155" s="91" t="b">
        <v>0</v>
      </c>
      <c r="K1155" s="91" t="b">
        <v>0</v>
      </c>
      <c r="L1155" s="91" t="b">
        <v>0</v>
      </c>
    </row>
    <row r="1156" spans="1:12" ht="15">
      <c r="A1156" s="92" t="s">
        <v>2668</v>
      </c>
      <c r="B1156" s="91" t="s">
        <v>2582</v>
      </c>
      <c r="C1156" s="91">
        <v>11</v>
      </c>
      <c r="D1156" s="114">
        <v>0.0025084873228247025</v>
      </c>
      <c r="E1156" s="114">
        <v>2.432462923368261</v>
      </c>
      <c r="F1156" s="91" t="s">
        <v>2518</v>
      </c>
      <c r="G1156" s="91" t="b">
        <v>0</v>
      </c>
      <c r="H1156" s="91" t="b">
        <v>0</v>
      </c>
      <c r="I1156" s="91" t="b">
        <v>0</v>
      </c>
      <c r="J1156" s="91" t="b">
        <v>0</v>
      </c>
      <c r="K1156" s="91" t="b">
        <v>0</v>
      </c>
      <c r="L1156" s="91" t="b">
        <v>0</v>
      </c>
    </row>
    <row r="1157" spans="1:12" ht="15">
      <c r="A1157" s="92" t="s">
        <v>2582</v>
      </c>
      <c r="B1157" s="91" t="s">
        <v>586</v>
      </c>
      <c r="C1157" s="91">
        <v>11</v>
      </c>
      <c r="D1157" s="114">
        <v>0.0025084873228247025</v>
      </c>
      <c r="E1157" s="114">
        <v>2.21858310342318</v>
      </c>
      <c r="F1157" s="91" t="s">
        <v>2518</v>
      </c>
      <c r="G1157" s="91" t="b">
        <v>0</v>
      </c>
      <c r="H1157" s="91" t="b">
        <v>0</v>
      </c>
      <c r="I1157" s="91" t="b">
        <v>0</v>
      </c>
      <c r="J1157" s="91" t="b">
        <v>0</v>
      </c>
      <c r="K1157" s="91" t="b">
        <v>0</v>
      </c>
      <c r="L1157" s="91" t="b">
        <v>0</v>
      </c>
    </row>
    <row r="1158" spans="1:12" ht="15">
      <c r="A1158" s="92" t="s">
        <v>586</v>
      </c>
      <c r="B1158" s="91" t="s">
        <v>2566</v>
      </c>
      <c r="C1158" s="91">
        <v>11</v>
      </c>
      <c r="D1158" s="114">
        <v>0.0025084873228247025</v>
      </c>
      <c r="E1158" s="114">
        <v>1.2986796174215864</v>
      </c>
      <c r="F1158" s="91" t="s">
        <v>2518</v>
      </c>
      <c r="G1158" s="91" t="b">
        <v>0</v>
      </c>
      <c r="H1158" s="91" t="b">
        <v>0</v>
      </c>
      <c r="I1158" s="91" t="b">
        <v>0</v>
      </c>
      <c r="J1158" s="91" t="b">
        <v>0</v>
      </c>
      <c r="K1158" s="91" t="b">
        <v>0</v>
      </c>
      <c r="L1158" s="91" t="b">
        <v>0</v>
      </c>
    </row>
    <row r="1159" spans="1:12" ht="15">
      <c r="A1159" s="92" t="s">
        <v>2566</v>
      </c>
      <c r="B1159" s="91" t="s">
        <v>2570</v>
      </c>
      <c r="C1159" s="91">
        <v>11</v>
      </c>
      <c r="D1159" s="114">
        <v>0.0025084873228247025</v>
      </c>
      <c r="E1159" s="114">
        <v>0.3692606917072937</v>
      </c>
      <c r="F1159" s="91" t="s">
        <v>2518</v>
      </c>
      <c r="G1159" s="91" t="b">
        <v>0</v>
      </c>
      <c r="H1159" s="91" t="b">
        <v>0</v>
      </c>
      <c r="I1159" s="91" t="b">
        <v>0</v>
      </c>
      <c r="J1159" s="91" t="b">
        <v>0</v>
      </c>
      <c r="K1159" s="91" t="b">
        <v>0</v>
      </c>
      <c r="L1159" s="91" t="b">
        <v>0</v>
      </c>
    </row>
    <row r="1160" spans="1:12" ht="15">
      <c r="A1160" s="92" t="s">
        <v>2570</v>
      </c>
      <c r="B1160" s="91" t="s">
        <v>2611</v>
      </c>
      <c r="C1160" s="91">
        <v>11</v>
      </c>
      <c r="D1160" s="114">
        <v>0.0025084873228247025</v>
      </c>
      <c r="E1160" s="114">
        <v>0.8519144350269171</v>
      </c>
      <c r="F1160" s="91" t="s">
        <v>2518</v>
      </c>
      <c r="G1160" s="91" t="b">
        <v>0</v>
      </c>
      <c r="H1160" s="91" t="b">
        <v>0</v>
      </c>
      <c r="I1160" s="91" t="b">
        <v>0</v>
      </c>
      <c r="J1160" s="91" t="b">
        <v>0</v>
      </c>
      <c r="K1160" s="91" t="b">
        <v>0</v>
      </c>
      <c r="L1160" s="91" t="b">
        <v>0</v>
      </c>
    </row>
    <row r="1161" spans="1:12" ht="15">
      <c r="A1161" s="92" t="s">
        <v>2611</v>
      </c>
      <c r="B1161" s="91" t="s">
        <v>2740</v>
      </c>
      <c r="C1161" s="91">
        <v>11</v>
      </c>
      <c r="D1161" s="114">
        <v>0.0025084873228247025</v>
      </c>
      <c r="E1161" s="114">
        <v>1.9854533433971346</v>
      </c>
      <c r="F1161" s="91" t="s">
        <v>2518</v>
      </c>
      <c r="G1161" s="91" t="b">
        <v>0</v>
      </c>
      <c r="H1161" s="91" t="b">
        <v>0</v>
      </c>
      <c r="I1161" s="91" t="b">
        <v>0</v>
      </c>
      <c r="J1161" s="91" t="b">
        <v>0</v>
      </c>
      <c r="K1161" s="91" t="b">
        <v>0</v>
      </c>
      <c r="L1161" s="91" t="b">
        <v>0</v>
      </c>
    </row>
    <row r="1162" spans="1:12" ht="15">
      <c r="A1162" s="92" t="s">
        <v>2740</v>
      </c>
      <c r="B1162" s="91" t="s">
        <v>2756</v>
      </c>
      <c r="C1162" s="91">
        <v>11</v>
      </c>
      <c r="D1162" s="114">
        <v>0.0025084873228247025</v>
      </c>
      <c r="E1162" s="114">
        <v>2.5972731720142535</v>
      </c>
      <c r="F1162" s="91" t="s">
        <v>2518</v>
      </c>
      <c r="G1162" s="91" t="b">
        <v>0</v>
      </c>
      <c r="H1162" s="91" t="b">
        <v>0</v>
      </c>
      <c r="I1162" s="91" t="b">
        <v>0</v>
      </c>
      <c r="J1162" s="91" t="b">
        <v>0</v>
      </c>
      <c r="K1162" s="91" t="b">
        <v>0</v>
      </c>
      <c r="L1162" s="91" t="b">
        <v>0</v>
      </c>
    </row>
    <row r="1163" spans="1:12" ht="15">
      <c r="A1163" s="92" t="s">
        <v>2756</v>
      </c>
      <c r="B1163" s="91" t="s">
        <v>2757</v>
      </c>
      <c r="C1163" s="91">
        <v>11</v>
      </c>
      <c r="D1163" s="114">
        <v>0.0025084873228247025</v>
      </c>
      <c r="E1163" s="114">
        <v>2.669823839162865</v>
      </c>
      <c r="F1163" s="91" t="s">
        <v>2518</v>
      </c>
      <c r="G1163" s="91" t="b">
        <v>0</v>
      </c>
      <c r="H1163" s="91" t="b">
        <v>0</v>
      </c>
      <c r="I1163" s="91" t="b">
        <v>0</v>
      </c>
      <c r="J1163" s="91" t="b">
        <v>0</v>
      </c>
      <c r="K1163" s="91" t="b">
        <v>0</v>
      </c>
      <c r="L1163" s="91" t="b">
        <v>0</v>
      </c>
    </row>
    <row r="1164" spans="1:12" ht="15">
      <c r="A1164" s="92" t="s">
        <v>2757</v>
      </c>
      <c r="B1164" s="91" t="s">
        <v>2571</v>
      </c>
      <c r="C1164" s="91">
        <v>11</v>
      </c>
      <c r="D1164" s="114">
        <v>0.0025084873228247025</v>
      </c>
      <c r="E1164" s="114">
        <v>1.7569740148817652</v>
      </c>
      <c r="F1164" s="91" t="s">
        <v>2518</v>
      </c>
      <c r="G1164" s="91" t="b">
        <v>0</v>
      </c>
      <c r="H1164" s="91" t="b">
        <v>0</v>
      </c>
      <c r="I1164" s="91" t="b">
        <v>0</v>
      </c>
      <c r="J1164" s="91" t="b">
        <v>0</v>
      </c>
      <c r="K1164" s="91" t="b">
        <v>0</v>
      </c>
      <c r="L1164" s="91" t="b">
        <v>0</v>
      </c>
    </row>
    <row r="1165" spans="1:12" ht="15">
      <c r="A1165" s="92" t="s">
        <v>2571</v>
      </c>
      <c r="B1165" s="91" t="s">
        <v>2564</v>
      </c>
      <c r="C1165" s="91">
        <v>11</v>
      </c>
      <c r="D1165" s="114">
        <v>0.0025084873228247025</v>
      </c>
      <c r="E1165" s="114">
        <v>0.5430941949366841</v>
      </c>
      <c r="F1165" s="91" t="s">
        <v>2518</v>
      </c>
      <c r="G1165" s="91" t="b">
        <v>0</v>
      </c>
      <c r="H1165" s="91" t="b">
        <v>0</v>
      </c>
      <c r="I1165" s="91" t="b">
        <v>0</v>
      </c>
      <c r="J1165" s="91" t="b">
        <v>0</v>
      </c>
      <c r="K1165" s="91" t="b">
        <v>0</v>
      </c>
      <c r="L1165" s="91" t="b">
        <v>0</v>
      </c>
    </row>
    <row r="1166" spans="1:12" ht="15">
      <c r="A1166" s="92" t="s">
        <v>2564</v>
      </c>
      <c r="B1166" s="91" t="s">
        <v>438</v>
      </c>
      <c r="C1166" s="91">
        <v>11</v>
      </c>
      <c r="D1166" s="114">
        <v>0.0025084873228247025</v>
      </c>
      <c r="E1166" s="114">
        <v>1.4756880774135412</v>
      </c>
      <c r="F1166" s="91" t="s">
        <v>2518</v>
      </c>
      <c r="G1166" s="91" t="b">
        <v>0</v>
      </c>
      <c r="H1166" s="91" t="b">
        <v>0</v>
      </c>
      <c r="I1166" s="91" t="b">
        <v>0</v>
      </c>
      <c r="J1166" s="91" t="b">
        <v>0</v>
      </c>
      <c r="K1166" s="91" t="b">
        <v>0</v>
      </c>
      <c r="L1166" s="91" t="b">
        <v>0</v>
      </c>
    </row>
    <row r="1167" spans="1:12" ht="15">
      <c r="A1167" s="92" t="s">
        <v>438</v>
      </c>
      <c r="B1167" s="91" t="s">
        <v>420</v>
      </c>
      <c r="C1167" s="91">
        <v>11</v>
      </c>
      <c r="D1167" s="114">
        <v>0.0025084873228247025</v>
      </c>
      <c r="E1167" s="114">
        <v>2.669823839162865</v>
      </c>
      <c r="F1167" s="91" t="s">
        <v>2518</v>
      </c>
      <c r="G1167" s="91" t="b">
        <v>0</v>
      </c>
      <c r="H1167" s="91" t="b">
        <v>0</v>
      </c>
      <c r="I1167" s="91" t="b">
        <v>0</v>
      </c>
      <c r="J1167" s="91" t="b">
        <v>0</v>
      </c>
      <c r="K1167" s="91" t="b">
        <v>0</v>
      </c>
      <c r="L1167" s="91" t="b">
        <v>0</v>
      </c>
    </row>
    <row r="1168" spans="1:12" ht="15">
      <c r="A1168" s="92" t="s">
        <v>2654</v>
      </c>
      <c r="B1168" s="91" t="s">
        <v>2591</v>
      </c>
      <c r="C1168" s="91">
        <v>10</v>
      </c>
      <c r="D1168" s="114">
        <v>0.002358204969196517</v>
      </c>
      <c r="E1168" s="114">
        <v>2.71121652432109</v>
      </c>
      <c r="F1168" s="91" t="s">
        <v>2518</v>
      </c>
      <c r="G1168" s="91" t="b">
        <v>0</v>
      </c>
      <c r="H1168" s="91" t="b">
        <v>0</v>
      </c>
      <c r="I1168" s="91" t="b">
        <v>0</v>
      </c>
      <c r="J1168" s="91" t="b">
        <v>0</v>
      </c>
      <c r="K1168" s="91" t="b">
        <v>0</v>
      </c>
      <c r="L1168" s="91" t="b">
        <v>0</v>
      </c>
    </row>
    <row r="1169" spans="1:12" ht="15">
      <c r="A1169" s="92" t="s">
        <v>2643</v>
      </c>
      <c r="B1169" s="91" t="s">
        <v>2570</v>
      </c>
      <c r="C1169" s="91">
        <v>10</v>
      </c>
      <c r="D1169" s="114">
        <v>0.002358204969196517</v>
      </c>
      <c r="E1169" s="114">
        <v>1.4333781913190426</v>
      </c>
      <c r="F1169" s="91" t="s">
        <v>2518</v>
      </c>
      <c r="G1169" s="91" t="b">
        <v>0</v>
      </c>
      <c r="H1169" s="91" t="b">
        <v>0</v>
      </c>
      <c r="I1169" s="91" t="b">
        <v>0</v>
      </c>
      <c r="J1169" s="91" t="b">
        <v>0</v>
      </c>
      <c r="K1169" s="91" t="b">
        <v>0</v>
      </c>
      <c r="L1169" s="91" t="b">
        <v>0</v>
      </c>
    </row>
    <row r="1170" spans="1:12" ht="15">
      <c r="A1170" s="92" t="s">
        <v>2622</v>
      </c>
      <c r="B1170" s="91" t="s">
        <v>2567</v>
      </c>
      <c r="C1170" s="91">
        <v>9</v>
      </c>
      <c r="D1170" s="114">
        <v>0.002199750133566754</v>
      </c>
      <c r="E1170" s="114">
        <v>1.38261043092577</v>
      </c>
      <c r="F1170" s="91" t="s">
        <v>2518</v>
      </c>
      <c r="G1170" s="91" t="b">
        <v>0</v>
      </c>
      <c r="H1170" s="91" t="b">
        <v>0</v>
      </c>
      <c r="I1170" s="91" t="b">
        <v>0</v>
      </c>
      <c r="J1170" s="91" t="b">
        <v>0</v>
      </c>
      <c r="K1170" s="91" t="b">
        <v>0</v>
      </c>
      <c r="L1170" s="91" t="b">
        <v>0</v>
      </c>
    </row>
    <row r="1171" spans="1:12" ht="15">
      <c r="A1171" s="92" t="s">
        <v>2567</v>
      </c>
      <c r="B1171" s="91" t="s">
        <v>2564</v>
      </c>
      <c r="C1171" s="91">
        <v>9</v>
      </c>
      <c r="D1171" s="114">
        <v>0.002199750133566754</v>
      </c>
      <c r="E1171" s="114">
        <v>0.28308173029230127</v>
      </c>
      <c r="F1171" s="91" t="s">
        <v>2518</v>
      </c>
      <c r="G1171" s="91" t="b">
        <v>0</v>
      </c>
      <c r="H1171" s="91" t="b">
        <v>0</v>
      </c>
      <c r="I1171" s="91" t="b">
        <v>0</v>
      </c>
      <c r="J1171" s="91" t="b">
        <v>0</v>
      </c>
      <c r="K1171" s="91" t="b">
        <v>0</v>
      </c>
      <c r="L1171" s="91" t="b">
        <v>0</v>
      </c>
    </row>
    <row r="1172" spans="1:12" ht="15">
      <c r="A1172" s="92" t="s">
        <v>2616</v>
      </c>
      <c r="B1172" s="91" t="s">
        <v>2567</v>
      </c>
      <c r="C1172" s="91">
        <v>9</v>
      </c>
      <c r="D1172" s="114">
        <v>0.002199750133566754</v>
      </c>
      <c r="E1172" s="114">
        <v>1.2982895452257341</v>
      </c>
      <c r="F1172" s="91" t="s">
        <v>2518</v>
      </c>
      <c r="G1172" s="91" t="b">
        <v>0</v>
      </c>
      <c r="H1172" s="91" t="b">
        <v>0</v>
      </c>
      <c r="I1172" s="91" t="b">
        <v>0</v>
      </c>
      <c r="J1172" s="91" t="b">
        <v>0</v>
      </c>
      <c r="K1172" s="91" t="b">
        <v>0</v>
      </c>
      <c r="L1172" s="91" t="b">
        <v>0</v>
      </c>
    </row>
    <row r="1173" spans="1:12" ht="15">
      <c r="A1173" s="92" t="s">
        <v>2567</v>
      </c>
      <c r="B1173" s="91" t="s">
        <v>2759</v>
      </c>
      <c r="C1173" s="91">
        <v>9</v>
      </c>
      <c r="D1173" s="114">
        <v>0.002199750133566754</v>
      </c>
      <c r="E1173" s="114">
        <v>1.5841117259562825</v>
      </c>
      <c r="F1173" s="91" t="s">
        <v>2518</v>
      </c>
      <c r="G1173" s="91" t="b">
        <v>0</v>
      </c>
      <c r="H1173" s="91" t="b">
        <v>0</v>
      </c>
      <c r="I1173" s="91" t="b">
        <v>0</v>
      </c>
      <c r="J1173" s="91" t="b">
        <v>0</v>
      </c>
      <c r="K1173" s="91" t="b">
        <v>0</v>
      </c>
      <c r="L1173" s="91" t="b">
        <v>0</v>
      </c>
    </row>
    <row r="1174" spans="1:12" ht="15">
      <c r="A1174" s="92" t="s">
        <v>2759</v>
      </c>
      <c r="B1174" s="91" t="s">
        <v>2760</v>
      </c>
      <c r="C1174" s="91">
        <v>9</v>
      </c>
      <c r="D1174" s="114">
        <v>0.002199750133566754</v>
      </c>
      <c r="E1174" s="114">
        <v>2.756974014881765</v>
      </c>
      <c r="F1174" s="91" t="s">
        <v>2518</v>
      </c>
      <c r="G1174" s="91" t="b">
        <v>0</v>
      </c>
      <c r="H1174" s="91" t="b">
        <v>0</v>
      </c>
      <c r="I1174" s="91" t="b">
        <v>0</v>
      </c>
      <c r="J1174" s="91" t="b">
        <v>0</v>
      </c>
      <c r="K1174" s="91" t="b">
        <v>0</v>
      </c>
      <c r="L1174" s="91" t="b">
        <v>0</v>
      </c>
    </row>
    <row r="1175" spans="1:12" ht="15">
      <c r="A1175" s="92" t="s">
        <v>2760</v>
      </c>
      <c r="B1175" s="91" t="s">
        <v>2761</v>
      </c>
      <c r="C1175" s="91">
        <v>9</v>
      </c>
      <c r="D1175" s="114">
        <v>0.002199750133566754</v>
      </c>
      <c r="E1175" s="114">
        <v>2.756974014881765</v>
      </c>
      <c r="F1175" s="91" t="s">
        <v>2518</v>
      </c>
      <c r="G1175" s="91" t="b">
        <v>0</v>
      </c>
      <c r="H1175" s="91" t="b">
        <v>0</v>
      </c>
      <c r="I1175" s="91" t="b">
        <v>0</v>
      </c>
      <c r="J1175" s="91" t="b">
        <v>0</v>
      </c>
      <c r="K1175" s="91" t="b">
        <v>0</v>
      </c>
      <c r="L1175" s="91" t="b">
        <v>0</v>
      </c>
    </row>
    <row r="1176" spans="1:12" ht="15">
      <c r="A1176" s="92" t="s">
        <v>2761</v>
      </c>
      <c r="B1176" s="91" t="s">
        <v>2762</v>
      </c>
      <c r="C1176" s="91">
        <v>9</v>
      </c>
      <c r="D1176" s="114">
        <v>0.002199750133566754</v>
      </c>
      <c r="E1176" s="114">
        <v>2.756974014881765</v>
      </c>
      <c r="F1176" s="91" t="s">
        <v>2518</v>
      </c>
      <c r="G1176" s="91" t="b">
        <v>0</v>
      </c>
      <c r="H1176" s="91" t="b">
        <v>0</v>
      </c>
      <c r="I1176" s="91" t="b">
        <v>0</v>
      </c>
      <c r="J1176" s="91" t="b">
        <v>0</v>
      </c>
      <c r="K1176" s="91" t="b">
        <v>0</v>
      </c>
      <c r="L1176" s="91" t="b">
        <v>0</v>
      </c>
    </row>
    <row r="1177" spans="1:12" ht="15">
      <c r="A1177" s="92" t="s">
        <v>2762</v>
      </c>
      <c r="B1177" s="91" t="s">
        <v>2763</v>
      </c>
      <c r="C1177" s="91">
        <v>9</v>
      </c>
      <c r="D1177" s="114">
        <v>0.002199750133566754</v>
      </c>
      <c r="E1177" s="114">
        <v>2.756974014881765</v>
      </c>
      <c r="F1177" s="91" t="s">
        <v>2518</v>
      </c>
      <c r="G1177" s="91" t="b">
        <v>0</v>
      </c>
      <c r="H1177" s="91" t="b">
        <v>0</v>
      </c>
      <c r="I1177" s="91" t="b">
        <v>0</v>
      </c>
      <c r="J1177" s="91" t="b">
        <v>0</v>
      </c>
      <c r="K1177" s="91" t="b">
        <v>0</v>
      </c>
      <c r="L1177" s="91" t="b">
        <v>0</v>
      </c>
    </row>
    <row r="1178" spans="1:12" ht="15">
      <c r="A1178" s="92" t="s">
        <v>2763</v>
      </c>
      <c r="B1178" s="91" t="s">
        <v>2565</v>
      </c>
      <c r="C1178" s="91">
        <v>9</v>
      </c>
      <c r="D1178" s="114">
        <v>0.002199750133566754</v>
      </c>
      <c r="E1178" s="114">
        <v>1.5873648833540042</v>
      </c>
      <c r="F1178" s="91" t="s">
        <v>2518</v>
      </c>
      <c r="G1178" s="91" t="b">
        <v>0</v>
      </c>
      <c r="H1178" s="91" t="b">
        <v>0</v>
      </c>
      <c r="I1178" s="91" t="b">
        <v>0</v>
      </c>
      <c r="J1178" s="91" t="b">
        <v>0</v>
      </c>
      <c r="K1178" s="91" t="b">
        <v>0</v>
      </c>
      <c r="L1178" s="91" t="b">
        <v>0</v>
      </c>
    </row>
    <row r="1179" spans="1:12" ht="15">
      <c r="A1179" s="92" t="s">
        <v>2565</v>
      </c>
      <c r="B1179" s="91" t="s">
        <v>2640</v>
      </c>
      <c r="C1179" s="91">
        <v>9</v>
      </c>
      <c r="D1179" s="114">
        <v>0.002199750133566754</v>
      </c>
      <c r="E1179" s="114">
        <v>1.010128475751074</v>
      </c>
      <c r="F1179" s="91" t="s">
        <v>2518</v>
      </c>
      <c r="G1179" s="91" t="b">
        <v>0</v>
      </c>
      <c r="H1179" s="91" t="b">
        <v>0</v>
      </c>
      <c r="I1179" s="91" t="b">
        <v>0</v>
      </c>
      <c r="J1179" s="91" t="b">
        <v>0</v>
      </c>
      <c r="K1179" s="91" t="b">
        <v>0</v>
      </c>
      <c r="L1179" s="91" t="b">
        <v>0</v>
      </c>
    </row>
    <row r="1180" spans="1:12" ht="15">
      <c r="A1180" s="92" t="s">
        <v>2642</v>
      </c>
      <c r="B1180" s="91" t="s">
        <v>2567</v>
      </c>
      <c r="C1180" s="91">
        <v>9</v>
      </c>
      <c r="D1180" s="114">
        <v>0.002199750133566754</v>
      </c>
      <c r="E1180" s="114">
        <v>1.2982895452257341</v>
      </c>
      <c r="F1180" s="91" t="s">
        <v>2518</v>
      </c>
      <c r="G1180" s="91" t="b">
        <v>0</v>
      </c>
      <c r="H1180" s="91" t="b">
        <v>0</v>
      </c>
      <c r="I1180" s="91" t="b">
        <v>0</v>
      </c>
      <c r="J1180" s="91" t="b">
        <v>0</v>
      </c>
      <c r="K1180" s="91" t="b">
        <v>0</v>
      </c>
      <c r="L1180" s="91" t="b">
        <v>0</v>
      </c>
    </row>
    <row r="1181" spans="1:12" ht="15">
      <c r="A1181" s="92" t="s">
        <v>2574</v>
      </c>
      <c r="B1181" s="91" t="s">
        <v>2764</v>
      </c>
      <c r="C1181" s="91">
        <v>9</v>
      </c>
      <c r="D1181" s="114">
        <v>0.002199750133566754</v>
      </c>
      <c r="E1181" s="114">
        <v>1.6543116729846175</v>
      </c>
      <c r="F1181" s="91" t="s">
        <v>2518</v>
      </c>
      <c r="G1181" s="91" t="b">
        <v>0</v>
      </c>
      <c r="H1181" s="91" t="b">
        <v>0</v>
      </c>
      <c r="I1181" s="91" t="b">
        <v>0</v>
      </c>
      <c r="J1181" s="91" t="b">
        <v>0</v>
      </c>
      <c r="K1181" s="91" t="b">
        <v>0</v>
      </c>
      <c r="L1181" s="91" t="b">
        <v>0</v>
      </c>
    </row>
    <row r="1182" spans="1:12" ht="15">
      <c r="A1182" s="92" t="s">
        <v>2764</v>
      </c>
      <c r="B1182" s="91" t="s">
        <v>2566</v>
      </c>
      <c r="C1182" s="91">
        <v>9</v>
      </c>
      <c r="D1182" s="114">
        <v>0.002199750133566754</v>
      </c>
      <c r="E1182" s="114">
        <v>1.5125594373666675</v>
      </c>
      <c r="F1182" s="91" t="s">
        <v>2518</v>
      </c>
      <c r="G1182" s="91" t="b">
        <v>0</v>
      </c>
      <c r="H1182" s="91" t="b">
        <v>0</v>
      </c>
      <c r="I1182" s="91" t="b">
        <v>0</v>
      </c>
      <c r="J1182" s="91" t="b">
        <v>0</v>
      </c>
      <c r="K1182" s="91" t="b">
        <v>0</v>
      </c>
      <c r="L1182" s="91" t="b">
        <v>0</v>
      </c>
    </row>
    <row r="1183" spans="1:12" ht="15">
      <c r="A1183" s="92" t="s">
        <v>2639</v>
      </c>
      <c r="B1183" s="91" t="s">
        <v>2564</v>
      </c>
      <c r="C1183" s="91">
        <v>9</v>
      </c>
      <c r="D1183" s="114">
        <v>0.002199750133566754</v>
      </c>
      <c r="E1183" s="114">
        <v>0.9952131806862909</v>
      </c>
      <c r="F1183" s="91" t="s">
        <v>2518</v>
      </c>
      <c r="G1183" s="91" t="b">
        <v>0</v>
      </c>
      <c r="H1183" s="91" t="b">
        <v>0</v>
      </c>
      <c r="I1183" s="91" t="b">
        <v>0</v>
      </c>
      <c r="J1183" s="91" t="b">
        <v>0</v>
      </c>
      <c r="K1183" s="91" t="b">
        <v>0</v>
      </c>
      <c r="L1183" s="91" t="b">
        <v>0</v>
      </c>
    </row>
    <row r="1184" spans="1:12" ht="15">
      <c r="A1184" s="92" t="s">
        <v>2564</v>
      </c>
      <c r="B1184" s="91" t="s">
        <v>2765</v>
      </c>
      <c r="C1184" s="91">
        <v>9</v>
      </c>
      <c r="D1184" s="114">
        <v>0.002199750133566754</v>
      </c>
      <c r="E1184" s="114">
        <v>1.4756880774135412</v>
      </c>
      <c r="F1184" s="91" t="s">
        <v>2518</v>
      </c>
      <c r="G1184" s="91" t="b">
        <v>0</v>
      </c>
      <c r="H1184" s="91" t="b">
        <v>0</v>
      </c>
      <c r="I1184" s="91" t="b">
        <v>0</v>
      </c>
      <c r="J1184" s="91" t="b">
        <v>0</v>
      </c>
      <c r="K1184" s="91" t="b">
        <v>0</v>
      </c>
      <c r="L1184" s="91" t="b">
        <v>0</v>
      </c>
    </row>
    <row r="1185" spans="1:12" ht="15">
      <c r="A1185" s="92" t="s">
        <v>2663</v>
      </c>
      <c r="B1185" s="91" t="s">
        <v>2568</v>
      </c>
      <c r="C1185" s="91">
        <v>8</v>
      </c>
      <c r="D1185" s="114">
        <v>0.0020322111863405787</v>
      </c>
      <c r="E1185" s="114">
        <v>1.6818327466358804</v>
      </c>
      <c r="F1185" s="91" t="s">
        <v>2518</v>
      </c>
      <c r="G1185" s="91" t="b">
        <v>0</v>
      </c>
      <c r="H1185" s="91" t="b">
        <v>0</v>
      </c>
      <c r="I1185" s="91" t="b">
        <v>0</v>
      </c>
      <c r="J1185" s="91" t="b">
        <v>0</v>
      </c>
      <c r="K1185" s="91" t="b">
        <v>0</v>
      </c>
      <c r="L1185" s="91" t="b">
        <v>0</v>
      </c>
    </row>
    <row r="1186" spans="1:12" ht="15">
      <c r="A1186" s="92" t="s">
        <v>2568</v>
      </c>
      <c r="B1186" s="91" t="s">
        <v>2569</v>
      </c>
      <c r="C1186" s="91">
        <v>8</v>
      </c>
      <c r="D1186" s="114">
        <v>0.0020322111863405787</v>
      </c>
      <c r="E1186" s="114">
        <v>0.8773525575298876</v>
      </c>
      <c r="F1186" s="91" t="s">
        <v>2518</v>
      </c>
      <c r="G1186" s="91" t="b">
        <v>0</v>
      </c>
      <c r="H1186" s="91" t="b">
        <v>0</v>
      </c>
      <c r="I1186" s="91" t="b">
        <v>0</v>
      </c>
      <c r="J1186" s="91" t="b">
        <v>0</v>
      </c>
      <c r="K1186" s="91" t="b">
        <v>0</v>
      </c>
      <c r="L1186" s="91" t="b">
        <v>0</v>
      </c>
    </row>
    <row r="1187" spans="1:12" ht="15">
      <c r="A1187" s="92" t="s">
        <v>2572</v>
      </c>
      <c r="B1187" s="91" t="s">
        <v>611</v>
      </c>
      <c r="C1187" s="91">
        <v>8</v>
      </c>
      <c r="D1187" s="114">
        <v>0.0020322111863405787</v>
      </c>
      <c r="E1187" s="114">
        <v>2.0036463482231537</v>
      </c>
      <c r="F1187" s="91" t="s">
        <v>2518</v>
      </c>
      <c r="G1187" s="91" t="b">
        <v>0</v>
      </c>
      <c r="H1187" s="91" t="b">
        <v>0</v>
      </c>
      <c r="I1187" s="91" t="b">
        <v>0</v>
      </c>
      <c r="J1187" s="91" t="b">
        <v>0</v>
      </c>
      <c r="K1187" s="91" t="b">
        <v>0</v>
      </c>
      <c r="L1187" s="91" t="b">
        <v>0</v>
      </c>
    </row>
    <row r="1188" spans="1:12" ht="15">
      <c r="A1188" s="92" t="s">
        <v>611</v>
      </c>
      <c r="B1188" s="91" t="s">
        <v>2666</v>
      </c>
      <c r="C1188" s="91">
        <v>8</v>
      </c>
      <c r="D1188" s="114">
        <v>0.0020322111863405787</v>
      </c>
      <c r="E1188" s="114">
        <v>2.8081265373291466</v>
      </c>
      <c r="F1188" s="91" t="s">
        <v>2518</v>
      </c>
      <c r="G1188" s="91" t="b">
        <v>0</v>
      </c>
      <c r="H1188" s="91" t="b">
        <v>0</v>
      </c>
      <c r="I1188" s="91" t="b">
        <v>0</v>
      </c>
      <c r="J1188" s="91" t="b">
        <v>0</v>
      </c>
      <c r="K1188" s="91" t="b">
        <v>0</v>
      </c>
      <c r="L1188" s="91" t="b">
        <v>0</v>
      </c>
    </row>
    <row r="1189" spans="1:12" ht="15">
      <c r="A1189" s="92" t="s">
        <v>2666</v>
      </c>
      <c r="B1189" s="91" t="s">
        <v>2630</v>
      </c>
      <c r="C1189" s="91">
        <v>8</v>
      </c>
      <c r="D1189" s="114">
        <v>0.0020322111863405787</v>
      </c>
      <c r="E1189" s="114">
        <v>2.535125265265409</v>
      </c>
      <c r="F1189" s="91" t="s">
        <v>2518</v>
      </c>
      <c r="G1189" s="91" t="b">
        <v>0</v>
      </c>
      <c r="H1189" s="91" t="b">
        <v>0</v>
      </c>
      <c r="I1189" s="91" t="b">
        <v>0</v>
      </c>
      <c r="J1189" s="91" t="b">
        <v>0</v>
      </c>
      <c r="K1189" s="91" t="b">
        <v>0</v>
      </c>
      <c r="L1189" s="91" t="b">
        <v>0</v>
      </c>
    </row>
    <row r="1190" spans="1:12" ht="15">
      <c r="A1190" s="92" t="s">
        <v>2630</v>
      </c>
      <c r="B1190" s="91" t="s">
        <v>2676</v>
      </c>
      <c r="C1190" s="91">
        <v>8</v>
      </c>
      <c r="D1190" s="114">
        <v>0.0020322111863405787</v>
      </c>
      <c r="E1190" s="114">
        <v>2.535125265265409</v>
      </c>
      <c r="F1190" s="91" t="s">
        <v>2518</v>
      </c>
      <c r="G1190" s="91" t="b">
        <v>0</v>
      </c>
      <c r="H1190" s="91" t="b">
        <v>0</v>
      </c>
      <c r="I1190" s="91" t="b">
        <v>0</v>
      </c>
      <c r="J1190" s="91" t="b">
        <v>0</v>
      </c>
      <c r="K1190" s="91" t="b">
        <v>0</v>
      </c>
      <c r="L1190" s="91" t="b">
        <v>0</v>
      </c>
    </row>
    <row r="1191" spans="1:12" ht="15">
      <c r="A1191" s="92" t="s">
        <v>2676</v>
      </c>
      <c r="B1191" s="91" t="s">
        <v>2580</v>
      </c>
      <c r="C1191" s="91">
        <v>8</v>
      </c>
      <c r="D1191" s="114">
        <v>0.0020322111863405787</v>
      </c>
      <c r="E1191" s="114">
        <v>2.0580040105457464</v>
      </c>
      <c r="F1191" s="91" t="s">
        <v>2518</v>
      </c>
      <c r="G1191" s="91" t="b">
        <v>0</v>
      </c>
      <c r="H1191" s="91" t="b">
        <v>0</v>
      </c>
      <c r="I1191" s="91" t="b">
        <v>0</v>
      </c>
      <c r="J1191" s="91" t="b">
        <v>0</v>
      </c>
      <c r="K1191" s="91" t="b">
        <v>0</v>
      </c>
      <c r="L1191" s="91" t="b">
        <v>0</v>
      </c>
    </row>
    <row r="1192" spans="1:12" ht="15">
      <c r="A1192" s="92" t="s">
        <v>2580</v>
      </c>
      <c r="B1192" s="91" t="s">
        <v>2677</v>
      </c>
      <c r="C1192" s="91">
        <v>8</v>
      </c>
      <c r="D1192" s="114">
        <v>0.0020322111863405787</v>
      </c>
      <c r="E1192" s="114">
        <v>2.0580040105457464</v>
      </c>
      <c r="F1192" s="91" t="s">
        <v>2518</v>
      </c>
      <c r="G1192" s="91" t="b">
        <v>0</v>
      </c>
      <c r="H1192" s="91" t="b">
        <v>0</v>
      </c>
      <c r="I1192" s="91" t="b">
        <v>0</v>
      </c>
      <c r="J1192" s="91" t="b">
        <v>0</v>
      </c>
      <c r="K1192" s="91" t="b">
        <v>0</v>
      </c>
      <c r="L1192" s="91" t="b">
        <v>0</v>
      </c>
    </row>
    <row r="1193" spans="1:12" ht="15">
      <c r="A1193" s="92" t="s">
        <v>2677</v>
      </c>
      <c r="B1193" s="91" t="s">
        <v>2678</v>
      </c>
      <c r="C1193" s="91">
        <v>8</v>
      </c>
      <c r="D1193" s="114">
        <v>0.0020322111863405787</v>
      </c>
      <c r="E1193" s="114">
        <v>2.8081265373291466</v>
      </c>
      <c r="F1193" s="91" t="s">
        <v>2518</v>
      </c>
      <c r="G1193" s="91" t="b">
        <v>0</v>
      </c>
      <c r="H1193" s="91" t="b">
        <v>0</v>
      </c>
      <c r="I1193" s="91" t="b">
        <v>0</v>
      </c>
      <c r="J1193" s="91" t="b">
        <v>0</v>
      </c>
      <c r="K1193" s="91" t="b">
        <v>0</v>
      </c>
      <c r="L1193" s="91" t="b">
        <v>0</v>
      </c>
    </row>
    <row r="1194" spans="1:12" ht="15">
      <c r="A1194" s="92" t="s">
        <v>2678</v>
      </c>
      <c r="B1194" s="91" t="s">
        <v>2631</v>
      </c>
      <c r="C1194" s="91">
        <v>8</v>
      </c>
      <c r="D1194" s="114">
        <v>0.0020322111863405787</v>
      </c>
      <c r="E1194" s="114">
        <v>2.2798527601621026</v>
      </c>
      <c r="F1194" s="91" t="s">
        <v>2518</v>
      </c>
      <c r="G1194" s="91" t="b">
        <v>0</v>
      </c>
      <c r="H1194" s="91" t="b">
        <v>0</v>
      </c>
      <c r="I1194" s="91" t="b">
        <v>0</v>
      </c>
      <c r="J1194" s="91" t="b">
        <v>0</v>
      </c>
      <c r="K1194" s="91" t="b">
        <v>0</v>
      </c>
      <c r="L1194" s="91" t="b">
        <v>0</v>
      </c>
    </row>
    <row r="1195" spans="1:12" ht="15">
      <c r="A1195" s="92" t="s">
        <v>2631</v>
      </c>
      <c r="B1195" s="91" t="s">
        <v>2610</v>
      </c>
      <c r="C1195" s="91">
        <v>8</v>
      </c>
      <c r="D1195" s="114">
        <v>0.0020322111863405787</v>
      </c>
      <c r="E1195" s="114">
        <v>1.664428807276159</v>
      </c>
      <c r="F1195" s="91" t="s">
        <v>2518</v>
      </c>
      <c r="G1195" s="91" t="b">
        <v>0</v>
      </c>
      <c r="H1195" s="91" t="b">
        <v>0</v>
      </c>
      <c r="I1195" s="91" t="b">
        <v>0</v>
      </c>
      <c r="J1195" s="91" t="b">
        <v>0</v>
      </c>
      <c r="K1195" s="91" t="b">
        <v>0</v>
      </c>
      <c r="L1195" s="91" t="b">
        <v>0</v>
      </c>
    </row>
    <row r="1196" spans="1:12" ht="15">
      <c r="A1196" s="92" t="s">
        <v>2610</v>
      </c>
      <c r="B1196" s="91" t="s">
        <v>2577</v>
      </c>
      <c r="C1196" s="91">
        <v>8</v>
      </c>
      <c r="D1196" s="114">
        <v>0.0020322111863405787</v>
      </c>
      <c r="E1196" s="114">
        <v>1.324940559793002</v>
      </c>
      <c r="F1196" s="91" t="s">
        <v>2518</v>
      </c>
      <c r="G1196" s="91" t="b">
        <v>0</v>
      </c>
      <c r="H1196" s="91" t="b">
        <v>0</v>
      </c>
      <c r="I1196" s="91" t="b">
        <v>0</v>
      </c>
      <c r="J1196" s="91" t="b">
        <v>0</v>
      </c>
      <c r="K1196" s="91" t="b">
        <v>0</v>
      </c>
      <c r="L1196" s="91" t="b">
        <v>0</v>
      </c>
    </row>
    <row r="1197" spans="1:12" ht="15">
      <c r="A1197" s="92" t="s">
        <v>2577</v>
      </c>
      <c r="B1197" s="91" t="s">
        <v>2658</v>
      </c>
      <c r="C1197" s="91">
        <v>8</v>
      </c>
      <c r="D1197" s="114">
        <v>0.0020322111863405787</v>
      </c>
      <c r="E1197" s="114">
        <v>1.940364512678946</v>
      </c>
      <c r="F1197" s="91" t="s">
        <v>2518</v>
      </c>
      <c r="G1197" s="91" t="b">
        <v>0</v>
      </c>
      <c r="H1197" s="91" t="b">
        <v>0</v>
      </c>
      <c r="I1197" s="91" t="b">
        <v>0</v>
      </c>
      <c r="J1197" s="91" t="b">
        <v>0</v>
      </c>
      <c r="K1197" s="91" t="b">
        <v>0</v>
      </c>
      <c r="L1197" s="91" t="b">
        <v>0</v>
      </c>
    </row>
    <row r="1198" spans="1:12" ht="15">
      <c r="A1198" s="92" t="s">
        <v>2658</v>
      </c>
      <c r="B1198" s="91" t="s">
        <v>2653</v>
      </c>
      <c r="C1198" s="91">
        <v>8</v>
      </c>
      <c r="D1198" s="114">
        <v>0.0020322111863405787</v>
      </c>
      <c r="E1198" s="114">
        <v>2.8081265373291466</v>
      </c>
      <c r="F1198" s="91" t="s">
        <v>2518</v>
      </c>
      <c r="G1198" s="91" t="b">
        <v>0</v>
      </c>
      <c r="H1198" s="91" t="b">
        <v>0</v>
      </c>
      <c r="I1198" s="91" t="b">
        <v>0</v>
      </c>
      <c r="J1198" s="91" t="b">
        <v>0</v>
      </c>
      <c r="K1198" s="91" t="b">
        <v>0</v>
      </c>
      <c r="L1198" s="91" t="b">
        <v>0</v>
      </c>
    </row>
    <row r="1199" spans="1:12" ht="15">
      <c r="A1199" s="92" t="s">
        <v>2653</v>
      </c>
      <c r="B1199" s="91" t="s">
        <v>2667</v>
      </c>
      <c r="C1199" s="91">
        <v>8</v>
      </c>
      <c r="D1199" s="114">
        <v>0.0020322111863405787</v>
      </c>
      <c r="E1199" s="114">
        <v>2.8081265373291466</v>
      </c>
      <c r="F1199" s="91" t="s">
        <v>2518</v>
      </c>
      <c r="G1199" s="91" t="b">
        <v>0</v>
      </c>
      <c r="H1199" s="91" t="b">
        <v>0</v>
      </c>
      <c r="I1199" s="91" t="b">
        <v>0</v>
      </c>
      <c r="J1199" s="91" t="b">
        <v>0</v>
      </c>
      <c r="K1199" s="91" t="b">
        <v>0</v>
      </c>
      <c r="L1199" s="91" t="b">
        <v>0</v>
      </c>
    </row>
    <row r="1200" spans="1:12" ht="15">
      <c r="A1200" s="92" t="s">
        <v>2667</v>
      </c>
      <c r="B1200" s="91" t="s">
        <v>2578</v>
      </c>
      <c r="C1200" s="91">
        <v>8</v>
      </c>
      <c r="D1200" s="114">
        <v>0.0020322111863405787</v>
      </c>
      <c r="E1200" s="114">
        <v>2.0299752869455028</v>
      </c>
      <c r="F1200" s="91" t="s">
        <v>2518</v>
      </c>
      <c r="G1200" s="91" t="b">
        <v>0</v>
      </c>
      <c r="H1200" s="91" t="b">
        <v>0</v>
      </c>
      <c r="I1200" s="91" t="b">
        <v>0</v>
      </c>
      <c r="J1200" s="91" t="b">
        <v>0</v>
      </c>
      <c r="K1200" s="91" t="b">
        <v>0</v>
      </c>
      <c r="L1200" s="91" t="b">
        <v>0</v>
      </c>
    </row>
    <row r="1201" spans="1:12" ht="15">
      <c r="A1201" s="92" t="s">
        <v>2578</v>
      </c>
      <c r="B1201" s="91" t="s">
        <v>2612</v>
      </c>
      <c r="C1201" s="91">
        <v>8</v>
      </c>
      <c r="D1201" s="114">
        <v>0.0020322111863405787</v>
      </c>
      <c r="E1201" s="114">
        <v>1.7026163525591724</v>
      </c>
      <c r="F1201" s="91" t="s">
        <v>2518</v>
      </c>
      <c r="G1201" s="91" t="b">
        <v>0</v>
      </c>
      <c r="H1201" s="91" t="b">
        <v>0</v>
      </c>
      <c r="I1201" s="91" t="b">
        <v>0</v>
      </c>
      <c r="J1201" s="91" t="b">
        <v>0</v>
      </c>
      <c r="K1201" s="91" t="b">
        <v>0</v>
      </c>
      <c r="L1201" s="91" t="b">
        <v>0</v>
      </c>
    </row>
    <row r="1202" spans="1:12" ht="15">
      <c r="A1202" s="92" t="s">
        <v>2612</v>
      </c>
      <c r="B1202" s="91" t="s">
        <v>2679</v>
      </c>
      <c r="C1202" s="91">
        <v>8</v>
      </c>
      <c r="D1202" s="114">
        <v>0.0020322111863405787</v>
      </c>
      <c r="E1202" s="114">
        <v>2.5070965416651654</v>
      </c>
      <c r="F1202" s="91" t="s">
        <v>2518</v>
      </c>
      <c r="G1202" s="91" t="b">
        <v>0</v>
      </c>
      <c r="H1202" s="91" t="b">
        <v>0</v>
      </c>
      <c r="I1202" s="91" t="b">
        <v>0</v>
      </c>
      <c r="J1202" s="91" t="b">
        <v>0</v>
      </c>
      <c r="K1202" s="91" t="b">
        <v>0</v>
      </c>
      <c r="L1202" s="91" t="b">
        <v>0</v>
      </c>
    </row>
    <row r="1203" spans="1:12" ht="15">
      <c r="A1203" s="92" t="s">
        <v>2679</v>
      </c>
      <c r="B1203" s="91" t="s">
        <v>2565</v>
      </c>
      <c r="C1203" s="91">
        <v>8</v>
      </c>
      <c r="D1203" s="114">
        <v>0.0020322111863405787</v>
      </c>
      <c r="E1203" s="114">
        <v>1.5873648833540044</v>
      </c>
      <c r="F1203" s="91" t="s">
        <v>2518</v>
      </c>
      <c r="G1203" s="91" t="b">
        <v>0</v>
      </c>
      <c r="H1203" s="91" t="b">
        <v>0</v>
      </c>
      <c r="I1203" s="91" t="b">
        <v>0</v>
      </c>
      <c r="J1203" s="91" t="b">
        <v>0</v>
      </c>
      <c r="K1203" s="91" t="b">
        <v>0</v>
      </c>
      <c r="L1203" s="91" t="b">
        <v>0</v>
      </c>
    </row>
    <row r="1204" spans="1:12" ht="15">
      <c r="A1204" s="92" t="s">
        <v>2565</v>
      </c>
      <c r="B1204" s="91" t="s">
        <v>2571</v>
      </c>
      <c r="C1204" s="91">
        <v>8</v>
      </c>
      <c r="D1204" s="114">
        <v>0.0020322111863405787</v>
      </c>
      <c r="E1204" s="114">
        <v>0.5362123609066229</v>
      </c>
      <c r="F1204" s="91" t="s">
        <v>2518</v>
      </c>
      <c r="G1204" s="91" t="b">
        <v>0</v>
      </c>
      <c r="H1204" s="91" t="b">
        <v>0</v>
      </c>
      <c r="I1204" s="91" t="b">
        <v>0</v>
      </c>
      <c r="J1204" s="91" t="b">
        <v>0</v>
      </c>
      <c r="K1204" s="91" t="b">
        <v>0</v>
      </c>
      <c r="L1204" s="91" t="b">
        <v>0</v>
      </c>
    </row>
    <row r="1205" spans="1:12" ht="15">
      <c r="A1205" s="92" t="s">
        <v>2571</v>
      </c>
      <c r="B1205" s="91" t="s">
        <v>2622</v>
      </c>
      <c r="C1205" s="91">
        <v>8</v>
      </c>
      <c r="D1205" s="114">
        <v>0.0020322111863405787</v>
      </c>
      <c r="E1205" s="114">
        <v>1.5139359661954708</v>
      </c>
      <c r="F1205" s="91" t="s">
        <v>2518</v>
      </c>
      <c r="G1205" s="91" t="b">
        <v>0</v>
      </c>
      <c r="H1205" s="91" t="b">
        <v>0</v>
      </c>
      <c r="I1205" s="91" t="b">
        <v>0</v>
      </c>
      <c r="J1205" s="91" t="b">
        <v>0</v>
      </c>
      <c r="K1205" s="91" t="b">
        <v>0</v>
      </c>
      <c r="L1205" s="91" t="b">
        <v>0</v>
      </c>
    </row>
    <row r="1206" spans="1:12" ht="15">
      <c r="A1206" s="92" t="s">
        <v>2808</v>
      </c>
      <c r="B1206" s="91" t="s">
        <v>2716</v>
      </c>
      <c r="C1206" s="91">
        <v>8</v>
      </c>
      <c r="D1206" s="114">
        <v>0.0020322111863405787</v>
      </c>
      <c r="E1206" s="114">
        <v>2.8081265373291466</v>
      </c>
      <c r="F1206" s="91" t="s">
        <v>2518</v>
      </c>
      <c r="G1206" s="91" t="b">
        <v>0</v>
      </c>
      <c r="H1206" s="91" t="b">
        <v>0</v>
      </c>
      <c r="I1206" s="91" t="b">
        <v>0</v>
      </c>
      <c r="J1206" s="91" t="b">
        <v>0</v>
      </c>
      <c r="K1206" s="91" t="b">
        <v>0</v>
      </c>
      <c r="L1206" s="91" t="b">
        <v>0</v>
      </c>
    </row>
    <row r="1207" spans="1:12" ht="15">
      <c r="A1207" s="92" t="s">
        <v>2716</v>
      </c>
      <c r="B1207" s="91" t="s">
        <v>2616</v>
      </c>
      <c r="C1207" s="91">
        <v>8</v>
      </c>
      <c r="D1207" s="114">
        <v>0.0020322111863405787</v>
      </c>
      <c r="E1207" s="114">
        <v>2.8081265373291466</v>
      </c>
      <c r="F1207" s="91" t="s">
        <v>2518</v>
      </c>
      <c r="G1207" s="91" t="b">
        <v>0</v>
      </c>
      <c r="H1207" s="91" t="b">
        <v>0</v>
      </c>
      <c r="I1207" s="91" t="b">
        <v>0</v>
      </c>
      <c r="J1207" s="91" t="b">
        <v>0</v>
      </c>
      <c r="K1207" s="91" t="b">
        <v>0</v>
      </c>
      <c r="L1207" s="91" t="b">
        <v>0</v>
      </c>
    </row>
    <row r="1208" spans="1:12" ht="15">
      <c r="A1208" s="92" t="s">
        <v>2616</v>
      </c>
      <c r="B1208" s="91" t="s">
        <v>2672</v>
      </c>
      <c r="C1208" s="91">
        <v>8</v>
      </c>
      <c r="D1208" s="114">
        <v>0.0020322111863405787</v>
      </c>
      <c r="E1208" s="114">
        <v>2.1051039889819307</v>
      </c>
      <c r="F1208" s="91" t="s">
        <v>2518</v>
      </c>
      <c r="G1208" s="91" t="b">
        <v>0</v>
      </c>
      <c r="H1208" s="91" t="b">
        <v>0</v>
      </c>
      <c r="I1208" s="91" t="b">
        <v>0</v>
      </c>
      <c r="J1208" s="91" t="b">
        <v>0</v>
      </c>
      <c r="K1208" s="91" t="b">
        <v>0</v>
      </c>
      <c r="L1208" s="91" t="b">
        <v>0</v>
      </c>
    </row>
    <row r="1209" spans="1:12" ht="15">
      <c r="A1209" s="92" t="s">
        <v>2672</v>
      </c>
      <c r="B1209" s="91" t="s">
        <v>2809</v>
      </c>
      <c r="C1209" s="91">
        <v>8</v>
      </c>
      <c r="D1209" s="114">
        <v>0.0020322111863405787</v>
      </c>
      <c r="E1209" s="114">
        <v>2.432462923368261</v>
      </c>
      <c r="F1209" s="91" t="s">
        <v>2518</v>
      </c>
      <c r="G1209" s="91" t="b">
        <v>0</v>
      </c>
      <c r="H1209" s="91" t="b">
        <v>0</v>
      </c>
      <c r="I1209" s="91" t="b">
        <v>0</v>
      </c>
      <c r="J1209" s="91" t="b">
        <v>0</v>
      </c>
      <c r="K1209" s="91" t="b">
        <v>0</v>
      </c>
      <c r="L1209" s="91" t="b">
        <v>0</v>
      </c>
    </row>
    <row r="1210" spans="1:12" ht="15">
      <c r="A1210" s="92" t="s">
        <v>2809</v>
      </c>
      <c r="B1210" s="91" t="s">
        <v>2810</v>
      </c>
      <c r="C1210" s="91">
        <v>8</v>
      </c>
      <c r="D1210" s="114">
        <v>0.0020322111863405787</v>
      </c>
      <c r="E1210" s="114">
        <v>2.8081265373291466</v>
      </c>
      <c r="F1210" s="91" t="s">
        <v>2518</v>
      </c>
      <c r="G1210" s="91" t="b">
        <v>0</v>
      </c>
      <c r="H1210" s="91" t="b">
        <v>0</v>
      </c>
      <c r="I1210" s="91" t="b">
        <v>0</v>
      </c>
      <c r="J1210" s="91" t="b">
        <v>0</v>
      </c>
      <c r="K1210" s="91" t="b">
        <v>0</v>
      </c>
      <c r="L1210" s="91" t="b">
        <v>0</v>
      </c>
    </row>
    <row r="1211" spans="1:12" ht="15">
      <c r="A1211" s="92" t="s">
        <v>2810</v>
      </c>
      <c r="B1211" s="91" t="s">
        <v>2811</v>
      </c>
      <c r="C1211" s="91">
        <v>8</v>
      </c>
      <c r="D1211" s="114">
        <v>0.0020322111863405787</v>
      </c>
      <c r="E1211" s="114">
        <v>2.8081265373291466</v>
      </c>
      <c r="F1211" s="91" t="s">
        <v>2518</v>
      </c>
      <c r="G1211" s="91" t="b">
        <v>0</v>
      </c>
      <c r="H1211" s="91" t="b">
        <v>0</v>
      </c>
      <c r="I1211" s="91" t="b">
        <v>0</v>
      </c>
      <c r="J1211" s="91" t="b">
        <v>0</v>
      </c>
      <c r="K1211" s="91" t="b">
        <v>0</v>
      </c>
      <c r="L1211" s="91" t="b">
        <v>0</v>
      </c>
    </row>
    <row r="1212" spans="1:12" ht="15">
      <c r="A1212" s="92" t="s">
        <v>2811</v>
      </c>
      <c r="B1212" s="91" t="s">
        <v>2576</v>
      </c>
      <c r="C1212" s="91">
        <v>8</v>
      </c>
      <c r="D1212" s="114">
        <v>0.0020322111863405787</v>
      </c>
      <c r="E1212" s="114">
        <v>1.8027315054424404</v>
      </c>
      <c r="F1212" s="91" t="s">
        <v>2518</v>
      </c>
      <c r="G1212" s="91" t="b">
        <v>0</v>
      </c>
      <c r="H1212" s="91" t="b">
        <v>0</v>
      </c>
      <c r="I1212" s="91" t="b">
        <v>0</v>
      </c>
      <c r="J1212" s="91" t="b">
        <v>0</v>
      </c>
      <c r="K1212" s="91" t="b">
        <v>0</v>
      </c>
      <c r="L1212" s="91" t="b">
        <v>0</v>
      </c>
    </row>
    <row r="1213" spans="1:12" ht="15">
      <c r="A1213" s="92" t="s">
        <v>2576</v>
      </c>
      <c r="B1213" s="91" t="s">
        <v>2589</v>
      </c>
      <c r="C1213" s="91">
        <v>8</v>
      </c>
      <c r="D1213" s="114">
        <v>0.0020322111863405787</v>
      </c>
      <c r="E1213" s="114">
        <v>1.5017015097784592</v>
      </c>
      <c r="F1213" s="91" t="s">
        <v>2518</v>
      </c>
      <c r="G1213" s="91" t="b">
        <v>0</v>
      </c>
      <c r="H1213" s="91" t="b">
        <v>0</v>
      </c>
      <c r="I1213" s="91" t="b">
        <v>0</v>
      </c>
      <c r="J1213" s="91" t="b">
        <v>0</v>
      </c>
      <c r="K1213" s="91" t="b">
        <v>0</v>
      </c>
      <c r="L1213" s="91" t="b">
        <v>0</v>
      </c>
    </row>
    <row r="1214" spans="1:12" ht="15">
      <c r="A1214" s="92" t="s">
        <v>2589</v>
      </c>
      <c r="B1214" s="91" t="s">
        <v>2812</v>
      </c>
      <c r="C1214" s="91">
        <v>8</v>
      </c>
      <c r="D1214" s="114">
        <v>0.0020322111863405787</v>
      </c>
      <c r="E1214" s="114">
        <v>2.3687938434988838</v>
      </c>
      <c r="F1214" s="91" t="s">
        <v>2518</v>
      </c>
      <c r="G1214" s="91" t="b">
        <v>0</v>
      </c>
      <c r="H1214" s="91" t="b">
        <v>0</v>
      </c>
      <c r="I1214" s="91" t="b">
        <v>0</v>
      </c>
      <c r="J1214" s="91" t="b">
        <v>0</v>
      </c>
      <c r="K1214" s="91" t="b">
        <v>0</v>
      </c>
      <c r="L1214" s="91" t="b">
        <v>0</v>
      </c>
    </row>
    <row r="1215" spans="1:12" ht="15">
      <c r="A1215" s="92" t="s">
        <v>2812</v>
      </c>
      <c r="B1215" s="91" t="s">
        <v>2813</v>
      </c>
      <c r="C1215" s="91">
        <v>8</v>
      </c>
      <c r="D1215" s="114">
        <v>0.0020322111863405787</v>
      </c>
      <c r="E1215" s="114">
        <v>2.8081265373291466</v>
      </c>
      <c r="F1215" s="91" t="s">
        <v>2518</v>
      </c>
      <c r="G1215" s="91" t="b">
        <v>0</v>
      </c>
      <c r="H1215" s="91" t="b">
        <v>0</v>
      </c>
      <c r="I1215" s="91" t="b">
        <v>0</v>
      </c>
      <c r="J1215" s="91" t="b">
        <v>0</v>
      </c>
      <c r="K1215" s="91" t="b">
        <v>0</v>
      </c>
      <c r="L1215" s="91" t="b">
        <v>0</v>
      </c>
    </row>
    <row r="1216" spans="1:12" ht="15">
      <c r="A1216" s="92" t="s">
        <v>2813</v>
      </c>
      <c r="B1216" s="91" t="s">
        <v>2814</v>
      </c>
      <c r="C1216" s="91">
        <v>8</v>
      </c>
      <c r="D1216" s="114">
        <v>0.0020322111863405787</v>
      </c>
      <c r="E1216" s="114">
        <v>2.8081265373291466</v>
      </c>
      <c r="F1216" s="91" t="s">
        <v>2518</v>
      </c>
      <c r="G1216" s="91" t="b">
        <v>0</v>
      </c>
      <c r="H1216" s="91" t="b">
        <v>0</v>
      </c>
      <c r="I1216" s="91" t="b">
        <v>0</v>
      </c>
      <c r="J1216" s="91" t="b">
        <v>0</v>
      </c>
      <c r="K1216" s="91" t="b">
        <v>0</v>
      </c>
      <c r="L1216" s="91" t="b">
        <v>0</v>
      </c>
    </row>
    <row r="1217" spans="1:12" ht="15">
      <c r="A1217" s="92" t="s">
        <v>2814</v>
      </c>
      <c r="B1217" s="91" t="s">
        <v>2815</v>
      </c>
      <c r="C1217" s="91">
        <v>8</v>
      </c>
      <c r="D1217" s="114">
        <v>0.0020322111863405787</v>
      </c>
      <c r="E1217" s="114">
        <v>2.8081265373291466</v>
      </c>
      <c r="F1217" s="91" t="s">
        <v>2518</v>
      </c>
      <c r="G1217" s="91" t="b">
        <v>0</v>
      </c>
      <c r="H1217" s="91" t="b">
        <v>0</v>
      </c>
      <c r="I1217" s="91" t="b">
        <v>0</v>
      </c>
      <c r="J1217" s="91" t="b">
        <v>0</v>
      </c>
      <c r="K1217" s="91" t="b">
        <v>0</v>
      </c>
      <c r="L1217" s="91" t="b">
        <v>0</v>
      </c>
    </row>
    <row r="1218" spans="1:12" ht="15">
      <c r="A1218" s="92" t="s">
        <v>2815</v>
      </c>
      <c r="B1218" s="91" t="s">
        <v>437</v>
      </c>
      <c r="C1218" s="91">
        <v>8</v>
      </c>
      <c r="D1218" s="114">
        <v>0.0020322111863405787</v>
      </c>
      <c r="E1218" s="114">
        <v>2.8081265373291466</v>
      </c>
      <c r="F1218" s="91" t="s">
        <v>2518</v>
      </c>
      <c r="G1218" s="91" t="b">
        <v>0</v>
      </c>
      <c r="H1218" s="91" t="b">
        <v>0</v>
      </c>
      <c r="I1218" s="91" t="b">
        <v>0</v>
      </c>
      <c r="J1218" s="91" t="b">
        <v>0</v>
      </c>
      <c r="K1218" s="91" t="b">
        <v>0</v>
      </c>
      <c r="L1218" s="91" t="b">
        <v>0</v>
      </c>
    </row>
    <row r="1219" spans="1:12" ht="15">
      <c r="A1219" s="92" t="s">
        <v>437</v>
      </c>
      <c r="B1219" s="91" t="s">
        <v>2565</v>
      </c>
      <c r="C1219" s="91">
        <v>8</v>
      </c>
      <c r="D1219" s="114">
        <v>0.0020322111863405787</v>
      </c>
      <c r="E1219" s="114">
        <v>1.5873648833540044</v>
      </c>
      <c r="F1219" s="91" t="s">
        <v>2518</v>
      </c>
      <c r="G1219" s="91" t="b">
        <v>0</v>
      </c>
      <c r="H1219" s="91" t="b">
        <v>0</v>
      </c>
      <c r="I1219" s="91" t="b">
        <v>0</v>
      </c>
      <c r="J1219" s="91" t="b">
        <v>0</v>
      </c>
      <c r="K1219" s="91" t="b">
        <v>0</v>
      </c>
      <c r="L1219" s="91" t="b">
        <v>0</v>
      </c>
    </row>
    <row r="1220" spans="1:12" ht="15">
      <c r="A1220" s="92" t="s">
        <v>2613</v>
      </c>
      <c r="B1220" s="91" t="s">
        <v>2816</v>
      </c>
      <c r="C1220" s="91">
        <v>8</v>
      </c>
      <c r="D1220" s="114">
        <v>0.0020322111863405787</v>
      </c>
      <c r="E1220" s="114">
        <v>2.0879672339231896</v>
      </c>
      <c r="F1220" s="91" t="s">
        <v>2518</v>
      </c>
      <c r="G1220" s="91" t="b">
        <v>0</v>
      </c>
      <c r="H1220" s="91" t="b">
        <v>0</v>
      </c>
      <c r="I1220" s="91" t="b">
        <v>0</v>
      </c>
      <c r="J1220" s="91" t="b">
        <v>0</v>
      </c>
      <c r="K1220" s="91" t="b">
        <v>0</v>
      </c>
      <c r="L1220" s="91" t="b">
        <v>0</v>
      </c>
    </row>
    <row r="1221" spans="1:12" ht="15">
      <c r="A1221" s="92" t="s">
        <v>2816</v>
      </c>
      <c r="B1221" s="91" t="s">
        <v>2640</v>
      </c>
      <c r="C1221" s="91">
        <v>8</v>
      </c>
      <c r="D1221" s="114">
        <v>0.0020322111863405787</v>
      </c>
      <c r="E1221" s="114">
        <v>2.179737607278835</v>
      </c>
      <c r="F1221" s="91" t="s">
        <v>2518</v>
      </c>
      <c r="G1221" s="91" t="b">
        <v>0</v>
      </c>
      <c r="H1221" s="91" t="b">
        <v>0</v>
      </c>
      <c r="I1221" s="91" t="b">
        <v>0</v>
      </c>
      <c r="J1221" s="91" t="b">
        <v>0</v>
      </c>
      <c r="K1221" s="91" t="b">
        <v>0</v>
      </c>
      <c r="L1221" s="91" t="b">
        <v>0</v>
      </c>
    </row>
    <row r="1222" spans="1:12" ht="15">
      <c r="A1222" s="92" t="s">
        <v>2640</v>
      </c>
      <c r="B1222" s="91" t="s">
        <v>2641</v>
      </c>
      <c r="C1222" s="91">
        <v>8</v>
      </c>
      <c r="D1222" s="114">
        <v>0.0020322111863405787</v>
      </c>
      <c r="E1222" s="114">
        <v>1.5513486772285234</v>
      </c>
      <c r="F1222" s="91" t="s">
        <v>2518</v>
      </c>
      <c r="G1222" s="91" t="b">
        <v>0</v>
      </c>
      <c r="H1222" s="91" t="b">
        <v>0</v>
      </c>
      <c r="I1222" s="91" t="b">
        <v>0</v>
      </c>
      <c r="J1222" s="91" t="b">
        <v>0</v>
      </c>
      <c r="K1222" s="91" t="b">
        <v>0</v>
      </c>
      <c r="L1222" s="91" t="b">
        <v>0</v>
      </c>
    </row>
    <row r="1223" spans="1:12" ht="15">
      <c r="A1223" s="92" t="s">
        <v>2642</v>
      </c>
      <c r="B1223" s="91" t="s">
        <v>2564</v>
      </c>
      <c r="C1223" s="91">
        <v>8</v>
      </c>
      <c r="D1223" s="114">
        <v>0.0020322111863405787</v>
      </c>
      <c r="E1223" s="114">
        <v>1.1285850848314536</v>
      </c>
      <c r="F1223" s="91" t="s">
        <v>2518</v>
      </c>
      <c r="G1223" s="91" t="b">
        <v>0</v>
      </c>
      <c r="H1223" s="91" t="b">
        <v>0</v>
      </c>
      <c r="I1223" s="91" t="b">
        <v>0</v>
      </c>
      <c r="J1223" s="91" t="b">
        <v>0</v>
      </c>
      <c r="K1223" s="91" t="b">
        <v>0</v>
      </c>
      <c r="L1223" s="91" t="b">
        <v>0</v>
      </c>
    </row>
    <row r="1224" spans="1:12" ht="15">
      <c r="A1224" s="92" t="s">
        <v>2564</v>
      </c>
      <c r="B1224" s="91" t="s">
        <v>2615</v>
      </c>
      <c r="C1224" s="91">
        <v>8</v>
      </c>
      <c r="D1224" s="114">
        <v>0.0020322111863405787</v>
      </c>
      <c r="E1224" s="114">
        <v>0.8347100200552091</v>
      </c>
      <c r="F1224" s="91" t="s">
        <v>2518</v>
      </c>
      <c r="G1224" s="91" t="b">
        <v>0</v>
      </c>
      <c r="H1224" s="91" t="b">
        <v>0</v>
      </c>
      <c r="I1224" s="91" t="b">
        <v>0</v>
      </c>
      <c r="J1224" s="91" t="b">
        <v>0</v>
      </c>
      <c r="K1224" s="91" t="b">
        <v>0</v>
      </c>
      <c r="L1224" s="91" t="b">
        <v>0</v>
      </c>
    </row>
    <row r="1225" spans="1:12" ht="15">
      <c r="A1225" s="92" t="s">
        <v>2574</v>
      </c>
      <c r="B1225" s="91" t="s">
        <v>2614</v>
      </c>
      <c r="C1225" s="91">
        <v>8</v>
      </c>
      <c r="D1225" s="114">
        <v>0.0020322111863405787</v>
      </c>
      <c r="E1225" s="114">
        <v>0.9446178032568256</v>
      </c>
      <c r="F1225" s="91" t="s">
        <v>2518</v>
      </c>
      <c r="G1225" s="91" t="b">
        <v>0</v>
      </c>
      <c r="H1225" s="91" t="b">
        <v>0</v>
      </c>
      <c r="I1225" s="91" t="b">
        <v>0</v>
      </c>
      <c r="J1225" s="91" t="b">
        <v>0</v>
      </c>
      <c r="K1225" s="91" t="b">
        <v>0</v>
      </c>
      <c r="L1225" s="91" t="b">
        <v>0</v>
      </c>
    </row>
    <row r="1226" spans="1:12" ht="15">
      <c r="A1226" s="92" t="s">
        <v>2614</v>
      </c>
      <c r="B1226" s="91" t="s">
        <v>2566</v>
      </c>
      <c r="C1226" s="91">
        <v>8</v>
      </c>
      <c r="D1226" s="114">
        <v>0.0020322111863405787</v>
      </c>
      <c r="E1226" s="114">
        <v>0.8028655676388756</v>
      </c>
      <c r="F1226" s="91" t="s">
        <v>2518</v>
      </c>
      <c r="G1226" s="91" t="b">
        <v>0</v>
      </c>
      <c r="H1226" s="91" t="b">
        <v>0</v>
      </c>
      <c r="I1226" s="91" t="b">
        <v>0</v>
      </c>
      <c r="J1226" s="91" t="b">
        <v>0</v>
      </c>
      <c r="K1226" s="91" t="b">
        <v>0</v>
      </c>
      <c r="L1226" s="91" t="b">
        <v>0</v>
      </c>
    </row>
    <row r="1227" spans="1:12" ht="15">
      <c r="A1227" s="92" t="s">
        <v>2780</v>
      </c>
      <c r="B1227" s="91" t="s">
        <v>2694</v>
      </c>
      <c r="C1227" s="91">
        <v>8</v>
      </c>
      <c r="D1227" s="114">
        <v>0.0020322111863405787</v>
      </c>
      <c r="E1227" s="114">
        <v>2.5650884886428518</v>
      </c>
      <c r="F1227" s="91" t="s">
        <v>2518</v>
      </c>
      <c r="G1227" s="91" t="b">
        <v>0</v>
      </c>
      <c r="H1227" s="91" t="b">
        <v>0</v>
      </c>
      <c r="I1227" s="91" t="b">
        <v>0</v>
      </c>
      <c r="J1227" s="91" t="b">
        <v>0</v>
      </c>
      <c r="K1227" s="91" t="b">
        <v>0</v>
      </c>
      <c r="L1227" s="91" t="b">
        <v>0</v>
      </c>
    </row>
    <row r="1228" spans="1:12" ht="15">
      <c r="A1228" s="92" t="s">
        <v>2694</v>
      </c>
      <c r="B1228" s="91" t="s">
        <v>2568</v>
      </c>
      <c r="C1228" s="91">
        <v>8</v>
      </c>
      <c r="D1228" s="114">
        <v>0.0020322111863405787</v>
      </c>
      <c r="E1228" s="114">
        <v>1.438794697949586</v>
      </c>
      <c r="F1228" s="91" t="s">
        <v>2518</v>
      </c>
      <c r="G1228" s="91" t="b">
        <v>0</v>
      </c>
      <c r="H1228" s="91" t="b">
        <v>0</v>
      </c>
      <c r="I1228" s="91" t="b">
        <v>0</v>
      </c>
      <c r="J1228" s="91" t="b">
        <v>0</v>
      </c>
      <c r="K1228" s="91" t="b">
        <v>0</v>
      </c>
      <c r="L1228" s="91" t="b">
        <v>0</v>
      </c>
    </row>
    <row r="1229" spans="1:12" ht="15">
      <c r="A1229" s="92" t="s">
        <v>2592</v>
      </c>
      <c r="B1229" s="91" t="s">
        <v>2565</v>
      </c>
      <c r="C1229" s="91">
        <v>8</v>
      </c>
      <c r="D1229" s="114">
        <v>0.0020322111863405787</v>
      </c>
      <c r="E1229" s="114">
        <v>0.6911143208923661</v>
      </c>
      <c r="F1229" s="91" t="s">
        <v>2518</v>
      </c>
      <c r="G1229" s="91" t="b">
        <v>0</v>
      </c>
      <c r="H1229" s="91" t="b">
        <v>0</v>
      </c>
      <c r="I1229" s="91" t="b">
        <v>0</v>
      </c>
      <c r="J1229" s="91" t="b">
        <v>0</v>
      </c>
      <c r="K1229" s="91" t="b">
        <v>0</v>
      </c>
      <c r="L1229" s="91" t="b">
        <v>0</v>
      </c>
    </row>
    <row r="1230" spans="1:12" ht="15">
      <c r="A1230" s="92" t="s">
        <v>2565</v>
      </c>
      <c r="B1230" s="91" t="s">
        <v>2629</v>
      </c>
      <c r="C1230" s="91">
        <v>8</v>
      </c>
      <c r="D1230" s="114">
        <v>0.0020322111863405787</v>
      </c>
      <c r="E1230" s="114">
        <v>1.128727034328355</v>
      </c>
      <c r="F1230" s="91" t="s">
        <v>2518</v>
      </c>
      <c r="G1230" s="91" t="b">
        <v>0</v>
      </c>
      <c r="H1230" s="91" t="b">
        <v>0</v>
      </c>
      <c r="I1230" s="91" t="b">
        <v>0</v>
      </c>
      <c r="J1230" s="91" t="b">
        <v>0</v>
      </c>
      <c r="K1230" s="91" t="b">
        <v>0</v>
      </c>
      <c r="L1230" s="91" t="b">
        <v>0</v>
      </c>
    </row>
    <row r="1231" spans="1:12" ht="15">
      <c r="A1231" s="92" t="s">
        <v>2629</v>
      </c>
      <c r="B1231" s="91" t="s">
        <v>2568</v>
      </c>
      <c r="C1231" s="91">
        <v>8</v>
      </c>
      <c r="D1231" s="114">
        <v>0.0020322111863405787</v>
      </c>
      <c r="E1231" s="114">
        <v>1.2231948976102311</v>
      </c>
      <c r="F1231" s="91" t="s">
        <v>2518</v>
      </c>
      <c r="G1231" s="91" t="b">
        <v>0</v>
      </c>
      <c r="H1231" s="91" t="b">
        <v>0</v>
      </c>
      <c r="I1231" s="91" t="b">
        <v>0</v>
      </c>
      <c r="J1231" s="91" t="b">
        <v>0</v>
      </c>
      <c r="K1231" s="91" t="b">
        <v>0</v>
      </c>
      <c r="L1231" s="91" t="b">
        <v>0</v>
      </c>
    </row>
    <row r="1232" spans="1:12" ht="15">
      <c r="A1232" s="92" t="s">
        <v>2568</v>
      </c>
      <c r="B1232" s="91" t="s">
        <v>2781</v>
      </c>
      <c r="C1232" s="91">
        <v>8</v>
      </c>
      <c r="D1232" s="114">
        <v>0.0020322111863405787</v>
      </c>
      <c r="E1232" s="114">
        <v>1.6818327466358804</v>
      </c>
      <c r="F1232" s="91" t="s">
        <v>2518</v>
      </c>
      <c r="G1232" s="91" t="b">
        <v>0</v>
      </c>
      <c r="H1232" s="91" t="b">
        <v>0</v>
      </c>
      <c r="I1232" s="91" t="b">
        <v>0</v>
      </c>
      <c r="J1232" s="91" t="b">
        <v>0</v>
      </c>
      <c r="K1232" s="91" t="b">
        <v>0</v>
      </c>
      <c r="L1232" s="91" t="b">
        <v>0</v>
      </c>
    </row>
    <row r="1233" spans="1:12" ht="15">
      <c r="A1233" s="92" t="s">
        <v>2781</v>
      </c>
      <c r="B1233" s="91" t="s">
        <v>2782</v>
      </c>
      <c r="C1233" s="91">
        <v>8</v>
      </c>
      <c r="D1233" s="114">
        <v>0.0020322111863405787</v>
      </c>
      <c r="E1233" s="114">
        <v>2.8081265373291466</v>
      </c>
      <c r="F1233" s="91" t="s">
        <v>2518</v>
      </c>
      <c r="G1233" s="91" t="b">
        <v>0</v>
      </c>
      <c r="H1233" s="91" t="b">
        <v>0</v>
      </c>
      <c r="I1233" s="91" t="b">
        <v>0</v>
      </c>
      <c r="J1233" s="91" t="b">
        <v>0</v>
      </c>
      <c r="K1233" s="91" t="b">
        <v>0</v>
      </c>
      <c r="L1233" s="91" t="b">
        <v>0</v>
      </c>
    </row>
    <row r="1234" spans="1:12" ht="15">
      <c r="A1234" s="92" t="s">
        <v>2782</v>
      </c>
      <c r="B1234" s="91" t="s">
        <v>2771</v>
      </c>
      <c r="C1234" s="91">
        <v>8</v>
      </c>
      <c r="D1234" s="114">
        <v>0.0020322111863405787</v>
      </c>
      <c r="E1234" s="114">
        <v>2.8081265373291466</v>
      </c>
      <c r="F1234" s="91" t="s">
        <v>2518</v>
      </c>
      <c r="G1234" s="91" t="b">
        <v>0</v>
      </c>
      <c r="H1234" s="91" t="b">
        <v>0</v>
      </c>
      <c r="I1234" s="91" t="b">
        <v>0</v>
      </c>
      <c r="J1234" s="91" t="b">
        <v>0</v>
      </c>
      <c r="K1234" s="91" t="b">
        <v>0</v>
      </c>
      <c r="L1234" s="91" t="b">
        <v>0</v>
      </c>
    </row>
    <row r="1235" spans="1:12" ht="15">
      <c r="A1235" s="92" t="s">
        <v>2771</v>
      </c>
      <c r="B1235" s="91" t="s">
        <v>2734</v>
      </c>
      <c r="C1235" s="91">
        <v>8</v>
      </c>
      <c r="D1235" s="114">
        <v>0.0020322111863405787</v>
      </c>
      <c r="E1235" s="114">
        <v>2.8081265373291466</v>
      </c>
      <c r="F1235" s="91" t="s">
        <v>2518</v>
      </c>
      <c r="G1235" s="91" t="b">
        <v>0</v>
      </c>
      <c r="H1235" s="91" t="b">
        <v>0</v>
      </c>
      <c r="I1235" s="91" t="b">
        <v>0</v>
      </c>
      <c r="J1235" s="91" t="b">
        <v>0</v>
      </c>
      <c r="K1235" s="91" t="b">
        <v>0</v>
      </c>
      <c r="L1235" s="91" t="b">
        <v>0</v>
      </c>
    </row>
    <row r="1236" spans="1:12" ht="15">
      <c r="A1236" s="92" t="s">
        <v>2734</v>
      </c>
      <c r="B1236" s="91" t="s">
        <v>2783</v>
      </c>
      <c r="C1236" s="91">
        <v>8</v>
      </c>
      <c r="D1236" s="114">
        <v>0.0020322111863405787</v>
      </c>
      <c r="E1236" s="114">
        <v>2.8081265373291466</v>
      </c>
      <c r="F1236" s="91" t="s">
        <v>2518</v>
      </c>
      <c r="G1236" s="91" t="b">
        <v>0</v>
      </c>
      <c r="H1236" s="91" t="b">
        <v>0</v>
      </c>
      <c r="I1236" s="91" t="b">
        <v>0</v>
      </c>
      <c r="J1236" s="91" t="b">
        <v>0</v>
      </c>
      <c r="K1236" s="91" t="b">
        <v>0</v>
      </c>
      <c r="L1236" s="91" t="b">
        <v>0</v>
      </c>
    </row>
    <row r="1237" spans="1:12" ht="15">
      <c r="A1237" s="92" t="s">
        <v>2783</v>
      </c>
      <c r="B1237" s="91" t="s">
        <v>2576</v>
      </c>
      <c r="C1237" s="91">
        <v>8</v>
      </c>
      <c r="D1237" s="114">
        <v>0.0020322111863405787</v>
      </c>
      <c r="E1237" s="114">
        <v>1.8027315054424404</v>
      </c>
      <c r="F1237" s="91" t="s">
        <v>2518</v>
      </c>
      <c r="G1237" s="91" t="b">
        <v>0</v>
      </c>
      <c r="H1237" s="91" t="b">
        <v>0</v>
      </c>
      <c r="I1237" s="91" t="b">
        <v>0</v>
      </c>
      <c r="J1237" s="91" t="b">
        <v>0</v>
      </c>
      <c r="K1237" s="91" t="b">
        <v>0</v>
      </c>
      <c r="L1237" s="91" t="b">
        <v>0</v>
      </c>
    </row>
    <row r="1238" spans="1:12" ht="15">
      <c r="A1238" s="92" t="s">
        <v>2576</v>
      </c>
      <c r="B1238" s="91" t="s">
        <v>2578</v>
      </c>
      <c r="C1238" s="91">
        <v>8</v>
      </c>
      <c r="D1238" s="114">
        <v>0.0020322111863405787</v>
      </c>
      <c r="E1238" s="114">
        <v>1.0245802550587968</v>
      </c>
      <c r="F1238" s="91" t="s">
        <v>2518</v>
      </c>
      <c r="G1238" s="91" t="b">
        <v>0</v>
      </c>
      <c r="H1238" s="91" t="b">
        <v>0</v>
      </c>
      <c r="I1238" s="91" t="b">
        <v>0</v>
      </c>
      <c r="J1238" s="91" t="b">
        <v>0</v>
      </c>
      <c r="K1238" s="91" t="b">
        <v>0</v>
      </c>
      <c r="L1238" s="91" t="b">
        <v>0</v>
      </c>
    </row>
    <row r="1239" spans="1:12" ht="15">
      <c r="A1239" s="92" t="s">
        <v>2578</v>
      </c>
      <c r="B1239" s="91" t="s">
        <v>2784</v>
      </c>
      <c r="C1239" s="91">
        <v>8</v>
      </c>
      <c r="D1239" s="114">
        <v>0.0020322111863405787</v>
      </c>
      <c r="E1239" s="114">
        <v>2.0036463482231537</v>
      </c>
      <c r="F1239" s="91" t="s">
        <v>2518</v>
      </c>
      <c r="G1239" s="91" t="b">
        <v>0</v>
      </c>
      <c r="H1239" s="91" t="b">
        <v>0</v>
      </c>
      <c r="I1239" s="91" t="b">
        <v>0</v>
      </c>
      <c r="J1239" s="91" t="b">
        <v>0</v>
      </c>
      <c r="K1239" s="91" t="b">
        <v>0</v>
      </c>
      <c r="L1239" s="91" t="b">
        <v>0</v>
      </c>
    </row>
    <row r="1240" spans="1:12" ht="15">
      <c r="A1240" s="92" t="s">
        <v>2784</v>
      </c>
      <c r="B1240" s="91" t="s">
        <v>2569</v>
      </c>
      <c r="C1240" s="91">
        <v>8</v>
      </c>
      <c r="D1240" s="114">
        <v>0.0020322111863405787</v>
      </c>
      <c r="E1240" s="114">
        <v>2.0036463482231537</v>
      </c>
      <c r="F1240" s="91" t="s">
        <v>2518</v>
      </c>
      <c r="G1240" s="91" t="b">
        <v>0</v>
      </c>
      <c r="H1240" s="91" t="b">
        <v>0</v>
      </c>
      <c r="I1240" s="91" t="b">
        <v>0</v>
      </c>
      <c r="J1240" s="91" t="b">
        <v>0</v>
      </c>
      <c r="K1240" s="91" t="b">
        <v>0</v>
      </c>
      <c r="L1240" s="91" t="b">
        <v>0</v>
      </c>
    </row>
    <row r="1241" spans="1:12" ht="15">
      <c r="A1241" s="92" t="s">
        <v>2572</v>
      </c>
      <c r="B1241" s="91" t="s">
        <v>2785</v>
      </c>
      <c r="C1241" s="91">
        <v>8</v>
      </c>
      <c r="D1241" s="114">
        <v>0.0020322111863405787</v>
      </c>
      <c r="E1241" s="114">
        <v>2.0036463482231537</v>
      </c>
      <c r="F1241" s="91" t="s">
        <v>2518</v>
      </c>
      <c r="G1241" s="91" t="b">
        <v>0</v>
      </c>
      <c r="H1241" s="91" t="b">
        <v>0</v>
      </c>
      <c r="I1241" s="91" t="b">
        <v>0</v>
      </c>
      <c r="J1241" s="91" t="b">
        <v>0</v>
      </c>
      <c r="K1241" s="91" t="b">
        <v>0</v>
      </c>
      <c r="L1241" s="91" t="b">
        <v>0</v>
      </c>
    </row>
    <row r="1242" spans="1:12" ht="15">
      <c r="A1242" s="92" t="s">
        <v>2785</v>
      </c>
      <c r="B1242" s="91" t="s">
        <v>2629</v>
      </c>
      <c r="C1242" s="91">
        <v>8</v>
      </c>
      <c r="D1242" s="114">
        <v>0.0020322111863405787</v>
      </c>
      <c r="E1242" s="114">
        <v>2.3494886883034973</v>
      </c>
      <c r="F1242" s="91" t="s">
        <v>2518</v>
      </c>
      <c r="G1242" s="91" t="b">
        <v>0</v>
      </c>
      <c r="H1242" s="91" t="b">
        <v>0</v>
      </c>
      <c r="I1242" s="91" t="b">
        <v>0</v>
      </c>
      <c r="J1242" s="91" t="b">
        <v>0</v>
      </c>
      <c r="K1242" s="91" t="b">
        <v>0</v>
      </c>
      <c r="L1242" s="91" t="b">
        <v>0</v>
      </c>
    </row>
    <row r="1243" spans="1:12" ht="15">
      <c r="A1243" s="92" t="s">
        <v>2629</v>
      </c>
      <c r="B1243" s="91" t="s">
        <v>2590</v>
      </c>
      <c r="C1243" s="91">
        <v>8</v>
      </c>
      <c r="D1243" s="114">
        <v>0.0020322111863405787</v>
      </c>
      <c r="E1243" s="114">
        <v>1.8908508392778478</v>
      </c>
      <c r="F1243" s="91" t="s">
        <v>2518</v>
      </c>
      <c r="G1243" s="91" t="b">
        <v>0</v>
      </c>
      <c r="H1243" s="91" t="b">
        <v>0</v>
      </c>
      <c r="I1243" s="91" t="b">
        <v>0</v>
      </c>
      <c r="J1243" s="91" t="b">
        <v>0</v>
      </c>
      <c r="K1243" s="91" t="b">
        <v>0</v>
      </c>
      <c r="L1243" s="91" t="b">
        <v>0</v>
      </c>
    </row>
    <row r="1244" spans="1:12" ht="15">
      <c r="A1244" s="92" t="s">
        <v>2590</v>
      </c>
      <c r="B1244" s="91" t="s">
        <v>2654</v>
      </c>
      <c r="C1244" s="91">
        <v>8</v>
      </c>
      <c r="D1244" s="114">
        <v>0.0020322111863405787</v>
      </c>
      <c r="E1244" s="114">
        <v>2.3494886883034973</v>
      </c>
      <c r="F1244" s="91" t="s">
        <v>2518</v>
      </c>
      <c r="G1244" s="91" t="b">
        <v>0</v>
      </c>
      <c r="H1244" s="91" t="b">
        <v>0</v>
      </c>
      <c r="I1244" s="91" t="b">
        <v>0</v>
      </c>
      <c r="J1244" s="91" t="b">
        <v>0</v>
      </c>
      <c r="K1244" s="91" t="b">
        <v>0</v>
      </c>
      <c r="L1244" s="91" t="b">
        <v>0</v>
      </c>
    </row>
    <row r="1245" spans="1:12" ht="15">
      <c r="A1245" s="92" t="s">
        <v>2591</v>
      </c>
      <c r="B1245" s="91" t="s">
        <v>2786</v>
      </c>
      <c r="C1245" s="91">
        <v>8</v>
      </c>
      <c r="D1245" s="114">
        <v>0.0020322111863405787</v>
      </c>
      <c r="E1245" s="114">
        <v>2.71121652432109</v>
      </c>
      <c r="F1245" s="91" t="s">
        <v>2518</v>
      </c>
      <c r="G1245" s="91" t="b">
        <v>0</v>
      </c>
      <c r="H1245" s="91" t="b">
        <v>0</v>
      </c>
      <c r="I1245" s="91" t="b">
        <v>0</v>
      </c>
      <c r="J1245" s="91" t="b">
        <v>0</v>
      </c>
      <c r="K1245" s="91" t="b">
        <v>0</v>
      </c>
      <c r="L1245" s="91" t="b">
        <v>0</v>
      </c>
    </row>
    <row r="1246" spans="1:12" ht="15">
      <c r="A1246" s="92" t="s">
        <v>2786</v>
      </c>
      <c r="B1246" s="91" t="s">
        <v>2750</v>
      </c>
      <c r="C1246" s="91">
        <v>8</v>
      </c>
      <c r="D1246" s="114">
        <v>0.0020322111863405787</v>
      </c>
      <c r="E1246" s="114">
        <v>2.8081265373291466</v>
      </c>
      <c r="F1246" s="91" t="s">
        <v>2518</v>
      </c>
      <c r="G1246" s="91" t="b">
        <v>0</v>
      </c>
      <c r="H1246" s="91" t="b">
        <v>0</v>
      </c>
      <c r="I1246" s="91" t="b">
        <v>0</v>
      </c>
      <c r="J1246" s="91" t="b">
        <v>0</v>
      </c>
      <c r="K1246" s="91" t="b">
        <v>0</v>
      </c>
      <c r="L1246" s="91" t="b">
        <v>0</v>
      </c>
    </row>
    <row r="1247" spans="1:12" ht="15">
      <c r="A1247" s="92" t="s">
        <v>2750</v>
      </c>
      <c r="B1247" s="91" t="s">
        <v>2787</v>
      </c>
      <c r="C1247" s="91">
        <v>8</v>
      </c>
      <c r="D1247" s="114">
        <v>0.0020322111863405787</v>
      </c>
      <c r="E1247" s="114">
        <v>2.8081265373291466</v>
      </c>
      <c r="F1247" s="91" t="s">
        <v>2518</v>
      </c>
      <c r="G1247" s="91" t="b">
        <v>0</v>
      </c>
      <c r="H1247" s="91" t="b">
        <v>0</v>
      </c>
      <c r="I1247" s="91" t="b">
        <v>0</v>
      </c>
      <c r="J1247" s="91" t="b">
        <v>0</v>
      </c>
      <c r="K1247" s="91" t="b">
        <v>0</v>
      </c>
      <c r="L1247" s="91" t="b">
        <v>0</v>
      </c>
    </row>
    <row r="1248" spans="1:12" ht="15">
      <c r="A1248" s="92" t="s">
        <v>2787</v>
      </c>
      <c r="B1248" s="91" t="s">
        <v>2788</v>
      </c>
      <c r="C1248" s="91">
        <v>8</v>
      </c>
      <c r="D1248" s="114">
        <v>0.0020322111863405787</v>
      </c>
      <c r="E1248" s="114">
        <v>2.8081265373291466</v>
      </c>
      <c r="F1248" s="91" t="s">
        <v>2518</v>
      </c>
      <c r="G1248" s="91" t="b">
        <v>0</v>
      </c>
      <c r="H1248" s="91" t="b">
        <v>0</v>
      </c>
      <c r="I1248" s="91" t="b">
        <v>0</v>
      </c>
      <c r="J1248" s="91" t="b">
        <v>0</v>
      </c>
      <c r="K1248" s="91" t="b">
        <v>0</v>
      </c>
      <c r="L1248" s="91" t="b">
        <v>0</v>
      </c>
    </row>
    <row r="1249" spans="1:12" ht="15">
      <c r="A1249" s="92" t="s">
        <v>2788</v>
      </c>
      <c r="B1249" s="91" t="s">
        <v>2789</v>
      </c>
      <c r="C1249" s="91">
        <v>8</v>
      </c>
      <c r="D1249" s="114">
        <v>0.0020322111863405787</v>
      </c>
      <c r="E1249" s="114">
        <v>2.8081265373291466</v>
      </c>
      <c r="F1249" s="91" t="s">
        <v>2518</v>
      </c>
      <c r="G1249" s="91" t="b">
        <v>0</v>
      </c>
      <c r="H1249" s="91" t="b">
        <v>0</v>
      </c>
      <c r="I1249" s="91" t="b">
        <v>0</v>
      </c>
      <c r="J1249" s="91" t="b">
        <v>0</v>
      </c>
      <c r="K1249" s="91" t="b">
        <v>0</v>
      </c>
      <c r="L1249" s="91" t="b">
        <v>0</v>
      </c>
    </row>
    <row r="1250" spans="1:12" ht="15">
      <c r="A1250" s="92" t="s">
        <v>2789</v>
      </c>
      <c r="B1250" s="91" t="s">
        <v>2790</v>
      </c>
      <c r="C1250" s="91">
        <v>8</v>
      </c>
      <c r="D1250" s="114">
        <v>0.0020322111863405787</v>
      </c>
      <c r="E1250" s="114">
        <v>2.8081265373291466</v>
      </c>
      <c r="F1250" s="91" t="s">
        <v>2518</v>
      </c>
      <c r="G1250" s="91" t="b">
        <v>0</v>
      </c>
      <c r="H1250" s="91" t="b">
        <v>0</v>
      </c>
      <c r="I1250" s="91" t="b">
        <v>0</v>
      </c>
      <c r="J1250" s="91" t="b">
        <v>0</v>
      </c>
      <c r="K1250" s="91" t="b">
        <v>0</v>
      </c>
      <c r="L1250" s="91" t="b">
        <v>0</v>
      </c>
    </row>
    <row r="1251" spans="1:12" ht="15">
      <c r="A1251" s="92" t="s">
        <v>2790</v>
      </c>
      <c r="B1251" s="91" t="s">
        <v>2791</v>
      </c>
      <c r="C1251" s="91">
        <v>8</v>
      </c>
      <c r="D1251" s="114">
        <v>0.0020322111863405787</v>
      </c>
      <c r="E1251" s="114">
        <v>2.8081265373291466</v>
      </c>
      <c r="F1251" s="91" t="s">
        <v>2518</v>
      </c>
      <c r="G1251" s="91" t="b">
        <v>0</v>
      </c>
      <c r="H1251" s="91" t="b">
        <v>0</v>
      </c>
      <c r="I1251" s="91" t="b">
        <v>0</v>
      </c>
      <c r="J1251" s="91" t="b">
        <v>0</v>
      </c>
      <c r="K1251" s="91" t="b">
        <v>0</v>
      </c>
      <c r="L1251" s="91" t="b">
        <v>0</v>
      </c>
    </row>
    <row r="1252" spans="1:12" ht="15">
      <c r="A1252" s="92" t="s">
        <v>2791</v>
      </c>
      <c r="B1252" s="91" t="s">
        <v>2792</v>
      </c>
      <c r="C1252" s="91">
        <v>8</v>
      </c>
      <c r="D1252" s="114">
        <v>0.0020322111863405787</v>
      </c>
      <c r="E1252" s="114">
        <v>2.8081265373291466</v>
      </c>
      <c r="F1252" s="91" t="s">
        <v>2518</v>
      </c>
      <c r="G1252" s="91" t="b">
        <v>0</v>
      </c>
      <c r="H1252" s="91" t="b">
        <v>0</v>
      </c>
      <c r="I1252" s="91" t="b">
        <v>0</v>
      </c>
      <c r="J1252" s="91" t="b">
        <v>0</v>
      </c>
      <c r="K1252" s="91" t="b">
        <v>0</v>
      </c>
      <c r="L1252" s="91" t="b">
        <v>0</v>
      </c>
    </row>
    <row r="1253" spans="1:12" ht="15">
      <c r="A1253" s="92" t="s">
        <v>2792</v>
      </c>
      <c r="B1253" s="91" t="s">
        <v>2758</v>
      </c>
      <c r="C1253" s="91">
        <v>8</v>
      </c>
      <c r="D1253" s="114">
        <v>0.0020322111863405787</v>
      </c>
      <c r="E1253" s="114">
        <v>2.8081265373291466</v>
      </c>
      <c r="F1253" s="91" t="s">
        <v>2518</v>
      </c>
      <c r="G1253" s="91" t="b">
        <v>0</v>
      </c>
      <c r="H1253" s="91" t="b">
        <v>0</v>
      </c>
      <c r="I1253" s="91" t="b">
        <v>0</v>
      </c>
      <c r="J1253" s="91" t="b">
        <v>0</v>
      </c>
      <c r="K1253" s="91" t="b">
        <v>0</v>
      </c>
      <c r="L1253" s="91" t="b">
        <v>0</v>
      </c>
    </row>
    <row r="1254" spans="1:12" ht="15">
      <c r="A1254" s="92" t="s">
        <v>2758</v>
      </c>
      <c r="B1254" s="91" t="s">
        <v>2793</v>
      </c>
      <c r="C1254" s="91">
        <v>8</v>
      </c>
      <c r="D1254" s="114">
        <v>0.0020322111863405787</v>
      </c>
      <c r="E1254" s="114">
        <v>2.8081265373291466</v>
      </c>
      <c r="F1254" s="91" t="s">
        <v>2518</v>
      </c>
      <c r="G1254" s="91" t="b">
        <v>0</v>
      </c>
      <c r="H1254" s="91" t="b">
        <v>0</v>
      </c>
      <c r="I1254" s="91" t="b">
        <v>0</v>
      </c>
      <c r="J1254" s="91" t="b">
        <v>0</v>
      </c>
      <c r="K1254" s="91" t="b">
        <v>0</v>
      </c>
      <c r="L1254" s="91" t="b">
        <v>0</v>
      </c>
    </row>
    <row r="1255" spans="1:12" ht="15">
      <c r="A1255" s="92" t="s">
        <v>2793</v>
      </c>
      <c r="B1255" s="91" t="s">
        <v>2664</v>
      </c>
      <c r="C1255" s="91">
        <v>8</v>
      </c>
      <c r="D1255" s="114">
        <v>0.0020322111863405787</v>
      </c>
      <c r="E1255" s="114">
        <v>2.4101865286571087</v>
      </c>
      <c r="F1255" s="91" t="s">
        <v>2518</v>
      </c>
      <c r="G1255" s="91" t="b">
        <v>0</v>
      </c>
      <c r="H1255" s="91" t="b">
        <v>0</v>
      </c>
      <c r="I1255" s="91" t="b">
        <v>0</v>
      </c>
      <c r="J1255" s="91" t="b">
        <v>0</v>
      </c>
      <c r="K1255" s="91" t="b">
        <v>0</v>
      </c>
      <c r="L1255" s="91" t="b">
        <v>0</v>
      </c>
    </row>
    <row r="1256" spans="1:12" ht="15">
      <c r="A1256" s="92" t="s">
        <v>2664</v>
      </c>
      <c r="B1256" s="91" t="s">
        <v>2794</v>
      </c>
      <c r="C1256" s="91">
        <v>8</v>
      </c>
      <c r="D1256" s="114">
        <v>0.0020322111863405787</v>
      </c>
      <c r="E1256" s="114">
        <v>2.4101865286571087</v>
      </c>
      <c r="F1256" s="91" t="s">
        <v>2518</v>
      </c>
      <c r="G1256" s="91" t="b">
        <v>0</v>
      </c>
      <c r="H1256" s="91" t="b">
        <v>0</v>
      </c>
      <c r="I1256" s="91" t="b">
        <v>0</v>
      </c>
      <c r="J1256" s="91" t="b">
        <v>0</v>
      </c>
      <c r="K1256" s="91" t="b">
        <v>0</v>
      </c>
      <c r="L1256" s="91" t="b">
        <v>0</v>
      </c>
    </row>
    <row r="1257" spans="1:12" ht="15">
      <c r="A1257" s="92" t="s">
        <v>2794</v>
      </c>
      <c r="B1257" s="91" t="s">
        <v>2741</v>
      </c>
      <c r="C1257" s="91">
        <v>8</v>
      </c>
      <c r="D1257" s="114">
        <v>0.0020322111863405787</v>
      </c>
      <c r="E1257" s="114">
        <v>2.8081265373291466</v>
      </c>
      <c r="F1257" s="91" t="s">
        <v>2518</v>
      </c>
      <c r="G1257" s="91" t="b">
        <v>0</v>
      </c>
      <c r="H1257" s="91" t="b">
        <v>0</v>
      </c>
      <c r="I1257" s="91" t="b">
        <v>0</v>
      </c>
      <c r="J1257" s="91" t="b">
        <v>0</v>
      </c>
      <c r="K1257" s="91" t="b">
        <v>0</v>
      </c>
      <c r="L1257" s="91" t="b">
        <v>0</v>
      </c>
    </row>
    <row r="1258" spans="1:12" ht="15">
      <c r="A1258" s="92" t="s">
        <v>2741</v>
      </c>
      <c r="B1258" s="91" t="s">
        <v>2643</v>
      </c>
      <c r="C1258" s="91">
        <v>8</v>
      </c>
      <c r="D1258" s="114">
        <v>0.0020322111863405787</v>
      </c>
      <c r="E1258" s="114">
        <v>2.6320352782734653</v>
      </c>
      <c r="F1258" s="91" t="s">
        <v>2518</v>
      </c>
      <c r="G1258" s="91" t="b">
        <v>0</v>
      </c>
      <c r="H1258" s="91" t="b">
        <v>0</v>
      </c>
      <c r="I1258" s="91" t="b">
        <v>0</v>
      </c>
      <c r="J1258" s="91" t="b">
        <v>0</v>
      </c>
      <c r="K1258" s="91" t="b">
        <v>0</v>
      </c>
      <c r="L1258" s="91" t="b">
        <v>0</v>
      </c>
    </row>
    <row r="1259" spans="1:12" ht="15">
      <c r="A1259" s="92" t="s">
        <v>2620</v>
      </c>
      <c r="B1259" s="91" t="s">
        <v>2732</v>
      </c>
      <c r="C1259" s="91">
        <v>8</v>
      </c>
      <c r="D1259" s="114">
        <v>0.0020322111863405787</v>
      </c>
      <c r="E1259" s="114">
        <v>2.3132765156490525</v>
      </c>
      <c r="F1259" s="91" t="s">
        <v>2518</v>
      </c>
      <c r="G1259" s="91" t="b">
        <v>0</v>
      </c>
      <c r="H1259" s="91" t="b">
        <v>0</v>
      </c>
      <c r="I1259" s="91" t="b">
        <v>0</v>
      </c>
      <c r="J1259" s="91" t="b">
        <v>0</v>
      </c>
      <c r="K1259" s="91" t="b">
        <v>0</v>
      </c>
      <c r="L1259" s="91" t="b">
        <v>0</v>
      </c>
    </row>
    <row r="1260" spans="1:12" ht="15">
      <c r="A1260" s="92" t="s">
        <v>2660</v>
      </c>
      <c r="B1260" s="91" t="s">
        <v>2581</v>
      </c>
      <c r="C1260" s="91">
        <v>7</v>
      </c>
      <c r="D1260" s="114">
        <v>0.0018544469764462418</v>
      </c>
      <c r="E1260" s="114">
        <v>1.7569740148817652</v>
      </c>
      <c r="F1260" s="91" t="s">
        <v>2518</v>
      </c>
      <c r="G1260" s="91" t="b">
        <v>0</v>
      </c>
      <c r="H1260" s="91" t="b">
        <v>0</v>
      </c>
      <c r="I1260" s="91" t="b">
        <v>0</v>
      </c>
      <c r="J1260" s="91" t="b">
        <v>0</v>
      </c>
      <c r="K1260" s="91" t="b">
        <v>0</v>
      </c>
      <c r="L1260" s="91" t="b">
        <v>0</v>
      </c>
    </row>
    <row r="1261" spans="1:12" ht="15">
      <c r="A1261" s="92" t="s">
        <v>2586</v>
      </c>
      <c r="B1261" s="91" t="s">
        <v>2670</v>
      </c>
      <c r="C1261" s="91">
        <v>7</v>
      </c>
      <c r="D1261" s="114">
        <v>0.0018544469764462418</v>
      </c>
      <c r="E1261" s="114">
        <v>1.9188248348228363</v>
      </c>
      <c r="F1261" s="91" t="s">
        <v>2518</v>
      </c>
      <c r="G1261" s="91" t="b">
        <v>0</v>
      </c>
      <c r="H1261" s="91" t="b">
        <v>0</v>
      </c>
      <c r="I1261" s="91" t="b">
        <v>0</v>
      </c>
      <c r="J1261" s="91" t="b">
        <v>0</v>
      </c>
      <c r="K1261" s="91" t="b">
        <v>0</v>
      </c>
      <c r="L1261" s="91" t="b">
        <v>0</v>
      </c>
    </row>
    <row r="1262" spans="1:12" ht="15">
      <c r="A1262" s="92" t="s">
        <v>2670</v>
      </c>
      <c r="B1262" s="91" t="s">
        <v>2655</v>
      </c>
      <c r="C1262" s="91">
        <v>7</v>
      </c>
      <c r="D1262" s="114">
        <v>0.0018544469764462418</v>
      </c>
      <c r="E1262" s="114">
        <v>2.5972731720142535</v>
      </c>
      <c r="F1262" s="91" t="s">
        <v>2518</v>
      </c>
      <c r="G1262" s="91" t="b">
        <v>0</v>
      </c>
      <c r="H1262" s="91" t="b">
        <v>0</v>
      </c>
      <c r="I1262" s="91" t="b">
        <v>0</v>
      </c>
      <c r="J1262" s="91" t="b">
        <v>0</v>
      </c>
      <c r="K1262" s="91" t="b">
        <v>0</v>
      </c>
      <c r="L1262" s="91" t="b">
        <v>0</v>
      </c>
    </row>
    <row r="1263" spans="1:12" ht="15">
      <c r="A1263" s="92" t="s">
        <v>2580</v>
      </c>
      <c r="B1263" s="91" t="s">
        <v>2661</v>
      </c>
      <c r="C1263" s="91">
        <v>7</v>
      </c>
      <c r="D1263" s="114">
        <v>0.0018544469764462418</v>
      </c>
      <c r="E1263" s="114">
        <v>2.0580040105457464</v>
      </c>
      <c r="F1263" s="91" t="s">
        <v>2518</v>
      </c>
      <c r="G1263" s="91" t="b">
        <v>0</v>
      </c>
      <c r="H1263" s="91" t="b">
        <v>0</v>
      </c>
      <c r="I1263" s="91" t="b">
        <v>0</v>
      </c>
      <c r="J1263" s="91" t="b">
        <v>0</v>
      </c>
      <c r="K1263" s="91" t="b">
        <v>0</v>
      </c>
      <c r="L1263" s="91" t="b">
        <v>0</v>
      </c>
    </row>
    <row r="1264" spans="1:12" ht="15">
      <c r="A1264" s="92" t="s">
        <v>2661</v>
      </c>
      <c r="B1264" s="91" t="s">
        <v>2656</v>
      </c>
      <c r="C1264" s="91">
        <v>7</v>
      </c>
      <c r="D1264" s="114">
        <v>0.0018544469764462418</v>
      </c>
      <c r="E1264" s="114">
        <v>2.756974014881765</v>
      </c>
      <c r="F1264" s="91" t="s">
        <v>2518</v>
      </c>
      <c r="G1264" s="91" t="b">
        <v>0</v>
      </c>
      <c r="H1264" s="91" t="b">
        <v>0</v>
      </c>
      <c r="I1264" s="91" t="b">
        <v>0</v>
      </c>
      <c r="J1264" s="91" t="b">
        <v>0</v>
      </c>
      <c r="K1264" s="91" t="b">
        <v>0</v>
      </c>
      <c r="L1264" s="91" t="b">
        <v>0</v>
      </c>
    </row>
    <row r="1265" spans="1:12" ht="15">
      <c r="A1265" s="92" t="s">
        <v>2656</v>
      </c>
      <c r="B1265" s="91" t="s">
        <v>586</v>
      </c>
      <c r="C1265" s="91">
        <v>7</v>
      </c>
      <c r="D1265" s="114">
        <v>0.0018544469764462418</v>
      </c>
      <c r="E1265" s="114">
        <v>2.346799549792716</v>
      </c>
      <c r="F1265" s="91" t="s">
        <v>2518</v>
      </c>
      <c r="G1265" s="91" t="b">
        <v>0</v>
      </c>
      <c r="H1265" s="91" t="b">
        <v>0</v>
      </c>
      <c r="I1265" s="91" t="b">
        <v>0</v>
      </c>
      <c r="J1265" s="91" t="b">
        <v>0</v>
      </c>
      <c r="K1265" s="91" t="b">
        <v>0</v>
      </c>
      <c r="L1265" s="91" t="b">
        <v>0</v>
      </c>
    </row>
    <row r="1266" spans="1:12" ht="15">
      <c r="A1266" s="92" t="s">
        <v>586</v>
      </c>
      <c r="B1266" s="91" t="s">
        <v>2700</v>
      </c>
      <c r="C1266" s="91">
        <v>7</v>
      </c>
      <c r="D1266" s="114">
        <v>0.0018544469764462418</v>
      </c>
      <c r="E1266" s="114">
        <v>2.455944019217784</v>
      </c>
      <c r="F1266" s="91" t="s">
        <v>2518</v>
      </c>
      <c r="G1266" s="91" t="b">
        <v>0</v>
      </c>
      <c r="H1266" s="91" t="b">
        <v>0</v>
      </c>
      <c r="I1266" s="91" t="b">
        <v>0</v>
      </c>
      <c r="J1266" s="91" t="b">
        <v>0</v>
      </c>
      <c r="K1266" s="91" t="b">
        <v>0</v>
      </c>
      <c r="L1266" s="91" t="b">
        <v>0</v>
      </c>
    </row>
    <row r="1267" spans="1:12" ht="15">
      <c r="A1267" s="92" t="s">
        <v>2700</v>
      </c>
      <c r="B1267" s="91" t="s">
        <v>2657</v>
      </c>
      <c r="C1267" s="91">
        <v>7</v>
      </c>
      <c r="D1267" s="114">
        <v>0.0018544469764462418</v>
      </c>
      <c r="E1267" s="114">
        <v>2.565088488642852</v>
      </c>
      <c r="F1267" s="91" t="s">
        <v>2518</v>
      </c>
      <c r="G1267" s="91" t="b">
        <v>0</v>
      </c>
      <c r="H1267" s="91" t="b">
        <v>0</v>
      </c>
      <c r="I1267" s="91" t="b">
        <v>0</v>
      </c>
      <c r="J1267" s="91" t="b">
        <v>0</v>
      </c>
      <c r="K1267" s="91" t="b">
        <v>0</v>
      </c>
      <c r="L1267" s="91" t="b">
        <v>0</v>
      </c>
    </row>
    <row r="1268" spans="1:12" ht="15">
      <c r="A1268" s="92" t="s">
        <v>2657</v>
      </c>
      <c r="B1268" s="91" t="s">
        <v>2576</v>
      </c>
      <c r="C1268" s="91">
        <v>7</v>
      </c>
      <c r="D1268" s="114">
        <v>0.0018544469764462418</v>
      </c>
      <c r="E1268" s="114">
        <v>1.5017015097784592</v>
      </c>
      <c r="F1268" s="91" t="s">
        <v>2518</v>
      </c>
      <c r="G1268" s="91" t="b">
        <v>0</v>
      </c>
      <c r="H1268" s="91" t="b">
        <v>0</v>
      </c>
      <c r="I1268" s="91" t="b">
        <v>0</v>
      </c>
      <c r="J1268" s="91" t="b">
        <v>0</v>
      </c>
      <c r="K1268" s="91" t="b">
        <v>0</v>
      </c>
      <c r="L1268" s="91" t="b">
        <v>0</v>
      </c>
    </row>
    <row r="1269" spans="1:12" ht="15">
      <c r="A1269" s="92" t="s">
        <v>2576</v>
      </c>
      <c r="B1269" s="91" t="s">
        <v>2569</v>
      </c>
      <c r="C1269" s="91">
        <v>7</v>
      </c>
      <c r="D1269" s="114">
        <v>0.0018544469764462418</v>
      </c>
      <c r="E1269" s="114">
        <v>0.9402593693587609</v>
      </c>
      <c r="F1269" s="91" t="s">
        <v>2518</v>
      </c>
      <c r="G1269" s="91" t="b">
        <v>0</v>
      </c>
      <c r="H1269" s="91" t="b">
        <v>0</v>
      </c>
      <c r="I1269" s="91" t="b">
        <v>0</v>
      </c>
      <c r="J1269" s="91" t="b">
        <v>0</v>
      </c>
      <c r="K1269" s="91" t="b">
        <v>0</v>
      </c>
      <c r="L1269" s="91" t="b">
        <v>0</v>
      </c>
    </row>
    <row r="1270" spans="1:12" ht="15">
      <c r="A1270" s="92" t="s">
        <v>2572</v>
      </c>
      <c r="B1270" s="91" t="s">
        <v>2629</v>
      </c>
      <c r="C1270" s="91">
        <v>7</v>
      </c>
      <c r="D1270" s="114">
        <v>0.0018544469764462418</v>
      </c>
      <c r="E1270" s="114">
        <v>1.4870165522198175</v>
      </c>
      <c r="F1270" s="91" t="s">
        <v>2518</v>
      </c>
      <c r="G1270" s="91" t="b">
        <v>0</v>
      </c>
      <c r="H1270" s="91" t="b">
        <v>0</v>
      </c>
      <c r="I1270" s="91" t="b">
        <v>0</v>
      </c>
      <c r="J1270" s="91" t="b">
        <v>0</v>
      </c>
      <c r="K1270" s="91" t="b">
        <v>0</v>
      </c>
      <c r="L1270" s="91" t="b">
        <v>0</v>
      </c>
    </row>
    <row r="1271" spans="1:12" ht="15">
      <c r="A1271" s="92" t="s">
        <v>2629</v>
      </c>
      <c r="B1271" s="91" t="s">
        <v>2701</v>
      </c>
      <c r="C1271" s="91">
        <v>7</v>
      </c>
      <c r="D1271" s="114">
        <v>0.0018544469764462418</v>
      </c>
      <c r="E1271" s="114">
        <v>2.3494886883034973</v>
      </c>
      <c r="F1271" s="91" t="s">
        <v>2518</v>
      </c>
      <c r="G1271" s="91" t="b">
        <v>0</v>
      </c>
      <c r="H1271" s="91" t="b">
        <v>0</v>
      </c>
      <c r="I1271" s="91" t="b">
        <v>0</v>
      </c>
      <c r="J1271" s="91" t="b">
        <v>0</v>
      </c>
      <c r="K1271" s="91" t="b">
        <v>0</v>
      </c>
      <c r="L1271" s="91" t="b">
        <v>0</v>
      </c>
    </row>
    <row r="1272" spans="1:12" ht="15">
      <c r="A1272" s="92" t="s">
        <v>2701</v>
      </c>
      <c r="B1272" s="91" t="s">
        <v>2702</v>
      </c>
      <c r="C1272" s="91">
        <v>7</v>
      </c>
      <c r="D1272" s="114">
        <v>0.0018544469764462418</v>
      </c>
      <c r="E1272" s="114">
        <v>2.866118484306833</v>
      </c>
      <c r="F1272" s="91" t="s">
        <v>2518</v>
      </c>
      <c r="G1272" s="91" t="b">
        <v>0</v>
      </c>
      <c r="H1272" s="91" t="b">
        <v>0</v>
      </c>
      <c r="I1272" s="91" t="b">
        <v>0</v>
      </c>
      <c r="J1272" s="91" t="b">
        <v>0</v>
      </c>
      <c r="K1272" s="91" t="b">
        <v>0</v>
      </c>
      <c r="L1272" s="91" t="b">
        <v>0</v>
      </c>
    </row>
    <row r="1273" spans="1:12" ht="15">
      <c r="A1273" s="92" t="s">
        <v>2702</v>
      </c>
      <c r="B1273" s="91" t="s">
        <v>2652</v>
      </c>
      <c r="C1273" s="91">
        <v>7</v>
      </c>
      <c r="D1273" s="114">
        <v>0.0018544469764462418</v>
      </c>
      <c r="E1273" s="114">
        <v>2.866118484306833</v>
      </c>
      <c r="F1273" s="91" t="s">
        <v>2518</v>
      </c>
      <c r="G1273" s="91" t="b">
        <v>0</v>
      </c>
      <c r="H1273" s="91" t="b">
        <v>0</v>
      </c>
      <c r="I1273" s="91" t="b">
        <v>0</v>
      </c>
      <c r="J1273" s="91" t="b">
        <v>0</v>
      </c>
      <c r="K1273" s="91" t="b">
        <v>0</v>
      </c>
      <c r="L1273" s="91" t="b">
        <v>0</v>
      </c>
    </row>
    <row r="1274" spans="1:12" ht="15">
      <c r="A1274" s="92" t="s">
        <v>2652</v>
      </c>
      <c r="B1274" s="91" t="s">
        <v>2703</v>
      </c>
      <c r="C1274" s="91">
        <v>7</v>
      </c>
      <c r="D1274" s="114">
        <v>0.0018544469764462418</v>
      </c>
      <c r="E1274" s="114">
        <v>2.866118484306833</v>
      </c>
      <c r="F1274" s="91" t="s">
        <v>2518</v>
      </c>
      <c r="G1274" s="91" t="b">
        <v>0</v>
      </c>
      <c r="H1274" s="91" t="b">
        <v>0</v>
      </c>
      <c r="I1274" s="91" t="b">
        <v>0</v>
      </c>
      <c r="J1274" s="91" t="b">
        <v>0</v>
      </c>
      <c r="K1274" s="91" t="b">
        <v>0</v>
      </c>
      <c r="L1274" s="91" t="b">
        <v>0</v>
      </c>
    </row>
    <row r="1275" spans="1:12" ht="15">
      <c r="A1275" s="92" t="s">
        <v>2703</v>
      </c>
      <c r="B1275" s="91" t="s">
        <v>2704</v>
      </c>
      <c r="C1275" s="91">
        <v>7</v>
      </c>
      <c r="D1275" s="114">
        <v>0.0018544469764462418</v>
      </c>
      <c r="E1275" s="114">
        <v>2.866118484306833</v>
      </c>
      <c r="F1275" s="91" t="s">
        <v>2518</v>
      </c>
      <c r="G1275" s="91" t="b">
        <v>0</v>
      </c>
      <c r="H1275" s="91" t="b">
        <v>0</v>
      </c>
      <c r="I1275" s="91" t="b">
        <v>0</v>
      </c>
      <c r="J1275" s="91" t="b">
        <v>0</v>
      </c>
      <c r="K1275" s="91" t="b">
        <v>0</v>
      </c>
      <c r="L1275" s="91" t="b">
        <v>0</v>
      </c>
    </row>
    <row r="1276" spans="1:12" ht="15">
      <c r="A1276" s="92" t="s">
        <v>2704</v>
      </c>
      <c r="B1276" s="91" t="s">
        <v>2577</v>
      </c>
      <c r="C1276" s="91">
        <v>7</v>
      </c>
      <c r="D1276" s="114">
        <v>0.0018544469764462418</v>
      </c>
      <c r="E1276" s="114">
        <v>1.940364512678946</v>
      </c>
      <c r="F1276" s="91" t="s">
        <v>2518</v>
      </c>
      <c r="G1276" s="91" t="b">
        <v>0</v>
      </c>
      <c r="H1276" s="91" t="b">
        <v>0</v>
      </c>
      <c r="I1276" s="91" t="b">
        <v>0</v>
      </c>
      <c r="J1276" s="91" t="b">
        <v>0</v>
      </c>
      <c r="K1276" s="91" t="b">
        <v>0</v>
      </c>
      <c r="L1276" s="91" t="b">
        <v>0</v>
      </c>
    </row>
    <row r="1277" spans="1:12" ht="15">
      <c r="A1277" s="92" t="s">
        <v>2577</v>
      </c>
      <c r="B1277" s="91" t="s">
        <v>2630</v>
      </c>
      <c r="C1277" s="91">
        <v>7</v>
      </c>
      <c r="D1277" s="114">
        <v>0.0018544469764462418</v>
      </c>
      <c r="E1277" s="114">
        <v>1.6093712936375215</v>
      </c>
      <c r="F1277" s="91" t="s">
        <v>2518</v>
      </c>
      <c r="G1277" s="91" t="b">
        <v>0</v>
      </c>
      <c r="H1277" s="91" t="b">
        <v>0</v>
      </c>
      <c r="I1277" s="91" t="b">
        <v>0</v>
      </c>
      <c r="J1277" s="91" t="b">
        <v>0</v>
      </c>
      <c r="K1277" s="91" t="b">
        <v>0</v>
      </c>
      <c r="L1277" s="91" t="b">
        <v>0</v>
      </c>
    </row>
    <row r="1278" spans="1:12" ht="15">
      <c r="A1278" s="92" t="s">
        <v>2630</v>
      </c>
      <c r="B1278" s="91" t="s">
        <v>2695</v>
      </c>
      <c r="C1278" s="91">
        <v>7</v>
      </c>
      <c r="D1278" s="114">
        <v>0.0018544469764462418</v>
      </c>
      <c r="E1278" s="114">
        <v>2.535125265265409</v>
      </c>
      <c r="F1278" s="91" t="s">
        <v>2518</v>
      </c>
      <c r="G1278" s="91" t="b">
        <v>0</v>
      </c>
      <c r="H1278" s="91" t="b">
        <v>0</v>
      </c>
      <c r="I1278" s="91" t="b">
        <v>0</v>
      </c>
      <c r="J1278" s="91" t="b">
        <v>0</v>
      </c>
      <c r="K1278" s="91" t="b">
        <v>0</v>
      </c>
      <c r="L1278" s="91" t="b">
        <v>0</v>
      </c>
    </row>
    <row r="1279" spans="1:12" ht="15">
      <c r="A1279" s="92" t="s">
        <v>2695</v>
      </c>
      <c r="B1279" s="91" t="s">
        <v>2705</v>
      </c>
      <c r="C1279" s="91">
        <v>7</v>
      </c>
      <c r="D1279" s="114">
        <v>0.0018544469764462418</v>
      </c>
      <c r="E1279" s="114">
        <v>2.866118484306833</v>
      </c>
      <c r="F1279" s="91" t="s">
        <v>2518</v>
      </c>
      <c r="G1279" s="91" t="b">
        <v>0</v>
      </c>
      <c r="H1279" s="91" t="b">
        <v>0</v>
      </c>
      <c r="I1279" s="91" t="b">
        <v>0</v>
      </c>
      <c r="J1279" s="91" t="b">
        <v>0</v>
      </c>
      <c r="K1279" s="91" t="b">
        <v>0</v>
      </c>
      <c r="L1279" s="91" t="b">
        <v>0</v>
      </c>
    </row>
    <row r="1280" spans="1:12" ht="15">
      <c r="A1280" s="92" t="s">
        <v>2705</v>
      </c>
      <c r="B1280" s="91" t="s">
        <v>2671</v>
      </c>
      <c r="C1280" s="91">
        <v>7</v>
      </c>
      <c r="D1280" s="114">
        <v>0.0018544469764462418</v>
      </c>
      <c r="E1280" s="114">
        <v>2.866118484306833</v>
      </c>
      <c r="F1280" s="91" t="s">
        <v>2518</v>
      </c>
      <c r="G1280" s="91" t="b">
        <v>0</v>
      </c>
      <c r="H1280" s="91" t="b">
        <v>0</v>
      </c>
      <c r="I1280" s="91" t="b">
        <v>0</v>
      </c>
      <c r="J1280" s="91" t="b">
        <v>0</v>
      </c>
      <c r="K1280" s="91" t="b">
        <v>0</v>
      </c>
      <c r="L1280" s="91" t="b">
        <v>0</v>
      </c>
    </row>
    <row r="1281" spans="1:12" ht="15">
      <c r="A1281" s="92" t="s">
        <v>2671</v>
      </c>
      <c r="B1281" s="91" t="s">
        <v>2634</v>
      </c>
      <c r="C1281" s="91">
        <v>7</v>
      </c>
      <c r="D1281" s="114">
        <v>0.0018544469764462418</v>
      </c>
      <c r="E1281" s="114">
        <v>2.264058492978871</v>
      </c>
      <c r="F1281" s="91" t="s">
        <v>2518</v>
      </c>
      <c r="G1281" s="91" t="b">
        <v>0</v>
      </c>
      <c r="H1281" s="91" t="b">
        <v>0</v>
      </c>
      <c r="I1281" s="91" t="b">
        <v>0</v>
      </c>
      <c r="J1281" s="91" t="b">
        <v>0</v>
      </c>
      <c r="K1281" s="91" t="b">
        <v>0</v>
      </c>
      <c r="L1281" s="91" t="b">
        <v>0</v>
      </c>
    </row>
    <row r="1282" spans="1:12" ht="15">
      <c r="A1282" s="92" t="s">
        <v>2634</v>
      </c>
      <c r="B1282" s="91" t="s">
        <v>2706</v>
      </c>
      <c r="C1282" s="91">
        <v>7</v>
      </c>
      <c r="D1282" s="114">
        <v>0.0018544469764462418</v>
      </c>
      <c r="E1282" s="114">
        <v>2.264058492978871</v>
      </c>
      <c r="F1282" s="91" t="s">
        <v>2518</v>
      </c>
      <c r="G1282" s="91" t="b">
        <v>0</v>
      </c>
      <c r="H1282" s="91" t="b">
        <v>0</v>
      </c>
      <c r="I1282" s="91" t="b">
        <v>0</v>
      </c>
      <c r="J1282" s="91" t="b">
        <v>0</v>
      </c>
      <c r="K1282" s="91" t="b">
        <v>0</v>
      </c>
      <c r="L1282" s="91" t="b">
        <v>0</v>
      </c>
    </row>
    <row r="1283" spans="1:12" ht="15">
      <c r="A1283" s="92" t="s">
        <v>2706</v>
      </c>
      <c r="B1283" s="91" t="s">
        <v>2580</v>
      </c>
      <c r="C1283" s="91">
        <v>7</v>
      </c>
      <c r="D1283" s="114">
        <v>0.0018544469764462418</v>
      </c>
      <c r="E1283" s="114">
        <v>2.0580040105457464</v>
      </c>
      <c r="F1283" s="91" t="s">
        <v>2518</v>
      </c>
      <c r="G1283" s="91" t="b">
        <v>0</v>
      </c>
      <c r="H1283" s="91" t="b">
        <v>0</v>
      </c>
      <c r="I1283" s="91" t="b">
        <v>0</v>
      </c>
      <c r="J1283" s="91" t="b">
        <v>0</v>
      </c>
      <c r="K1283" s="91" t="b">
        <v>0</v>
      </c>
      <c r="L1283" s="91" t="b">
        <v>0</v>
      </c>
    </row>
    <row r="1284" spans="1:12" ht="15">
      <c r="A1284" s="92" t="s">
        <v>2580</v>
      </c>
      <c r="B1284" s="91" t="s">
        <v>2707</v>
      </c>
      <c r="C1284" s="91">
        <v>7</v>
      </c>
      <c r="D1284" s="114">
        <v>0.0018544469764462418</v>
      </c>
      <c r="E1284" s="114">
        <v>2.0580040105457464</v>
      </c>
      <c r="F1284" s="91" t="s">
        <v>2518</v>
      </c>
      <c r="G1284" s="91" t="b">
        <v>0</v>
      </c>
      <c r="H1284" s="91" t="b">
        <v>0</v>
      </c>
      <c r="I1284" s="91" t="b">
        <v>0</v>
      </c>
      <c r="J1284" s="91" t="b">
        <v>0</v>
      </c>
      <c r="K1284" s="91" t="b">
        <v>0</v>
      </c>
      <c r="L1284" s="91" t="b">
        <v>0</v>
      </c>
    </row>
    <row r="1285" spans="1:12" ht="15">
      <c r="A1285" s="92" t="s">
        <v>2707</v>
      </c>
      <c r="B1285" s="91" t="s">
        <v>2568</v>
      </c>
      <c r="C1285" s="91">
        <v>7</v>
      </c>
      <c r="D1285" s="114">
        <v>0.0018544469764462418</v>
      </c>
      <c r="E1285" s="114">
        <v>1.6818327466358804</v>
      </c>
      <c r="F1285" s="91" t="s">
        <v>2518</v>
      </c>
      <c r="G1285" s="91" t="b">
        <v>0</v>
      </c>
      <c r="H1285" s="91" t="b">
        <v>0</v>
      </c>
      <c r="I1285" s="91" t="b">
        <v>0</v>
      </c>
      <c r="J1285" s="91" t="b">
        <v>0</v>
      </c>
      <c r="K1285" s="91" t="b">
        <v>0</v>
      </c>
      <c r="L1285" s="91" t="b">
        <v>0</v>
      </c>
    </row>
    <row r="1286" spans="1:12" ht="15">
      <c r="A1286" s="92" t="s">
        <v>2568</v>
      </c>
      <c r="B1286" s="91" t="s">
        <v>2662</v>
      </c>
      <c r="C1286" s="91">
        <v>7</v>
      </c>
      <c r="D1286" s="114">
        <v>0.0018544469764462418</v>
      </c>
      <c r="E1286" s="114">
        <v>1.6818327466358804</v>
      </c>
      <c r="F1286" s="91" t="s">
        <v>2518</v>
      </c>
      <c r="G1286" s="91" t="b">
        <v>0</v>
      </c>
      <c r="H1286" s="91" t="b">
        <v>0</v>
      </c>
      <c r="I1286" s="91" t="b">
        <v>0</v>
      </c>
      <c r="J1286" s="91" t="b">
        <v>0</v>
      </c>
      <c r="K1286" s="91" t="b">
        <v>0</v>
      </c>
      <c r="L1286" s="91" t="b">
        <v>0</v>
      </c>
    </row>
    <row r="1287" spans="1:12" ht="15">
      <c r="A1287" s="92" t="s">
        <v>2662</v>
      </c>
      <c r="B1287" s="91" t="s">
        <v>2577</v>
      </c>
      <c r="C1287" s="91">
        <v>7</v>
      </c>
      <c r="D1287" s="114">
        <v>0.0018544469764462418</v>
      </c>
      <c r="E1287" s="114">
        <v>1.940364512678946</v>
      </c>
      <c r="F1287" s="91" t="s">
        <v>2518</v>
      </c>
      <c r="G1287" s="91" t="b">
        <v>0</v>
      </c>
      <c r="H1287" s="91" t="b">
        <v>0</v>
      </c>
      <c r="I1287" s="91" t="b">
        <v>0</v>
      </c>
      <c r="J1287" s="91" t="b">
        <v>0</v>
      </c>
      <c r="K1287" s="91" t="b">
        <v>0</v>
      </c>
      <c r="L1287" s="91" t="b">
        <v>0</v>
      </c>
    </row>
    <row r="1288" spans="1:12" ht="15">
      <c r="A1288" s="92" t="s">
        <v>2577</v>
      </c>
      <c r="B1288" s="91" t="s">
        <v>2708</v>
      </c>
      <c r="C1288" s="91">
        <v>7</v>
      </c>
      <c r="D1288" s="114">
        <v>0.0018544469764462418</v>
      </c>
      <c r="E1288" s="114">
        <v>1.940364512678946</v>
      </c>
      <c r="F1288" s="91" t="s">
        <v>2518</v>
      </c>
      <c r="G1288" s="91" t="b">
        <v>0</v>
      </c>
      <c r="H1288" s="91" t="b">
        <v>0</v>
      </c>
      <c r="I1288" s="91" t="b">
        <v>0</v>
      </c>
      <c r="J1288" s="91" t="b">
        <v>0</v>
      </c>
      <c r="K1288" s="91" t="b">
        <v>0</v>
      </c>
      <c r="L1288" s="91" t="b">
        <v>0</v>
      </c>
    </row>
    <row r="1289" spans="1:12" ht="15">
      <c r="A1289" s="92" t="s">
        <v>2708</v>
      </c>
      <c r="B1289" s="91" t="s">
        <v>2568</v>
      </c>
      <c r="C1289" s="91">
        <v>7</v>
      </c>
      <c r="D1289" s="114">
        <v>0.0018544469764462418</v>
      </c>
      <c r="E1289" s="114">
        <v>1.6818327466358804</v>
      </c>
      <c r="F1289" s="91" t="s">
        <v>2518</v>
      </c>
      <c r="G1289" s="91" t="b">
        <v>0</v>
      </c>
      <c r="H1289" s="91" t="b">
        <v>0</v>
      </c>
      <c r="I1289" s="91" t="b">
        <v>0</v>
      </c>
      <c r="J1289" s="91" t="b">
        <v>0</v>
      </c>
      <c r="K1289" s="91" t="b">
        <v>0</v>
      </c>
      <c r="L1289" s="91" t="b">
        <v>0</v>
      </c>
    </row>
    <row r="1290" spans="1:12" ht="15">
      <c r="A1290" s="92" t="s">
        <v>2568</v>
      </c>
      <c r="B1290" s="91" t="s">
        <v>2709</v>
      </c>
      <c r="C1290" s="91">
        <v>7</v>
      </c>
      <c r="D1290" s="114">
        <v>0.0018544469764462418</v>
      </c>
      <c r="E1290" s="114">
        <v>1.6818327466358804</v>
      </c>
      <c r="F1290" s="91" t="s">
        <v>2518</v>
      </c>
      <c r="G1290" s="91" t="b">
        <v>0</v>
      </c>
      <c r="H1290" s="91" t="b">
        <v>0</v>
      </c>
      <c r="I1290" s="91" t="b">
        <v>0</v>
      </c>
      <c r="J1290" s="91" t="b">
        <v>0</v>
      </c>
      <c r="K1290" s="91" t="b">
        <v>0</v>
      </c>
      <c r="L1290" s="91" t="b">
        <v>0</v>
      </c>
    </row>
    <row r="1291" spans="1:12" ht="15">
      <c r="A1291" s="92" t="s">
        <v>2709</v>
      </c>
      <c r="B1291" s="91" t="s">
        <v>2680</v>
      </c>
      <c r="C1291" s="91">
        <v>7</v>
      </c>
      <c r="D1291" s="114">
        <v>0.0018544469764462418</v>
      </c>
      <c r="E1291" s="114">
        <v>2.866118484306833</v>
      </c>
      <c r="F1291" s="91" t="s">
        <v>2518</v>
      </c>
      <c r="G1291" s="91" t="b">
        <v>0</v>
      </c>
      <c r="H1291" s="91" t="b">
        <v>0</v>
      </c>
      <c r="I1291" s="91" t="b">
        <v>0</v>
      </c>
      <c r="J1291" s="91" t="b">
        <v>0</v>
      </c>
      <c r="K1291" s="91" t="b">
        <v>0</v>
      </c>
      <c r="L1291" s="91" t="b">
        <v>0</v>
      </c>
    </row>
    <row r="1292" spans="1:12" ht="15">
      <c r="A1292" s="92" t="s">
        <v>2680</v>
      </c>
      <c r="B1292" s="91" t="s">
        <v>2578</v>
      </c>
      <c r="C1292" s="91">
        <v>7</v>
      </c>
      <c r="D1292" s="114">
        <v>0.0018544469764462418</v>
      </c>
      <c r="E1292" s="114">
        <v>2.0299752869455028</v>
      </c>
      <c r="F1292" s="91" t="s">
        <v>2518</v>
      </c>
      <c r="G1292" s="91" t="b">
        <v>0</v>
      </c>
      <c r="H1292" s="91" t="b">
        <v>0</v>
      </c>
      <c r="I1292" s="91" t="b">
        <v>0</v>
      </c>
      <c r="J1292" s="91" t="b">
        <v>0</v>
      </c>
      <c r="K1292" s="91" t="b">
        <v>0</v>
      </c>
      <c r="L1292" s="91" t="b">
        <v>0</v>
      </c>
    </row>
    <row r="1293" spans="1:12" ht="15">
      <c r="A1293" s="92" t="s">
        <v>2578</v>
      </c>
      <c r="B1293" s="91" t="s">
        <v>2710</v>
      </c>
      <c r="C1293" s="91">
        <v>7</v>
      </c>
      <c r="D1293" s="114">
        <v>0.0018544469764462418</v>
      </c>
      <c r="E1293" s="114">
        <v>2.0036463482231537</v>
      </c>
      <c r="F1293" s="91" t="s">
        <v>2518</v>
      </c>
      <c r="G1293" s="91" t="b">
        <v>0</v>
      </c>
      <c r="H1293" s="91" t="b">
        <v>0</v>
      </c>
      <c r="I1293" s="91" t="b">
        <v>0</v>
      </c>
      <c r="J1293" s="91" t="b">
        <v>0</v>
      </c>
      <c r="K1293" s="91" t="b">
        <v>0</v>
      </c>
      <c r="L1293" s="91" t="b">
        <v>0</v>
      </c>
    </row>
    <row r="1294" spans="1:12" ht="15">
      <c r="A1294" s="92" t="s">
        <v>2710</v>
      </c>
      <c r="B1294" s="91" t="s">
        <v>2570</v>
      </c>
      <c r="C1294" s="91">
        <v>7</v>
      </c>
      <c r="D1294" s="114">
        <v>0.0018544469764462418</v>
      </c>
      <c r="E1294" s="114">
        <v>1.5125594373666675</v>
      </c>
      <c r="F1294" s="91" t="s">
        <v>2518</v>
      </c>
      <c r="G1294" s="91" t="b">
        <v>0</v>
      </c>
      <c r="H1294" s="91" t="b">
        <v>0</v>
      </c>
      <c r="I1294" s="91" t="b">
        <v>0</v>
      </c>
      <c r="J1294" s="91" t="b">
        <v>0</v>
      </c>
      <c r="K1294" s="91" t="b">
        <v>0</v>
      </c>
      <c r="L1294" s="91" t="b">
        <v>0</v>
      </c>
    </row>
    <row r="1295" spans="1:12" ht="15">
      <c r="A1295" s="92" t="s">
        <v>2566</v>
      </c>
      <c r="B1295" s="91" t="s">
        <v>2711</v>
      </c>
      <c r="C1295" s="91">
        <v>7</v>
      </c>
      <c r="D1295" s="114">
        <v>0.0018544469764462418</v>
      </c>
      <c r="E1295" s="114">
        <v>1.5265250935034913</v>
      </c>
      <c r="F1295" s="91" t="s">
        <v>2518</v>
      </c>
      <c r="G1295" s="91" t="b">
        <v>0</v>
      </c>
      <c r="H1295" s="91" t="b">
        <v>0</v>
      </c>
      <c r="I1295" s="91" t="b">
        <v>0</v>
      </c>
      <c r="J1295" s="91" t="b">
        <v>0</v>
      </c>
      <c r="K1295" s="91" t="b">
        <v>0</v>
      </c>
      <c r="L1295" s="91" t="b">
        <v>0</v>
      </c>
    </row>
    <row r="1296" spans="1:12" ht="15">
      <c r="A1296" s="92" t="s">
        <v>2650</v>
      </c>
      <c r="B1296" s="91" t="s">
        <v>2852</v>
      </c>
      <c r="C1296" s="91">
        <v>7</v>
      </c>
      <c r="D1296" s="114">
        <v>0.0018544469764462418</v>
      </c>
      <c r="E1296" s="114">
        <v>2.866118484306833</v>
      </c>
      <c r="F1296" s="91" t="s">
        <v>2518</v>
      </c>
      <c r="G1296" s="91" t="b">
        <v>0</v>
      </c>
      <c r="H1296" s="91" t="b">
        <v>0</v>
      </c>
      <c r="I1296" s="91" t="b">
        <v>0</v>
      </c>
      <c r="J1296" s="91" t="b">
        <v>0</v>
      </c>
      <c r="K1296" s="91" t="b">
        <v>0</v>
      </c>
      <c r="L1296" s="91" t="b">
        <v>0</v>
      </c>
    </row>
    <row r="1297" spans="1:12" ht="15">
      <c r="A1297" s="92" t="s">
        <v>2852</v>
      </c>
      <c r="B1297" s="91" t="s">
        <v>2634</v>
      </c>
      <c r="C1297" s="91">
        <v>7</v>
      </c>
      <c r="D1297" s="114">
        <v>0.0018544469764462418</v>
      </c>
      <c r="E1297" s="114">
        <v>2.264058492978871</v>
      </c>
      <c r="F1297" s="91" t="s">
        <v>2518</v>
      </c>
      <c r="G1297" s="91" t="b">
        <v>0</v>
      </c>
      <c r="H1297" s="91" t="b">
        <v>0</v>
      </c>
      <c r="I1297" s="91" t="b">
        <v>0</v>
      </c>
      <c r="J1297" s="91" t="b">
        <v>0</v>
      </c>
      <c r="K1297" s="91" t="b">
        <v>0</v>
      </c>
      <c r="L1297" s="91" t="b">
        <v>0</v>
      </c>
    </row>
    <row r="1298" spans="1:12" ht="15">
      <c r="A1298" s="92" t="s">
        <v>2634</v>
      </c>
      <c r="B1298" s="91" t="s">
        <v>2853</v>
      </c>
      <c r="C1298" s="91">
        <v>7</v>
      </c>
      <c r="D1298" s="114">
        <v>0.0018544469764462418</v>
      </c>
      <c r="E1298" s="114">
        <v>2.264058492978871</v>
      </c>
      <c r="F1298" s="91" t="s">
        <v>2518</v>
      </c>
      <c r="G1298" s="91" t="b">
        <v>0</v>
      </c>
      <c r="H1298" s="91" t="b">
        <v>0</v>
      </c>
      <c r="I1298" s="91" t="b">
        <v>0</v>
      </c>
      <c r="J1298" s="91" t="b">
        <v>0</v>
      </c>
      <c r="K1298" s="91" t="b">
        <v>0</v>
      </c>
      <c r="L1298" s="91" t="b">
        <v>0</v>
      </c>
    </row>
    <row r="1299" spans="1:12" ht="15">
      <c r="A1299" s="92" t="s">
        <v>2853</v>
      </c>
      <c r="B1299" s="91" t="s">
        <v>2590</v>
      </c>
      <c r="C1299" s="91">
        <v>7</v>
      </c>
      <c r="D1299" s="114">
        <v>0.0018544469764462418</v>
      </c>
      <c r="E1299" s="114">
        <v>2.3494886883034973</v>
      </c>
      <c r="F1299" s="91" t="s">
        <v>2518</v>
      </c>
      <c r="G1299" s="91" t="b">
        <v>0</v>
      </c>
      <c r="H1299" s="91" t="b">
        <v>0</v>
      </c>
      <c r="I1299" s="91" t="b">
        <v>0</v>
      </c>
      <c r="J1299" s="91" t="b">
        <v>0</v>
      </c>
      <c r="K1299" s="91" t="b">
        <v>0</v>
      </c>
      <c r="L1299" s="91" t="b">
        <v>0</v>
      </c>
    </row>
    <row r="1300" spans="1:12" ht="15">
      <c r="A1300" s="92" t="s">
        <v>2590</v>
      </c>
      <c r="B1300" s="91" t="s">
        <v>2742</v>
      </c>
      <c r="C1300" s="91">
        <v>7</v>
      </c>
      <c r="D1300" s="114">
        <v>0.0018544469764462418</v>
      </c>
      <c r="E1300" s="114">
        <v>2.3494886883034973</v>
      </c>
      <c r="F1300" s="91" t="s">
        <v>2518</v>
      </c>
      <c r="G1300" s="91" t="b">
        <v>0</v>
      </c>
      <c r="H1300" s="91" t="b">
        <v>0</v>
      </c>
      <c r="I1300" s="91" t="b">
        <v>0</v>
      </c>
      <c r="J1300" s="91" t="b">
        <v>0</v>
      </c>
      <c r="K1300" s="91" t="b">
        <v>0</v>
      </c>
      <c r="L1300" s="91" t="b">
        <v>0</v>
      </c>
    </row>
    <row r="1301" spans="1:12" ht="15">
      <c r="A1301" s="92" t="s">
        <v>2742</v>
      </c>
      <c r="B1301" s="91" t="s">
        <v>2854</v>
      </c>
      <c r="C1301" s="91">
        <v>7</v>
      </c>
      <c r="D1301" s="114">
        <v>0.0018544469764462418</v>
      </c>
      <c r="E1301" s="114">
        <v>2.866118484306833</v>
      </c>
      <c r="F1301" s="91" t="s">
        <v>2518</v>
      </c>
      <c r="G1301" s="91" t="b">
        <v>0</v>
      </c>
      <c r="H1301" s="91" t="b">
        <v>0</v>
      </c>
      <c r="I1301" s="91" t="b">
        <v>0</v>
      </c>
      <c r="J1301" s="91" t="b">
        <v>0</v>
      </c>
      <c r="K1301" s="91" t="b">
        <v>0</v>
      </c>
      <c r="L1301" s="91" t="b">
        <v>0</v>
      </c>
    </row>
    <row r="1302" spans="1:12" ht="15">
      <c r="A1302" s="92" t="s">
        <v>2854</v>
      </c>
      <c r="B1302" s="91" t="s">
        <v>2590</v>
      </c>
      <c r="C1302" s="91">
        <v>7</v>
      </c>
      <c r="D1302" s="114">
        <v>0.0018544469764462418</v>
      </c>
      <c r="E1302" s="114">
        <v>2.3494886883034973</v>
      </c>
      <c r="F1302" s="91" t="s">
        <v>2518</v>
      </c>
      <c r="G1302" s="91" t="b">
        <v>0</v>
      </c>
      <c r="H1302" s="91" t="b">
        <v>0</v>
      </c>
      <c r="I1302" s="91" t="b">
        <v>0</v>
      </c>
      <c r="J1302" s="91" t="b">
        <v>0</v>
      </c>
      <c r="K1302" s="91" t="b">
        <v>0</v>
      </c>
      <c r="L1302" s="91" t="b">
        <v>0</v>
      </c>
    </row>
    <row r="1303" spans="1:12" ht="15">
      <c r="A1303" s="92" t="s">
        <v>2590</v>
      </c>
      <c r="B1303" s="91" t="s">
        <v>409</v>
      </c>
      <c r="C1303" s="91">
        <v>7</v>
      </c>
      <c r="D1303" s="114">
        <v>0.0018544469764462418</v>
      </c>
      <c r="E1303" s="114">
        <v>2.3494886883034973</v>
      </c>
      <c r="F1303" s="91" t="s">
        <v>2518</v>
      </c>
      <c r="G1303" s="91" t="b">
        <v>0</v>
      </c>
      <c r="H1303" s="91" t="b">
        <v>0</v>
      </c>
      <c r="I1303" s="91" t="b">
        <v>0</v>
      </c>
      <c r="J1303" s="91" t="b">
        <v>0</v>
      </c>
      <c r="K1303" s="91" t="b">
        <v>0</v>
      </c>
      <c r="L1303" s="91" t="b">
        <v>0</v>
      </c>
    </row>
    <row r="1304" spans="1:12" ht="15">
      <c r="A1304" s="92" t="s">
        <v>409</v>
      </c>
      <c r="B1304" s="91" t="s">
        <v>2735</v>
      </c>
      <c r="C1304" s="91">
        <v>7</v>
      </c>
      <c r="D1304" s="114">
        <v>0.0018544469764462418</v>
      </c>
      <c r="E1304" s="114">
        <v>2.565088488642852</v>
      </c>
      <c r="F1304" s="91" t="s">
        <v>2518</v>
      </c>
      <c r="G1304" s="91" t="b">
        <v>0</v>
      </c>
      <c r="H1304" s="91" t="b">
        <v>0</v>
      </c>
      <c r="I1304" s="91" t="b">
        <v>0</v>
      </c>
      <c r="J1304" s="91" t="b">
        <v>0</v>
      </c>
      <c r="K1304" s="91" t="b">
        <v>0</v>
      </c>
      <c r="L1304" s="91" t="b">
        <v>0</v>
      </c>
    </row>
    <row r="1305" spans="1:12" ht="15">
      <c r="A1305" s="92" t="s">
        <v>2735</v>
      </c>
      <c r="B1305" s="91" t="s">
        <v>2634</v>
      </c>
      <c r="C1305" s="91">
        <v>7</v>
      </c>
      <c r="D1305" s="114">
        <v>0.0018544469764462418</v>
      </c>
      <c r="E1305" s="114">
        <v>1.9630284973148897</v>
      </c>
      <c r="F1305" s="91" t="s">
        <v>2518</v>
      </c>
      <c r="G1305" s="91" t="b">
        <v>0</v>
      </c>
      <c r="H1305" s="91" t="b">
        <v>0</v>
      </c>
      <c r="I1305" s="91" t="b">
        <v>0</v>
      </c>
      <c r="J1305" s="91" t="b">
        <v>0</v>
      </c>
      <c r="K1305" s="91" t="b">
        <v>0</v>
      </c>
      <c r="L1305" s="91" t="b">
        <v>0</v>
      </c>
    </row>
    <row r="1306" spans="1:12" ht="15">
      <c r="A1306" s="92" t="s">
        <v>2634</v>
      </c>
      <c r="B1306" s="91" t="s">
        <v>2855</v>
      </c>
      <c r="C1306" s="91">
        <v>7</v>
      </c>
      <c r="D1306" s="114">
        <v>0.0018544469764462418</v>
      </c>
      <c r="E1306" s="114">
        <v>2.264058492978871</v>
      </c>
      <c r="F1306" s="91" t="s">
        <v>2518</v>
      </c>
      <c r="G1306" s="91" t="b">
        <v>0</v>
      </c>
      <c r="H1306" s="91" t="b">
        <v>0</v>
      </c>
      <c r="I1306" s="91" t="b">
        <v>0</v>
      </c>
      <c r="J1306" s="91" t="b">
        <v>0</v>
      </c>
      <c r="K1306" s="91" t="b">
        <v>0</v>
      </c>
      <c r="L1306" s="91" t="b">
        <v>0</v>
      </c>
    </row>
    <row r="1307" spans="1:12" ht="15">
      <c r="A1307" s="92" t="s">
        <v>2855</v>
      </c>
      <c r="B1307" s="91" t="s">
        <v>2578</v>
      </c>
      <c r="C1307" s="91">
        <v>7</v>
      </c>
      <c r="D1307" s="114">
        <v>0.0018544469764462418</v>
      </c>
      <c r="E1307" s="114">
        <v>2.0299752869455028</v>
      </c>
      <c r="F1307" s="91" t="s">
        <v>2518</v>
      </c>
      <c r="G1307" s="91" t="b">
        <v>0</v>
      </c>
      <c r="H1307" s="91" t="b">
        <v>0</v>
      </c>
      <c r="I1307" s="91" t="b">
        <v>0</v>
      </c>
      <c r="J1307" s="91" t="b">
        <v>0</v>
      </c>
      <c r="K1307" s="91" t="b">
        <v>0</v>
      </c>
      <c r="L1307" s="91" t="b">
        <v>0</v>
      </c>
    </row>
    <row r="1308" spans="1:12" ht="15">
      <c r="A1308" s="92" t="s">
        <v>2578</v>
      </c>
      <c r="B1308" s="91" t="s">
        <v>2657</v>
      </c>
      <c r="C1308" s="91">
        <v>7</v>
      </c>
      <c r="D1308" s="114">
        <v>0.0018544469764462418</v>
      </c>
      <c r="E1308" s="114">
        <v>1.7026163525591724</v>
      </c>
      <c r="F1308" s="91" t="s">
        <v>2518</v>
      </c>
      <c r="G1308" s="91" t="b">
        <v>0</v>
      </c>
      <c r="H1308" s="91" t="b">
        <v>0</v>
      </c>
      <c r="I1308" s="91" t="b">
        <v>0</v>
      </c>
      <c r="J1308" s="91" t="b">
        <v>0</v>
      </c>
      <c r="K1308" s="91" t="b">
        <v>0</v>
      </c>
      <c r="L1308" s="91" t="b">
        <v>0</v>
      </c>
    </row>
    <row r="1309" spans="1:12" ht="15">
      <c r="A1309" s="92" t="s">
        <v>2657</v>
      </c>
      <c r="B1309" s="91" t="s">
        <v>2736</v>
      </c>
      <c r="C1309" s="91">
        <v>7</v>
      </c>
      <c r="D1309" s="114">
        <v>0.0018544469764462418</v>
      </c>
      <c r="E1309" s="114">
        <v>2.410186528657109</v>
      </c>
      <c r="F1309" s="91" t="s">
        <v>2518</v>
      </c>
      <c r="G1309" s="91" t="b">
        <v>0</v>
      </c>
      <c r="H1309" s="91" t="b">
        <v>0</v>
      </c>
      <c r="I1309" s="91" t="b">
        <v>0</v>
      </c>
      <c r="J1309" s="91" t="b">
        <v>0</v>
      </c>
      <c r="K1309" s="91" t="b">
        <v>0</v>
      </c>
      <c r="L1309" s="91" t="b">
        <v>0</v>
      </c>
    </row>
    <row r="1310" spans="1:12" ht="15">
      <c r="A1310" s="92" t="s">
        <v>2736</v>
      </c>
      <c r="B1310" s="91" t="s">
        <v>2569</v>
      </c>
      <c r="C1310" s="91">
        <v>7</v>
      </c>
      <c r="D1310" s="114">
        <v>0.0018544469764462418</v>
      </c>
      <c r="E1310" s="114">
        <v>1.8487443882374106</v>
      </c>
      <c r="F1310" s="91" t="s">
        <v>2518</v>
      </c>
      <c r="G1310" s="91" t="b">
        <v>0</v>
      </c>
      <c r="H1310" s="91" t="b">
        <v>0</v>
      </c>
      <c r="I1310" s="91" t="b">
        <v>0</v>
      </c>
      <c r="J1310" s="91" t="b">
        <v>0</v>
      </c>
      <c r="K1310" s="91" t="b">
        <v>0</v>
      </c>
      <c r="L1310" s="91" t="b">
        <v>0</v>
      </c>
    </row>
    <row r="1311" spans="1:12" ht="15">
      <c r="A1311" s="92" t="s">
        <v>2572</v>
      </c>
      <c r="B1311" s="91" t="s">
        <v>2735</v>
      </c>
      <c r="C1311" s="91">
        <v>7</v>
      </c>
      <c r="D1311" s="114">
        <v>0.0018544469764462418</v>
      </c>
      <c r="E1311" s="114">
        <v>1.7026163525591724</v>
      </c>
      <c r="F1311" s="91" t="s">
        <v>2518</v>
      </c>
      <c r="G1311" s="91" t="b">
        <v>0</v>
      </c>
      <c r="H1311" s="91" t="b">
        <v>0</v>
      </c>
      <c r="I1311" s="91" t="b">
        <v>0</v>
      </c>
      <c r="J1311" s="91" t="b">
        <v>0</v>
      </c>
      <c r="K1311" s="91" t="b">
        <v>0</v>
      </c>
      <c r="L1311" s="91" t="b">
        <v>0</v>
      </c>
    </row>
    <row r="1312" spans="1:12" ht="15">
      <c r="A1312" s="92" t="s">
        <v>2735</v>
      </c>
      <c r="B1312" s="91" t="s">
        <v>2856</v>
      </c>
      <c r="C1312" s="91">
        <v>7</v>
      </c>
      <c r="D1312" s="114">
        <v>0.0018544469764462418</v>
      </c>
      <c r="E1312" s="114">
        <v>2.565088488642852</v>
      </c>
      <c r="F1312" s="91" t="s">
        <v>2518</v>
      </c>
      <c r="G1312" s="91" t="b">
        <v>0</v>
      </c>
      <c r="H1312" s="91" t="b">
        <v>0</v>
      </c>
      <c r="I1312" s="91" t="b">
        <v>0</v>
      </c>
      <c r="J1312" s="91" t="b">
        <v>0</v>
      </c>
      <c r="K1312" s="91" t="b">
        <v>0</v>
      </c>
      <c r="L1312" s="91" t="b">
        <v>0</v>
      </c>
    </row>
    <row r="1313" spans="1:12" ht="15">
      <c r="A1313" s="92" t="s">
        <v>2856</v>
      </c>
      <c r="B1313" s="91" t="s">
        <v>2857</v>
      </c>
      <c r="C1313" s="91">
        <v>7</v>
      </c>
      <c r="D1313" s="114">
        <v>0.0018544469764462418</v>
      </c>
      <c r="E1313" s="114">
        <v>2.866118484306833</v>
      </c>
      <c r="F1313" s="91" t="s">
        <v>2518</v>
      </c>
      <c r="G1313" s="91" t="b">
        <v>0</v>
      </c>
      <c r="H1313" s="91" t="b">
        <v>0</v>
      </c>
      <c r="I1313" s="91" t="b">
        <v>0</v>
      </c>
      <c r="J1313" s="91" t="b">
        <v>0</v>
      </c>
      <c r="K1313" s="91" t="b">
        <v>0</v>
      </c>
      <c r="L1313" s="91" t="b">
        <v>0</v>
      </c>
    </row>
    <row r="1314" spans="1:12" ht="15">
      <c r="A1314" s="92" t="s">
        <v>2857</v>
      </c>
      <c r="B1314" s="91" t="s">
        <v>2730</v>
      </c>
      <c r="C1314" s="91">
        <v>7</v>
      </c>
      <c r="D1314" s="114">
        <v>0.0018544469764462418</v>
      </c>
      <c r="E1314" s="114">
        <v>2.866118484306833</v>
      </c>
      <c r="F1314" s="91" t="s">
        <v>2518</v>
      </c>
      <c r="G1314" s="91" t="b">
        <v>0</v>
      </c>
      <c r="H1314" s="91" t="b">
        <v>0</v>
      </c>
      <c r="I1314" s="91" t="b">
        <v>0</v>
      </c>
      <c r="J1314" s="91" t="b">
        <v>0</v>
      </c>
      <c r="K1314" s="91" t="b">
        <v>0</v>
      </c>
      <c r="L1314" s="91" t="b">
        <v>0</v>
      </c>
    </row>
    <row r="1315" spans="1:12" ht="15">
      <c r="A1315" s="92" t="s">
        <v>2730</v>
      </c>
      <c r="B1315" s="91" t="s">
        <v>2858</v>
      </c>
      <c r="C1315" s="91">
        <v>7</v>
      </c>
      <c r="D1315" s="114">
        <v>0.0018544469764462418</v>
      </c>
      <c r="E1315" s="114">
        <v>2.866118484306833</v>
      </c>
      <c r="F1315" s="91" t="s">
        <v>2518</v>
      </c>
      <c r="G1315" s="91" t="b">
        <v>0</v>
      </c>
      <c r="H1315" s="91" t="b">
        <v>0</v>
      </c>
      <c r="I1315" s="91" t="b">
        <v>0</v>
      </c>
      <c r="J1315" s="91" t="b">
        <v>0</v>
      </c>
      <c r="K1315" s="91" t="b">
        <v>0</v>
      </c>
      <c r="L1315" s="91" t="b">
        <v>0</v>
      </c>
    </row>
    <row r="1316" spans="1:12" ht="15">
      <c r="A1316" s="92" t="s">
        <v>2858</v>
      </c>
      <c r="B1316" s="91" t="s">
        <v>2634</v>
      </c>
      <c r="C1316" s="91">
        <v>7</v>
      </c>
      <c r="D1316" s="114">
        <v>0.0018544469764462418</v>
      </c>
      <c r="E1316" s="114">
        <v>2.264058492978871</v>
      </c>
      <c r="F1316" s="91" t="s">
        <v>2518</v>
      </c>
      <c r="G1316" s="91" t="b">
        <v>0</v>
      </c>
      <c r="H1316" s="91" t="b">
        <v>0</v>
      </c>
      <c r="I1316" s="91" t="b">
        <v>0</v>
      </c>
      <c r="J1316" s="91" t="b">
        <v>0</v>
      </c>
      <c r="K1316" s="91" t="b">
        <v>0</v>
      </c>
      <c r="L1316" s="91" t="b">
        <v>0</v>
      </c>
    </row>
    <row r="1317" spans="1:12" ht="15">
      <c r="A1317" s="92" t="s">
        <v>2634</v>
      </c>
      <c r="B1317" s="91" t="s">
        <v>2665</v>
      </c>
      <c r="C1317" s="91">
        <v>7</v>
      </c>
      <c r="D1317" s="114">
        <v>0.0018544469764462418</v>
      </c>
      <c r="E1317" s="114">
        <v>1.995213180686291</v>
      </c>
      <c r="F1317" s="91" t="s">
        <v>2518</v>
      </c>
      <c r="G1317" s="91" t="b">
        <v>0</v>
      </c>
      <c r="H1317" s="91" t="b">
        <v>0</v>
      </c>
      <c r="I1317" s="91" t="b">
        <v>0</v>
      </c>
      <c r="J1317" s="91" t="b">
        <v>0</v>
      </c>
      <c r="K1317" s="91" t="b">
        <v>0</v>
      </c>
      <c r="L1317" s="91" t="b">
        <v>0</v>
      </c>
    </row>
    <row r="1318" spans="1:12" ht="15">
      <c r="A1318" s="92" t="s">
        <v>2665</v>
      </c>
      <c r="B1318" s="91" t="s">
        <v>2568</v>
      </c>
      <c r="C1318" s="91">
        <v>7</v>
      </c>
      <c r="D1318" s="114">
        <v>0.0018544469764462418</v>
      </c>
      <c r="E1318" s="114">
        <v>1.4129874343433007</v>
      </c>
      <c r="F1318" s="91" t="s">
        <v>2518</v>
      </c>
      <c r="G1318" s="91" t="b">
        <v>0</v>
      </c>
      <c r="H1318" s="91" t="b">
        <v>0</v>
      </c>
      <c r="I1318" s="91" t="b">
        <v>0</v>
      </c>
      <c r="J1318" s="91" t="b">
        <v>0</v>
      </c>
      <c r="K1318" s="91" t="b">
        <v>0</v>
      </c>
      <c r="L1318" s="91" t="b">
        <v>0</v>
      </c>
    </row>
    <row r="1319" spans="1:12" ht="15">
      <c r="A1319" s="92" t="s">
        <v>2568</v>
      </c>
      <c r="B1319" s="91" t="s">
        <v>2772</v>
      </c>
      <c r="C1319" s="91">
        <v>7</v>
      </c>
      <c r="D1319" s="114">
        <v>0.0018544469764462418</v>
      </c>
      <c r="E1319" s="114">
        <v>1.6818327466358804</v>
      </c>
      <c r="F1319" s="91" t="s">
        <v>2518</v>
      </c>
      <c r="G1319" s="91" t="b">
        <v>0</v>
      </c>
      <c r="H1319" s="91" t="b">
        <v>0</v>
      </c>
      <c r="I1319" s="91" t="b">
        <v>0</v>
      </c>
      <c r="J1319" s="91" t="b">
        <v>0</v>
      </c>
      <c r="K1319" s="91" t="b">
        <v>0</v>
      </c>
      <c r="L1319" s="91" t="b">
        <v>0</v>
      </c>
    </row>
    <row r="1320" spans="1:12" ht="15">
      <c r="A1320" s="92" t="s">
        <v>2772</v>
      </c>
      <c r="B1320" s="91" t="s">
        <v>2797</v>
      </c>
      <c r="C1320" s="91">
        <v>7</v>
      </c>
      <c r="D1320" s="114">
        <v>0.0018544469764462418</v>
      </c>
      <c r="E1320" s="114">
        <v>2.866118484306833</v>
      </c>
      <c r="F1320" s="91" t="s">
        <v>2518</v>
      </c>
      <c r="G1320" s="91" t="b">
        <v>0</v>
      </c>
      <c r="H1320" s="91" t="b">
        <v>0</v>
      </c>
      <c r="I1320" s="91" t="b">
        <v>0</v>
      </c>
      <c r="J1320" s="91" t="b">
        <v>0</v>
      </c>
      <c r="K1320" s="91" t="b">
        <v>0</v>
      </c>
      <c r="L1320" s="91" t="b">
        <v>0</v>
      </c>
    </row>
    <row r="1321" spans="1:12" ht="15">
      <c r="A1321" s="92" t="s">
        <v>2797</v>
      </c>
      <c r="B1321" s="91" t="s">
        <v>2570</v>
      </c>
      <c r="C1321" s="91">
        <v>7</v>
      </c>
      <c r="D1321" s="114">
        <v>0.0018544469764462418</v>
      </c>
      <c r="E1321" s="114">
        <v>1.5125594373666675</v>
      </c>
      <c r="F1321" s="91" t="s">
        <v>2518</v>
      </c>
      <c r="G1321" s="91" t="b">
        <v>0</v>
      </c>
      <c r="H1321" s="91" t="b">
        <v>0</v>
      </c>
      <c r="I1321" s="91" t="b">
        <v>0</v>
      </c>
      <c r="J1321" s="91" t="b">
        <v>0</v>
      </c>
      <c r="K1321" s="91" t="b">
        <v>0</v>
      </c>
      <c r="L1321" s="91" t="b">
        <v>0</v>
      </c>
    </row>
    <row r="1322" spans="1:12" ht="15">
      <c r="A1322" s="92" t="s">
        <v>2564</v>
      </c>
      <c r="B1322" s="91" t="s">
        <v>2571</v>
      </c>
      <c r="C1322" s="91">
        <v>7</v>
      </c>
      <c r="D1322" s="114">
        <v>0.0018544469764462418</v>
      </c>
      <c r="E1322" s="114">
        <v>0.3665436079884732</v>
      </c>
      <c r="F1322" s="91" t="s">
        <v>2518</v>
      </c>
      <c r="G1322" s="91" t="b">
        <v>0</v>
      </c>
      <c r="H1322" s="91" t="b">
        <v>0</v>
      </c>
      <c r="I1322" s="91" t="b">
        <v>0</v>
      </c>
      <c r="J1322" s="91" t="b">
        <v>0</v>
      </c>
      <c r="K1322" s="91" t="b">
        <v>0</v>
      </c>
      <c r="L1322" s="91" t="b">
        <v>0</v>
      </c>
    </row>
    <row r="1323" spans="1:12" ht="15">
      <c r="A1323" s="92" t="s">
        <v>2571</v>
      </c>
      <c r="B1323" s="91" t="s">
        <v>2614</v>
      </c>
      <c r="C1323" s="91">
        <v>7</v>
      </c>
      <c r="D1323" s="114">
        <v>0.0018544469764462418</v>
      </c>
      <c r="E1323" s="114">
        <v>0.9892881981762865</v>
      </c>
      <c r="F1323" s="91" t="s">
        <v>2518</v>
      </c>
      <c r="G1323" s="91" t="b">
        <v>0</v>
      </c>
      <c r="H1323" s="91" t="b">
        <v>0</v>
      </c>
      <c r="I1323" s="91" t="b">
        <v>0</v>
      </c>
      <c r="J1323" s="91" t="b">
        <v>0</v>
      </c>
      <c r="K1323" s="91" t="b">
        <v>0</v>
      </c>
      <c r="L1323" s="91" t="b">
        <v>0</v>
      </c>
    </row>
    <row r="1324" spans="1:12" ht="15">
      <c r="A1324" s="92" t="s">
        <v>2614</v>
      </c>
      <c r="B1324" s="91" t="s">
        <v>2859</v>
      </c>
      <c r="C1324" s="91">
        <v>7</v>
      </c>
      <c r="D1324" s="114">
        <v>0.0018544469764462418</v>
      </c>
      <c r="E1324" s="114">
        <v>2.0984326676013545</v>
      </c>
      <c r="F1324" s="91" t="s">
        <v>2518</v>
      </c>
      <c r="G1324" s="91" t="b">
        <v>0</v>
      </c>
      <c r="H1324" s="91" t="b">
        <v>0</v>
      </c>
      <c r="I1324" s="91" t="b">
        <v>0</v>
      </c>
      <c r="J1324" s="91" t="b">
        <v>0</v>
      </c>
      <c r="K1324" s="91" t="b">
        <v>0</v>
      </c>
      <c r="L1324" s="91" t="b">
        <v>0</v>
      </c>
    </row>
    <row r="1325" spans="1:12" ht="15">
      <c r="A1325" s="92" t="s">
        <v>2565</v>
      </c>
      <c r="B1325" s="91" t="s">
        <v>2622</v>
      </c>
      <c r="C1325" s="91">
        <v>6</v>
      </c>
      <c r="D1325" s="114">
        <v>0.0016649873245008406</v>
      </c>
      <c r="E1325" s="114">
        <v>1.2193880980594098</v>
      </c>
      <c r="F1325" s="91" t="s">
        <v>2518</v>
      </c>
      <c r="G1325" s="91" t="b">
        <v>0</v>
      </c>
      <c r="H1325" s="91" t="b">
        <v>0</v>
      </c>
      <c r="I1325" s="91" t="b">
        <v>0</v>
      </c>
      <c r="J1325" s="91" t="b">
        <v>0</v>
      </c>
      <c r="K1325" s="91" t="b">
        <v>0</v>
      </c>
      <c r="L1325" s="91" t="b">
        <v>0</v>
      </c>
    </row>
    <row r="1326" spans="1:12" ht="15">
      <c r="A1326" s="92" t="s">
        <v>2896</v>
      </c>
      <c r="B1326" s="91" t="s">
        <v>2664</v>
      </c>
      <c r="C1326" s="91">
        <v>6</v>
      </c>
      <c r="D1326" s="114">
        <v>0.0016649873245008406</v>
      </c>
      <c r="E1326" s="114">
        <v>2.4101865286571087</v>
      </c>
      <c r="F1326" s="91" t="s">
        <v>2518</v>
      </c>
      <c r="G1326" s="91" t="b">
        <v>0</v>
      </c>
      <c r="H1326" s="91" t="b">
        <v>0</v>
      </c>
      <c r="I1326" s="91" t="b">
        <v>0</v>
      </c>
      <c r="J1326" s="91" t="b">
        <v>0</v>
      </c>
      <c r="K1326" s="91" t="b">
        <v>0</v>
      </c>
      <c r="L1326" s="91" t="b">
        <v>0</v>
      </c>
    </row>
    <row r="1327" spans="1:12" ht="15">
      <c r="A1327" s="92" t="s">
        <v>2664</v>
      </c>
      <c r="B1327" s="91" t="s">
        <v>2766</v>
      </c>
      <c r="C1327" s="91">
        <v>6</v>
      </c>
      <c r="D1327" s="114">
        <v>0.0016649873245008406</v>
      </c>
      <c r="E1327" s="114">
        <v>2.4101865286571087</v>
      </c>
      <c r="F1327" s="91" t="s">
        <v>2518</v>
      </c>
      <c r="G1327" s="91" t="b">
        <v>0</v>
      </c>
      <c r="H1327" s="91" t="b">
        <v>0</v>
      </c>
      <c r="I1327" s="91" t="b">
        <v>0</v>
      </c>
      <c r="J1327" s="91" t="b">
        <v>0</v>
      </c>
      <c r="K1327" s="91" t="b">
        <v>0</v>
      </c>
      <c r="L1327" s="91" t="b">
        <v>0</v>
      </c>
    </row>
    <row r="1328" spans="1:12" ht="15">
      <c r="A1328" s="92" t="s">
        <v>2766</v>
      </c>
      <c r="B1328" s="91" t="s">
        <v>2581</v>
      </c>
      <c r="C1328" s="91">
        <v>6</v>
      </c>
      <c r="D1328" s="114">
        <v>0.0016649873245008406</v>
      </c>
      <c r="E1328" s="114">
        <v>1.7569740148817652</v>
      </c>
      <c r="F1328" s="91" t="s">
        <v>2518</v>
      </c>
      <c r="G1328" s="91" t="b">
        <v>0</v>
      </c>
      <c r="H1328" s="91" t="b">
        <v>0</v>
      </c>
      <c r="I1328" s="91" t="b">
        <v>0</v>
      </c>
      <c r="J1328" s="91" t="b">
        <v>0</v>
      </c>
      <c r="K1328" s="91" t="b">
        <v>0</v>
      </c>
      <c r="L1328" s="91" t="b">
        <v>0</v>
      </c>
    </row>
    <row r="1329" spans="1:12" ht="15">
      <c r="A1329" s="92" t="s">
        <v>2581</v>
      </c>
      <c r="B1329" s="91" t="s">
        <v>2589</v>
      </c>
      <c r="C1329" s="91">
        <v>6</v>
      </c>
      <c r="D1329" s="114">
        <v>0.0016649873245008406</v>
      </c>
      <c r="E1329" s="114">
        <v>1.331005282609484</v>
      </c>
      <c r="F1329" s="91" t="s">
        <v>2518</v>
      </c>
      <c r="G1329" s="91" t="b">
        <v>0</v>
      </c>
      <c r="H1329" s="91" t="b">
        <v>0</v>
      </c>
      <c r="I1329" s="91" t="b">
        <v>0</v>
      </c>
      <c r="J1329" s="91" t="b">
        <v>0</v>
      </c>
      <c r="K1329" s="91" t="b">
        <v>0</v>
      </c>
      <c r="L1329" s="91" t="b">
        <v>0</v>
      </c>
    </row>
    <row r="1330" spans="1:12" ht="15">
      <c r="A1330" s="92" t="s">
        <v>2589</v>
      </c>
      <c r="B1330" s="91" t="s">
        <v>2897</v>
      </c>
      <c r="C1330" s="91">
        <v>6</v>
      </c>
      <c r="D1330" s="114">
        <v>0.0016649873245008406</v>
      </c>
      <c r="E1330" s="114">
        <v>2.3687938434988838</v>
      </c>
      <c r="F1330" s="91" t="s">
        <v>2518</v>
      </c>
      <c r="G1330" s="91" t="b">
        <v>0</v>
      </c>
      <c r="H1330" s="91" t="b">
        <v>0</v>
      </c>
      <c r="I1330" s="91" t="b">
        <v>0</v>
      </c>
      <c r="J1330" s="91" t="b">
        <v>0</v>
      </c>
      <c r="K1330" s="91" t="b">
        <v>0</v>
      </c>
      <c r="L1330" s="91" t="b">
        <v>0</v>
      </c>
    </row>
    <row r="1331" spans="1:12" ht="15">
      <c r="A1331" s="92" t="s">
        <v>2897</v>
      </c>
      <c r="B1331" s="91" t="s">
        <v>2655</v>
      </c>
      <c r="C1331" s="91">
        <v>6</v>
      </c>
      <c r="D1331" s="114">
        <v>0.0016649873245008406</v>
      </c>
      <c r="E1331" s="114">
        <v>2.5972731720142535</v>
      </c>
      <c r="F1331" s="91" t="s">
        <v>2518</v>
      </c>
      <c r="G1331" s="91" t="b">
        <v>0</v>
      </c>
      <c r="H1331" s="91" t="b">
        <v>0</v>
      </c>
      <c r="I1331" s="91" t="b">
        <v>0</v>
      </c>
      <c r="J1331" s="91" t="b">
        <v>0</v>
      </c>
      <c r="K1331" s="91" t="b">
        <v>0</v>
      </c>
      <c r="L1331" s="91" t="b">
        <v>0</v>
      </c>
    </row>
    <row r="1332" spans="1:12" ht="15">
      <c r="A1332" s="92" t="s">
        <v>2580</v>
      </c>
      <c r="B1332" s="91" t="s">
        <v>2898</v>
      </c>
      <c r="C1332" s="91">
        <v>6</v>
      </c>
      <c r="D1332" s="114">
        <v>0.0016649873245008406</v>
      </c>
      <c r="E1332" s="114">
        <v>2.0580040105457464</v>
      </c>
      <c r="F1332" s="91" t="s">
        <v>2518</v>
      </c>
      <c r="G1332" s="91" t="b">
        <v>0</v>
      </c>
      <c r="H1332" s="91" t="b">
        <v>0</v>
      </c>
      <c r="I1332" s="91" t="b">
        <v>0</v>
      </c>
      <c r="J1332" s="91" t="b">
        <v>0</v>
      </c>
      <c r="K1332" s="91" t="b">
        <v>0</v>
      </c>
      <c r="L1332" s="91" t="b">
        <v>0</v>
      </c>
    </row>
    <row r="1333" spans="1:12" ht="15">
      <c r="A1333" s="92" t="s">
        <v>2898</v>
      </c>
      <c r="B1333" s="91" t="s">
        <v>2664</v>
      </c>
      <c r="C1333" s="91">
        <v>6</v>
      </c>
      <c r="D1333" s="114">
        <v>0.0016649873245008406</v>
      </c>
      <c r="E1333" s="114">
        <v>2.4101865286571087</v>
      </c>
      <c r="F1333" s="91" t="s">
        <v>2518</v>
      </c>
      <c r="G1333" s="91" t="b">
        <v>0</v>
      </c>
      <c r="H1333" s="91" t="b">
        <v>0</v>
      </c>
      <c r="I1333" s="91" t="b">
        <v>0</v>
      </c>
      <c r="J1333" s="91" t="b">
        <v>0</v>
      </c>
      <c r="K1333" s="91" t="b">
        <v>0</v>
      </c>
      <c r="L1333" s="91" t="b">
        <v>0</v>
      </c>
    </row>
    <row r="1334" spans="1:12" ht="15">
      <c r="A1334" s="92" t="s">
        <v>2664</v>
      </c>
      <c r="B1334" s="91" t="s">
        <v>2899</v>
      </c>
      <c r="C1334" s="91">
        <v>6</v>
      </c>
      <c r="D1334" s="114">
        <v>0.0016649873245008406</v>
      </c>
      <c r="E1334" s="114">
        <v>2.4101865286571087</v>
      </c>
      <c r="F1334" s="91" t="s">
        <v>2518</v>
      </c>
      <c r="G1334" s="91" t="b">
        <v>0</v>
      </c>
      <c r="H1334" s="91" t="b">
        <v>0</v>
      </c>
      <c r="I1334" s="91" t="b">
        <v>0</v>
      </c>
      <c r="J1334" s="91" t="b">
        <v>0</v>
      </c>
      <c r="K1334" s="91" t="b">
        <v>0</v>
      </c>
      <c r="L1334" s="91" t="b">
        <v>0</v>
      </c>
    </row>
    <row r="1335" spans="1:12" ht="15">
      <c r="A1335" s="92" t="s">
        <v>2899</v>
      </c>
      <c r="B1335" s="91" t="s">
        <v>2900</v>
      </c>
      <c r="C1335" s="91">
        <v>6</v>
      </c>
      <c r="D1335" s="114">
        <v>0.0016649873245008406</v>
      </c>
      <c r="E1335" s="114">
        <v>2.9330652739374465</v>
      </c>
      <c r="F1335" s="91" t="s">
        <v>2518</v>
      </c>
      <c r="G1335" s="91" t="b">
        <v>0</v>
      </c>
      <c r="H1335" s="91" t="b">
        <v>0</v>
      </c>
      <c r="I1335" s="91" t="b">
        <v>0</v>
      </c>
      <c r="J1335" s="91" t="b">
        <v>0</v>
      </c>
      <c r="K1335" s="91" t="b">
        <v>0</v>
      </c>
      <c r="L1335" s="91" t="b">
        <v>0</v>
      </c>
    </row>
    <row r="1336" spans="1:12" ht="15">
      <c r="A1336" s="92" t="s">
        <v>2900</v>
      </c>
      <c r="B1336" s="91" t="s">
        <v>2901</v>
      </c>
      <c r="C1336" s="91">
        <v>6</v>
      </c>
      <c r="D1336" s="114">
        <v>0.0016649873245008406</v>
      </c>
      <c r="E1336" s="114">
        <v>2.9330652739374465</v>
      </c>
      <c r="F1336" s="91" t="s">
        <v>2518</v>
      </c>
      <c r="G1336" s="91" t="b">
        <v>0</v>
      </c>
      <c r="H1336" s="91" t="b">
        <v>0</v>
      </c>
      <c r="I1336" s="91" t="b">
        <v>0</v>
      </c>
      <c r="J1336" s="91" t="b">
        <v>0</v>
      </c>
      <c r="K1336" s="91" t="b">
        <v>0</v>
      </c>
      <c r="L1336" s="91" t="b">
        <v>0</v>
      </c>
    </row>
    <row r="1337" spans="1:12" ht="15">
      <c r="A1337" s="92" t="s">
        <v>2901</v>
      </c>
      <c r="B1337" s="91" t="s">
        <v>2587</v>
      </c>
      <c r="C1337" s="91">
        <v>6</v>
      </c>
      <c r="D1337" s="114">
        <v>0.0016649873245008406</v>
      </c>
      <c r="E1337" s="114">
        <v>1.8661184843068332</v>
      </c>
      <c r="F1337" s="91" t="s">
        <v>2518</v>
      </c>
      <c r="G1337" s="91" t="b">
        <v>0</v>
      </c>
      <c r="H1337" s="91" t="b">
        <v>0</v>
      </c>
      <c r="I1337" s="91" t="b">
        <v>0</v>
      </c>
      <c r="J1337" s="91" t="b">
        <v>0</v>
      </c>
      <c r="K1337" s="91" t="b">
        <v>0</v>
      </c>
      <c r="L1337" s="91" t="b">
        <v>0</v>
      </c>
    </row>
    <row r="1338" spans="1:12" ht="15">
      <c r="A1338" s="92" t="s">
        <v>2587</v>
      </c>
      <c r="B1338" s="91" t="s">
        <v>2587</v>
      </c>
      <c r="C1338" s="91">
        <v>6</v>
      </c>
      <c r="D1338" s="114">
        <v>0.0016649873245008406</v>
      </c>
      <c r="E1338" s="114">
        <v>0.7991716946762201</v>
      </c>
      <c r="F1338" s="91" t="s">
        <v>2518</v>
      </c>
      <c r="G1338" s="91" t="b">
        <v>0</v>
      </c>
      <c r="H1338" s="91" t="b">
        <v>0</v>
      </c>
      <c r="I1338" s="91" t="b">
        <v>0</v>
      </c>
      <c r="J1338" s="91" t="b">
        <v>0</v>
      </c>
      <c r="K1338" s="91" t="b">
        <v>0</v>
      </c>
      <c r="L1338" s="91" t="b">
        <v>0</v>
      </c>
    </row>
    <row r="1339" spans="1:12" ht="15">
      <c r="A1339" s="92" t="s">
        <v>2587</v>
      </c>
      <c r="B1339" s="91" t="s">
        <v>2717</v>
      </c>
      <c r="C1339" s="91">
        <v>6</v>
      </c>
      <c r="D1339" s="114">
        <v>0.0016649873245008406</v>
      </c>
      <c r="E1339" s="114">
        <v>1.7411797476985333</v>
      </c>
      <c r="F1339" s="91" t="s">
        <v>2518</v>
      </c>
      <c r="G1339" s="91" t="b">
        <v>0</v>
      </c>
      <c r="H1339" s="91" t="b">
        <v>0</v>
      </c>
      <c r="I1339" s="91" t="b">
        <v>0</v>
      </c>
      <c r="J1339" s="91" t="b">
        <v>0</v>
      </c>
      <c r="K1339" s="91" t="b">
        <v>0</v>
      </c>
      <c r="L1339" s="91" t="b">
        <v>0</v>
      </c>
    </row>
    <row r="1340" spans="1:12" ht="15">
      <c r="A1340" s="92" t="s">
        <v>2717</v>
      </c>
      <c r="B1340" s="91" t="s">
        <v>2570</v>
      </c>
      <c r="C1340" s="91">
        <v>6</v>
      </c>
      <c r="D1340" s="114">
        <v>0.0016649873245008406</v>
      </c>
      <c r="E1340" s="114">
        <v>1.3876207007583674</v>
      </c>
      <c r="F1340" s="91" t="s">
        <v>2518</v>
      </c>
      <c r="G1340" s="91" t="b">
        <v>0</v>
      </c>
      <c r="H1340" s="91" t="b">
        <v>0</v>
      </c>
      <c r="I1340" s="91" t="b">
        <v>0</v>
      </c>
      <c r="J1340" s="91" t="b">
        <v>0</v>
      </c>
      <c r="K1340" s="91" t="b">
        <v>0</v>
      </c>
      <c r="L1340" s="91" t="b">
        <v>0</v>
      </c>
    </row>
    <row r="1341" spans="1:12" ht="15">
      <c r="A1341" s="92" t="s">
        <v>2570</v>
      </c>
      <c r="B1341" s="91" t="s">
        <v>2566</v>
      </c>
      <c r="C1341" s="91">
        <v>6</v>
      </c>
      <c r="D1341" s="114">
        <v>0.0016649873245008406</v>
      </c>
      <c r="E1341" s="114">
        <v>0.09758608939584948</v>
      </c>
      <c r="F1341" s="91" t="s">
        <v>2518</v>
      </c>
      <c r="G1341" s="91" t="b">
        <v>0</v>
      </c>
      <c r="H1341" s="91" t="b">
        <v>0</v>
      </c>
      <c r="I1341" s="91" t="b">
        <v>0</v>
      </c>
      <c r="J1341" s="91" t="b">
        <v>0</v>
      </c>
      <c r="K1341" s="91" t="b">
        <v>0</v>
      </c>
      <c r="L1341" s="91" t="b">
        <v>0</v>
      </c>
    </row>
    <row r="1342" spans="1:12" ht="15">
      <c r="A1342" s="92" t="s">
        <v>2566</v>
      </c>
      <c r="B1342" s="91" t="s">
        <v>2564</v>
      </c>
      <c r="C1342" s="91">
        <v>6</v>
      </c>
      <c r="D1342" s="114">
        <v>0.0016649873245008406</v>
      </c>
      <c r="E1342" s="114">
        <v>0.04940383878382881</v>
      </c>
      <c r="F1342" s="91" t="s">
        <v>2518</v>
      </c>
      <c r="G1342" s="91" t="b">
        <v>0</v>
      </c>
      <c r="H1342" s="91" t="b">
        <v>0</v>
      </c>
      <c r="I1342" s="91" t="b">
        <v>0</v>
      </c>
      <c r="J1342" s="91" t="b">
        <v>0</v>
      </c>
      <c r="K1342" s="91" t="b">
        <v>0</v>
      </c>
      <c r="L1342" s="91" t="b">
        <v>0</v>
      </c>
    </row>
    <row r="1343" spans="1:12" ht="15">
      <c r="A1343" s="92" t="s">
        <v>2573</v>
      </c>
      <c r="B1343" s="91" t="s">
        <v>2613</v>
      </c>
      <c r="C1343" s="91">
        <v>6</v>
      </c>
      <c r="D1343" s="114">
        <v>0.0016649873245008406</v>
      </c>
      <c r="E1343" s="114">
        <v>1.1179304573006328</v>
      </c>
      <c r="F1343" s="91" t="s">
        <v>2518</v>
      </c>
      <c r="G1343" s="91" t="b">
        <v>0</v>
      </c>
      <c r="H1343" s="91" t="b">
        <v>0</v>
      </c>
      <c r="I1343" s="91" t="b">
        <v>0</v>
      </c>
      <c r="J1343" s="91" t="b">
        <v>0</v>
      </c>
      <c r="K1343" s="91" t="b">
        <v>0</v>
      </c>
      <c r="L1343" s="91" t="b">
        <v>0</v>
      </c>
    </row>
    <row r="1344" spans="1:12" ht="15">
      <c r="A1344" s="92" t="s">
        <v>2613</v>
      </c>
      <c r="B1344" s="91" t="s">
        <v>2902</v>
      </c>
      <c r="C1344" s="91">
        <v>6</v>
      </c>
      <c r="D1344" s="114">
        <v>0.0016649873245008406</v>
      </c>
      <c r="E1344" s="114">
        <v>2.0879672339231896</v>
      </c>
      <c r="F1344" s="91" t="s">
        <v>2518</v>
      </c>
      <c r="G1344" s="91" t="b">
        <v>0</v>
      </c>
      <c r="H1344" s="91" t="b">
        <v>0</v>
      </c>
      <c r="I1344" s="91" t="b">
        <v>0</v>
      </c>
      <c r="J1344" s="91" t="b">
        <v>0</v>
      </c>
      <c r="K1344" s="91" t="b">
        <v>0</v>
      </c>
      <c r="L1344" s="91" t="b">
        <v>0</v>
      </c>
    </row>
    <row r="1345" spans="1:12" ht="15">
      <c r="A1345" s="92" t="s">
        <v>2589</v>
      </c>
      <c r="B1345" s="91" t="s">
        <v>2767</v>
      </c>
      <c r="C1345" s="91">
        <v>6</v>
      </c>
      <c r="D1345" s="114">
        <v>0.0016649873245008406</v>
      </c>
      <c r="E1345" s="114">
        <v>2.3687938434988838</v>
      </c>
      <c r="F1345" s="91" t="s">
        <v>2518</v>
      </c>
      <c r="G1345" s="91" t="b">
        <v>0</v>
      </c>
      <c r="H1345" s="91" t="b">
        <v>0</v>
      </c>
      <c r="I1345" s="91" t="b">
        <v>0</v>
      </c>
      <c r="J1345" s="91" t="b">
        <v>0</v>
      </c>
      <c r="K1345" s="91" t="b">
        <v>0</v>
      </c>
      <c r="L1345" s="91" t="b">
        <v>0</v>
      </c>
    </row>
    <row r="1346" spans="1:12" ht="15">
      <c r="A1346" s="92" t="s">
        <v>2767</v>
      </c>
      <c r="B1346" s="91" t="s">
        <v>2817</v>
      </c>
      <c r="C1346" s="91">
        <v>6</v>
      </c>
      <c r="D1346" s="114">
        <v>0.0016649873245008406</v>
      </c>
      <c r="E1346" s="114">
        <v>2.9330652739374465</v>
      </c>
      <c r="F1346" s="91" t="s">
        <v>2518</v>
      </c>
      <c r="G1346" s="91" t="b">
        <v>0</v>
      </c>
      <c r="H1346" s="91" t="b">
        <v>0</v>
      </c>
      <c r="I1346" s="91" t="b">
        <v>0</v>
      </c>
      <c r="J1346" s="91" t="b">
        <v>0</v>
      </c>
      <c r="K1346" s="91" t="b">
        <v>0</v>
      </c>
      <c r="L1346" s="91" t="b">
        <v>0</v>
      </c>
    </row>
    <row r="1347" spans="1:12" ht="15">
      <c r="A1347" s="92" t="s">
        <v>2817</v>
      </c>
      <c r="B1347" s="91" t="s">
        <v>2773</v>
      </c>
      <c r="C1347" s="91">
        <v>6</v>
      </c>
      <c r="D1347" s="114">
        <v>0.0016649873245008406</v>
      </c>
      <c r="E1347" s="114">
        <v>2.9330652739374465</v>
      </c>
      <c r="F1347" s="91" t="s">
        <v>2518</v>
      </c>
      <c r="G1347" s="91" t="b">
        <v>0</v>
      </c>
      <c r="H1347" s="91" t="b">
        <v>0</v>
      </c>
      <c r="I1347" s="91" t="b">
        <v>0</v>
      </c>
      <c r="J1347" s="91" t="b">
        <v>0</v>
      </c>
      <c r="K1347" s="91" t="b">
        <v>0</v>
      </c>
      <c r="L1347" s="91" t="b">
        <v>0</v>
      </c>
    </row>
    <row r="1348" spans="1:12" ht="15">
      <c r="A1348" s="92" t="s">
        <v>2773</v>
      </c>
      <c r="B1348" s="91" t="s">
        <v>2568</v>
      </c>
      <c r="C1348" s="91">
        <v>6</v>
      </c>
      <c r="D1348" s="114">
        <v>0.0016649873245008406</v>
      </c>
      <c r="E1348" s="114">
        <v>1.6818327466358804</v>
      </c>
      <c r="F1348" s="91" t="s">
        <v>2518</v>
      </c>
      <c r="G1348" s="91" t="b">
        <v>0</v>
      </c>
      <c r="H1348" s="91" t="b">
        <v>0</v>
      </c>
      <c r="I1348" s="91" t="b">
        <v>0</v>
      </c>
      <c r="J1348" s="91" t="b">
        <v>0</v>
      </c>
      <c r="K1348" s="91" t="b">
        <v>0</v>
      </c>
      <c r="L1348" s="91" t="b">
        <v>0</v>
      </c>
    </row>
    <row r="1349" spans="1:12" ht="15">
      <c r="A1349" s="92" t="s">
        <v>2568</v>
      </c>
      <c r="B1349" s="91" t="s">
        <v>2818</v>
      </c>
      <c r="C1349" s="91">
        <v>6</v>
      </c>
      <c r="D1349" s="114">
        <v>0.0016649873245008406</v>
      </c>
      <c r="E1349" s="114">
        <v>1.6818327466358804</v>
      </c>
      <c r="F1349" s="91" t="s">
        <v>2518</v>
      </c>
      <c r="G1349" s="91" t="b">
        <v>0</v>
      </c>
      <c r="H1349" s="91" t="b">
        <v>0</v>
      </c>
      <c r="I1349" s="91" t="b">
        <v>0</v>
      </c>
      <c r="J1349" s="91" t="b">
        <v>0</v>
      </c>
      <c r="K1349" s="91" t="b">
        <v>0</v>
      </c>
      <c r="L1349" s="91" t="b">
        <v>0</v>
      </c>
    </row>
    <row r="1350" spans="1:12" ht="15">
      <c r="A1350" s="92" t="s">
        <v>2818</v>
      </c>
      <c r="B1350" s="91" t="s">
        <v>2819</v>
      </c>
      <c r="C1350" s="91">
        <v>6</v>
      </c>
      <c r="D1350" s="114">
        <v>0.0016649873245008406</v>
      </c>
      <c r="E1350" s="114">
        <v>2.9330652739374465</v>
      </c>
      <c r="F1350" s="91" t="s">
        <v>2518</v>
      </c>
      <c r="G1350" s="91" t="b">
        <v>0</v>
      </c>
      <c r="H1350" s="91" t="b">
        <v>0</v>
      </c>
      <c r="I1350" s="91" t="b">
        <v>0</v>
      </c>
      <c r="J1350" s="91" t="b">
        <v>0</v>
      </c>
      <c r="K1350" s="91" t="b">
        <v>0</v>
      </c>
      <c r="L1350" s="91" t="b">
        <v>0</v>
      </c>
    </row>
    <row r="1351" spans="1:12" ht="15">
      <c r="A1351" s="92" t="s">
        <v>2819</v>
      </c>
      <c r="B1351" s="91" t="s">
        <v>2607</v>
      </c>
      <c r="C1351" s="91">
        <v>6</v>
      </c>
      <c r="D1351" s="114">
        <v>0.0016649873245008406</v>
      </c>
      <c r="E1351" s="114">
        <v>2.1549140235538027</v>
      </c>
      <c r="F1351" s="91" t="s">
        <v>2518</v>
      </c>
      <c r="G1351" s="91" t="b">
        <v>0</v>
      </c>
      <c r="H1351" s="91" t="b">
        <v>0</v>
      </c>
      <c r="I1351" s="91" t="b">
        <v>0</v>
      </c>
      <c r="J1351" s="91" t="b">
        <v>0</v>
      </c>
      <c r="K1351" s="91" t="b">
        <v>0</v>
      </c>
      <c r="L1351" s="91" t="b">
        <v>0</v>
      </c>
    </row>
    <row r="1352" spans="1:12" ht="15">
      <c r="A1352" s="92" t="s">
        <v>2607</v>
      </c>
      <c r="B1352" s="91" t="s">
        <v>2820</v>
      </c>
      <c r="C1352" s="91">
        <v>6</v>
      </c>
      <c r="D1352" s="114">
        <v>0.0016649873245008406</v>
      </c>
      <c r="E1352" s="114">
        <v>2.1549140235538027</v>
      </c>
      <c r="F1352" s="91" t="s">
        <v>2518</v>
      </c>
      <c r="G1352" s="91" t="b">
        <v>0</v>
      </c>
      <c r="H1352" s="91" t="b">
        <v>0</v>
      </c>
      <c r="I1352" s="91" t="b">
        <v>0</v>
      </c>
      <c r="J1352" s="91" t="b">
        <v>0</v>
      </c>
      <c r="K1352" s="91" t="b">
        <v>0</v>
      </c>
      <c r="L1352" s="91" t="b">
        <v>0</v>
      </c>
    </row>
    <row r="1353" spans="1:12" ht="15">
      <c r="A1353" s="92" t="s">
        <v>2820</v>
      </c>
      <c r="B1353" s="91" t="s">
        <v>2743</v>
      </c>
      <c r="C1353" s="91">
        <v>6</v>
      </c>
      <c r="D1353" s="114">
        <v>0.0016649873245008406</v>
      </c>
      <c r="E1353" s="114">
        <v>2.9330652739374465</v>
      </c>
      <c r="F1353" s="91" t="s">
        <v>2518</v>
      </c>
      <c r="G1353" s="91" t="b">
        <v>0</v>
      </c>
      <c r="H1353" s="91" t="b">
        <v>0</v>
      </c>
      <c r="I1353" s="91" t="b">
        <v>0</v>
      </c>
      <c r="J1353" s="91" t="b">
        <v>0</v>
      </c>
      <c r="K1353" s="91" t="b">
        <v>0</v>
      </c>
      <c r="L1353" s="91" t="b">
        <v>0</v>
      </c>
    </row>
    <row r="1354" spans="1:12" ht="15">
      <c r="A1354" s="92" t="s">
        <v>2743</v>
      </c>
      <c r="B1354" s="91" t="s">
        <v>2821</v>
      </c>
      <c r="C1354" s="91">
        <v>6</v>
      </c>
      <c r="D1354" s="114">
        <v>0.0016649873245008406</v>
      </c>
      <c r="E1354" s="114">
        <v>2.9330652739374465</v>
      </c>
      <c r="F1354" s="91" t="s">
        <v>2518</v>
      </c>
      <c r="G1354" s="91" t="b">
        <v>0</v>
      </c>
      <c r="H1354" s="91" t="b">
        <v>0</v>
      </c>
      <c r="I1354" s="91" t="b">
        <v>0</v>
      </c>
      <c r="J1354" s="91" t="b">
        <v>0</v>
      </c>
      <c r="K1354" s="91" t="b">
        <v>0</v>
      </c>
      <c r="L1354" s="91" t="b">
        <v>0</v>
      </c>
    </row>
    <row r="1355" spans="1:12" ht="15">
      <c r="A1355" s="92" t="s">
        <v>2821</v>
      </c>
      <c r="B1355" s="91" t="s">
        <v>2577</v>
      </c>
      <c r="C1355" s="91">
        <v>6</v>
      </c>
      <c r="D1355" s="114">
        <v>0.0016649873245008406</v>
      </c>
      <c r="E1355" s="114">
        <v>1.940364512678946</v>
      </c>
      <c r="F1355" s="91" t="s">
        <v>2518</v>
      </c>
      <c r="G1355" s="91" t="b">
        <v>0</v>
      </c>
      <c r="H1355" s="91" t="b">
        <v>0</v>
      </c>
      <c r="I1355" s="91" t="b">
        <v>0</v>
      </c>
      <c r="J1355" s="91" t="b">
        <v>0</v>
      </c>
      <c r="K1355" s="91" t="b">
        <v>0</v>
      </c>
      <c r="L1355" s="91" t="b">
        <v>0</v>
      </c>
    </row>
    <row r="1356" spans="1:12" ht="15">
      <c r="A1356" s="92" t="s">
        <v>2577</v>
      </c>
      <c r="B1356" s="91" t="s">
        <v>2822</v>
      </c>
      <c r="C1356" s="91">
        <v>6</v>
      </c>
      <c r="D1356" s="114">
        <v>0.0016649873245008406</v>
      </c>
      <c r="E1356" s="114">
        <v>1.940364512678946</v>
      </c>
      <c r="F1356" s="91" t="s">
        <v>2518</v>
      </c>
      <c r="G1356" s="91" t="b">
        <v>0</v>
      </c>
      <c r="H1356" s="91" t="b">
        <v>0</v>
      </c>
      <c r="I1356" s="91" t="b">
        <v>0</v>
      </c>
      <c r="J1356" s="91" t="b">
        <v>0</v>
      </c>
      <c r="K1356" s="91" t="b">
        <v>0</v>
      </c>
      <c r="L1356" s="91" t="b">
        <v>0</v>
      </c>
    </row>
    <row r="1357" spans="1:12" ht="15">
      <c r="A1357" s="92" t="s">
        <v>2822</v>
      </c>
      <c r="B1357" s="91" t="s">
        <v>2607</v>
      </c>
      <c r="C1357" s="91">
        <v>6</v>
      </c>
      <c r="D1357" s="114">
        <v>0.0016649873245008406</v>
      </c>
      <c r="E1357" s="114">
        <v>2.1549140235538027</v>
      </c>
      <c r="F1357" s="91" t="s">
        <v>2518</v>
      </c>
      <c r="G1357" s="91" t="b">
        <v>0</v>
      </c>
      <c r="H1357" s="91" t="b">
        <v>0</v>
      </c>
      <c r="I1357" s="91" t="b">
        <v>0</v>
      </c>
      <c r="J1357" s="91" t="b">
        <v>0</v>
      </c>
      <c r="K1357" s="91" t="b">
        <v>0</v>
      </c>
      <c r="L1357" s="91" t="b">
        <v>0</v>
      </c>
    </row>
    <row r="1358" spans="1:12" ht="15">
      <c r="A1358" s="92" t="s">
        <v>2607</v>
      </c>
      <c r="B1358" s="91" t="s">
        <v>2823</v>
      </c>
      <c r="C1358" s="91">
        <v>6</v>
      </c>
      <c r="D1358" s="114">
        <v>0.0016649873245008406</v>
      </c>
      <c r="E1358" s="114">
        <v>2.1549140235538027</v>
      </c>
      <c r="F1358" s="91" t="s">
        <v>2518</v>
      </c>
      <c r="G1358" s="91" t="b">
        <v>0</v>
      </c>
      <c r="H1358" s="91" t="b">
        <v>0</v>
      </c>
      <c r="I1358" s="91" t="b">
        <v>0</v>
      </c>
      <c r="J1358" s="91" t="b">
        <v>0</v>
      </c>
      <c r="K1358" s="91" t="b">
        <v>0</v>
      </c>
      <c r="L1358" s="91" t="b">
        <v>0</v>
      </c>
    </row>
    <row r="1359" spans="1:12" ht="15">
      <c r="A1359" s="92" t="s">
        <v>2823</v>
      </c>
      <c r="B1359" s="91" t="s">
        <v>2607</v>
      </c>
      <c r="C1359" s="91">
        <v>6</v>
      </c>
      <c r="D1359" s="114">
        <v>0.0016649873245008406</v>
      </c>
      <c r="E1359" s="114">
        <v>2.1549140235538027</v>
      </c>
      <c r="F1359" s="91" t="s">
        <v>2518</v>
      </c>
      <c r="G1359" s="91" t="b">
        <v>0</v>
      </c>
      <c r="H1359" s="91" t="b">
        <v>0</v>
      </c>
      <c r="I1359" s="91" t="b">
        <v>0</v>
      </c>
      <c r="J1359" s="91" t="b">
        <v>0</v>
      </c>
      <c r="K1359" s="91" t="b">
        <v>0</v>
      </c>
      <c r="L1359" s="91" t="b">
        <v>0</v>
      </c>
    </row>
    <row r="1360" spans="1:12" ht="15">
      <c r="A1360" s="92" t="s">
        <v>2607</v>
      </c>
      <c r="B1360" s="91" t="s">
        <v>2824</v>
      </c>
      <c r="C1360" s="91">
        <v>6</v>
      </c>
      <c r="D1360" s="114">
        <v>0.0016649873245008406</v>
      </c>
      <c r="E1360" s="114">
        <v>2.1549140235538027</v>
      </c>
      <c r="F1360" s="91" t="s">
        <v>2518</v>
      </c>
      <c r="G1360" s="91" t="b">
        <v>0</v>
      </c>
      <c r="H1360" s="91" t="b">
        <v>0</v>
      </c>
      <c r="I1360" s="91" t="b">
        <v>0</v>
      </c>
      <c r="J1360" s="91" t="b">
        <v>0</v>
      </c>
      <c r="K1360" s="91" t="b">
        <v>0</v>
      </c>
      <c r="L1360" s="91" t="b">
        <v>0</v>
      </c>
    </row>
    <row r="1361" spans="1:12" ht="15">
      <c r="A1361" s="92" t="s">
        <v>2824</v>
      </c>
      <c r="B1361" s="91" t="s">
        <v>2577</v>
      </c>
      <c r="C1361" s="91">
        <v>6</v>
      </c>
      <c r="D1361" s="114">
        <v>0.0016649873245008406</v>
      </c>
      <c r="E1361" s="114">
        <v>1.940364512678946</v>
      </c>
      <c r="F1361" s="91" t="s">
        <v>2518</v>
      </c>
      <c r="G1361" s="91" t="b">
        <v>0</v>
      </c>
      <c r="H1361" s="91" t="b">
        <v>0</v>
      </c>
      <c r="I1361" s="91" t="b">
        <v>0</v>
      </c>
      <c r="J1361" s="91" t="b">
        <v>0</v>
      </c>
      <c r="K1361" s="91" t="b">
        <v>0</v>
      </c>
      <c r="L1361" s="91" t="b">
        <v>0</v>
      </c>
    </row>
    <row r="1362" spans="1:12" ht="15">
      <c r="A1362" s="92" t="s">
        <v>2577</v>
      </c>
      <c r="B1362" s="91" t="s">
        <v>2694</v>
      </c>
      <c r="C1362" s="91">
        <v>6</v>
      </c>
      <c r="D1362" s="114">
        <v>0.0016649873245008406</v>
      </c>
      <c r="E1362" s="114">
        <v>1.5723877273843514</v>
      </c>
      <c r="F1362" s="91" t="s">
        <v>2518</v>
      </c>
      <c r="G1362" s="91" t="b">
        <v>0</v>
      </c>
      <c r="H1362" s="91" t="b">
        <v>0</v>
      </c>
      <c r="I1362" s="91" t="b">
        <v>0</v>
      </c>
      <c r="J1362" s="91" t="b">
        <v>0</v>
      </c>
      <c r="K1362" s="91" t="b">
        <v>0</v>
      </c>
      <c r="L1362" s="91" t="b">
        <v>0</v>
      </c>
    </row>
    <row r="1363" spans="1:12" ht="15">
      <c r="A1363" s="92" t="s">
        <v>2694</v>
      </c>
      <c r="B1363" s="91" t="s">
        <v>2636</v>
      </c>
      <c r="C1363" s="91">
        <v>6</v>
      </c>
      <c r="D1363" s="114">
        <v>0.0016649873245008406</v>
      </c>
      <c r="E1363" s="114">
        <v>2.388997229587171</v>
      </c>
      <c r="F1363" s="91" t="s">
        <v>2518</v>
      </c>
      <c r="G1363" s="91" t="b">
        <v>0</v>
      </c>
      <c r="H1363" s="91" t="b">
        <v>0</v>
      </c>
      <c r="I1363" s="91" t="b">
        <v>0</v>
      </c>
      <c r="J1363" s="91" t="b">
        <v>0</v>
      </c>
      <c r="K1363" s="91" t="b">
        <v>0</v>
      </c>
      <c r="L1363" s="91" t="b">
        <v>0</v>
      </c>
    </row>
    <row r="1364" spans="1:12" ht="15">
      <c r="A1364" s="92" t="s">
        <v>2636</v>
      </c>
      <c r="B1364" s="91" t="s">
        <v>2825</v>
      </c>
      <c r="C1364" s="91">
        <v>6</v>
      </c>
      <c r="D1364" s="114">
        <v>0.0016649873245008406</v>
      </c>
      <c r="E1364" s="114">
        <v>2.296243176350272</v>
      </c>
      <c r="F1364" s="91" t="s">
        <v>2518</v>
      </c>
      <c r="G1364" s="91" t="b">
        <v>0</v>
      </c>
      <c r="H1364" s="91" t="b">
        <v>0</v>
      </c>
      <c r="I1364" s="91" t="b">
        <v>0</v>
      </c>
      <c r="J1364" s="91" t="b">
        <v>0</v>
      </c>
      <c r="K1364" s="91" t="b">
        <v>0</v>
      </c>
      <c r="L1364" s="91" t="b">
        <v>0</v>
      </c>
    </row>
    <row r="1365" spans="1:12" ht="15">
      <c r="A1365" s="92" t="s">
        <v>2825</v>
      </c>
      <c r="B1365" s="91" t="s">
        <v>2665</v>
      </c>
      <c r="C1365" s="91">
        <v>6</v>
      </c>
      <c r="D1365" s="114">
        <v>0.0016649873245008406</v>
      </c>
      <c r="E1365" s="114">
        <v>2.5972731720142535</v>
      </c>
      <c r="F1365" s="91" t="s">
        <v>2518</v>
      </c>
      <c r="G1365" s="91" t="b">
        <v>0</v>
      </c>
      <c r="H1365" s="91" t="b">
        <v>0</v>
      </c>
      <c r="I1365" s="91" t="b">
        <v>0</v>
      </c>
      <c r="J1365" s="91" t="b">
        <v>0</v>
      </c>
      <c r="K1365" s="91" t="b">
        <v>0</v>
      </c>
      <c r="L1365" s="91" t="b">
        <v>0</v>
      </c>
    </row>
    <row r="1366" spans="1:12" ht="15">
      <c r="A1366" s="92" t="s">
        <v>2665</v>
      </c>
      <c r="B1366" s="91" t="s">
        <v>2577</v>
      </c>
      <c r="C1366" s="91">
        <v>6</v>
      </c>
      <c r="D1366" s="114">
        <v>0.0016649873245008406</v>
      </c>
      <c r="E1366" s="114">
        <v>1.6045724107557529</v>
      </c>
      <c r="F1366" s="91" t="s">
        <v>2518</v>
      </c>
      <c r="G1366" s="91" t="b">
        <v>0</v>
      </c>
      <c r="H1366" s="91" t="b">
        <v>0</v>
      </c>
      <c r="I1366" s="91" t="b">
        <v>0</v>
      </c>
      <c r="J1366" s="91" t="b">
        <v>0</v>
      </c>
      <c r="K1366" s="91" t="b">
        <v>0</v>
      </c>
      <c r="L1366" s="91" t="b">
        <v>0</v>
      </c>
    </row>
    <row r="1367" spans="1:12" ht="15">
      <c r="A1367" s="92" t="s">
        <v>2577</v>
      </c>
      <c r="B1367" s="91" t="s">
        <v>2826</v>
      </c>
      <c r="C1367" s="91">
        <v>6</v>
      </c>
      <c r="D1367" s="114">
        <v>0.0016649873245008406</v>
      </c>
      <c r="E1367" s="114">
        <v>1.940364512678946</v>
      </c>
      <c r="F1367" s="91" t="s">
        <v>2518</v>
      </c>
      <c r="G1367" s="91" t="b">
        <v>0</v>
      </c>
      <c r="H1367" s="91" t="b">
        <v>0</v>
      </c>
      <c r="I1367" s="91" t="b">
        <v>0</v>
      </c>
      <c r="J1367" s="91" t="b">
        <v>0</v>
      </c>
      <c r="K1367" s="91" t="b">
        <v>0</v>
      </c>
      <c r="L1367" s="91" t="b">
        <v>0</v>
      </c>
    </row>
    <row r="1368" spans="1:12" ht="15">
      <c r="A1368" s="92" t="s">
        <v>2826</v>
      </c>
      <c r="B1368" s="91" t="s">
        <v>2827</v>
      </c>
      <c r="C1368" s="91">
        <v>6</v>
      </c>
      <c r="D1368" s="114">
        <v>0.0016649873245008406</v>
      </c>
      <c r="E1368" s="114">
        <v>2.9330652739374465</v>
      </c>
      <c r="F1368" s="91" t="s">
        <v>2518</v>
      </c>
      <c r="G1368" s="91" t="b">
        <v>0</v>
      </c>
      <c r="H1368" s="91" t="b">
        <v>0</v>
      </c>
      <c r="I1368" s="91" t="b">
        <v>0</v>
      </c>
      <c r="J1368" s="91" t="b">
        <v>0</v>
      </c>
      <c r="K1368" s="91" t="b">
        <v>0</v>
      </c>
      <c r="L1368" s="91" t="b">
        <v>0</v>
      </c>
    </row>
    <row r="1369" spans="1:12" ht="15">
      <c r="A1369" s="92" t="s">
        <v>2827</v>
      </c>
      <c r="B1369" s="91" t="s">
        <v>2645</v>
      </c>
      <c r="C1369" s="91">
        <v>6</v>
      </c>
      <c r="D1369" s="114">
        <v>0.0016649873245008406</v>
      </c>
      <c r="E1369" s="114">
        <v>2.3132765156490525</v>
      </c>
      <c r="F1369" s="91" t="s">
        <v>2518</v>
      </c>
      <c r="G1369" s="91" t="b">
        <v>0</v>
      </c>
      <c r="H1369" s="91" t="b">
        <v>0</v>
      </c>
      <c r="I1369" s="91" t="b">
        <v>0</v>
      </c>
      <c r="J1369" s="91" t="b">
        <v>0</v>
      </c>
      <c r="K1369" s="91" t="b">
        <v>0</v>
      </c>
      <c r="L1369" s="91" t="b">
        <v>0</v>
      </c>
    </row>
    <row r="1370" spans="1:12" ht="15">
      <c r="A1370" s="92" t="s">
        <v>2645</v>
      </c>
      <c r="B1370" s="91" t="s">
        <v>2620</v>
      </c>
      <c r="C1370" s="91">
        <v>6</v>
      </c>
      <c r="D1370" s="114">
        <v>0.0016649873245008406</v>
      </c>
      <c r="E1370" s="114">
        <v>1.6934877573606584</v>
      </c>
      <c r="F1370" s="91" t="s">
        <v>2518</v>
      </c>
      <c r="G1370" s="91" t="b">
        <v>0</v>
      </c>
      <c r="H1370" s="91" t="b">
        <v>0</v>
      </c>
      <c r="I1370" s="91" t="b">
        <v>0</v>
      </c>
      <c r="J1370" s="91" t="b">
        <v>0</v>
      </c>
      <c r="K1370" s="91" t="b">
        <v>0</v>
      </c>
      <c r="L1370" s="91" t="b">
        <v>0</v>
      </c>
    </row>
    <row r="1371" spans="1:12" ht="15">
      <c r="A1371" s="92" t="s">
        <v>2732</v>
      </c>
      <c r="B1371" s="91" t="s">
        <v>2751</v>
      </c>
      <c r="C1371" s="91">
        <v>6</v>
      </c>
      <c r="D1371" s="114">
        <v>0.0016649873245008406</v>
      </c>
      <c r="E1371" s="114">
        <v>2.9330652739374465</v>
      </c>
      <c r="F1371" s="91" t="s">
        <v>2518</v>
      </c>
      <c r="G1371" s="91" t="b">
        <v>0</v>
      </c>
      <c r="H1371" s="91" t="b">
        <v>0</v>
      </c>
      <c r="I1371" s="91" t="b">
        <v>0</v>
      </c>
      <c r="J1371" s="91" t="b">
        <v>0</v>
      </c>
      <c r="K1371" s="91" t="b">
        <v>0</v>
      </c>
      <c r="L1371" s="91" t="b">
        <v>0</v>
      </c>
    </row>
    <row r="1372" spans="1:12" ht="15">
      <c r="A1372" s="92" t="s">
        <v>2751</v>
      </c>
      <c r="B1372" s="91" t="s">
        <v>2828</v>
      </c>
      <c r="C1372" s="91">
        <v>6</v>
      </c>
      <c r="D1372" s="114">
        <v>0.0016649873245008406</v>
      </c>
      <c r="E1372" s="114">
        <v>2.9330652739374465</v>
      </c>
      <c r="F1372" s="91" t="s">
        <v>2518</v>
      </c>
      <c r="G1372" s="91" t="b">
        <v>0</v>
      </c>
      <c r="H1372" s="91" t="b">
        <v>0</v>
      </c>
      <c r="I1372" s="91" t="b">
        <v>0</v>
      </c>
      <c r="J1372" s="91" t="b">
        <v>0</v>
      </c>
      <c r="K1372" s="91" t="b">
        <v>0</v>
      </c>
      <c r="L1372" s="91" t="b">
        <v>0</v>
      </c>
    </row>
    <row r="1373" spans="1:12" ht="15">
      <c r="A1373" s="92" t="s">
        <v>2828</v>
      </c>
      <c r="B1373" s="91" t="s">
        <v>2564</v>
      </c>
      <c r="C1373" s="91">
        <v>6</v>
      </c>
      <c r="D1373" s="114">
        <v>0.0016649873245008406</v>
      </c>
      <c r="E1373" s="114">
        <v>1.455944019217784</v>
      </c>
      <c r="F1373" s="91" t="s">
        <v>2518</v>
      </c>
      <c r="G1373" s="91" t="b">
        <v>0</v>
      </c>
      <c r="H1373" s="91" t="b">
        <v>0</v>
      </c>
      <c r="I1373" s="91" t="b">
        <v>0</v>
      </c>
      <c r="J1373" s="91" t="b">
        <v>0</v>
      </c>
      <c r="K1373" s="91" t="b">
        <v>0</v>
      </c>
      <c r="L1373" s="91" t="b">
        <v>0</v>
      </c>
    </row>
    <row r="1374" spans="1:12" ht="15">
      <c r="A1374" s="92" t="s">
        <v>2564</v>
      </c>
      <c r="B1374" s="91" t="s">
        <v>2570</v>
      </c>
      <c r="C1374" s="91">
        <v>6</v>
      </c>
      <c r="D1374" s="114">
        <v>0.0016649873245008406</v>
      </c>
      <c r="E1374" s="114">
        <v>0.055182240842762145</v>
      </c>
      <c r="F1374" s="91" t="s">
        <v>2518</v>
      </c>
      <c r="G1374" s="91" t="b">
        <v>0</v>
      </c>
      <c r="H1374" s="91" t="b">
        <v>0</v>
      </c>
      <c r="I1374" s="91" t="b">
        <v>0</v>
      </c>
      <c r="J1374" s="91" t="b">
        <v>0</v>
      </c>
      <c r="K1374" s="91" t="b">
        <v>0</v>
      </c>
      <c r="L1374" s="91" t="b">
        <v>0</v>
      </c>
    </row>
    <row r="1375" spans="1:12" ht="15">
      <c r="A1375" s="92" t="s">
        <v>2570</v>
      </c>
      <c r="B1375" s="91" t="s">
        <v>2573</v>
      </c>
      <c r="C1375" s="91">
        <v>6</v>
      </c>
      <c r="D1375" s="114">
        <v>0.0016649873245008406</v>
      </c>
      <c r="E1375" s="114">
        <v>0.5480551493440716</v>
      </c>
      <c r="F1375" s="91" t="s">
        <v>2518</v>
      </c>
      <c r="G1375" s="91" t="b">
        <v>0</v>
      </c>
      <c r="H1375" s="91" t="b">
        <v>0</v>
      </c>
      <c r="I1375" s="91" t="b">
        <v>0</v>
      </c>
      <c r="J1375" s="91" t="b">
        <v>0</v>
      </c>
      <c r="K1375" s="91" t="b">
        <v>0</v>
      </c>
      <c r="L1375" s="91" t="b">
        <v>0</v>
      </c>
    </row>
    <row r="1376" spans="1:12" ht="15">
      <c r="A1376" s="92" t="s">
        <v>2573</v>
      </c>
      <c r="B1376" s="91" t="s">
        <v>2829</v>
      </c>
      <c r="C1376" s="91">
        <v>6</v>
      </c>
      <c r="D1376" s="114">
        <v>0.0016649873245008406</v>
      </c>
      <c r="E1376" s="114">
        <v>1.9630284973148897</v>
      </c>
      <c r="F1376" s="91" t="s">
        <v>2518</v>
      </c>
      <c r="G1376" s="91" t="b">
        <v>0</v>
      </c>
      <c r="H1376" s="91" t="b">
        <v>0</v>
      </c>
      <c r="I1376" s="91" t="b">
        <v>0</v>
      </c>
      <c r="J1376" s="91" t="b">
        <v>0</v>
      </c>
      <c r="K1376" s="91" t="b">
        <v>0</v>
      </c>
      <c r="L1376" s="91" t="b">
        <v>0</v>
      </c>
    </row>
    <row r="1377" spans="1:12" ht="15">
      <c r="A1377" s="92" t="s">
        <v>2829</v>
      </c>
      <c r="B1377" s="91" t="s">
        <v>2567</v>
      </c>
      <c r="C1377" s="91">
        <v>6</v>
      </c>
      <c r="D1377" s="114">
        <v>0.0016649873245008406</v>
      </c>
      <c r="E1377" s="114">
        <v>1.5744959571646833</v>
      </c>
      <c r="F1377" s="91" t="s">
        <v>2518</v>
      </c>
      <c r="G1377" s="91" t="b">
        <v>0</v>
      </c>
      <c r="H1377" s="91" t="b">
        <v>0</v>
      </c>
      <c r="I1377" s="91" t="b">
        <v>0</v>
      </c>
      <c r="J1377" s="91" t="b">
        <v>0</v>
      </c>
      <c r="K1377" s="91" t="b">
        <v>0</v>
      </c>
      <c r="L1377" s="91" t="b">
        <v>0</v>
      </c>
    </row>
    <row r="1378" spans="1:12" ht="15">
      <c r="A1378" s="92" t="s">
        <v>2567</v>
      </c>
      <c r="B1378" s="91" t="s">
        <v>2566</v>
      </c>
      <c r="C1378" s="91">
        <v>6</v>
      </c>
      <c r="D1378" s="114">
        <v>0.0016649873245008406</v>
      </c>
      <c r="E1378" s="114">
        <v>0.16360588938550347</v>
      </c>
      <c r="F1378" s="91" t="s">
        <v>2518</v>
      </c>
      <c r="G1378" s="91" t="b">
        <v>0</v>
      </c>
      <c r="H1378" s="91" t="b">
        <v>0</v>
      </c>
      <c r="I1378" s="91" t="b">
        <v>0</v>
      </c>
      <c r="J1378" s="91" t="b">
        <v>0</v>
      </c>
      <c r="K1378" s="91" t="b">
        <v>0</v>
      </c>
      <c r="L1378" s="91" t="b">
        <v>0</v>
      </c>
    </row>
    <row r="1379" spans="1:12" ht="15">
      <c r="A1379" s="92" t="s">
        <v>2566</v>
      </c>
      <c r="B1379" s="91" t="s">
        <v>2611</v>
      </c>
      <c r="C1379" s="91">
        <v>6</v>
      </c>
      <c r="D1379" s="114">
        <v>0.0016649873245008406</v>
      </c>
      <c r="E1379" s="114">
        <v>0.5971061677891986</v>
      </c>
      <c r="F1379" s="91" t="s">
        <v>2518</v>
      </c>
      <c r="G1379" s="91" t="b">
        <v>0</v>
      </c>
      <c r="H1379" s="91" t="b">
        <v>0</v>
      </c>
      <c r="I1379" s="91" t="b">
        <v>0</v>
      </c>
      <c r="J1379" s="91" t="b">
        <v>0</v>
      </c>
      <c r="K1379" s="91" t="b">
        <v>0</v>
      </c>
      <c r="L1379" s="91" t="b">
        <v>0</v>
      </c>
    </row>
    <row r="1380" spans="1:12" ht="15">
      <c r="A1380" s="92" t="s">
        <v>2584</v>
      </c>
      <c r="B1380" s="91" t="s">
        <v>2770</v>
      </c>
      <c r="C1380" s="91">
        <v>5</v>
      </c>
      <c r="D1380" s="114">
        <v>0.0014618659597663791</v>
      </c>
      <c r="E1380" s="114">
        <v>1.8081265373291466</v>
      </c>
      <c r="F1380" s="91" t="s">
        <v>2518</v>
      </c>
      <c r="G1380" s="91" t="b">
        <v>0</v>
      </c>
      <c r="H1380" s="91" t="b">
        <v>0</v>
      </c>
      <c r="I1380" s="91" t="b">
        <v>0</v>
      </c>
      <c r="J1380" s="91" t="b">
        <v>0</v>
      </c>
      <c r="K1380" s="91" t="b">
        <v>0</v>
      </c>
      <c r="L1380" s="91" t="b">
        <v>0</v>
      </c>
    </row>
    <row r="1381" spans="1:12" ht="15">
      <c r="A1381" s="92" t="s">
        <v>2573</v>
      </c>
      <c r="B1381" s="91" t="s">
        <v>2594</v>
      </c>
      <c r="C1381" s="91">
        <v>5</v>
      </c>
      <c r="D1381" s="114">
        <v>0.0014618659597663791</v>
      </c>
      <c r="E1381" s="114">
        <v>1.8169004616366515</v>
      </c>
      <c r="F1381" s="91" t="s">
        <v>2518</v>
      </c>
      <c r="G1381" s="91" t="b">
        <v>0</v>
      </c>
      <c r="H1381" s="91" t="b">
        <v>0</v>
      </c>
      <c r="I1381" s="91" t="b">
        <v>0</v>
      </c>
      <c r="J1381" s="91" t="b">
        <v>0</v>
      </c>
      <c r="K1381" s="91" t="b">
        <v>0</v>
      </c>
      <c r="L1381" s="91" t="b">
        <v>0</v>
      </c>
    </row>
    <row r="1382" spans="1:12" ht="15">
      <c r="A1382" s="92" t="s">
        <v>2571</v>
      </c>
      <c r="B1382" s="91" t="s">
        <v>2565</v>
      </c>
      <c r="C1382" s="91">
        <v>4</v>
      </c>
      <c r="D1382" s="114">
        <v>0.0012423163733047858</v>
      </c>
      <c r="E1382" s="114">
        <v>0.2351823652426418</v>
      </c>
      <c r="F1382" s="91" t="s">
        <v>2518</v>
      </c>
      <c r="G1382" s="91" t="b">
        <v>0</v>
      </c>
      <c r="H1382" s="91" t="b">
        <v>0</v>
      </c>
      <c r="I1382" s="91" t="b">
        <v>0</v>
      </c>
      <c r="J1382" s="91" t="b">
        <v>0</v>
      </c>
      <c r="K1382" s="91" t="b">
        <v>0</v>
      </c>
      <c r="L1382" s="91" t="b">
        <v>0</v>
      </c>
    </row>
    <row r="1383" spans="1:12" ht="15">
      <c r="A1383" s="92" t="s">
        <v>2579</v>
      </c>
      <c r="B1383" s="91" t="s">
        <v>2575</v>
      </c>
      <c r="C1383" s="91">
        <v>4</v>
      </c>
      <c r="D1383" s="114">
        <v>0.0012423163733047858</v>
      </c>
      <c r="E1383" s="114">
        <v>0.45642683692388014</v>
      </c>
      <c r="F1383" s="91" t="s">
        <v>2518</v>
      </c>
      <c r="G1383" s="91" t="b">
        <v>0</v>
      </c>
      <c r="H1383" s="91" t="b">
        <v>0</v>
      </c>
      <c r="I1383" s="91" t="b">
        <v>0</v>
      </c>
      <c r="J1383" s="91" t="b">
        <v>0</v>
      </c>
      <c r="K1383" s="91" t="b">
        <v>0</v>
      </c>
      <c r="L1383" s="91" t="b">
        <v>0</v>
      </c>
    </row>
    <row r="1384" spans="1:12" ht="15">
      <c r="A1384" s="92" t="s">
        <v>2578</v>
      </c>
      <c r="B1384" s="91" t="s">
        <v>2610</v>
      </c>
      <c r="C1384" s="91">
        <v>3</v>
      </c>
      <c r="D1384" s="114">
        <v>0.0010021517473512928</v>
      </c>
      <c r="E1384" s="114">
        <v>0.9622536630649287</v>
      </c>
      <c r="F1384" s="91" t="s">
        <v>2518</v>
      </c>
      <c r="G1384" s="91" t="b">
        <v>0</v>
      </c>
      <c r="H1384" s="91" t="b">
        <v>0</v>
      </c>
      <c r="I1384" s="91" t="b">
        <v>0</v>
      </c>
      <c r="J1384" s="91" t="b">
        <v>0</v>
      </c>
      <c r="K1384" s="91" t="b">
        <v>0</v>
      </c>
      <c r="L1384" s="91" t="b">
        <v>0</v>
      </c>
    </row>
    <row r="1385" spans="1:12" ht="15">
      <c r="A1385" s="92" t="s">
        <v>2610</v>
      </c>
      <c r="B1385" s="91" t="s">
        <v>2936</v>
      </c>
      <c r="C1385" s="91">
        <v>3</v>
      </c>
      <c r="D1385" s="114">
        <v>0.0010021517473512928</v>
      </c>
      <c r="E1385" s="114">
        <v>2.192702584443203</v>
      </c>
      <c r="F1385" s="91" t="s">
        <v>2518</v>
      </c>
      <c r="G1385" s="91" t="b">
        <v>0</v>
      </c>
      <c r="H1385" s="91" t="b">
        <v>0</v>
      </c>
      <c r="I1385" s="91" t="b">
        <v>0</v>
      </c>
      <c r="J1385" s="91" t="b">
        <v>0</v>
      </c>
      <c r="K1385" s="91" t="b">
        <v>0</v>
      </c>
      <c r="L1385" s="91" t="b">
        <v>0</v>
      </c>
    </row>
    <row r="1386" spans="1:12" ht="15">
      <c r="A1386" s="92" t="s">
        <v>2936</v>
      </c>
      <c r="B1386" s="91" t="s">
        <v>2937</v>
      </c>
      <c r="C1386" s="91">
        <v>3</v>
      </c>
      <c r="D1386" s="114">
        <v>0.0010021517473512928</v>
      </c>
      <c r="E1386" s="114">
        <v>3.234095269601428</v>
      </c>
      <c r="F1386" s="91" t="s">
        <v>2518</v>
      </c>
      <c r="G1386" s="91" t="b">
        <v>0</v>
      </c>
      <c r="H1386" s="91" t="b">
        <v>0</v>
      </c>
      <c r="I1386" s="91" t="b">
        <v>0</v>
      </c>
      <c r="J1386" s="91" t="b">
        <v>0</v>
      </c>
      <c r="K1386" s="91" t="b">
        <v>0</v>
      </c>
      <c r="L1386" s="91" t="b">
        <v>0</v>
      </c>
    </row>
    <row r="1387" spans="1:12" ht="15">
      <c r="A1387" s="92" t="s">
        <v>2937</v>
      </c>
      <c r="B1387" s="91" t="s">
        <v>2576</v>
      </c>
      <c r="C1387" s="91">
        <v>3</v>
      </c>
      <c r="D1387" s="114">
        <v>0.0010021517473512928</v>
      </c>
      <c r="E1387" s="114">
        <v>1.8027315054424404</v>
      </c>
      <c r="F1387" s="91" t="s">
        <v>2518</v>
      </c>
      <c r="G1387" s="91" t="b">
        <v>0</v>
      </c>
      <c r="H1387" s="91" t="b">
        <v>0</v>
      </c>
      <c r="I1387" s="91" t="b">
        <v>0</v>
      </c>
      <c r="J1387" s="91" t="b">
        <v>0</v>
      </c>
      <c r="K1387" s="91" t="b">
        <v>0</v>
      </c>
      <c r="L1387" s="91" t="b">
        <v>0</v>
      </c>
    </row>
    <row r="1388" spans="1:12" ht="15">
      <c r="A1388" s="92" t="s">
        <v>2576</v>
      </c>
      <c r="B1388" s="91" t="s">
        <v>2938</v>
      </c>
      <c r="C1388" s="91">
        <v>3</v>
      </c>
      <c r="D1388" s="114">
        <v>0.0010021517473512928</v>
      </c>
      <c r="E1388" s="114">
        <v>1.8027315054424404</v>
      </c>
      <c r="F1388" s="91" t="s">
        <v>2518</v>
      </c>
      <c r="G1388" s="91" t="b">
        <v>0</v>
      </c>
      <c r="H1388" s="91" t="b">
        <v>0</v>
      </c>
      <c r="I1388" s="91" t="b">
        <v>0</v>
      </c>
      <c r="J1388" s="91" t="b">
        <v>0</v>
      </c>
      <c r="K1388" s="91" t="b">
        <v>0</v>
      </c>
      <c r="L1388" s="91" t="b">
        <v>0</v>
      </c>
    </row>
    <row r="1389" spans="1:12" ht="15">
      <c r="A1389" s="92" t="s">
        <v>2938</v>
      </c>
      <c r="B1389" s="91" t="s">
        <v>2569</v>
      </c>
      <c r="C1389" s="91">
        <v>3</v>
      </c>
      <c r="D1389" s="114">
        <v>0.0010021517473512928</v>
      </c>
      <c r="E1389" s="114">
        <v>2.0036463482231537</v>
      </c>
      <c r="F1389" s="91" t="s">
        <v>2518</v>
      </c>
      <c r="G1389" s="91" t="b">
        <v>0</v>
      </c>
      <c r="H1389" s="91" t="b">
        <v>0</v>
      </c>
      <c r="I1389" s="91" t="b">
        <v>0</v>
      </c>
      <c r="J1389" s="91" t="b">
        <v>0</v>
      </c>
      <c r="K1389" s="91" t="b">
        <v>0</v>
      </c>
      <c r="L1389" s="91" t="b">
        <v>0</v>
      </c>
    </row>
    <row r="1390" spans="1:12" ht="15">
      <c r="A1390" s="92" t="s">
        <v>2572</v>
      </c>
      <c r="B1390" s="91" t="s">
        <v>2939</v>
      </c>
      <c r="C1390" s="91">
        <v>3</v>
      </c>
      <c r="D1390" s="114">
        <v>0.0010021517473512928</v>
      </c>
      <c r="E1390" s="114">
        <v>2.0036463482231537</v>
      </c>
      <c r="F1390" s="91" t="s">
        <v>2518</v>
      </c>
      <c r="G1390" s="91" t="b">
        <v>0</v>
      </c>
      <c r="H1390" s="91" t="b">
        <v>0</v>
      </c>
      <c r="I1390" s="91" t="b">
        <v>0</v>
      </c>
      <c r="J1390" s="91" t="b">
        <v>0</v>
      </c>
      <c r="K1390" s="91" t="b">
        <v>0</v>
      </c>
      <c r="L1390" s="91" t="b">
        <v>0</v>
      </c>
    </row>
    <row r="1391" spans="1:12" ht="15">
      <c r="A1391" s="92" t="s">
        <v>2939</v>
      </c>
      <c r="B1391" s="91" t="s">
        <v>2580</v>
      </c>
      <c r="C1391" s="91">
        <v>3</v>
      </c>
      <c r="D1391" s="114">
        <v>0.0010021517473512928</v>
      </c>
      <c r="E1391" s="114">
        <v>2.0580040105457464</v>
      </c>
      <c r="F1391" s="91" t="s">
        <v>2518</v>
      </c>
      <c r="G1391" s="91" t="b">
        <v>0</v>
      </c>
      <c r="H1391" s="91" t="b">
        <v>0</v>
      </c>
      <c r="I1391" s="91" t="b">
        <v>0</v>
      </c>
      <c r="J1391" s="91" t="b">
        <v>0</v>
      </c>
      <c r="K1391" s="91" t="b">
        <v>0</v>
      </c>
      <c r="L1391" s="91" t="b">
        <v>0</v>
      </c>
    </row>
    <row r="1392" spans="1:12" ht="15">
      <c r="A1392" s="92" t="s">
        <v>2580</v>
      </c>
      <c r="B1392" s="91" t="s">
        <v>2848</v>
      </c>
      <c r="C1392" s="91">
        <v>3</v>
      </c>
      <c r="D1392" s="114">
        <v>0.0010021517473512928</v>
      </c>
      <c r="E1392" s="114">
        <v>2.0580040105457464</v>
      </c>
      <c r="F1392" s="91" t="s">
        <v>2518</v>
      </c>
      <c r="G1392" s="91" t="b">
        <v>0</v>
      </c>
      <c r="H1392" s="91" t="b">
        <v>0</v>
      </c>
      <c r="I1392" s="91" t="b">
        <v>0</v>
      </c>
      <c r="J1392" s="91" t="b">
        <v>0</v>
      </c>
      <c r="K1392" s="91" t="b">
        <v>0</v>
      </c>
      <c r="L1392" s="91" t="b">
        <v>0</v>
      </c>
    </row>
    <row r="1393" spans="1:12" ht="15">
      <c r="A1393" s="92" t="s">
        <v>2848</v>
      </c>
      <c r="B1393" s="91" t="s">
        <v>2849</v>
      </c>
      <c r="C1393" s="91">
        <v>3</v>
      </c>
      <c r="D1393" s="114">
        <v>0.0010021517473512928</v>
      </c>
      <c r="E1393" s="114">
        <v>3.234095269601428</v>
      </c>
      <c r="F1393" s="91" t="s">
        <v>2518</v>
      </c>
      <c r="G1393" s="91" t="b">
        <v>0</v>
      </c>
      <c r="H1393" s="91" t="b">
        <v>0</v>
      </c>
      <c r="I1393" s="91" t="b">
        <v>0</v>
      </c>
      <c r="J1393" s="91" t="b">
        <v>0</v>
      </c>
      <c r="K1393" s="91" t="b">
        <v>0</v>
      </c>
      <c r="L1393" s="91" t="b">
        <v>0</v>
      </c>
    </row>
    <row r="1394" spans="1:12" ht="15">
      <c r="A1394" s="92" t="s">
        <v>2849</v>
      </c>
      <c r="B1394" s="91" t="s">
        <v>2850</v>
      </c>
      <c r="C1394" s="91">
        <v>3</v>
      </c>
      <c r="D1394" s="114">
        <v>0.0010021517473512928</v>
      </c>
      <c r="E1394" s="114">
        <v>3.234095269601428</v>
      </c>
      <c r="F1394" s="91" t="s">
        <v>2518</v>
      </c>
      <c r="G1394" s="91" t="b">
        <v>0</v>
      </c>
      <c r="H1394" s="91" t="b">
        <v>0</v>
      </c>
      <c r="I1394" s="91" t="b">
        <v>0</v>
      </c>
      <c r="J1394" s="91" t="b">
        <v>0</v>
      </c>
      <c r="K1394" s="91" t="b">
        <v>0</v>
      </c>
      <c r="L1394" s="91" t="b">
        <v>0</v>
      </c>
    </row>
    <row r="1395" spans="1:12" ht="15">
      <c r="A1395" s="92" t="s">
        <v>2850</v>
      </c>
      <c r="B1395" s="91" t="s">
        <v>2940</v>
      </c>
      <c r="C1395" s="91">
        <v>3</v>
      </c>
      <c r="D1395" s="114">
        <v>0.0010021517473512928</v>
      </c>
      <c r="E1395" s="114">
        <v>3.234095269601428</v>
      </c>
      <c r="F1395" s="91" t="s">
        <v>2518</v>
      </c>
      <c r="G1395" s="91" t="b">
        <v>0</v>
      </c>
      <c r="H1395" s="91" t="b">
        <v>0</v>
      </c>
      <c r="I1395" s="91" t="b">
        <v>0</v>
      </c>
      <c r="J1395" s="91" t="b">
        <v>0</v>
      </c>
      <c r="K1395" s="91" t="b">
        <v>0</v>
      </c>
      <c r="L1395" s="91" t="b">
        <v>0</v>
      </c>
    </row>
    <row r="1396" spans="1:12" ht="15">
      <c r="A1396" s="92" t="s">
        <v>2940</v>
      </c>
      <c r="B1396" s="91" t="s">
        <v>2571</v>
      </c>
      <c r="C1396" s="91">
        <v>3</v>
      </c>
      <c r="D1396" s="114">
        <v>0.0010021517473512928</v>
      </c>
      <c r="E1396" s="114">
        <v>1.7569740148817652</v>
      </c>
      <c r="F1396" s="91" t="s">
        <v>2518</v>
      </c>
      <c r="G1396" s="91" t="b">
        <v>0</v>
      </c>
      <c r="H1396" s="91" t="b">
        <v>0</v>
      </c>
      <c r="I1396" s="91" t="b">
        <v>0</v>
      </c>
      <c r="J1396" s="91" t="b">
        <v>0</v>
      </c>
      <c r="K1396" s="91" t="b">
        <v>0</v>
      </c>
      <c r="L1396" s="91" t="b">
        <v>0</v>
      </c>
    </row>
    <row r="1397" spans="1:12" ht="15">
      <c r="A1397" s="92" t="s">
        <v>2622</v>
      </c>
      <c r="B1397" s="91" t="s">
        <v>2564</v>
      </c>
      <c r="C1397" s="91">
        <v>3</v>
      </c>
      <c r="D1397" s="114">
        <v>0.0010021517473512928</v>
      </c>
      <c r="E1397" s="114">
        <v>0.7869372382592084</v>
      </c>
      <c r="F1397" s="91" t="s">
        <v>2518</v>
      </c>
      <c r="G1397" s="91" t="b">
        <v>0</v>
      </c>
      <c r="H1397" s="91" t="b">
        <v>0</v>
      </c>
      <c r="I1397" s="91" t="b">
        <v>0</v>
      </c>
      <c r="J1397" s="91" t="b">
        <v>0</v>
      </c>
      <c r="K1397" s="91" t="b">
        <v>0</v>
      </c>
      <c r="L1397" s="91" t="b">
        <v>0</v>
      </c>
    </row>
    <row r="1398" spans="1:12" ht="15">
      <c r="A1398" s="92" t="s">
        <v>2574</v>
      </c>
      <c r="B1398" s="91" t="s">
        <v>2609</v>
      </c>
      <c r="C1398" s="91">
        <v>3</v>
      </c>
      <c r="D1398" s="114">
        <v>0.0010021517473512928</v>
      </c>
      <c r="E1398" s="114">
        <v>1.3532816773206364</v>
      </c>
      <c r="F1398" s="91" t="s">
        <v>2518</v>
      </c>
      <c r="G1398" s="91" t="b">
        <v>0</v>
      </c>
      <c r="H1398" s="91" t="b">
        <v>0</v>
      </c>
      <c r="I1398" s="91" t="b">
        <v>0</v>
      </c>
      <c r="J1398" s="91" t="b">
        <v>0</v>
      </c>
      <c r="K1398" s="91" t="b">
        <v>0</v>
      </c>
      <c r="L1398" s="91" t="b">
        <v>0</v>
      </c>
    </row>
    <row r="1399" spans="1:12" ht="15">
      <c r="A1399" s="92" t="s">
        <v>2609</v>
      </c>
      <c r="B1399" s="91" t="s">
        <v>2585</v>
      </c>
      <c r="C1399" s="91">
        <v>3</v>
      </c>
      <c r="D1399" s="114">
        <v>0.0010021517473512928</v>
      </c>
      <c r="E1399" s="114">
        <v>1.6108459792035272</v>
      </c>
      <c r="F1399" s="91" t="s">
        <v>2518</v>
      </c>
      <c r="G1399" s="91" t="b">
        <v>0</v>
      </c>
      <c r="H1399" s="91" t="b">
        <v>0</v>
      </c>
      <c r="I1399" s="91" t="b">
        <v>0</v>
      </c>
      <c r="J1399" s="91" t="b">
        <v>0</v>
      </c>
      <c r="K1399" s="91" t="b">
        <v>0</v>
      </c>
      <c r="L1399" s="91" t="b">
        <v>0</v>
      </c>
    </row>
    <row r="1400" spans="1:12" ht="15">
      <c r="A1400" s="92" t="s">
        <v>2770</v>
      </c>
      <c r="B1400" s="91" t="s">
        <v>2588</v>
      </c>
      <c r="C1400" s="91">
        <v>3</v>
      </c>
      <c r="D1400" s="114">
        <v>0.0010021517473512928</v>
      </c>
      <c r="E1400" s="114">
        <v>2.0422097433625144</v>
      </c>
      <c r="F1400" s="91" t="s">
        <v>2518</v>
      </c>
      <c r="G1400" s="91" t="b">
        <v>0</v>
      </c>
      <c r="H1400" s="91" t="b">
        <v>0</v>
      </c>
      <c r="I1400" s="91" t="b">
        <v>0</v>
      </c>
      <c r="J1400" s="91" t="b">
        <v>0</v>
      </c>
      <c r="K1400" s="91" t="b">
        <v>0</v>
      </c>
      <c r="L1400" s="91" t="b">
        <v>0</v>
      </c>
    </row>
    <row r="1401" spans="1:12" ht="15">
      <c r="A1401" s="92" t="s">
        <v>2588</v>
      </c>
      <c r="B1401" s="91" t="s">
        <v>2579</v>
      </c>
      <c r="C1401" s="91">
        <v>3</v>
      </c>
      <c r="D1401" s="114">
        <v>0.0010021517473512928</v>
      </c>
      <c r="E1401" s="114">
        <v>0.9487880582002793</v>
      </c>
      <c r="F1401" s="91" t="s">
        <v>2518</v>
      </c>
      <c r="G1401" s="91" t="b">
        <v>0</v>
      </c>
      <c r="H1401" s="91" t="b">
        <v>0</v>
      </c>
      <c r="I1401" s="91" t="b">
        <v>0</v>
      </c>
      <c r="J1401" s="91" t="b">
        <v>0</v>
      </c>
      <c r="K1401" s="91" t="b">
        <v>0</v>
      </c>
      <c r="L1401" s="91" t="b">
        <v>0</v>
      </c>
    </row>
    <row r="1402" spans="1:12" ht="15">
      <c r="A1402" s="92" t="s">
        <v>2575</v>
      </c>
      <c r="B1402" s="91" t="s">
        <v>2573</v>
      </c>
      <c r="C1402" s="91">
        <v>3</v>
      </c>
      <c r="D1402" s="114">
        <v>0.0010021517473512928</v>
      </c>
      <c r="E1402" s="114">
        <v>0.37569176280763356</v>
      </c>
      <c r="F1402" s="91" t="s">
        <v>2518</v>
      </c>
      <c r="G1402" s="91" t="b">
        <v>0</v>
      </c>
      <c r="H1402" s="91" t="b">
        <v>0</v>
      </c>
      <c r="I1402" s="91" t="b">
        <v>0</v>
      </c>
      <c r="J1402" s="91" t="b">
        <v>0</v>
      </c>
      <c r="K1402" s="91" t="b">
        <v>0</v>
      </c>
      <c r="L1402" s="91" t="b">
        <v>0</v>
      </c>
    </row>
    <row r="1403" spans="1:12" ht="15">
      <c r="A1403" s="92" t="s">
        <v>2594</v>
      </c>
      <c r="B1403" s="91" t="s">
        <v>2567</v>
      </c>
      <c r="C1403" s="91">
        <v>3</v>
      </c>
      <c r="D1403" s="114">
        <v>0.0010021517473512928</v>
      </c>
      <c r="E1403" s="114">
        <v>1.206519171870089</v>
      </c>
      <c r="F1403" s="91" t="s">
        <v>2518</v>
      </c>
      <c r="G1403" s="91" t="b">
        <v>0</v>
      </c>
      <c r="H1403" s="91" t="b">
        <v>0</v>
      </c>
      <c r="I1403" s="91" t="b">
        <v>0</v>
      </c>
      <c r="J1403" s="91" t="b">
        <v>0</v>
      </c>
      <c r="K1403" s="91" t="b">
        <v>0</v>
      </c>
      <c r="L1403" s="91" t="b">
        <v>0</v>
      </c>
    </row>
    <row r="1404" spans="1:12" ht="15">
      <c r="A1404" s="92" t="s">
        <v>2779</v>
      </c>
      <c r="B1404" s="91" t="s">
        <v>417</v>
      </c>
      <c r="C1404" s="91">
        <v>3</v>
      </c>
      <c r="D1404" s="114">
        <v>0.0010021517473512928</v>
      </c>
      <c r="E1404" s="114">
        <v>3.012246519985071</v>
      </c>
      <c r="F1404" s="91" t="s">
        <v>2518</v>
      </c>
      <c r="G1404" s="91" t="b">
        <v>0</v>
      </c>
      <c r="H1404" s="91" t="b">
        <v>0</v>
      </c>
      <c r="I1404" s="91" t="b">
        <v>0</v>
      </c>
      <c r="J1404" s="91" t="b">
        <v>0</v>
      </c>
      <c r="K1404" s="91" t="b">
        <v>0</v>
      </c>
      <c r="L1404" s="91" t="b">
        <v>0</v>
      </c>
    </row>
    <row r="1405" spans="1:12" ht="15">
      <c r="A1405" s="92" t="s">
        <v>417</v>
      </c>
      <c r="B1405" s="91" t="s">
        <v>2663</v>
      </c>
      <c r="C1405" s="91">
        <v>3</v>
      </c>
      <c r="D1405" s="114">
        <v>0.0010021517473512928</v>
      </c>
      <c r="E1405" s="114">
        <v>3.234095269601428</v>
      </c>
      <c r="F1405" s="91" t="s">
        <v>2518</v>
      </c>
      <c r="G1405" s="91" t="b">
        <v>0</v>
      </c>
      <c r="H1405" s="91" t="b">
        <v>0</v>
      </c>
      <c r="I1405" s="91" t="b">
        <v>0</v>
      </c>
      <c r="J1405" s="91" t="b">
        <v>0</v>
      </c>
      <c r="K1405" s="91" t="b">
        <v>0</v>
      </c>
      <c r="L1405" s="91" t="b">
        <v>0</v>
      </c>
    </row>
    <row r="1406" spans="1:12" ht="15">
      <c r="A1406" s="92" t="s">
        <v>2566</v>
      </c>
      <c r="B1406" s="91" t="s">
        <v>3020</v>
      </c>
      <c r="C1406" s="91">
        <v>3</v>
      </c>
      <c r="D1406" s="114">
        <v>0.0010021517473512928</v>
      </c>
      <c r="E1406" s="114">
        <v>1.5265250935034913</v>
      </c>
      <c r="F1406" s="91" t="s">
        <v>2518</v>
      </c>
      <c r="G1406" s="91" t="b">
        <v>0</v>
      </c>
      <c r="H1406" s="91" t="b">
        <v>0</v>
      </c>
      <c r="I1406" s="91" t="b">
        <v>0</v>
      </c>
      <c r="J1406" s="91" t="b">
        <v>0</v>
      </c>
      <c r="K1406" s="91" t="b">
        <v>0</v>
      </c>
      <c r="L1406" s="91" t="b">
        <v>0</v>
      </c>
    </row>
    <row r="1407" spans="1:12" ht="15">
      <c r="A1407" s="92" t="s">
        <v>2608</v>
      </c>
      <c r="B1407" s="91" t="s">
        <v>2623</v>
      </c>
      <c r="C1407" s="91">
        <v>3</v>
      </c>
      <c r="D1407" s="114">
        <v>0.0010021517473512928</v>
      </c>
      <c r="E1407" s="114">
        <v>3.234095269601428</v>
      </c>
      <c r="F1407" s="91" t="s">
        <v>2518</v>
      </c>
      <c r="G1407" s="91" t="b">
        <v>0</v>
      </c>
      <c r="H1407" s="91" t="b">
        <v>0</v>
      </c>
      <c r="I1407" s="91" t="b">
        <v>0</v>
      </c>
      <c r="J1407" s="91" t="b">
        <v>0</v>
      </c>
      <c r="K1407" s="91" t="b">
        <v>0</v>
      </c>
      <c r="L1407" s="91" t="b">
        <v>0</v>
      </c>
    </row>
    <row r="1408" spans="1:12" ht="15">
      <c r="A1408" s="92" t="s">
        <v>2623</v>
      </c>
      <c r="B1408" s="91" t="s">
        <v>2579</v>
      </c>
      <c r="C1408" s="91">
        <v>3</v>
      </c>
      <c r="D1408" s="114">
        <v>0.0010021517473512928</v>
      </c>
      <c r="E1408" s="114">
        <v>1.9188248348228363</v>
      </c>
      <c r="F1408" s="91" t="s">
        <v>2518</v>
      </c>
      <c r="G1408" s="91" t="b">
        <v>0</v>
      </c>
      <c r="H1408" s="91" t="b">
        <v>0</v>
      </c>
      <c r="I1408" s="91" t="b">
        <v>0</v>
      </c>
      <c r="J1408" s="91" t="b">
        <v>0</v>
      </c>
      <c r="K1408" s="91" t="b">
        <v>0</v>
      </c>
      <c r="L1408" s="91" t="b">
        <v>0</v>
      </c>
    </row>
    <row r="1409" spans="1:12" ht="15">
      <c r="A1409" s="92" t="s">
        <v>2579</v>
      </c>
      <c r="B1409" s="91" t="s">
        <v>2565</v>
      </c>
      <c r="C1409" s="91">
        <v>3</v>
      </c>
      <c r="D1409" s="114">
        <v>0.0010021517473512928</v>
      </c>
      <c r="E1409" s="114">
        <v>0.2720944485754129</v>
      </c>
      <c r="F1409" s="91" t="s">
        <v>2518</v>
      </c>
      <c r="G1409" s="91" t="b">
        <v>0</v>
      </c>
      <c r="H1409" s="91" t="b">
        <v>0</v>
      </c>
      <c r="I1409" s="91" t="b">
        <v>0</v>
      </c>
      <c r="J1409" s="91" t="b">
        <v>0</v>
      </c>
      <c r="K1409" s="91" t="b">
        <v>0</v>
      </c>
      <c r="L1409" s="91" t="b">
        <v>0</v>
      </c>
    </row>
    <row r="1410" spans="1:12" ht="15">
      <c r="A1410" s="92" t="s">
        <v>2565</v>
      </c>
      <c r="B1410" s="91" t="s">
        <v>2624</v>
      </c>
      <c r="C1410" s="91">
        <v>3</v>
      </c>
      <c r="D1410" s="114">
        <v>0.0010021517473512928</v>
      </c>
      <c r="E1410" s="114">
        <v>1.5873648833540044</v>
      </c>
      <c r="F1410" s="91" t="s">
        <v>2518</v>
      </c>
      <c r="G1410" s="91" t="b">
        <v>0</v>
      </c>
      <c r="H1410" s="91" t="b">
        <v>0</v>
      </c>
      <c r="I1410" s="91" t="b">
        <v>0</v>
      </c>
      <c r="J1410" s="91" t="b">
        <v>0</v>
      </c>
      <c r="K1410" s="91" t="b">
        <v>0</v>
      </c>
      <c r="L1410" s="91" t="b">
        <v>0</v>
      </c>
    </row>
    <row r="1411" spans="1:12" ht="15">
      <c r="A1411" s="92" t="s">
        <v>2624</v>
      </c>
      <c r="B1411" s="91" t="s">
        <v>2625</v>
      </c>
      <c r="C1411" s="91">
        <v>3</v>
      </c>
      <c r="D1411" s="114">
        <v>0.0010021517473512928</v>
      </c>
      <c r="E1411" s="114">
        <v>3.234095269601428</v>
      </c>
      <c r="F1411" s="91" t="s">
        <v>2518</v>
      </c>
      <c r="G1411" s="91" t="b">
        <v>0</v>
      </c>
      <c r="H1411" s="91" t="b">
        <v>0</v>
      </c>
      <c r="I1411" s="91" t="b">
        <v>0</v>
      </c>
      <c r="J1411" s="91" t="b">
        <v>0</v>
      </c>
      <c r="K1411" s="91" t="b">
        <v>0</v>
      </c>
      <c r="L1411" s="91" t="b">
        <v>0</v>
      </c>
    </row>
    <row r="1412" spans="1:12" ht="15">
      <c r="A1412" s="92" t="s">
        <v>2625</v>
      </c>
      <c r="B1412" s="91" t="s">
        <v>2626</v>
      </c>
      <c r="C1412" s="91">
        <v>3</v>
      </c>
      <c r="D1412" s="114">
        <v>0.0010021517473512928</v>
      </c>
      <c r="E1412" s="114">
        <v>3.234095269601428</v>
      </c>
      <c r="F1412" s="91" t="s">
        <v>2518</v>
      </c>
      <c r="G1412" s="91" t="b">
        <v>0</v>
      </c>
      <c r="H1412" s="91" t="b">
        <v>0</v>
      </c>
      <c r="I1412" s="91" t="b">
        <v>0</v>
      </c>
      <c r="J1412" s="91" t="b">
        <v>0</v>
      </c>
      <c r="K1412" s="91" t="b">
        <v>0</v>
      </c>
      <c r="L1412" s="91" t="b">
        <v>0</v>
      </c>
    </row>
    <row r="1413" spans="1:12" ht="15">
      <c r="A1413" s="92" t="s">
        <v>2626</v>
      </c>
      <c r="B1413" s="91" t="s">
        <v>2627</v>
      </c>
      <c r="C1413" s="91">
        <v>3</v>
      </c>
      <c r="D1413" s="114">
        <v>0.0010021517473512928</v>
      </c>
      <c r="E1413" s="114">
        <v>3.234095269601428</v>
      </c>
      <c r="F1413" s="91" t="s">
        <v>2518</v>
      </c>
      <c r="G1413" s="91" t="b">
        <v>0</v>
      </c>
      <c r="H1413" s="91" t="b">
        <v>0</v>
      </c>
      <c r="I1413" s="91" t="b">
        <v>0</v>
      </c>
      <c r="J1413" s="91" t="b">
        <v>0</v>
      </c>
      <c r="K1413" s="91" t="b">
        <v>0</v>
      </c>
      <c r="L1413" s="91" t="b">
        <v>0</v>
      </c>
    </row>
    <row r="1414" spans="1:12" ht="15">
      <c r="A1414" s="92" t="s">
        <v>2627</v>
      </c>
      <c r="B1414" s="91" t="s">
        <v>2609</v>
      </c>
      <c r="C1414" s="91">
        <v>3</v>
      </c>
      <c r="D1414" s="114">
        <v>0.0010021517473512928</v>
      </c>
      <c r="E1414" s="114">
        <v>2.9330652739374465</v>
      </c>
      <c r="F1414" s="91" t="s">
        <v>2518</v>
      </c>
      <c r="G1414" s="91" t="b">
        <v>0</v>
      </c>
      <c r="H1414" s="91" t="b">
        <v>0</v>
      </c>
      <c r="I1414" s="91" t="b">
        <v>0</v>
      </c>
      <c r="J1414" s="91" t="b">
        <v>0</v>
      </c>
      <c r="K1414" s="91" t="b">
        <v>0</v>
      </c>
      <c r="L1414" s="91" t="b">
        <v>0</v>
      </c>
    </row>
    <row r="1415" spans="1:12" ht="15">
      <c r="A1415" s="92" t="s">
        <v>2609</v>
      </c>
      <c r="B1415" s="91" t="s">
        <v>2588</v>
      </c>
      <c r="C1415" s="91">
        <v>3</v>
      </c>
      <c r="D1415" s="114">
        <v>0.0010021517473512928</v>
      </c>
      <c r="E1415" s="114">
        <v>1.9630284973148897</v>
      </c>
      <c r="F1415" s="91" t="s">
        <v>2518</v>
      </c>
      <c r="G1415" s="91" t="b">
        <v>0</v>
      </c>
      <c r="H1415" s="91" t="b">
        <v>0</v>
      </c>
      <c r="I1415" s="91" t="b">
        <v>0</v>
      </c>
      <c r="J1415" s="91" t="b">
        <v>0</v>
      </c>
      <c r="K1415" s="91" t="b">
        <v>0</v>
      </c>
      <c r="L1415" s="91" t="b">
        <v>0</v>
      </c>
    </row>
    <row r="1416" spans="1:12" ht="15">
      <c r="A1416" s="92" t="s">
        <v>2588</v>
      </c>
      <c r="B1416" s="91" t="s">
        <v>2619</v>
      </c>
      <c r="C1416" s="91">
        <v>3</v>
      </c>
      <c r="D1416" s="114">
        <v>0.0010021517473512928</v>
      </c>
      <c r="E1416" s="114">
        <v>2.264058492978871</v>
      </c>
      <c r="F1416" s="91" t="s">
        <v>2518</v>
      </c>
      <c r="G1416" s="91" t="b">
        <v>0</v>
      </c>
      <c r="H1416" s="91" t="b">
        <v>0</v>
      </c>
      <c r="I1416" s="91" t="b">
        <v>0</v>
      </c>
      <c r="J1416" s="91" t="b">
        <v>0</v>
      </c>
      <c r="K1416" s="91" t="b">
        <v>0</v>
      </c>
      <c r="L1416" s="91" t="b">
        <v>0</v>
      </c>
    </row>
    <row r="1417" spans="1:12" ht="15">
      <c r="A1417" s="92" t="s">
        <v>2621</v>
      </c>
      <c r="B1417" s="91" t="s">
        <v>2564</v>
      </c>
      <c r="C1417" s="91">
        <v>3</v>
      </c>
      <c r="D1417" s="114">
        <v>0.0010021517473512928</v>
      </c>
      <c r="E1417" s="114">
        <v>1.455944019217784</v>
      </c>
      <c r="F1417" s="91" t="s">
        <v>2518</v>
      </c>
      <c r="G1417" s="91" t="b">
        <v>0</v>
      </c>
      <c r="H1417" s="91" t="b">
        <v>0</v>
      </c>
      <c r="I1417" s="91" t="b">
        <v>0</v>
      </c>
      <c r="J1417" s="91" t="b">
        <v>0</v>
      </c>
      <c r="K1417" s="91" t="b">
        <v>0</v>
      </c>
      <c r="L1417" s="91" t="b">
        <v>0</v>
      </c>
    </row>
    <row r="1418" spans="1:12" ht="15">
      <c r="A1418" s="92" t="s">
        <v>2564</v>
      </c>
      <c r="B1418" s="91" t="s">
        <v>2618</v>
      </c>
      <c r="C1418" s="91">
        <v>3</v>
      </c>
      <c r="D1418" s="114">
        <v>0.0010021517473512928</v>
      </c>
      <c r="E1418" s="114">
        <v>1.3507493408052411</v>
      </c>
      <c r="F1418" s="91" t="s">
        <v>2518</v>
      </c>
      <c r="G1418" s="91" t="b">
        <v>0</v>
      </c>
      <c r="H1418" s="91" t="b">
        <v>0</v>
      </c>
      <c r="I1418" s="91" t="b">
        <v>0</v>
      </c>
      <c r="J1418" s="91" t="b">
        <v>0</v>
      </c>
      <c r="K1418" s="91" t="b">
        <v>0</v>
      </c>
      <c r="L1418" s="91" t="b">
        <v>0</v>
      </c>
    </row>
    <row r="1419" spans="1:12" ht="15">
      <c r="A1419" s="92" t="s">
        <v>2618</v>
      </c>
      <c r="B1419" s="91" t="s">
        <v>2633</v>
      </c>
      <c r="C1419" s="91">
        <v>3</v>
      </c>
      <c r="D1419" s="114">
        <v>0.0010021517473512928</v>
      </c>
      <c r="E1419" s="114">
        <v>3.109156532993128</v>
      </c>
      <c r="F1419" s="91" t="s">
        <v>2518</v>
      </c>
      <c r="G1419" s="91" t="b">
        <v>0</v>
      </c>
      <c r="H1419" s="91" t="b">
        <v>0</v>
      </c>
      <c r="I1419" s="91" t="b">
        <v>0</v>
      </c>
      <c r="J1419" s="91" t="b">
        <v>0</v>
      </c>
      <c r="K1419" s="91" t="b">
        <v>0</v>
      </c>
      <c r="L1419" s="91" t="b">
        <v>0</v>
      </c>
    </row>
    <row r="1420" spans="1:12" ht="15">
      <c r="A1420" s="92" t="s">
        <v>2669</v>
      </c>
      <c r="B1420" s="91" t="s">
        <v>2795</v>
      </c>
      <c r="C1420" s="91">
        <v>3</v>
      </c>
      <c r="D1420" s="114">
        <v>0.0010021517473512928</v>
      </c>
      <c r="E1420" s="114">
        <v>2.455944019217784</v>
      </c>
      <c r="F1420" s="91" t="s">
        <v>2518</v>
      </c>
      <c r="G1420" s="91" t="b">
        <v>0</v>
      </c>
      <c r="H1420" s="91" t="b">
        <v>0</v>
      </c>
      <c r="I1420" s="91" t="b">
        <v>0</v>
      </c>
      <c r="J1420" s="91" t="b">
        <v>0</v>
      </c>
      <c r="K1420" s="91" t="b">
        <v>0</v>
      </c>
      <c r="L1420" s="91" t="b">
        <v>0</v>
      </c>
    </row>
    <row r="1421" spans="1:12" ht="15">
      <c r="A1421" s="92" t="s">
        <v>2795</v>
      </c>
      <c r="B1421" s="91" t="s">
        <v>2796</v>
      </c>
      <c r="C1421" s="91">
        <v>3</v>
      </c>
      <c r="D1421" s="114">
        <v>0.0010021517473512928</v>
      </c>
      <c r="E1421" s="114">
        <v>3.012246519985071</v>
      </c>
      <c r="F1421" s="91" t="s">
        <v>2518</v>
      </c>
      <c r="G1421" s="91" t="b">
        <v>0</v>
      </c>
      <c r="H1421" s="91" t="b">
        <v>0</v>
      </c>
      <c r="I1421" s="91" t="b">
        <v>0</v>
      </c>
      <c r="J1421" s="91" t="b">
        <v>0</v>
      </c>
      <c r="K1421" s="91" t="b">
        <v>0</v>
      </c>
      <c r="L1421" s="91" t="b">
        <v>0</v>
      </c>
    </row>
    <row r="1422" spans="1:12" ht="15">
      <c r="A1422" s="92" t="s">
        <v>2796</v>
      </c>
      <c r="B1422" s="91" t="s">
        <v>2895</v>
      </c>
      <c r="C1422" s="91">
        <v>3</v>
      </c>
      <c r="D1422" s="114">
        <v>0.0010021517473512928</v>
      </c>
      <c r="E1422" s="114">
        <v>3.012246519985071</v>
      </c>
      <c r="F1422" s="91" t="s">
        <v>2518</v>
      </c>
      <c r="G1422" s="91" t="b">
        <v>0</v>
      </c>
      <c r="H1422" s="91" t="b">
        <v>0</v>
      </c>
      <c r="I1422" s="91" t="b">
        <v>0</v>
      </c>
      <c r="J1422" s="91" t="b">
        <v>0</v>
      </c>
      <c r="K1422" s="91" t="b">
        <v>0</v>
      </c>
      <c r="L1422" s="91" t="b">
        <v>0</v>
      </c>
    </row>
    <row r="1423" spans="1:12" ht="15">
      <c r="A1423" s="92" t="s">
        <v>2895</v>
      </c>
      <c r="B1423" s="91" t="s">
        <v>2612</v>
      </c>
      <c r="C1423" s="91">
        <v>3</v>
      </c>
      <c r="D1423" s="114">
        <v>0.0010021517473512928</v>
      </c>
      <c r="E1423" s="114">
        <v>2.5070965416651654</v>
      </c>
      <c r="F1423" s="91" t="s">
        <v>2518</v>
      </c>
      <c r="G1423" s="91" t="b">
        <v>0</v>
      </c>
      <c r="H1423" s="91" t="b">
        <v>0</v>
      </c>
      <c r="I1423" s="91" t="b">
        <v>0</v>
      </c>
      <c r="J1423" s="91" t="b">
        <v>0</v>
      </c>
      <c r="K1423" s="91" t="b">
        <v>0</v>
      </c>
      <c r="L1423" s="91" t="b">
        <v>0</v>
      </c>
    </row>
    <row r="1424" spans="1:12" ht="15">
      <c r="A1424" s="92" t="s">
        <v>2612</v>
      </c>
      <c r="B1424" s="91" t="s">
        <v>2564</v>
      </c>
      <c r="C1424" s="91">
        <v>3</v>
      </c>
      <c r="D1424" s="114">
        <v>0.0010021517473512928</v>
      </c>
      <c r="E1424" s="114">
        <v>0.7289452912815216</v>
      </c>
      <c r="F1424" s="91" t="s">
        <v>2518</v>
      </c>
      <c r="G1424" s="91" t="b">
        <v>0</v>
      </c>
      <c r="H1424" s="91" t="b">
        <v>0</v>
      </c>
      <c r="I1424" s="91" t="b">
        <v>0</v>
      </c>
      <c r="J1424" s="91" t="b">
        <v>0</v>
      </c>
      <c r="K1424" s="91" t="b">
        <v>0</v>
      </c>
      <c r="L1424" s="91" t="b">
        <v>0</v>
      </c>
    </row>
    <row r="1425" spans="1:12" ht="15">
      <c r="A1425" s="92" t="s">
        <v>2564</v>
      </c>
      <c r="B1425" s="91" t="s">
        <v>2585</v>
      </c>
      <c r="C1425" s="91">
        <v>3</v>
      </c>
      <c r="D1425" s="114">
        <v>0.0010021517473512928</v>
      </c>
      <c r="E1425" s="114">
        <v>0.15346878267962188</v>
      </c>
      <c r="F1425" s="91" t="s">
        <v>2518</v>
      </c>
      <c r="G1425" s="91" t="b">
        <v>0</v>
      </c>
      <c r="H1425" s="91" t="b">
        <v>0</v>
      </c>
      <c r="I1425" s="91" t="b">
        <v>0</v>
      </c>
      <c r="J1425" s="91" t="b">
        <v>0</v>
      </c>
      <c r="K1425" s="91" t="b">
        <v>0</v>
      </c>
      <c r="L1425" s="91" t="b">
        <v>0</v>
      </c>
    </row>
    <row r="1426" spans="1:12" ht="15">
      <c r="A1426" s="92" t="s">
        <v>2566</v>
      </c>
      <c r="B1426" s="91" t="s">
        <v>2851</v>
      </c>
      <c r="C1426" s="91">
        <v>3</v>
      </c>
      <c r="D1426" s="114">
        <v>0.0010021517473512928</v>
      </c>
      <c r="E1426" s="114">
        <v>1.5265250935034913</v>
      </c>
      <c r="F1426" s="91" t="s">
        <v>2518</v>
      </c>
      <c r="G1426" s="91" t="b">
        <v>0</v>
      </c>
      <c r="H1426" s="91" t="b">
        <v>0</v>
      </c>
      <c r="I1426" s="91" t="b">
        <v>0</v>
      </c>
      <c r="J1426" s="91" t="b">
        <v>0</v>
      </c>
      <c r="K1426" s="91" t="b">
        <v>0</v>
      </c>
      <c r="L1426" s="91" t="b">
        <v>0</v>
      </c>
    </row>
    <row r="1427" spans="1:12" ht="15">
      <c r="A1427" s="92" t="s">
        <v>2851</v>
      </c>
      <c r="B1427" s="91" t="s">
        <v>3021</v>
      </c>
      <c r="C1427" s="91">
        <v>3</v>
      </c>
      <c r="D1427" s="114">
        <v>0.0010021517473512928</v>
      </c>
      <c r="E1427" s="114">
        <v>3.234095269601428</v>
      </c>
      <c r="F1427" s="91" t="s">
        <v>2518</v>
      </c>
      <c r="G1427" s="91" t="b">
        <v>0</v>
      </c>
      <c r="H1427" s="91" t="b">
        <v>0</v>
      </c>
      <c r="I1427" s="91" t="b">
        <v>0</v>
      </c>
      <c r="J1427" s="91" t="b">
        <v>0</v>
      </c>
      <c r="K1427" s="91" t="b">
        <v>0</v>
      </c>
      <c r="L1427" s="91" t="b">
        <v>0</v>
      </c>
    </row>
    <row r="1428" spans="1:12" ht="15">
      <c r="A1428" s="92" t="s">
        <v>3021</v>
      </c>
      <c r="B1428" s="91" t="s">
        <v>3022</v>
      </c>
      <c r="C1428" s="91">
        <v>3</v>
      </c>
      <c r="D1428" s="114">
        <v>0.0010021517473512928</v>
      </c>
      <c r="E1428" s="114">
        <v>3.234095269601428</v>
      </c>
      <c r="F1428" s="91" t="s">
        <v>2518</v>
      </c>
      <c r="G1428" s="91" t="b">
        <v>0</v>
      </c>
      <c r="H1428" s="91" t="b">
        <v>0</v>
      </c>
      <c r="I1428" s="91" t="b">
        <v>0</v>
      </c>
      <c r="J1428" s="91" t="b">
        <v>0</v>
      </c>
      <c r="K1428" s="91" t="b">
        <v>0</v>
      </c>
      <c r="L1428" s="91" t="b">
        <v>0</v>
      </c>
    </row>
    <row r="1429" spans="1:12" ht="15">
      <c r="A1429" s="92" t="s">
        <v>2575</v>
      </c>
      <c r="B1429" s="91" t="s">
        <v>2612</v>
      </c>
      <c r="C1429" s="91">
        <v>3</v>
      </c>
      <c r="D1429" s="114">
        <v>0.0010021517473512928</v>
      </c>
      <c r="E1429" s="114">
        <v>0.9197598071579093</v>
      </c>
      <c r="F1429" s="91" t="s">
        <v>2518</v>
      </c>
      <c r="G1429" s="91" t="b">
        <v>0</v>
      </c>
      <c r="H1429" s="91" t="b">
        <v>0</v>
      </c>
      <c r="I1429" s="91" t="b">
        <v>0</v>
      </c>
      <c r="J1429" s="91" t="b">
        <v>0</v>
      </c>
      <c r="K1429" s="91" t="b">
        <v>0</v>
      </c>
      <c r="L1429" s="91" t="b">
        <v>0</v>
      </c>
    </row>
    <row r="1430" spans="1:12" ht="15">
      <c r="A1430" s="92" t="s">
        <v>2860</v>
      </c>
      <c r="B1430" s="91" t="s">
        <v>2861</v>
      </c>
      <c r="C1430" s="91">
        <v>3</v>
      </c>
      <c r="D1430" s="114">
        <v>0.0010021517473512928</v>
      </c>
      <c r="E1430" s="114">
        <v>3.234095269601428</v>
      </c>
      <c r="F1430" s="91" t="s">
        <v>2518</v>
      </c>
      <c r="G1430" s="91" t="b">
        <v>0</v>
      </c>
      <c r="H1430" s="91" t="b">
        <v>0</v>
      </c>
      <c r="I1430" s="91" t="b">
        <v>0</v>
      </c>
      <c r="J1430" s="91" t="b">
        <v>0</v>
      </c>
      <c r="K1430" s="91" t="b">
        <v>0</v>
      </c>
      <c r="L1430" s="91" t="b">
        <v>0</v>
      </c>
    </row>
    <row r="1431" spans="1:12" ht="15">
      <c r="A1431" s="92" t="s">
        <v>2861</v>
      </c>
      <c r="B1431" s="91" t="s">
        <v>2582</v>
      </c>
      <c r="C1431" s="91">
        <v>3</v>
      </c>
      <c r="D1431" s="114">
        <v>0.0010021517473512928</v>
      </c>
      <c r="E1431" s="114">
        <v>2.432462923368261</v>
      </c>
      <c r="F1431" s="91" t="s">
        <v>2518</v>
      </c>
      <c r="G1431" s="91" t="b">
        <v>0</v>
      </c>
      <c r="H1431" s="91" t="b">
        <v>0</v>
      </c>
      <c r="I1431" s="91" t="b">
        <v>0</v>
      </c>
      <c r="J1431" s="91" t="b">
        <v>0</v>
      </c>
      <c r="K1431" s="91" t="b">
        <v>0</v>
      </c>
      <c r="L1431" s="91" t="b">
        <v>0</v>
      </c>
    </row>
    <row r="1432" spans="1:12" ht="15">
      <c r="A1432" s="92" t="s">
        <v>2582</v>
      </c>
      <c r="B1432" s="91" t="s">
        <v>2862</v>
      </c>
      <c r="C1432" s="91">
        <v>3</v>
      </c>
      <c r="D1432" s="114">
        <v>0.0010021517473512928</v>
      </c>
      <c r="E1432" s="114">
        <v>2.432462923368261</v>
      </c>
      <c r="F1432" s="91" t="s">
        <v>2518</v>
      </c>
      <c r="G1432" s="91" t="b">
        <v>0</v>
      </c>
      <c r="H1432" s="91" t="b">
        <v>0</v>
      </c>
      <c r="I1432" s="91" t="b">
        <v>0</v>
      </c>
      <c r="J1432" s="91" t="b">
        <v>0</v>
      </c>
      <c r="K1432" s="91" t="b">
        <v>0</v>
      </c>
      <c r="L1432" s="91" t="b">
        <v>0</v>
      </c>
    </row>
    <row r="1433" spans="1:12" ht="15">
      <c r="A1433" s="92" t="s">
        <v>2862</v>
      </c>
      <c r="B1433" s="91" t="s">
        <v>2736</v>
      </c>
      <c r="C1433" s="91">
        <v>3</v>
      </c>
      <c r="D1433" s="114">
        <v>0.0010021517473512928</v>
      </c>
      <c r="E1433" s="114">
        <v>2.71121652432109</v>
      </c>
      <c r="F1433" s="91" t="s">
        <v>2518</v>
      </c>
      <c r="G1433" s="91" t="b">
        <v>0</v>
      </c>
      <c r="H1433" s="91" t="b">
        <v>0</v>
      </c>
      <c r="I1433" s="91" t="b">
        <v>0</v>
      </c>
      <c r="J1433" s="91" t="b">
        <v>0</v>
      </c>
      <c r="K1433" s="91" t="b">
        <v>0</v>
      </c>
      <c r="L1433" s="91" t="b">
        <v>0</v>
      </c>
    </row>
    <row r="1434" spans="1:12" ht="15">
      <c r="A1434" s="92" t="s">
        <v>2736</v>
      </c>
      <c r="B1434" s="91" t="s">
        <v>2587</v>
      </c>
      <c r="C1434" s="91">
        <v>3</v>
      </c>
      <c r="D1434" s="114">
        <v>0.0010021517473512928</v>
      </c>
      <c r="E1434" s="114">
        <v>1.3432397390264956</v>
      </c>
      <c r="F1434" s="91" t="s">
        <v>2518</v>
      </c>
      <c r="G1434" s="91" t="b">
        <v>0</v>
      </c>
      <c r="H1434" s="91" t="b">
        <v>0</v>
      </c>
      <c r="I1434" s="91" t="b">
        <v>0</v>
      </c>
      <c r="J1434" s="91" t="b">
        <v>0</v>
      </c>
      <c r="K1434" s="91" t="b">
        <v>0</v>
      </c>
      <c r="L1434" s="91" t="b">
        <v>0</v>
      </c>
    </row>
    <row r="1435" spans="1:12" ht="15">
      <c r="A1435" s="92" t="s">
        <v>2587</v>
      </c>
      <c r="B1435" s="91" t="s">
        <v>2719</v>
      </c>
      <c r="C1435" s="91">
        <v>3</v>
      </c>
      <c r="D1435" s="114">
        <v>0.0010021517473512928</v>
      </c>
      <c r="E1435" s="114">
        <v>1.8661184843068332</v>
      </c>
      <c r="F1435" s="91" t="s">
        <v>2518</v>
      </c>
      <c r="G1435" s="91" t="b">
        <v>0</v>
      </c>
      <c r="H1435" s="91" t="b">
        <v>0</v>
      </c>
      <c r="I1435" s="91" t="b">
        <v>0</v>
      </c>
      <c r="J1435" s="91" t="b">
        <v>0</v>
      </c>
      <c r="K1435" s="91" t="b">
        <v>0</v>
      </c>
      <c r="L1435" s="91" t="b">
        <v>0</v>
      </c>
    </row>
    <row r="1436" spans="1:12" ht="15">
      <c r="A1436" s="92" t="s">
        <v>2719</v>
      </c>
      <c r="B1436" s="91" t="s">
        <v>2648</v>
      </c>
      <c r="C1436" s="91">
        <v>3</v>
      </c>
      <c r="D1436" s="114">
        <v>0.0010021517473512928</v>
      </c>
      <c r="E1436" s="114">
        <v>2.866118484306833</v>
      </c>
      <c r="F1436" s="91" t="s">
        <v>2518</v>
      </c>
      <c r="G1436" s="91" t="b">
        <v>0</v>
      </c>
      <c r="H1436" s="91" t="b">
        <v>0</v>
      </c>
      <c r="I1436" s="91" t="b">
        <v>0</v>
      </c>
      <c r="J1436" s="91" t="b">
        <v>0</v>
      </c>
      <c r="K1436" s="91" t="b">
        <v>0</v>
      </c>
      <c r="L1436" s="91" t="b">
        <v>0</v>
      </c>
    </row>
    <row r="1437" spans="1:12" ht="15">
      <c r="A1437" s="92" t="s">
        <v>2648</v>
      </c>
      <c r="B1437" s="91" t="s">
        <v>2831</v>
      </c>
      <c r="C1437" s="91">
        <v>3</v>
      </c>
      <c r="D1437" s="114">
        <v>0.0010021517473512928</v>
      </c>
      <c r="E1437" s="114">
        <v>2.866118484306833</v>
      </c>
      <c r="F1437" s="91" t="s">
        <v>2518</v>
      </c>
      <c r="G1437" s="91" t="b">
        <v>0</v>
      </c>
      <c r="H1437" s="91" t="b">
        <v>0</v>
      </c>
      <c r="I1437" s="91" t="b">
        <v>0</v>
      </c>
      <c r="J1437" s="91" t="b">
        <v>0</v>
      </c>
      <c r="K1437" s="91" t="b">
        <v>0</v>
      </c>
      <c r="L1437" s="91" t="b">
        <v>0</v>
      </c>
    </row>
    <row r="1438" spans="1:12" ht="15">
      <c r="A1438" s="92" t="s">
        <v>2831</v>
      </c>
      <c r="B1438" s="91" t="s">
        <v>2636</v>
      </c>
      <c r="C1438" s="91">
        <v>3</v>
      </c>
      <c r="D1438" s="114">
        <v>0.0010021517473512928</v>
      </c>
      <c r="E1438" s="114">
        <v>2.756974014881765</v>
      </c>
      <c r="F1438" s="91" t="s">
        <v>2518</v>
      </c>
      <c r="G1438" s="91" t="b">
        <v>0</v>
      </c>
      <c r="H1438" s="91" t="b">
        <v>0</v>
      </c>
      <c r="I1438" s="91" t="b">
        <v>0</v>
      </c>
      <c r="J1438" s="91" t="b">
        <v>0</v>
      </c>
      <c r="K1438" s="91" t="b">
        <v>0</v>
      </c>
      <c r="L1438" s="91" t="b">
        <v>0</v>
      </c>
    </row>
    <row r="1439" spans="1:12" ht="15">
      <c r="A1439" s="92" t="s">
        <v>2636</v>
      </c>
      <c r="B1439" s="91" t="s">
        <v>2863</v>
      </c>
      <c r="C1439" s="91">
        <v>3</v>
      </c>
      <c r="D1439" s="114">
        <v>0.0010021517473512928</v>
      </c>
      <c r="E1439" s="114">
        <v>2.296243176350272</v>
      </c>
      <c r="F1439" s="91" t="s">
        <v>2518</v>
      </c>
      <c r="G1439" s="91" t="b">
        <v>0</v>
      </c>
      <c r="H1439" s="91" t="b">
        <v>0</v>
      </c>
      <c r="I1439" s="91" t="b">
        <v>0</v>
      </c>
      <c r="J1439" s="91" t="b">
        <v>0</v>
      </c>
      <c r="K1439" s="91" t="b">
        <v>0</v>
      </c>
      <c r="L1439" s="91" t="b">
        <v>0</v>
      </c>
    </row>
    <row r="1440" spans="1:12" ht="15">
      <c r="A1440" s="92" t="s">
        <v>2863</v>
      </c>
      <c r="B1440" s="91" t="s">
        <v>2607</v>
      </c>
      <c r="C1440" s="91">
        <v>3</v>
      </c>
      <c r="D1440" s="114">
        <v>0.0010021517473512928</v>
      </c>
      <c r="E1440" s="114">
        <v>2.1549140235538027</v>
      </c>
      <c r="F1440" s="91" t="s">
        <v>2518</v>
      </c>
      <c r="G1440" s="91" t="b">
        <v>0</v>
      </c>
      <c r="H1440" s="91" t="b">
        <v>0</v>
      </c>
      <c r="I1440" s="91" t="b">
        <v>0</v>
      </c>
      <c r="J1440" s="91" t="b">
        <v>0</v>
      </c>
      <c r="K1440" s="91" t="b">
        <v>0</v>
      </c>
      <c r="L1440" s="91" t="b">
        <v>0</v>
      </c>
    </row>
    <row r="1441" spans="1:12" ht="15">
      <c r="A1441" s="92" t="s">
        <v>2607</v>
      </c>
      <c r="B1441" s="91" t="s">
        <v>2832</v>
      </c>
      <c r="C1441" s="91">
        <v>3</v>
      </c>
      <c r="D1441" s="114">
        <v>0.0010021517473512928</v>
      </c>
      <c r="E1441" s="114">
        <v>2.1549140235538027</v>
      </c>
      <c r="F1441" s="91" t="s">
        <v>2518</v>
      </c>
      <c r="G1441" s="91" t="b">
        <v>0</v>
      </c>
      <c r="H1441" s="91" t="b">
        <v>0</v>
      </c>
      <c r="I1441" s="91" t="b">
        <v>0</v>
      </c>
      <c r="J1441" s="91" t="b">
        <v>0</v>
      </c>
      <c r="K1441" s="91" t="b">
        <v>0</v>
      </c>
      <c r="L1441" s="91" t="b">
        <v>0</v>
      </c>
    </row>
    <row r="1442" spans="1:12" ht="15">
      <c r="A1442" s="92" t="s">
        <v>2832</v>
      </c>
      <c r="B1442" s="91" t="s">
        <v>2582</v>
      </c>
      <c r="C1442" s="91">
        <v>3</v>
      </c>
      <c r="D1442" s="114">
        <v>0.0010021517473512928</v>
      </c>
      <c r="E1442" s="114">
        <v>2.432462923368261</v>
      </c>
      <c r="F1442" s="91" t="s">
        <v>2518</v>
      </c>
      <c r="G1442" s="91" t="b">
        <v>0</v>
      </c>
      <c r="H1442" s="91" t="b">
        <v>0</v>
      </c>
      <c r="I1442" s="91" t="b">
        <v>0</v>
      </c>
      <c r="J1442" s="91" t="b">
        <v>0</v>
      </c>
      <c r="K1442" s="91" t="b">
        <v>0</v>
      </c>
      <c r="L1442" s="91" t="b">
        <v>0</v>
      </c>
    </row>
    <row r="1443" spans="1:12" ht="15">
      <c r="A1443" s="92" t="s">
        <v>2582</v>
      </c>
      <c r="B1443" s="91" t="s">
        <v>2864</v>
      </c>
      <c r="C1443" s="91">
        <v>3</v>
      </c>
      <c r="D1443" s="114">
        <v>0.0010021517473512928</v>
      </c>
      <c r="E1443" s="114">
        <v>2.432462923368261</v>
      </c>
      <c r="F1443" s="91" t="s">
        <v>2518</v>
      </c>
      <c r="G1443" s="91" t="b">
        <v>0</v>
      </c>
      <c r="H1443" s="91" t="b">
        <v>0</v>
      </c>
      <c r="I1443" s="91" t="b">
        <v>0</v>
      </c>
      <c r="J1443" s="91" t="b">
        <v>0</v>
      </c>
      <c r="K1443" s="91" t="b">
        <v>0</v>
      </c>
      <c r="L1443" s="91" t="b">
        <v>0</v>
      </c>
    </row>
    <row r="1444" spans="1:12" ht="15">
      <c r="A1444" s="92" t="s">
        <v>2864</v>
      </c>
      <c r="B1444" s="91" t="s">
        <v>2720</v>
      </c>
      <c r="C1444" s="91">
        <v>3</v>
      </c>
      <c r="D1444" s="114">
        <v>0.0010021517473512928</v>
      </c>
      <c r="E1444" s="114">
        <v>2.9330652739374465</v>
      </c>
      <c r="F1444" s="91" t="s">
        <v>2518</v>
      </c>
      <c r="G1444" s="91" t="b">
        <v>0</v>
      </c>
      <c r="H1444" s="91" t="b">
        <v>0</v>
      </c>
      <c r="I1444" s="91" t="b">
        <v>0</v>
      </c>
      <c r="J1444" s="91" t="b">
        <v>0</v>
      </c>
      <c r="K1444" s="91" t="b">
        <v>0</v>
      </c>
      <c r="L1444" s="91" t="b">
        <v>0</v>
      </c>
    </row>
    <row r="1445" spans="1:12" ht="15">
      <c r="A1445" s="92" t="s">
        <v>2720</v>
      </c>
      <c r="B1445" s="91" t="s">
        <v>2865</v>
      </c>
      <c r="C1445" s="91">
        <v>3</v>
      </c>
      <c r="D1445" s="114">
        <v>0.0010021517473512928</v>
      </c>
      <c r="E1445" s="114">
        <v>2.9330652739374465</v>
      </c>
      <c r="F1445" s="91" t="s">
        <v>2518</v>
      </c>
      <c r="G1445" s="91" t="b">
        <v>0</v>
      </c>
      <c r="H1445" s="91" t="b">
        <v>0</v>
      </c>
      <c r="I1445" s="91" t="b">
        <v>0</v>
      </c>
      <c r="J1445" s="91" t="b">
        <v>0</v>
      </c>
      <c r="K1445" s="91" t="b">
        <v>0</v>
      </c>
      <c r="L1445" s="91" t="b">
        <v>0</v>
      </c>
    </row>
    <row r="1446" spans="1:12" ht="15">
      <c r="A1446" s="92" t="s">
        <v>2865</v>
      </c>
      <c r="B1446" s="91" t="s">
        <v>2752</v>
      </c>
      <c r="C1446" s="91">
        <v>3</v>
      </c>
      <c r="D1446" s="114">
        <v>0.0010021517473512928</v>
      </c>
      <c r="E1446" s="114">
        <v>3.234095269601428</v>
      </c>
      <c r="F1446" s="91" t="s">
        <v>2518</v>
      </c>
      <c r="G1446" s="91" t="b">
        <v>0</v>
      </c>
      <c r="H1446" s="91" t="b">
        <v>0</v>
      </c>
      <c r="I1446" s="91" t="b">
        <v>0</v>
      </c>
      <c r="J1446" s="91" t="b">
        <v>0</v>
      </c>
      <c r="K1446" s="91" t="b">
        <v>0</v>
      </c>
      <c r="L1446" s="91" t="b">
        <v>0</v>
      </c>
    </row>
    <row r="1447" spans="1:12" ht="15">
      <c r="A1447" s="92" t="s">
        <v>2752</v>
      </c>
      <c r="B1447" s="91" t="s">
        <v>2581</v>
      </c>
      <c r="C1447" s="91">
        <v>3</v>
      </c>
      <c r="D1447" s="114">
        <v>0.0010021517473512928</v>
      </c>
      <c r="E1447" s="114">
        <v>1.7569740148817652</v>
      </c>
      <c r="F1447" s="91" t="s">
        <v>2518</v>
      </c>
      <c r="G1447" s="91" t="b">
        <v>0</v>
      </c>
      <c r="H1447" s="91" t="b">
        <v>0</v>
      </c>
      <c r="I1447" s="91" t="b">
        <v>0</v>
      </c>
      <c r="J1447" s="91" t="b">
        <v>0</v>
      </c>
      <c r="K1447" s="91" t="b">
        <v>0</v>
      </c>
      <c r="L1447" s="91" t="b">
        <v>0</v>
      </c>
    </row>
    <row r="1448" spans="1:12" ht="15">
      <c r="A1448" s="92" t="s">
        <v>2581</v>
      </c>
      <c r="B1448" s="91" t="s">
        <v>2737</v>
      </c>
      <c r="C1448" s="91">
        <v>3</v>
      </c>
      <c r="D1448" s="114">
        <v>0.0010021517473512928</v>
      </c>
      <c r="E1448" s="114">
        <v>1.7569740148817652</v>
      </c>
      <c r="F1448" s="91" t="s">
        <v>2518</v>
      </c>
      <c r="G1448" s="91" t="b">
        <v>0</v>
      </c>
      <c r="H1448" s="91" t="b">
        <v>0</v>
      </c>
      <c r="I1448" s="91" t="b">
        <v>0</v>
      </c>
      <c r="J1448" s="91" t="b">
        <v>0</v>
      </c>
      <c r="K1448" s="91" t="b">
        <v>0</v>
      </c>
      <c r="L1448" s="91" t="b">
        <v>0</v>
      </c>
    </row>
    <row r="1449" spans="1:12" ht="15">
      <c r="A1449" s="92" t="s">
        <v>2737</v>
      </c>
      <c r="B1449" s="91" t="s">
        <v>2798</v>
      </c>
      <c r="C1449" s="91">
        <v>3</v>
      </c>
      <c r="D1449" s="114">
        <v>0.0010021517473512928</v>
      </c>
      <c r="E1449" s="114">
        <v>3.234095269601428</v>
      </c>
      <c r="F1449" s="91" t="s">
        <v>2518</v>
      </c>
      <c r="G1449" s="91" t="b">
        <v>0</v>
      </c>
      <c r="H1449" s="91" t="b">
        <v>0</v>
      </c>
      <c r="I1449" s="91" t="b">
        <v>0</v>
      </c>
      <c r="J1449" s="91" t="b">
        <v>0</v>
      </c>
      <c r="K1449" s="91" t="b">
        <v>0</v>
      </c>
      <c r="L1449" s="91" t="b">
        <v>0</v>
      </c>
    </row>
    <row r="1450" spans="1:12" ht="15">
      <c r="A1450" s="92" t="s">
        <v>2798</v>
      </c>
      <c r="B1450" s="91" t="s">
        <v>2866</v>
      </c>
      <c r="C1450" s="91">
        <v>3</v>
      </c>
      <c r="D1450" s="114">
        <v>0.0010021517473512928</v>
      </c>
      <c r="E1450" s="114">
        <v>3.234095269601428</v>
      </c>
      <c r="F1450" s="91" t="s">
        <v>2518</v>
      </c>
      <c r="G1450" s="91" t="b">
        <v>0</v>
      </c>
      <c r="H1450" s="91" t="b">
        <v>0</v>
      </c>
      <c r="I1450" s="91" t="b">
        <v>0</v>
      </c>
      <c r="J1450" s="91" t="b">
        <v>0</v>
      </c>
      <c r="K1450" s="91" t="b">
        <v>0</v>
      </c>
      <c r="L1450" s="91" t="b">
        <v>0</v>
      </c>
    </row>
    <row r="1451" spans="1:12" ht="15">
      <c r="A1451" s="92" t="s">
        <v>2866</v>
      </c>
      <c r="B1451" s="91" t="s">
        <v>2720</v>
      </c>
      <c r="C1451" s="91">
        <v>3</v>
      </c>
      <c r="D1451" s="114">
        <v>0.0010021517473512928</v>
      </c>
      <c r="E1451" s="114">
        <v>2.9330652739374465</v>
      </c>
      <c r="F1451" s="91" t="s">
        <v>2518</v>
      </c>
      <c r="G1451" s="91" t="b">
        <v>0</v>
      </c>
      <c r="H1451" s="91" t="b">
        <v>0</v>
      </c>
      <c r="I1451" s="91" t="b">
        <v>0</v>
      </c>
      <c r="J1451" s="91" t="b">
        <v>0</v>
      </c>
      <c r="K1451" s="91" t="b">
        <v>0</v>
      </c>
      <c r="L1451" s="91" t="b">
        <v>0</v>
      </c>
    </row>
    <row r="1452" spans="1:12" ht="15">
      <c r="A1452" s="92" t="s">
        <v>2720</v>
      </c>
      <c r="B1452" s="91" t="s">
        <v>2610</v>
      </c>
      <c r="C1452" s="91">
        <v>3</v>
      </c>
      <c r="D1452" s="114">
        <v>0.0010021517473512928</v>
      </c>
      <c r="E1452" s="114">
        <v>1.8916725887792214</v>
      </c>
      <c r="F1452" s="91" t="s">
        <v>2518</v>
      </c>
      <c r="G1452" s="91" t="b">
        <v>0</v>
      </c>
      <c r="H1452" s="91" t="b">
        <v>0</v>
      </c>
      <c r="I1452" s="91" t="b">
        <v>0</v>
      </c>
      <c r="J1452" s="91" t="b">
        <v>0</v>
      </c>
      <c r="K1452" s="91" t="b">
        <v>0</v>
      </c>
      <c r="L1452" s="91" t="b">
        <v>0</v>
      </c>
    </row>
    <row r="1453" spans="1:12" ht="15">
      <c r="A1453" s="92" t="s">
        <v>2610</v>
      </c>
      <c r="B1453" s="91" t="s">
        <v>2867</v>
      </c>
      <c r="C1453" s="91">
        <v>3</v>
      </c>
      <c r="D1453" s="114">
        <v>0.0010021517473512928</v>
      </c>
      <c r="E1453" s="114">
        <v>2.192702584443203</v>
      </c>
      <c r="F1453" s="91" t="s">
        <v>2518</v>
      </c>
      <c r="G1453" s="91" t="b">
        <v>0</v>
      </c>
      <c r="H1453" s="91" t="b">
        <v>0</v>
      </c>
      <c r="I1453" s="91" t="b">
        <v>0</v>
      </c>
      <c r="J1453" s="91" t="b">
        <v>0</v>
      </c>
      <c r="K1453" s="91" t="b">
        <v>0</v>
      </c>
      <c r="L1453" s="91" t="b">
        <v>0</v>
      </c>
    </row>
    <row r="1454" spans="1:12" ht="15">
      <c r="A1454" s="92" t="s">
        <v>2867</v>
      </c>
      <c r="B1454" s="91" t="s">
        <v>2744</v>
      </c>
      <c r="C1454" s="91">
        <v>3</v>
      </c>
      <c r="D1454" s="114">
        <v>0.0010021517473512928</v>
      </c>
      <c r="E1454" s="114">
        <v>3.012246519985071</v>
      </c>
      <c r="F1454" s="91" t="s">
        <v>2518</v>
      </c>
      <c r="G1454" s="91" t="b">
        <v>0</v>
      </c>
      <c r="H1454" s="91" t="b">
        <v>0</v>
      </c>
      <c r="I1454" s="91" t="b">
        <v>0</v>
      </c>
      <c r="J1454" s="91" t="b">
        <v>0</v>
      </c>
      <c r="K1454" s="91" t="b">
        <v>0</v>
      </c>
      <c r="L1454" s="91" t="b">
        <v>0</v>
      </c>
    </row>
    <row r="1455" spans="1:12" ht="15">
      <c r="A1455" s="92" t="s">
        <v>2744</v>
      </c>
      <c r="B1455" s="91" t="s">
        <v>2868</v>
      </c>
      <c r="C1455" s="91">
        <v>3</v>
      </c>
      <c r="D1455" s="114">
        <v>0.0010021517473512928</v>
      </c>
      <c r="E1455" s="114">
        <v>3.012246519985071</v>
      </c>
      <c r="F1455" s="91" t="s">
        <v>2518</v>
      </c>
      <c r="G1455" s="91" t="b">
        <v>0</v>
      </c>
      <c r="H1455" s="91" t="b">
        <v>0</v>
      </c>
      <c r="I1455" s="91" t="b">
        <v>0</v>
      </c>
      <c r="J1455" s="91" t="b">
        <v>0</v>
      </c>
      <c r="K1455" s="91" t="b">
        <v>0</v>
      </c>
      <c r="L1455" s="91" t="b">
        <v>0</v>
      </c>
    </row>
    <row r="1456" spans="1:12" ht="15">
      <c r="A1456" s="92" t="s">
        <v>2868</v>
      </c>
      <c r="B1456" s="91" t="s">
        <v>2869</v>
      </c>
      <c r="C1456" s="91">
        <v>3</v>
      </c>
      <c r="D1456" s="114">
        <v>0.0010021517473512928</v>
      </c>
      <c r="E1456" s="114">
        <v>3.234095269601428</v>
      </c>
      <c r="F1456" s="91" t="s">
        <v>2518</v>
      </c>
      <c r="G1456" s="91" t="b">
        <v>0</v>
      </c>
      <c r="H1456" s="91" t="b">
        <v>0</v>
      </c>
      <c r="I1456" s="91" t="b">
        <v>0</v>
      </c>
      <c r="J1456" s="91" t="b">
        <v>0</v>
      </c>
      <c r="K1456" s="91" t="b">
        <v>0</v>
      </c>
      <c r="L1456" s="91" t="b">
        <v>0</v>
      </c>
    </row>
    <row r="1457" spans="1:12" ht="15">
      <c r="A1457" s="92" t="s">
        <v>2869</v>
      </c>
      <c r="B1457" s="91" t="s">
        <v>2870</v>
      </c>
      <c r="C1457" s="91">
        <v>3</v>
      </c>
      <c r="D1457" s="114">
        <v>0.0010021517473512928</v>
      </c>
      <c r="E1457" s="114">
        <v>3.234095269601428</v>
      </c>
      <c r="F1457" s="91" t="s">
        <v>2518</v>
      </c>
      <c r="G1457" s="91" t="b">
        <v>0</v>
      </c>
      <c r="H1457" s="91" t="b">
        <v>0</v>
      </c>
      <c r="I1457" s="91" t="b">
        <v>0</v>
      </c>
      <c r="J1457" s="91" t="b">
        <v>0</v>
      </c>
      <c r="K1457" s="91" t="b">
        <v>0</v>
      </c>
      <c r="L1457" s="91" t="b">
        <v>0</v>
      </c>
    </row>
    <row r="1458" spans="1:12" ht="15">
      <c r="A1458" s="92" t="s">
        <v>2870</v>
      </c>
      <c r="B1458" s="91" t="s">
        <v>2564</v>
      </c>
      <c r="C1458" s="91">
        <v>3</v>
      </c>
      <c r="D1458" s="114">
        <v>0.0010021517473512928</v>
      </c>
      <c r="E1458" s="114">
        <v>1.455944019217784</v>
      </c>
      <c r="F1458" s="91" t="s">
        <v>2518</v>
      </c>
      <c r="G1458" s="91" t="b">
        <v>0</v>
      </c>
      <c r="H1458" s="91" t="b">
        <v>0</v>
      </c>
      <c r="I1458" s="91" t="b">
        <v>0</v>
      </c>
      <c r="J1458" s="91" t="b">
        <v>0</v>
      </c>
      <c r="K1458" s="91" t="b">
        <v>0</v>
      </c>
      <c r="L1458" s="91" t="b">
        <v>0</v>
      </c>
    </row>
    <row r="1459" spans="1:12" ht="15">
      <c r="A1459" s="92" t="s">
        <v>2564</v>
      </c>
      <c r="B1459" s="91" t="s">
        <v>2745</v>
      </c>
      <c r="C1459" s="91">
        <v>3</v>
      </c>
      <c r="D1459" s="114">
        <v>0.0010021517473512928</v>
      </c>
      <c r="E1459" s="114">
        <v>1.2538393277971849</v>
      </c>
      <c r="F1459" s="91" t="s">
        <v>2518</v>
      </c>
      <c r="G1459" s="91" t="b">
        <v>0</v>
      </c>
      <c r="H1459" s="91" t="b">
        <v>0</v>
      </c>
      <c r="I1459" s="91" t="b">
        <v>0</v>
      </c>
      <c r="J1459" s="91" t="b">
        <v>0</v>
      </c>
      <c r="K1459" s="91" t="b">
        <v>0</v>
      </c>
      <c r="L1459" s="91" t="b">
        <v>0</v>
      </c>
    </row>
    <row r="1460" spans="1:12" ht="15">
      <c r="A1460" s="92" t="s">
        <v>2745</v>
      </c>
      <c r="B1460" s="91" t="s">
        <v>2566</v>
      </c>
      <c r="C1460" s="91">
        <v>3</v>
      </c>
      <c r="D1460" s="114">
        <v>0.0010021517473512928</v>
      </c>
      <c r="E1460" s="114">
        <v>1.2907106877503112</v>
      </c>
      <c r="F1460" s="91" t="s">
        <v>2518</v>
      </c>
      <c r="G1460" s="91" t="b">
        <v>0</v>
      </c>
      <c r="H1460" s="91" t="b">
        <v>0</v>
      </c>
      <c r="I1460" s="91" t="b">
        <v>0</v>
      </c>
      <c r="J1460" s="91" t="b">
        <v>0</v>
      </c>
      <c r="K1460" s="91" t="b">
        <v>0</v>
      </c>
      <c r="L1460" s="91" t="b">
        <v>0</v>
      </c>
    </row>
    <row r="1461" spans="1:12" ht="15">
      <c r="A1461" s="92" t="s">
        <v>2566</v>
      </c>
      <c r="B1461" s="91" t="s">
        <v>2746</v>
      </c>
      <c r="C1461" s="91">
        <v>3</v>
      </c>
      <c r="D1461" s="114">
        <v>0.0010021517473512928</v>
      </c>
      <c r="E1461" s="114">
        <v>1.304676343887135</v>
      </c>
      <c r="F1461" s="91" t="s">
        <v>2518</v>
      </c>
      <c r="G1461" s="91" t="b">
        <v>0</v>
      </c>
      <c r="H1461" s="91" t="b">
        <v>0</v>
      </c>
      <c r="I1461" s="91" t="b">
        <v>0</v>
      </c>
      <c r="J1461" s="91" t="b">
        <v>0</v>
      </c>
      <c r="K1461" s="91" t="b">
        <v>0</v>
      </c>
      <c r="L1461" s="91" t="b">
        <v>0</v>
      </c>
    </row>
    <row r="1462" spans="1:12" ht="15">
      <c r="A1462" s="92" t="s">
        <v>2746</v>
      </c>
      <c r="B1462" s="91" t="s">
        <v>2728</v>
      </c>
      <c r="C1462" s="91">
        <v>3</v>
      </c>
      <c r="D1462" s="114">
        <v>0.0010021517473512928</v>
      </c>
      <c r="E1462" s="114">
        <v>3.012246519985071</v>
      </c>
      <c r="F1462" s="91" t="s">
        <v>2518</v>
      </c>
      <c r="G1462" s="91" t="b">
        <v>0</v>
      </c>
      <c r="H1462" s="91" t="b">
        <v>0</v>
      </c>
      <c r="I1462" s="91" t="b">
        <v>0</v>
      </c>
      <c r="J1462" s="91" t="b">
        <v>0</v>
      </c>
      <c r="K1462" s="91" t="b">
        <v>0</v>
      </c>
      <c r="L1462" s="91" t="b">
        <v>0</v>
      </c>
    </row>
    <row r="1463" spans="1:12" ht="15">
      <c r="A1463" s="92" t="s">
        <v>2591</v>
      </c>
      <c r="B1463" s="91" t="s">
        <v>2648</v>
      </c>
      <c r="C1463" s="91">
        <v>2</v>
      </c>
      <c r="D1463" s="114">
        <v>0.0007342635767196412</v>
      </c>
      <c r="E1463" s="114">
        <v>2.1671484799708143</v>
      </c>
      <c r="F1463" s="91" t="s">
        <v>2518</v>
      </c>
      <c r="G1463" s="91" t="b">
        <v>0</v>
      </c>
      <c r="H1463" s="91" t="b">
        <v>0</v>
      </c>
      <c r="I1463" s="91" t="b">
        <v>0</v>
      </c>
      <c r="J1463" s="91" t="b">
        <v>0</v>
      </c>
      <c r="K1463" s="91" t="b">
        <v>0</v>
      </c>
      <c r="L1463" s="91" t="b">
        <v>0</v>
      </c>
    </row>
    <row r="1464" spans="1:12" ht="15">
      <c r="A1464" s="92" t="s">
        <v>2648</v>
      </c>
      <c r="B1464" s="91" t="s">
        <v>2722</v>
      </c>
      <c r="C1464" s="91">
        <v>2</v>
      </c>
      <c r="D1464" s="114">
        <v>0.0007342635767196412</v>
      </c>
      <c r="E1464" s="114">
        <v>2.866118484306833</v>
      </c>
      <c r="F1464" s="91" t="s">
        <v>2518</v>
      </c>
      <c r="G1464" s="91" t="b">
        <v>0</v>
      </c>
      <c r="H1464" s="91" t="b">
        <v>0</v>
      </c>
      <c r="I1464" s="91" t="b">
        <v>0</v>
      </c>
      <c r="J1464" s="91" t="b">
        <v>0</v>
      </c>
      <c r="K1464" s="91" t="b">
        <v>0</v>
      </c>
      <c r="L1464" s="91" t="b">
        <v>0</v>
      </c>
    </row>
    <row r="1465" spans="1:12" ht="15">
      <c r="A1465" s="92" t="s">
        <v>2722</v>
      </c>
      <c r="B1465" s="91" t="s">
        <v>2582</v>
      </c>
      <c r="C1465" s="91">
        <v>2</v>
      </c>
      <c r="D1465" s="114">
        <v>0.0007342635767196412</v>
      </c>
      <c r="E1465" s="114">
        <v>2.432462923368261</v>
      </c>
      <c r="F1465" s="91" t="s">
        <v>2518</v>
      </c>
      <c r="G1465" s="91" t="b">
        <v>0</v>
      </c>
      <c r="H1465" s="91" t="b">
        <v>0</v>
      </c>
      <c r="I1465" s="91" t="b">
        <v>0</v>
      </c>
      <c r="J1465" s="91" t="b">
        <v>0</v>
      </c>
      <c r="K1465" s="91" t="b">
        <v>0</v>
      </c>
      <c r="L1465" s="91" t="b">
        <v>0</v>
      </c>
    </row>
    <row r="1466" spans="1:12" ht="15">
      <c r="A1466" s="92" t="s">
        <v>2582</v>
      </c>
      <c r="B1466" s="91" t="s">
        <v>2589</v>
      </c>
      <c r="C1466" s="91">
        <v>2</v>
      </c>
      <c r="D1466" s="114">
        <v>0.0007342635767196412</v>
      </c>
      <c r="E1466" s="114">
        <v>1.5293729363763175</v>
      </c>
      <c r="F1466" s="91" t="s">
        <v>2518</v>
      </c>
      <c r="G1466" s="91" t="b">
        <v>0</v>
      </c>
      <c r="H1466" s="91" t="b">
        <v>0</v>
      </c>
      <c r="I1466" s="91" t="b">
        <v>0</v>
      </c>
      <c r="J1466" s="91" t="b">
        <v>0</v>
      </c>
      <c r="K1466" s="91" t="b">
        <v>0</v>
      </c>
      <c r="L1466" s="91" t="b">
        <v>0</v>
      </c>
    </row>
    <row r="1467" spans="1:12" ht="15">
      <c r="A1467" s="92" t="s">
        <v>2589</v>
      </c>
      <c r="B1467" s="91" t="s">
        <v>2637</v>
      </c>
      <c r="C1467" s="91">
        <v>2</v>
      </c>
      <c r="D1467" s="114">
        <v>0.0007342635767196412</v>
      </c>
      <c r="E1467" s="114">
        <v>1.3910702382100362</v>
      </c>
      <c r="F1467" s="91" t="s">
        <v>2518</v>
      </c>
      <c r="G1467" s="91" t="b">
        <v>0</v>
      </c>
      <c r="H1467" s="91" t="b">
        <v>0</v>
      </c>
      <c r="I1467" s="91" t="b">
        <v>0</v>
      </c>
      <c r="J1467" s="91" t="b">
        <v>0</v>
      </c>
      <c r="K1467" s="91" t="b">
        <v>0</v>
      </c>
      <c r="L1467" s="91" t="b">
        <v>0</v>
      </c>
    </row>
    <row r="1468" spans="1:12" ht="15">
      <c r="A1468" s="92" t="s">
        <v>2637</v>
      </c>
      <c r="B1468" s="91" t="s">
        <v>2569</v>
      </c>
      <c r="C1468" s="91">
        <v>2</v>
      </c>
      <c r="D1468" s="114">
        <v>0.0007342635767196412</v>
      </c>
      <c r="E1468" s="114">
        <v>1.0259227429343059</v>
      </c>
      <c r="F1468" s="91" t="s">
        <v>2518</v>
      </c>
      <c r="G1468" s="91" t="b">
        <v>0</v>
      </c>
      <c r="H1468" s="91" t="b">
        <v>0</v>
      </c>
      <c r="I1468" s="91" t="b">
        <v>0</v>
      </c>
      <c r="J1468" s="91" t="b">
        <v>0</v>
      </c>
      <c r="K1468" s="91" t="b">
        <v>0</v>
      </c>
      <c r="L1468" s="91" t="b">
        <v>0</v>
      </c>
    </row>
    <row r="1469" spans="1:12" ht="15">
      <c r="A1469" s="92" t="s">
        <v>2569</v>
      </c>
      <c r="B1469" s="91" t="s">
        <v>2723</v>
      </c>
      <c r="C1469" s="91">
        <v>2</v>
      </c>
      <c r="D1469" s="114">
        <v>0.0007342635767196412</v>
      </c>
      <c r="E1469" s="114">
        <v>1.986940654720301</v>
      </c>
      <c r="F1469" s="91" t="s">
        <v>2518</v>
      </c>
      <c r="G1469" s="91" t="b">
        <v>0</v>
      </c>
      <c r="H1469" s="91" t="b">
        <v>0</v>
      </c>
      <c r="I1469" s="91" t="b">
        <v>0</v>
      </c>
      <c r="J1469" s="91" t="b">
        <v>0</v>
      </c>
      <c r="K1469" s="91" t="b">
        <v>0</v>
      </c>
      <c r="L1469" s="91" t="b">
        <v>0</v>
      </c>
    </row>
    <row r="1470" spans="1:12" ht="15">
      <c r="A1470" s="92" t="s">
        <v>2723</v>
      </c>
      <c r="B1470" s="91" t="s">
        <v>2571</v>
      </c>
      <c r="C1470" s="91">
        <v>2</v>
      </c>
      <c r="D1470" s="114">
        <v>0.0007342635767196412</v>
      </c>
      <c r="E1470" s="114">
        <v>1.7569740148817652</v>
      </c>
      <c r="F1470" s="91" t="s">
        <v>2518</v>
      </c>
      <c r="G1470" s="91" t="b">
        <v>0</v>
      </c>
      <c r="H1470" s="91" t="b">
        <v>0</v>
      </c>
      <c r="I1470" s="91" t="b">
        <v>0</v>
      </c>
      <c r="J1470" s="91" t="b">
        <v>0</v>
      </c>
      <c r="K1470" s="91" t="b">
        <v>0</v>
      </c>
      <c r="L1470" s="91" t="b">
        <v>0</v>
      </c>
    </row>
    <row r="1471" spans="1:12" ht="15">
      <c r="A1471" s="92" t="s">
        <v>2571</v>
      </c>
      <c r="B1471" s="91" t="s">
        <v>2573</v>
      </c>
      <c r="C1471" s="91">
        <v>2</v>
      </c>
      <c r="D1471" s="114">
        <v>0.0007342635767196412</v>
      </c>
      <c r="E1471" s="114">
        <v>0.3098159835395459</v>
      </c>
      <c r="F1471" s="91" t="s">
        <v>2518</v>
      </c>
      <c r="G1471" s="91" t="b">
        <v>0</v>
      </c>
      <c r="H1471" s="91" t="b">
        <v>0</v>
      </c>
      <c r="I1471" s="91" t="b">
        <v>0</v>
      </c>
      <c r="J1471" s="91" t="b">
        <v>0</v>
      </c>
      <c r="K1471" s="91" t="b">
        <v>0</v>
      </c>
      <c r="L1471" s="91" t="b">
        <v>0</v>
      </c>
    </row>
    <row r="1472" spans="1:12" ht="15">
      <c r="A1472" s="92" t="s">
        <v>2594</v>
      </c>
      <c r="B1472" s="91" t="s">
        <v>2608</v>
      </c>
      <c r="C1472" s="91">
        <v>2</v>
      </c>
      <c r="D1472" s="114">
        <v>0.0007342635767196412</v>
      </c>
      <c r="E1472" s="114">
        <v>2.690027225251152</v>
      </c>
      <c r="F1472" s="91" t="s">
        <v>2518</v>
      </c>
      <c r="G1472" s="91" t="b">
        <v>0</v>
      </c>
      <c r="H1472" s="91" t="b">
        <v>0</v>
      </c>
      <c r="I1472" s="91" t="b">
        <v>0</v>
      </c>
      <c r="J1472" s="91" t="b">
        <v>0</v>
      </c>
      <c r="K1472" s="91" t="b">
        <v>0</v>
      </c>
      <c r="L1472" s="91" t="b">
        <v>0</v>
      </c>
    </row>
    <row r="1473" spans="1:12" ht="15">
      <c r="A1473" s="92" t="s">
        <v>2619</v>
      </c>
      <c r="B1473" s="91" t="s">
        <v>2628</v>
      </c>
      <c r="C1473" s="91">
        <v>2</v>
      </c>
      <c r="D1473" s="114">
        <v>0.0007342635767196412</v>
      </c>
      <c r="E1473" s="114">
        <v>3.0580040105457464</v>
      </c>
      <c r="F1473" s="91" t="s">
        <v>2518</v>
      </c>
      <c r="G1473" s="91" t="b">
        <v>0</v>
      </c>
      <c r="H1473" s="91" t="b">
        <v>0</v>
      </c>
      <c r="I1473" s="91" t="b">
        <v>0</v>
      </c>
      <c r="J1473" s="91" t="b">
        <v>0</v>
      </c>
      <c r="K1473" s="91" t="b">
        <v>0</v>
      </c>
      <c r="L1473" s="91" t="b">
        <v>0</v>
      </c>
    </row>
    <row r="1474" spans="1:12" ht="15">
      <c r="A1474" s="92" t="s">
        <v>2628</v>
      </c>
      <c r="B1474" s="91" t="s">
        <v>2621</v>
      </c>
      <c r="C1474" s="91">
        <v>2</v>
      </c>
      <c r="D1474" s="114">
        <v>0.0007342635767196412</v>
      </c>
      <c r="E1474" s="114">
        <v>3.234095269601428</v>
      </c>
      <c r="F1474" s="91" t="s">
        <v>2518</v>
      </c>
      <c r="G1474" s="91" t="b">
        <v>0</v>
      </c>
      <c r="H1474" s="91" t="b">
        <v>0</v>
      </c>
      <c r="I1474" s="91" t="b">
        <v>0</v>
      </c>
      <c r="J1474" s="91" t="b">
        <v>0</v>
      </c>
      <c r="K1474" s="91" t="b">
        <v>0</v>
      </c>
      <c r="L1474" s="91" t="b">
        <v>0</v>
      </c>
    </row>
    <row r="1475" spans="1:12" ht="15">
      <c r="A1475" s="92" t="s">
        <v>2941</v>
      </c>
      <c r="B1475" s="91" t="s">
        <v>2648</v>
      </c>
      <c r="C1475" s="91">
        <v>2</v>
      </c>
      <c r="D1475" s="114">
        <v>0.0007342635767196412</v>
      </c>
      <c r="E1475" s="114">
        <v>2.866118484306833</v>
      </c>
      <c r="F1475" s="91" t="s">
        <v>2518</v>
      </c>
      <c r="G1475" s="91" t="b">
        <v>0</v>
      </c>
      <c r="H1475" s="91" t="b">
        <v>0</v>
      </c>
      <c r="I1475" s="91" t="b">
        <v>0</v>
      </c>
      <c r="J1475" s="91" t="b">
        <v>0</v>
      </c>
      <c r="K1475" s="91" t="b">
        <v>0</v>
      </c>
      <c r="L1475" s="91" t="b">
        <v>0</v>
      </c>
    </row>
    <row r="1476" spans="1:12" ht="15">
      <c r="A1476" s="92" t="s">
        <v>2648</v>
      </c>
      <c r="B1476" s="91" t="s">
        <v>2942</v>
      </c>
      <c r="C1476" s="91">
        <v>2</v>
      </c>
      <c r="D1476" s="114">
        <v>0.0007342635767196412</v>
      </c>
      <c r="E1476" s="114">
        <v>2.866118484306833</v>
      </c>
      <c r="F1476" s="91" t="s">
        <v>2518</v>
      </c>
      <c r="G1476" s="91" t="b">
        <v>0</v>
      </c>
      <c r="H1476" s="91" t="b">
        <v>0</v>
      </c>
      <c r="I1476" s="91" t="b">
        <v>0</v>
      </c>
      <c r="J1476" s="91" t="b">
        <v>0</v>
      </c>
      <c r="K1476" s="91" t="b">
        <v>0</v>
      </c>
      <c r="L1476" s="91" t="b">
        <v>0</v>
      </c>
    </row>
    <row r="1477" spans="1:12" ht="15">
      <c r="A1477" s="92" t="s">
        <v>2942</v>
      </c>
      <c r="B1477" s="91" t="s">
        <v>2943</v>
      </c>
      <c r="C1477" s="91">
        <v>2</v>
      </c>
      <c r="D1477" s="114">
        <v>0.0007342635767196412</v>
      </c>
      <c r="E1477" s="114">
        <v>3.4101865286571087</v>
      </c>
      <c r="F1477" s="91" t="s">
        <v>2518</v>
      </c>
      <c r="G1477" s="91" t="b">
        <v>0</v>
      </c>
      <c r="H1477" s="91" t="b">
        <v>0</v>
      </c>
      <c r="I1477" s="91" t="b">
        <v>0</v>
      </c>
      <c r="J1477" s="91" t="b">
        <v>0</v>
      </c>
      <c r="K1477" s="91" t="b">
        <v>0</v>
      </c>
      <c r="L1477" s="91" t="b">
        <v>0</v>
      </c>
    </row>
    <row r="1478" spans="1:12" ht="15">
      <c r="A1478" s="92" t="s">
        <v>2943</v>
      </c>
      <c r="B1478" s="91" t="s">
        <v>2944</v>
      </c>
      <c r="C1478" s="91">
        <v>2</v>
      </c>
      <c r="D1478" s="114">
        <v>0.0007342635767196412</v>
      </c>
      <c r="E1478" s="114">
        <v>3.4101865286571087</v>
      </c>
      <c r="F1478" s="91" t="s">
        <v>2518</v>
      </c>
      <c r="G1478" s="91" t="b">
        <v>0</v>
      </c>
      <c r="H1478" s="91" t="b">
        <v>0</v>
      </c>
      <c r="I1478" s="91" t="b">
        <v>0</v>
      </c>
      <c r="J1478" s="91" t="b">
        <v>0</v>
      </c>
      <c r="K1478" s="91" t="b">
        <v>0</v>
      </c>
      <c r="L1478" s="91" t="b">
        <v>0</v>
      </c>
    </row>
    <row r="1479" spans="1:12" ht="15">
      <c r="A1479" s="92" t="s">
        <v>2944</v>
      </c>
      <c r="B1479" s="91" t="s">
        <v>2945</v>
      </c>
      <c r="C1479" s="91">
        <v>2</v>
      </c>
      <c r="D1479" s="114">
        <v>0.0007342635767196412</v>
      </c>
      <c r="E1479" s="114">
        <v>3.4101865286571087</v>
      </c>
      <c r="F1479" s="91" t="s">
        <v>2518</v>
      </c>
      <c r="G1479" s="91" t="b">
        <v>0</v>
      </c>
      <c r="H1479" s="91" t="b">
        <v>0</v>
      </c>
      <c r="I1479" s="91" t="b">
        <v>0</v>
      </c>
      <c r="J1479" s="91" t="b">
        <v>0</v>
      </c>
      <c r="K1479" s="91" t="b">
        <v>0</v>
      </c>
      <c r="L1479" s="91" t="b">
        <v>0</v>
      </c>
    </row>
    <row r="1480" spans="1:12" ht="15">
      <c r="A1480" s="92" t="s">
        <v>2945</v>
      </c>
      <c r="B1480" s="91" t="s">
        <v>2946</v>
      </c>
      <c r="C1480" s="91">
        <v>2</v>
      </c>
      <c r="D1480" s="114">
        <v>0.0007342635767196412</v>
      </c>
      <c r="E1480" s="114">
        <v>3.4101865286571087</v>
      </c>
      <c r="F1480" s="91" t="s">
        <v>2518</v>
      </c>
      <c r="G1480" s="91" t="b">
        <v>0</v>
      </c>
      <c r="H1480" s="91" t="b">
        <v>0</v>
      </c>
      <c r="I1480" s="91" t="b">
        <v>0</v>
      </c>
      <c r="J1480" s="91" t="b">
        <v>0</v>
      </c>
      <c r="K1480" s="91" t="b">
        <v>0</v>
      </c>
      <c r="L1480" s="91" t="b">
        <v>0</v>
      </c>
    </row>
    <row r="1481" spans="1:12" ht="15">
      <c r="A1481" s="92" t="s">
        <v>2946</v>
      </c>
      <c r="B1481" s="91" t="s">
        <v>2656</v>
      </c>
      <c r="C1481" s="91">
        <v>2</v>
      </c>
      <c r="D1481" s="114">
        <v>0.0007342635767196412</v>
      </c>
      <c r="E1481" s="114">
        <v>2.756974014881765</v>
      </c>
      <c r="F1481" s="91" t="s">
        <v>2518</v>
      </c>
      <c r="G1481" s="91" t="b">
        <v>0</v>
      </c>
      <c r="H1481" s="91" t="b">
        <v>0</v>
      </c>
      <c r="I1481" s="91" t="b">
        <v>0</v>
      </c>
      <c r="J1481" s="91" t="b">
        <v>0</v>
      </c>
      <c r="K1481" s="91" t="b">
        <v>0</v>
      </c>
      <c r="L1481" s="91" t="b">
        <v>0</v>
      </c>
    </row>
    <row r="1482" spans="1:12" ht="15">
      <c r="A1482" s="92" t="s">
        <v>2656</v>
      </c>
      <c r="B1482" s="91" t="s">
        <v>2947</v>
      </c>
      <c r="C1482" s="91">
        <v>2</v>
      </c>
      <c r="D1482" s="114">
        <v>0.0007342635767196412</v>
      </c>
      <c r="E1482" s="114">
        <v>2.756974014881765</v>
      </c>
      <c r="F1482" s="91" t="s">
        <v>2518</v>
      </c>
      <c r="G1482" s="91" t="b">
        <v>0</v>
      </c>
      <c r="H1482" s="91" t="b">
        <v>0</v>
      </c>
      <c r="I1482" s="91" t="b">
        <v>0</v>
      </c>
      <c r="J1482" s="91" t="b">
        <v>0</v>
      </c>
      <c r="K1482" s="91" t="b">
        <v>0</v>
      </c>
      <c r="L1482" s="91" t="b">
        <v>0</v>
      </c>
    </row>
    <row r="1483" spans="1:12" ht="15">
      <c r="A1483" s="92" t="s">
        <v>2947</v>
      </c>
      <c r="B1483" s="91" t="s">
        <v>2580</v>
      </c>
      <c r="C1483" s="91">
        <v>2</v>
      </c>
      <c r="D1483" s="114">
        <v>0.0007342635767196412</v>
      </c>
      <c r="E1483" s="114">
        <v>2.0580040105457464</v>
      </c>
      <c r="F1483" s="91" t="s">
        <v>2518</v>
      </c>
      <c r="G1483" s="91" t="b">
        <v>0</v>
      </c>
      <c r="H1483" s="91" t="b">
        <v>0</v>
      </c>
      <c r="I1483" s="91" t="b">
        <v>0</v>
      </c>
      <c r="J1483" s="91" t="b">
        <v>0</v>
      </c>
      <c r="K1483" s="91" t="b">
        <v>0</v>
      </c>
      <c r="L1483" s="91" t="b">
        <v>0</v>
      </c>
    </row>
    <row r="1484" spans="1:12" ht="15">
      <c r="A1484" s="92" t="s">
        <v>2572</v>
      </c>
      <c r="B1484" s="91" t="s">
        <v>2948</v>
      </c>
      <c r="C1484" s="91">
        <v>2</v>
      </c>
      <c r="D1484" s="114">
        <v>0.0007342635767196412</v>
      </c>
      <c r="E1484" s="114">
        <v>2.0036463482231537</v>
      </c>
      <c r="F1484" s="91" t="s">
        <v>2518</v>
      </c>
      <c r="G1484" s="91" t="b">
        <v>0</v>
      </c>
      <c r="H1484" s="91" t="b">
        <v>0</v>
      </c>
      <c r="I1484" s="91" t="b">
        <v>0</v>
      </c>
      <c r="J1484" s="91" t="b">
        <v>0</v>
      </c>
      <c r="K1484" s="91" t="b">
        <v>0</v>
      </c>
      <c r="L1484" s="91" t="b">
        <v>0</v>
      </c>
    </row>
    <row r="1485" spans="1:12" ht="15">
      <c r="A1485" s="92" t="s">
        <v>2948</v>
      </c>
      <c r="B1485" s="91" t="s">
        <v>2565</v>
      </c>
      <c r="C1485" s="91">
        <v>2</v>
      </c>
      <c r="D1485" s="114">
        <v>0.0007342635767196412</v>
      </c>
      <c r="E1485" s="114">
        <v>1.5873648833540044</v>
      </c>
      <c r="F1485" s="91" t="s">
        <v>2518</v>
      </c>
      <c r="G1485" s="91" t="b">
        <v>0</v>
      </c>
      <c r="H1485" s="91" t="b">
        <v>0</v>
      </c>
      <c r="I1485" s="91" t="b">
        <v>0</v>
      </c>
      <c r="J1485" s="91" t="b">
        <v>0</v>
      </c>
      <c r="K1485" s="91" t="b">
        <v>0</v>
      </c>
      <c r="L1485" s="91" t="b">
        <v>0</v>
      </c>
    </row>
    <row r="1486" spans="1:12" ht="15">
      <c r="A1486" s="92" t="s">
        <v>2622</v>
      </c>
      <c r="B1486" s="91" t="s">
        <v>2571</v>
      </c>
      <c r="C1486" s="91">
        <v>2</v>
      </c>
      <c r="D1486" s="114">
        <v>0.0007342635767196412</v>
      </c>
      <c r="E1486" s="114">
        <v>0.9118759748675084</v>
      </c>
      <c r="F1486" s="91" t="s">
        <v>2518</v>
      </c>
      <c r="G1486" s="91" t="b">
        <v>0</v>
      </c>
      <c r="H1486" s="91" t="b">
        <v>0</v>
      </c>
      <c r="I1486" s="91" t="b">
        <v>0</v>
      </c>
      <c r="J1486" s="91" t="b">
        <v>0</v>
      </c>
      <c r="K1486" s="91" t="b">
        <v>0</v>
      </c>
      <c r="L1486" s="91" t="b">
        <v>0</v>
      </c>
    </row>
    <row r="1487" spans="1:12" ht="15">
      <c r="A1487" s="92" t="s">
        <v>2571</v>
      </c>
      <c r="B1487" s="91" t="s">
        <v>2567</v>
      </c>
      <c r="C1487" s="91">
        <v>2</v>
      </c>
      <c r="D1487" s="114">
        <v>0.0007342635767196412</v>
      </c>
      <c r="E1487" s="114">
        <v>-0.07871655661066035</v>
      </c>
      <c r="F1487" s="91" t="s">
        <v>2518</v>
      </c>
      <c r="G1487" s="91" t="b">
        <v>0</v>
      </c>
      <c r="H1487" s="91" t="b">
        <v>0</v>
      </c>
      <c r="I1487" s="91" t="b">
        <v>0</v>
      </c>
      <c r="J1487" s="91" t="b">
        <v>0</v>
      </c>
      <c r="K1487" s="91" t="b">
        <v>0</v>
      </c>
      <c r="L1487" s="91" t="b">
        <v>0</v>
      </c>
    </row>
    <row r="1488" spans="1:12" ht="15">
      <c r="A1488" s="92" t="s">
        <v>2567</v>
      </c>
      <c r="B1488" s="91" t="s">
        <v>2573</v>
      </c>
      <c r="C1488" s="91">
        <v>2</v>
      </c>
      <c r="D1488" s="114">
        <v>0.0007342635767196412</v>
      </c>
      <c r="E1488" s="114">
        <v>0.13695369461406326</v>
      </c>
      <c r="F1488" s="91" t="s">
        <v>2518</v>
      </c>
      <c r="G1488" s="91" t="b">
        <v>0</v>
      </c>
      <c r="H1488" s="91" t="b">
        <v>0</v>
      </c>
      <c r="I1488" s="91" t="b">
        <v>0</v>
      </c>
      <c r="J1488" s="91" t="b">
        <v>0</v>
      </c>
      <c r="K1488" s="91" t="b">
        <v>0</v>
      </c>
      <c r="L1488" s="91" t="b">
        <v>0</v>
      </c>
    </row>
    <row r="1489" spans="1:12" ht="15">
      <c r="A1489" s="92" t="s">
        <v>2573</v>
      </c>
      <c r="B1489" s="91" t="s">
        <v>2579</v>
      </c>
      <c r="C1489" s="91">
        <v>2</v>
      </c>
      <c r="D1489" s="114">
        <v>0.0007342635767196412</v>
      </c>
      <c r="E1489" s="114">
        <v>0.47166680348061696</v>
      </c>
      <c r="F1489" s="91" t="s">
        <v>2518</v>
      </c>
      <c r="G1489" s="91" t="b">
        <v>0</v>
      </c>
      <c r="H1489" s="91" t="b">
        <v>0</v>
      </c>
      <c r="I1489" s="91" t="b">
        <v>0</v>
      </c>
      <c r="J1489" s="91" t="b">
        <v>0</v>
      </c>
      <c r="K1489" s="91" t="b">
        <v>0</v>
      </c>
      <c r="L1489" s="91" t="b">
        <v>0</v>
      </c>
    </row>
    <row r="1490" spans="1:12" ht="15">
      <c r="A1490" s="92" t="s">
        <v>2579</v>
      </c>
      <c r="B1490" s="91" t="s">
        <v>2739</v>
      </c>
      <c r="C1490" s="91">
        <v>2</v>
      </c>
      <c r="D1490" s="114">
        <v>0.0007342635767196412</v>
      </c>
      <c r="E1490" s="114">
        <v>1.9188248348228363</v>
      </c>
      <c r="F1490" s="91" t="s">
        <v>2518</v>
      </c>
      <c r="G1490" s="91" t="b">
        <v>0</v>
      </c>
      <c r="H1490" s="91" t="b">
        <v>0</v>
      </c>
      <c r="I1490" s="91" t="b">
        <v>0</v>
      </c>
      <c r="J1490" s="91" t="b">
        <v>0</v>
      </c>
      <c r="K1490" s="91" t="b">
        <v>0</v>
      </c>
      <c r="L1490" s="91" t="b">
        <v>0</v>
      </c>
    </row>
    <row r="1491" spans="1:12" ht="15">
      <c r="A1491" s="92" t="s">
        <v>2739</v>
      </c>
      <c r="B1491" s="91" t="s">
        <v>2564</v>
      </c>
      <c r="C1491" s="91">
        <v>2</v>
      </c>
      <c r="D1491" s="114">
        <v>0.0007342635767196412</v>
      </c>
      <c r="E1491" s="114">
        <v>1.455944019217784</v>
      </c>
      <c r="F1491" s="91" t="s">
        <v>2518</v>
      </c>
      <c r="G1491" s="91" t="b">
        <v>0</v>
      </c>
      <c r="H1491" s="91" t="b">
        <v>0</v>
      </c>
      <c r="I1491" s="91" t="b">
        <v>0</v>
      </c>
      <c r="J1491" s="91" t="b">
        <v>0</v>
      </c>
      <c r="K1491" s="91" t="b">
        <v>0</v>
      </c>
      <c r="L1491" s="91" t="b">
        <v>0</v>
      </c>
    </row>
    <row r="1492" spans="1:12" ht="15">
      <c r="A1492" s="92" t="s">
        <v>2770</v>
      </c>
      <c r="B1492" s="91" t="s">
        <v>2644</v>
      </c>
      <c r="C1492" s="91">
        <v>2</v>
      </c>
      <c r="D1492" s="114">
        <v>0.0007342635767196412</v>
      </c>
      <c r="E1492" s="114">
        <v>1.9910572209151332</v>
      </c>
      <c r="F1492" s="91" t="s">
        <v>2518</v>
      </c>
      <c r="G1492" s="91" t="b">
        <v>0</v>
      </c>
      <c r="H1492" s="91" t="b">
        <v>0</v>
      </c>
      <c r="I1492" s="91" t="b">
        <v>0</v>
      </c>
      <c r="J1492" s="91" t="b">
        <v>0</v>
      </c>
      <c r="K1492" s="91" t="b">
        <v>0</v>
      </c>
      <c r="L1492" s="91" t="b">
        <v>0</v>
      </c>
    </row>
    <row r="1493" spans="1:12" ht="15">
      <c r="A1493" s="92" t="s">
        <v>2612</v>
      </c>
      <c r="B1493" s="91" t="s">
        <v>2643</v>
      </c>
      <c r="C1493" s="91">
        <v>2</v>
      </c>
      <c r="D1493" s="114">
        <v>0.0007342635767196412</v>
      </c>
      <c r="E1493" s="114">
        <v>1.7289452912815217</v>
      </c>
      <c r="F1493" s="91" t="s">
        <v>2518</v>
      </c>
      <c r="G1493" s="91" t="b">
        <v>0</v>
      </c>
      <c r="H1493" s="91" t="b">
        <v>0</v>
      </c>
      <c r="I1493" s="91" t="b">
        <v>0</v>
      </c>
      <c r="J1493" s="91" t="b">
        <v>0</v>
      </c>
      <c r="K1493" s="91" t="b">
        <v>0</v>
      </c>
      <c r="L1493" s="91" t="b">
        <v>0</v>
      </c>
    </row>
    <row r="1494" spans="1:12" ht="15">
      <c r="A1494" s="92" t="s">
        <v>2572</v>
      </c>
      <c r="B1494" s="91" t="s">
        <v>3076</v>
      </c>
      <c r="C1494" s="91">
        <v>2</v>
      </c>
      <c r="D1494" s="114">
        <v>0.0007342635767196412</v>
      </c>
      <c r="E1494" s="114">
        <v>2.0036463482231537</v>
      </c>
      <c r="F1494" s="91" t="s">
        <v>2518</v>
      </c>
      <c r="G1494" s="91" t="b">
        <v>0</v>
      </c>
      <c r="H1494" s="91" t="b">
        <v>0</v>
      </c>
      <c r="I1494" s="91" t="b">
        <v>0</v>
      </c>
      <c r="J1494" s="91" t="b">
        <v>0</v>
      </c>
      <c r="K1494" s="91" t="b">
        <v>0</v>
      </c>
      <c r="L1494" s="91" t="b">
        <v>0</v>
      </c>
    </row>
    <row r="1495" spans="1:12" ht="15">
      <c r="A1495" s="92" t="s">
        <v>3076</v>
      </c>
      <c r="B1495" s="91" t="s">
        <v>2718</v>
      </c>
      <c r="C1495" s="91">
        <v>2</v>
      </c>
      <c r="D1495" s="114">
        <v>0.0007342635767196412</v>
      </c>
      <c r="E1495" s="114">
        <v>3.4101865286571087</v>
      </c>
      <c r="F1495" s="91" t="s">
        <v>2518</v>
      </c>
      <c r="G1495" s="91" t="b">
        <v>0</v>
      </c>
      <c r="H1495" s="91" t="b">
        <v>0</v>
      </c>
      <c r="I1495" s="91" t="b">
        <v>0</v>
      </c>
      <c r="J1495" s="91" t="b">
        <v>0</v>
      </c>
      <c r="K1495" s="91" t="b">
        <v>0</v>
      </c>
      <c r="L1495" s="91" t="b">
        <v>0</v>
      </c>
    </row>
    <row r="1496" spans="1:12" ht="15">
      <c r="A1496" s="92" t="s">
        <v>2718</v>
      </c>
      <c r="B1496" s="91" t="s">
        <v>3077</v>
      </c>
      <c r="C1496" s="91">
        <v>2</v>
      </c>
      <c r="D1496" s="114">
        <v>0.0007342635767196412</v>
      </c>
      <c r="E1496" s="114">
        <v>3.4101865286571087</v>
      </c>
      <c r="F1496" s="91" t="s">
        <v>2518</v>
      </c>
      <c r="G1496" s="91" t="b">
        <v>0</v>
      </c>
      <c r="H1496" s="91" t="b">
        <v>0</v>
      </c>
      <c r="I1496" s="91" t="b">
        <v>0</v>
      </c>
      <c r="J1496" s="91" t="b">
        <v>0</v>
      </c>
      <c r="K1496" s="91" t="b">
        <v>0</v>
      </c>
      <c r="L1496" s="91" t="b">
        <v>0</v>
      </c>
    </row>
    <row r="1497" spans="1:12" ht="15">
      <c r="A1497" s="92" t="s">
        <v>3077</v>
      </c>
      <c r="B1497" s="91" t="s">
        <v>2659</v>
      </c>
      <c r="C1497" s="91">
        <v>2</v>
      </c>
      <c r="D1497" s="114">
        <v>0.0007342635767196412</v>
      </c>
      <c r="E1497" s="114">
        <v>2.388997229587171</v>
      </c>
      <c r="F1497" s="91" t="s">
        <v>2518</v>
      </c>
      <c r="G1497" s="91" t="b">
        <v>0</v>
      </c>
      <c r="H1497" s="91" t="b">
        <v>0</v>
      </c>
      <c r="I1497" s="91" t="b">
        <v>0</v>
      </c>
      <c r="J1497" s="91" t="b">
        <v>0</v>
      </c>
      <c r="K1497" s="91" t="b">
        <v>0</v>
      </c>
      <c r="L1497" s="91" t="b">
        <v>0</v>
      </c>
    </row>
    <row r="1498" spans="1:12" ht="15">
      <c r="A1498" s="92" t="s">
        <v>2659</v>
      </c>
      <c r="B1498" s="91" t="s">
        <v>2570</v>
      </c>
      <c r="C1498" s="91">
        <v>2</v>
      </c>
      <c r="D1498" s="114">
        <v>0.0007342635767196412</v>
      </c>
      <c r="E1498" s="114">
        <v>0.4913701382967294</v>
      </c>
      <c r="F1498" s="91" t="s">
        <v>2518</v>
      </c>
      <c r="G1498" s="91" t="b">
        <v>0</v>
      </c>
      <c r="H1498" s="91" t="b">
        <v>0</v>
      </c>
      <c r="I1498" s="91" t="b">
        <v>0</v>
      </c>
      <c r="J1498" s="91" t="b">
        <v>0</v>
      </c>
      <c r="K1498" s="91" t="b">
        <v>0</v>
      </c>
      <c r="L1498" s="91" t="b">
        <v>0</v>
      </c>
    </row>
    <row r="1499" spans="1:12" ht="15">
      <c r="A1499" s="92" t="s">
        <v>2570</v>
      </c>
      <c r="B1499" s="91" t="s">
        <v>2740</v>
      </c>
      <c r="C1499" s="91">
        <v>2</v>
      </c>
      <c r="D1499" s="114">
        <v>0.0007342635767196412</v>
      </c>
      <c r="E1499" s="114">
        <v>0.7051785693237729</v>
      </c>
      <c r="F1499" s="91" t="s">
        <v>2518</v>
      </c>
      <c r="G1499" s="91" t="b">
        <v>0</v>
      </c>
      <c r="H1499" s="91" t="b">
        <v>0</v>
      </c>
      <c r="I1499" s="91" t="b">
        <v>0</v>
      </c>
      <c r="J1499" s="91" t="b">
        <v>0</v>
      </c>
      <c r="K1499" s="91" t="b">
        <v>0</v>
      </c>
      <c r="L1499" s="91" t="b">
        <v>0</v>
      </c>
    </row>
    <row r="1500" spans="1:12" ht="15">
      <c r="A1500" s="92" t="s">
        <v>2740</v>
      </c>
      <c r="B1500" s="91" t="s">
        <v>2564</v>
      </c>
      <c r="C1500" s="91">
        <v>2</v>
      </c>
      <c r="D1500" s="114">
        <v>0.0007342635767196412</v>
      </c>
      <c r="E1500" s="114">
        <v>0.6430306625749285</v>
      </c>
      <c r="F1500" s="91" t="s">
        <v>2518</v>
      </c>
      <c r="G1500" s="91" t="b">
        <v>0</v>
      </c>
      <c r="H1500" s="91" t="b">
        <v>0</v>
      </c>
      <c r="I1500" s="91" t="b">
        <v>0</v>
      </c>
      <c r="J1500" s="91" t="b">
        <v>0</v>
      </c>
      <c r="K1500" s="91" t="b">
        <v>0</v>
      </c>
      <c r="L1500" s="91" t="b">
        <v>0</v>
      </c>
    </row>
    <row r="1501" spans="1:12" ht="15">
      <c r="A1501" s="92" t="s">
        <v>2564</v>
      </c>
      <c r="B1501" s="91" t="s">
        <v>2903</v>
      </c>
      <c r="C1501" s="91">
        <v>2</v>
      </c>
      <c r="D1501" s="114">
        <v>0.0007342635767196412</v>
      </c>
      <c r="E1501" s="114">
        <v>1.4756880774135412</v>
      </c>
      <c r="F1501" s="91" t="s">
        <v>2518</v>
      </c>
      <c r="G1501" s="91" t="b">
        <v>0</v>
      </c>
      <c r="H1501" s="91" t="b">
        <v>0</v>
      </c>
      <c r="I1501" s="91" t="b">
        <v>0</v>
      </c>
      <c r="J1501" s="91" t="b">
        <v>0</v>
      </c>
      <c r="K1501" s="91" t="b">
        <v>0</v>
      </c>
      <c r="L1501" s="91" t="b">
        <v>0</v>
      </c>
    </row>
    <row r="1502" spans="1:12" ht="15">
      <c r="A1502" s="92" t="s">
        <v>2903</v>
      </c>
      <c r="B1502" s="91" t="s">
        <v>2830</v>
      </c>
      <c r="C1502" s="91">
        <v>2</v>
      </c>
      <c r="D1502" s="114">
        <v>0.0007342635767196412</v>
      </c>
      <c r="E1502" s="114">
        <v>3.109156532993128</v>
      </c>
      <c r="F1502" s="91" t="s">
        <v>2518</v>
      </c>
      <c r="G1502" s="91" t="b">
        <v>0</v>
      </c>
      <c r="H1502" s="91" t="b">
        <v>0</v>
      </c>
      <c r="I1502" s="91" t="b">
        <v>0</v>
      </c>
      <c r="J1502" s="91" t="b">
        <v>0</v>
      </c>
      <c r="K1502" s="91" t="b">
        <v>0</v>
      </c>
      <c r="L1502" s="91" t="b">
        <v>0</v>
      </c>
    </row>
    <row r="1503" spans="1:12" ht="15">
      <c r="A1503" s="92" t="s">
        <v>2904</v>
      </c>
      <c r="B1503" s="91" t="s">
        <v>2799</v>
      </c>
      <c r="C1503" s="91">
        <v>2</v>
      </c>
      <c r="D1503" s="114">
        <v>0.0007342635767196412</v>
      </c>
      <c r="E1503" s="114">
        <v>3.4101865286571087</v>
      </c>
      <c r="F1503" s="91" t="s">
        <v>2518</v>
      </c>
      <c r="G1503" s="91" t="b">
        <v>0</v>
      </c>
      <c r="H1503" s="91" t="b">
        <v>0</v>
      </c>
      <c r="I1503" s="91" t="b">
        <v>0</v>
      </c>
      <c r="J1503" s="91" t="b">
        <v>0</v>
      </c>
      <c r="K1503" s="91" t="b">
        <v>0</v>
      </c>
      <c r="L1503" s="91" t="b">
        <v>0</v>
      </c>
    </row>
    <row r="1504" spans="1:12" ht="15">
      <c r="A1504" s="92" t="s">
        <v>2799</v>
      </c>
      <c r="B1504" s="91" t="s">
        <v>2873</v>
      </c>
      <c r="C1504" s="91">
        <v>2</v>
      </c>
      <c r="D1504" s="114">
        <v>0.0007342635767196412</v>
      </c>
      <c r="E1504" s="114">
        <v>3.4101865286571087</v>
      </c>
      <c r="F1504" s="91" t="s">
        <v>2518</v>
      </c>
      <c r="G1504" s="91" t="b">
        <v>0</v>
      </c>
      <c r="H1504" s="91" t="b">
        <v>0</v>
      </c>
      <c r="I1504" s="91" t="b">
        <v>0</v>
      </c>
      <c r="J1504" s="91" t="b">
        <v>0</v>
      </c>
      <c r="K1504" s="91" t="b">
        <v>0</v>
      </c>
      <c r="L1504" s="91" t="b">
        <v>0</v>
      </c>
    </row>
    <row r="1505" spans="1:12" ht="15">
      <c r="A1505" s="92" t="s">
        <v>2873</v>
      </c>
      <c r="B1505" s="91" t="s">
        <v>2905</v>
      </c>
      <c r="C1505" s="91">
        <v>2</v>
      </c>
      <c r="D1505" s="114">
        <v>0.0007342635767196412</v>
      </c>
      <c r="E1505" s="114">
        <v>3.4101865286571087</v>
      </c>
      <c r="F1505" s="91" t="s">
        <v>2518</v>
      </c>
      <c r="G1505" s="91" t="b">
        <v>0</v>
      </c>
      <c r="H1505" s="91" t="b">
        <v>0</v>
      </c>
      <c r="I1505" s="91" t="b">
        <v>0</v>
      </c>
      <c r="J1505" s="91" t="b">
        <v>0</v>
      </c>
      <c r="K1505" s="91" t="b">
        <v>0</v>
      </c>
      <c r="L1505" s="91" t="b">
        <v>0</v>
      </c>
    </row>
    <row r="1506" spans="1:12" ht="15">
      <c r="A1506" s="92" t="s">
        <v>2905</v>
      </c>
      <c r="B1506" s="91" t="s">
        <v>2796</v>
      </c>
      <c r="C1506" s="91">
        <v>2</v>
      </c>
      <c r="D1506" s="114">
        <v>0.0007342635767196412</v>
      </c>
      <c r="E1506" s="114">
        <v>3.012246519985071</v>
      </c>
      <c r="F1506" s="91" t="s">
        <v>2518</v>
      </c>
      <c r="G1506" s="91" t="b">
        <v>0</v>
      </c>
      <c r="H1506" s="91" t="b">
        <v>0</v>
      </c>
      <c r="I1506" s="91" t="b">
        <v>0</v>
      </c>
      <c r="J1506" s="91" t="b">
        <v>0</v>
      </c>
      <c r="K1506" s="91" t="b">
        <v>0</v>
      </c>
      <c r="L1506" s="91" t="b">
        <v>0</v>
      </c>
    </row>
    <row r="1507" spans="1:12" ht="15">
      <c r="A1507" s="92" t="s">
        <v>2796</v>
      </c>
      <c r="B1507" s="91" t="s">
        <v>2569</v>
      </c>
      <c r="C1507" s="91">
        <v>2</v>
      </c>
      <c r="D1507" s="114">
        <v>0.0007342635767196412</v>
      </c>
      <c r="E1507" s="114">
        <v>1.6057063395511162</v>
      </c>
      <c r="F1507" s="91" t="s">
        <v>2518</v>
      </c>
      <c r="G1507" s="91" t="b">
        <v>0</v>
      </c>
      <c r="H1507" s="91" t="b">
        <v>0</v>
      </c>
      <c r="I1507" s="91" t="b">
        <v>0</v>
      </c>
      <c r="J1507" s="91" t="b">
        <v>0</v>
      </c>
      <c r="K1507" s="91" t="b">
        <v>0</v>
      </c>
      <c r="L1507" s="91" t="b">
        <v>0</v>
      </c>
    </row>
    <row r="1508" spans="1:12" ht="15">
      <c r="A1508" s="92" t="s">
        <v>2572</v>
      </c>
      <c r="B1508" s="91" t="s">
        <v>2746</v>
      </c>
      <c r="C1508" s="91">
        <v>2</v>
      </c>
      <c r="D1508" s="114">
        <v>0.0007342635767196412</v>
      </c>
      <c r="E1508" s="114">
        <v>1.6057063395511162</v>
      </c>
      <c r="F1508" s="91" t="s">
        <v>2518</v>
      </c>
      <c r="G1508" s="91" t="b">
        <v>0</v>
      </c>
      <c r="H1508" s="91" t="b">
        <v>0</v>
      </c>
      <c r="I1508" s="91" t="b">
        <v>0</v>
      </c>
      <c r="J1508" s="91" t="b">
        <v>0</v>
      </c>
      <c r="K1508" s="91" t="b">
        <v>0</v>
      </c>
      <c r="L1508" s="91" t="b">
        <v>0</v>
      </c>
    </row>
    <row r="1509" spans="1:12" ht="15">
      <c r="A1509" s="92" t="s">
        <v>2746</v>
      </c>
      <c r="B1509" s="91" t="s">
        <v>2744</v>
      </c>
      <c r="C1509" s="91">
        <v>2</v>
      </c>
      <c r="D1509" s="114">
        <v>0.0007342635767196412</v>
      </c>
      <c r="E1509" s="114">
        <v>2.6143065113130337</v>
      </c>
      <c r="F1509" s="91" t="s">
        <v>2518</v>
      </c>
      <c r="G1509" s="91" t="b">
        <v>0</v>
      </c>
      <c r="H1509" s="91" t="b">
        <v>0</v>
      </c>
      <c r="I1509" s="91" t="b">
        <v>0</v>
      </c>
      <c r="J1509" s="91" t="b">
        <v>0</v>
      </c>
      <c r="K1509" s="91" t="b">
        <v>0</v>
      </c>
      <c r="L1509" s="91" t="b">
        <v>0</v>
      </c>
    </row>
    <row r="1510" spans="1:12" ht="15">
      <c r="A1510" s="92" t="s">
        <v>2744</v>
      </c>
      <c r="B1510" s="91" t="s">
        <v>2800</v>
      </c>
      <c r="C1510" s="91">
        <v>2</v>
      </c>
      <c r="D1510" s="114">
        <v>0.0007342635767196412</v>
      </c>
      <c r="E1510" s="114">
        <v>3.012246519985071</v>
      </c>
      <c r="F1510" s="91" t="s">
        <v>2518</v>
      </c>
      <c r="G1510" s="91" t="b">
        <v>0</v>
      </c>
      <c r="H1510" s="91" t="b">
        <v>0</v>
      </c>
      <c r="I1510" s="91" t="b">
        <v>0</v>
      </c>
      <c r="J1510" s="91" t="b">
        <v>0</v>
      </c>
      <c r="K1510" s="91" t="b">
        <v>0</v>
      </c>
      <c r="L1510" s="91" t="b">
        <v>0</v>
      </c>
    </row>
    <row r="1511" spans="1:12" ht="15">
      <c r="A1511" s="92" t="s">
        <v>2800</v>
      </c>
      <c r="B1511" s="91" t="s">
        <v>2745</v>
      </c>
      <c r="C1511" s="91">
        <v>2</v>
      </c>
      <c r="D1511" s="114">
        <v>0.0007342635767196412</v>
      </c>
      <c r="E1511" s="114">
        <v>3.012246519985071</v>
      </c>
      <c r="F1511" s="91" t="s">
        <v>2518</v>
      </c>
      <c r="G1511" s="91" t="b">
        <v>0</v>
      </c>
      <c r="H1511" s="91" t="b">
        <v>0</v>
      </c>
      <c r="I1511" s="91" t="b">
        <v>0</v>
      </c>
      <c r="J1511" s="91" t="b">
        <v>0</v>
      </c>
      <c r="K1511" s="91" t="b">
        <v>0</v>
      </c>
      <c r="L1511" s="91" t="b">
        <v>0</v>
      </c>
    </row>
    <row r="1512" spans="1:12" ht="15">
      <c r="A1512" s="92" t="s">
        <v>2745</v>
      </c>
      <c r="B1512" s="91" t="s">
        <v>2906</v>
      </c>
      <c r="C1512" s="91">
        <v>2</v>
      </c>
      <c r="D1512" s="114">
        <v>0.0007342635767196412</v>
      </c>
      <c r="E1512" s="114">
        <v>3.012246519985071</v>
      </c>
      <c r="F1512" s="91" t="s">
        <v>2518</v>
      </c>
      <c r="G1512" s="91" t="b">
        <v>0</v>
      </c>
      <c r="H1512" s="91" t="b">
        <v>0</v>
      </c>
      <c r="I1512" s="91" t="b">
        <v>0</v>
      </c>
      <c r="J1512" s="91" t="b">
        <v>0</v>
      </c>
      <c r="K1512" s="91" t="b">
        <v>0</v>
      </c>
      <c r="L1512" s="91" t="b">
        <v>0</v>
      </c>
    </row>
    <row r="1513" spans="1:12" ht="15">
      <c r="A1513" s="92" t="s">
        <v>2906</v>
      </c>
      <c r="B1513" s="91" t="s">
        <v>2613</v>
      </c>
      <c r="C1513" s="91">
        <v>2</v>
      </c>
      <c r="D1513" s="114">
        <v>0.0007342635767196412</v>
      </c>
      <c r="E1513" s="114">
        <v>2.0879672339231896</v>
      </c>
      <c r="F1513" s="91" t="s">
        <v>2518</v>
      </c>
      <c r="G1513" s="91" t="b">
        <v>0</v>
      </c>
      <c r="H1513" s="91" t="b">
        <v>0</v>
      </c>
      <c r="I1513" s="91" t="b">
        <v>0</v>
      </c>
      <c r="J1513" s="91" t="b">
        <v>0</v>
      </c>
      <c r="K1513" s="91" t="b">
        <v>0</v>
      </c>
      <c r="L1513" s="91" t="b">
        <v>0</v>
      </c>
    </row>
    <row r="1514" spans="1:12" ht="15">
      <c r="A1514" s="92" t="s">
        <v>2613</v>
      </c>
      <c r="B1514" s="91" t="s">
        <v>2571</v>
      </c>
      <c r="C1514" s="91">
        <v>2</v>
      </c>
      <c r="D1514" s="114">
        <v>0.0007342635767196412</v>
      </c>
      <c r="E1514" s="114">
        <v>0.43475472014784594</v>
      </c>
      <c r="F1514" s="91" t="s">
        <v>2518</v>
      </c>
      <c r="G1514" s="91" t="b">
        <v>0</v>
      </c>
      <c r="H1514" s="91" t="b">
        <v>0</v>
      </c>
      <c r="I1514" s="91" t="b">
        <v>0</v>
      </c>
      <c r="J1514" s="91" t="b">
        <v>0</v>
      </c>
      <c r="K1514" s="91" t="b">
        <v>0</v>
      </c>
      <c r="L1514" s="91" t="b">
        <v>0</v>
      </c>
    </row>
    <row r="1515" spans="1:12" ht="15">
      <c r="A1515" s="92" t="s">
        <v>2571</v>
      </c>
      <c r="B1515" s="91" t="s">
        <v>2717</v>
      </c>
      <c r="C1515" s="91">
        <v>2</v>
      </c>
      <c r="D1515" s="114">
        <v>0.0007342635767196412</v>
      </c>
      <c r="E1515" s="114">
        <v>1.154914023553803</v>
      </c>
      <c r="F1515" s="91" t="s">
        <v>2518</v>
      </c>
      <c r="G1515" s="91" t="b">
        <v>0</v>
      </c>
      <c r="H1515" s="91" t="b">
        <v>0</v>
      </c>
      <c r="I1515" s="91" t="b">
        <v>0</v>
      </c>
      <c r="J1515" s="91" t="b">
        <v>0</v>
      </c>
      <c r="K1515" s="91" t="b">
        <v>0</v>
      </c>
      <c r="L1515" s="91" t="b">
        <v>0</v>
      </c>
    </row>
    <row r="1516" spans="1:12" ht="15">
      <c r="A1516" s="92" t="s">
        <v>2717</v>
      </c>
      <c r="B1516" s="91" t="s">
        <v>2643</v>
      </c>
      <c r="C1516" s="91">
        <v>2</v>
      </c>
      <c r="D1516" s="114">
        <v>0.0007342635767196412</v>
      </c>
      <c r="E1516" s="114">
        <v>2.0299752869455028</v>
      </c>
      <c r="F1516" s="91" t="s">
        <v>2518</v>
      </c>
      <c r="G1516" s="91" t="b">
        <v>0</v>
      </c>
      <c r="H1516" s="91" t="b">
        <v>0</v>
      </c>
      <c r="I1516" s="91" t="b">
        <v>0</v>
      </c>
      <c r="J1516" s="91" t="b">
        <v>0</v>
      </c>
      <c r="K1516" s="91" t="b">
        <v>0</v>
      </c>
      <c r="L1516" s="91" t="b">
        <v>0</v>
      </c>
    </row>
    <row r="1517" spans="1:12" ht="15">
      <c r="A1517" s="92" t="s">
        <v>2643</v>
      </c>
      <c r="B1517" s="91" t="s">
        <v>2564</v>
      </c>
      <c r="C1517" s="91">
        <v>2</v>
      </c>
      <c r="D1517" s="114">
        <v>0.0007342635767196412</v>
      </c>
      <c r="E1517" s="114">
        <v>0.6777927688341404</v>
      </c>
      <c r="F1517" s="91" t="s">
        <v>2518</v>
      </c>
      <c r="G1517" s="91" t="b">
        <v>0</v>
      </c>
      <c r="H1517" s="91" t="b">
        <v>0</v>
      </c>
      <c r="I1517" s="91" t="b">
        <v>0</v>
      </c>
      <c r="J1517" s="91" t="b">
        <v>0</v>
      </c>
      <c r="K1517" s="91" t="b">
        <v>0</v>
      </c>
      <c r="L1517" s="91" t="b">
        <v>0</v>
      </c>
    </row>
    <row r="1518" spans="1:12" ht="15">
      <c r="A1518" s="92" t="s">
        <v>2564</v>
      </c>
      <c r="B1518" s="91" t="s">
        <v>2747</v>
      </c>
      <c r="C1518" s="91">
        <v>2</v>
      </c>
      <c r="D1518" s="114">
        <v>0.0007342635767196412</v>
      </c>
      <c r="E1518" s="114">
        <v>1.4756880774135412</v>
      </c>
      <c r="F1518" s="91" t="s">
        <v>2518</v>
      </c>
      <c r="G1518" s="91" t="b">
        <v>0</v>
      </c>
      <c r="H1518" s="91" t="b">
        <v>0</v>
      </c>
      <c r="I1518" s="91" t="b">
        <v>0</v>
      </c>
      <c r="J1518" s="91" t="b">
        <v>0</v>
      </c>
      <c r="K1518" s="91" t="b">
        <v>0</v>
      </c>
      <c r="L1518" s="91" t="b">
        <v>0</v>
      </c>
    </row>
    <row r="1519" spans="1:12" ht="15">
      <c r="A1519" s="92" t="s">
        <v>2747</v>
      </c>
      <c r="B1519" s="91" t="s">
        <v>2575</v>
      </c>
      <c r="C1519" s="91">
        <v>2</v>
      </c>
      <c r="D1519" s="114">
        <v>0.0007342635767196412</v>
      </c>
      <c r="E1519" s="114">
        <v>1.6467585350941716</v>
      </c>
      <c r="F1519" s="91" t="s">
        <v>2518</v>
      </c>
      <c r="G1519" s="91" t="b">
        <v>0</v>
      </c>
      <c r="H1519" s="91" t="b">
        <v>0</v>
      </c>
      <c r="I1519" s="91" t="b">
        <v>0</v>
      </c>
      <c r="J1519" s="91" t="b">
        <v>0</v>
      </c>
      <c r="K1519" s="91" t="b">
        <v>0</v>
      </c>
      <c r="L1519" s="91" t="b">
        <v>0</v>
      </c>
    </row>
    <row r="1520" spans="1:12" ht="15">
      <c r="A1520" s="92" t="s">
        <v>2575</v>
      </c>
      <c r="B1520" s="91" t="s">
        <v>2585</v>
      </c>
      <c r="C1520" s="91">
        <v>2</v>
      </c>
      <c r="D1520" s="114">
        <v>0.0007342635767196412</v>
      </c>
      <c r="E1520" s="114">
        <v>0.14844798130457112</v>
      </c>
      <c r="F1520" s="91" t="s">
        <v>2518</v>
      </c>
      <c r="G1520" s="91" t="b">
        <v>0</v>
      </c>
      <c r="H1520" s="91" t="b">
        <v>0</v>
      </c>
      <c r="I1520" s="91" t="b">
        <v>0</v>
      </c>
      <c r="J1520" s="91" t="b">
        <v>0</v>
      </c>
      <c r="K1520" s="91" t="b">
        <v>0</v>
      </c>
      <c r="L1520" s="91" t="b">
        <v>0</v>
      </c>
    </row>
    <row r="1521" spans="1:12" ht="15">
      <c r="A1521" s="92" t="s">
        <v>2585</v>
      </c>
      <c r="B1521" s="91" t="s">
        <v>2907</v>
      </c>
      <c r="C1521" s="91">
        <v>2</v>
      </c>
      <c r="D1521" s="114">
        <v>0.0007342635767196412</v>
      </c>
      <c r="E1521" s="114">
        <v>1.9118759748675083</v>
      </c>
      <c r="F1521" s="91" t="s">
        <v>2518</v>
      </c>
      <c r="G1521" s="91" t="b">
        <v>0</v>
      </c>
      <c r="H1521" s="91" t="b">
        <v>0</v>
      </c>
      <c r="I1521" s="91" t="b">
        <v>0</v>
      </c>
      <c r="J1521" s="91" t="b">
        <v>0</v>
      </c>
      <c r="K1521" s="91" t="b">
        <v>0</v>
      </c>
      <c r="L1521" s="91" t="b">
        <v>0</v>
      </c>
    </row>
    <row r="1522" spans="1:12" ht="15">
      <c r="A1522" s="92" t="s">
        <v>2907</v>
      </c>
      <c r="B1522" s="91" t="s">
        <v>2612</v>
      </c>
      <c r="C1522" s="91">
        <v>2</v>
      </c>
      <c r="D1522" s="114">
        <v>0.0007342635767196412</v>
      </c>
      <c r="E1522" s="114">
        <v>2.5070965416651654</v>
      </c>
      <c r="F1522" s="91" t="s">
        <v>2518</v>
      </c>
      <c r="G1522" s="91" t="b">
        <v>0</v>
      </c>
      <c r="H1522" s="91" t="b">
        <v>0</v>
      </c>
      <c r="I1522" s="91" t="b">
        <v>0</v>
      </c>
      <c r="J1522" s="91" t="b">
        <v>0</v>
      </c>
      <c r="K1522" s="91" t="b">
        <v>0</v>
      </c>
      <c r="L1522" s="91" t="b">
        <v>0</v>
      </c>
    </row>
    <row r="1523" spans="1:12" ht="15">
      <c r="A1523" s="92" t="s">
        <v>2612</v>
      </c>
      <c r="B1523" s="91" t="s">
        <v>2731</v>
      </c>
      <c r="C1523" s="91">
        <v>2</v>
      </c>
      <c r="D1523" s="114">
        <v>0.0007342635767196412</v>
      </c>
      <c r="E1523" s="114">
        <v>2.5070965416651654</v>
      </c>
      <c r="F1523" s="91" t="s">
        <v>2518</v>
      </c>
      <c r="G1523" s="91" t="b">
        <v>0</v>
      </c>
      <c r="H1523" s="91" t="b">
        <v>0</v>
      </c>
      <c r="I1523" s="91" t="b">
        <v>0</v>
      </c>
      <c r="J1523" s="91" t="b">
        <v>0</v>
      </c>
      <c r="K1523" s="91" t="b">
        <v>0</v>
      </c>
      <c r="L1523" s="91" t="b">
        <v>0</v>
      </c>
    </row>
    <row r="1524" spans="1:12" ht="15">
      <c r="A1524" s="92" t="s">
        <v>2731</v>
      </c>
      <c r="B1524" s="91" t="s">
        <v>2830</v>
      </c>
      <c r="C1524" s="91">
        <v>2</v>
      </c>
      <c r="D1524" s="114">
        <v>0.0007342635767196412</v>
      </c>
      <c r="E1524" s="114">
        <v>3.109156532993128</v>
      </c>
      <c r="F1524" s="91" t="s">
        <v>2518</v>
      </c>
      <c r="G1524" s="91" t="b">
        <v>0</v>
      </c>
      <c r="H1524" s="91" t="b">
        <v>0</v>
      </c>
      <c r="I1524" s="91" t="b">
        <v>0</v>
      </c>
      <c r="J1524" s="91" t="b">
        <v>0</v>
      </c>
      <c r="K1524" s="91" t="b">
        <v>0</v>
      </c>
      <c r="L1524" s="91" t="b">
        <v>0</v>
      </c>
    </row>
    <row r="1525" spans="1:12" ht="15">
      <c r="A1525" s="92" t="s">
        <v>2830</v>
      </c>
      <c r="B1525" s="91" t="s">
        <v>2908</v>
      </c>
      <c r="C1525" s="91">
        <v>2</v>
      </c>
      <c r="D1525" s="114">
        <v>0.0007342635767196412</v>
      </c>
      <c r="E1525" s="114">
        <v>3.4101865286571087</v>
      </c>
      <c r="F1525" s="91" t="s">
        <v>2518</v>
      </c>
      <c r="G1525" s="91" t="b">
        <v>0</v>
      </c>
      <c r="H1525" s="91" t="b">
        <v>0</v>
      </c>
      <c r="I1525" s="91" t="b">
        <v>0</v>
      </c>
      <c r="J1525" s="91" t="b">
        <v>0</v>
      </c>
      <c r="K1525" s="91" t="b">
        <v>0</v>
      </c>
      <c r="L1525" s="91" t="b">
        <v>0</v>
      </c>
    </row>
    <row r="1526" spans="1:12" ht="15">
      <c r="A1526" s="92" t="s">
        <v>2908</v>
      </c>
      <c r="B1526" s="91" t="s">
        <v>2909</v>
      </c>
      <c r="C1526" s="91">
        <v>2</v>
      </c>
      <c r="D1526" s="114">
        <v>0.0007342635767196412</v>
      </c>
      <c r="E1526" s="114">
        <v>3.4101865286571087</v>
      </c>
      <c r="F1526" s="91" t="s">
        <v>2518</v>
      </c>
      <c r="G1526" s="91" t="b">
        <v>0</v>
      </c>
      <c r="H1526" s="91" t="b">
        <v>0</v>
      </c>
      <c r="I1526" s="91" t="b">
        <v>0</v>
      </c>
      <c r="J1526" s="91" t="b">
        <v>0</v>
      </c>
      <c r="K1526" s="91" t="b">
        <v>0</v>
      </c>
      <c r="L1526" s="91" t="b">
        <v>0</v>
      </c>
    </row>
    <row r="1527" spans="1:12" ht="15">
      <c r="A1527" s="92" t="s">
        <v>2909</v>
      </c>
      <c r="B1527" s="91" t="s">
        <v>2801</v>
      </c>
      <c r="C1527" s="91">
        <v>2</v>
      </c>
      <c r="D1527" s="114">
        <v>0.0007342635767196412</v>
      </c>
      <c r="E1527" s="114">
        <v>3.4101865286571087</v>
      </c>
      <c r="F1527" s="91" t="s">
        <v>2518</v>
      </c>
      <c r="G1527" s="91" t="b">
        <v>0</v>
      </c>
      <c r="H1527" s="91" t="b">
        <v>0</v>
      </c>
      <c r="I1527" s="91" t="b">
        <v>0</v>
      </c>
      <c r="J1527" s="91" t="b">
        <v>0</v>
      </c>
      <c r="K1527" s="91" t="b">
        <v>0</v>
      </c>
      <c r="L1527" s="91" t="b">
        <v>0</v>
      </c>
    </row>
    <row r="1528" spans="1:12" ht="15">
      <c r="A1528" s="92" t="s">
        <v>2801</v>
      </c>
      <c r="B1528" s="91" t="s">
        <v>2802</v>
      </c>
      <c r="C1528" s="91">
        <v>2</v>
      </c>
      <c r="D1528" s="114">
        <v>0.0007342635767196412</v>
      </c>
      <c r="E1528" s="114">
        <v>3.4101865286571087</v>
      </c>
      <c r="F1528" s="91" t="s">
        <v>2518</v>
      </c>
      <c r="G1528" s="91" t="b">
        <v>0</v>
      </c>
      <c r="H1528" s="91" t="b">
        <v>0</v>
      </c>
      <c r="I1528" s="91" t="b">
        <v>0</v>
      </c>
      <c r="J1528" s="91" t="b">
        <v>0</v>
      </c>
      <c r="K1528" s="91" t="b">
        <v>0</v>
      </c>
      <c r="L1528" s="91" t="b">
        <v>0</v>
      </c>
    </row>
    <row r="1529" spans="1:12" ht="15">
      <c r="A1529" s="92" t="s">
        <v>2802</v>
      </c>
      <c r="B1529" s="91" t="s">
        <v>2620</v>
      </c>
      <c r="C1529" s="91">
        <v>2</v>
      </c>
      <c r="D1529" s="114">
        <v>0.0007342635767196412</v>
      </c>
      <c r="E1529" s="114">
        <v>2.3132765156490525</v>
      </c>
      <c r="F1529" s="91" t="s">
        <v>2518</v>
      </c>
      <c r="G1529" s="91" t="b">
        <v>0</v>
      </c>
      <c r="H1529" s="91" t="b">
        <v>0</v>
      </c>
      <c r="I1529" s="91" t="b">
        <v>0</v>
      </c>
      <c r="J1529" s="91" t="b">
        <v>0</v>
      </c>
      <c r="K1529" s="91" t="b">
        <v>0</v>
      </c>
      <c r="L1529" s="91" t="b">
        <v>0</v>
      </c>
    </row>
    <row r="1530" spans="1:12" ht="15">
      <c r="A1530" s="92" t="s">
        <v>2569</v>
      </c>
      <c r="B1530" s="91" t="s">
        <v>2572</v>
      </c>
      <c r="C1530" s="91">
        <v>18</v>
      </c>
      <c r="D1530" s="114">
        <v>0.004358569638110154</v>
      </c>
      <c r="E1530" s="114">
        <v>1.5947607525864629</v>
      </c>
      <c r="F1530" s="91" t="s">
        <v>2519</v>
      </c>
      <c r="G1530" s="91" t="b">
        <v>0</v>
      </c>
      <c r="H1530" s="91" t="b">
        <v>0</v>
      </c>
      <c r="I1530" s="91" t="b">
        <v>0</v>
      </c>
      <c r="J1530" s="91" t="b">
        <v>0</v>
      </c>
      <c r="K1530" s="91" t="b">
        <v>0</v>
      </c>
      <c r="L1530" s="91" t="b">
        <v>0</v>
      </c>
    </row>
    <row r="1531" spans="1:12" ht="15">
      <c r="A1531" s="92" t="s">
        <v>2564</v>
      </c>
      <c r="B1531" s="91" t="s">
        <v>2566</v>
      </c>
      <c r="C1531" s="91">
        <v>17</v>
      </c>
      <c r="D1531" s="114">
        <v>0.00454924834025844</v>
      </c>
      <c r="E1531" s="114">
        <v>1.413029226178089</v>
      </c>
      <c r="F1531" s="91" t="s">
        <v>2519</v>
      </c>
      <c r="G1531" s="91" t="b">
        <v>0</v>
      </c>
      <c r="H1531" s="91" t="b">
        <v>0</v>
      </c>
      <c r="I1531" s="91" t="b">
        <v>0</v>
      </c>
      <c r="J1531" s="91" t="b">
        <v>0</v>
      </c>
      <c r="K1531" s="91" t="b">
        <v>0</v>
      </c>
      <c r="L1531" s="91" t="b">
        <v>0</v>
      </c>
    </row>
    <row r="1532" spans="1:12" ht="15">
      <c r="A1532" s="92" t="s">
        <v>2663</v>
      </c>
      <c r="B1532" s="91" t="s">
        <v>2568</v>
      </c>
      <c r="C1532" s="91">
        <v>13</v>
      </c>
      <c r="D1532" s="114">
        <v>0.0050322445536991455</v>
      </c>
      <c r="E1532" s="114">
        <v>1.5770319856260315</v>
      </c>
      <c r="F1532" s="91" t="s">
        <v>2519</v>
      </c>
      <c r="G1532" s="91" t="b">
        <v>0</v>
      </c>
      <c r="H1532" s="91" t="b">
        <v>0</v>
      </c>
      <c r="I1532" s="91" t="b">
        <v>0</v>
      </c>
      <c r="J1532" s="91" t="b">
        <v>0</v>
      </c>
      <c r="K1532" s="91" t="b">
        <v>0</v>
      </c>
      <c r="L1532" s="91" t="b">
        <v>0</v>
      </c>
    </row>
    <row r="1533" spans="1:12" ht="15">
      <c r="A1533" s="92" t="s">
        <v>2568</v>
      </c>
      <c r="B1533" s="91" t="s">
        <v>2569</v>
      </c>
      <c r="C1533" s="91">
        <v>13</v>
      </c>
      <c r="D1533" s="114">
        <v>0.0050322445536991455</v>
      </c>
      <c r="E1533" s="114">
        <v>1.310764096221262</v>
      </c>
      <c r="F1533" s="91" t="s">
        <v>2519</v>
      </c>
      <c r="G1533" s="91" t="b">
        <v>0</v>
      </c>
      <c r="H1533" s="91" t="b">
        <v>0</v>
      </c>
      <c r="I1533" s="91" t="b">
        <v>0</v>
      </c>
      <c r="J1533" s="91" t="b">
        <v>0</v>
      </c>
      <c r="K1533" s="91" t="b">
        <v>0</v>
      </c>
      <c r="L1533" s="91" t="b">
        <v>0</v>
      </c>
    </row>
    <row r="1534" spans="1:12" ht="15">
      <c r="A1534" s="92" t="s">
        <v>2572</v>
      </c>
      <c r="B1534" s="91" t="s">
        <v>611</v>
      </c>
      <c r="C1534" s="91">
        <v>13</v>
      </c>
      <c r="D1534" s="114">
        <v>0.0050322445536991455</v>
      </c>
      <c r="E1534" s="114">
        <v>1.7196994891947628</v>
      </c>
      <c r="F1534" s="91" t="s">
        <v>2519</v>
      </c>
      <c r="G1534" s="91" t="b">
        <v>0</v>
      </c>
      <c r="H1534" s="91" t="b">
        <v>0</v>
      </c>
      <c r="I1534" s="91" t="b">
        <v>0</v>
      </c>
      <c r="J1534" s="91" t="b">
        <v>0</v>
      </c>
      <c r="K1534" s="91" t="b">
        <v>0</v>
      </c>
      <c r="L1534" s="91" t="b">
        <v>0</v>
      </c>
    </row>
    <row r="1535" spans="1:12" ht="15">
      <c r="A1535" s="92" t="s">
        <v>611</v>
      </c>
      <c r="B1535" s="91" t="s">
        <v>2666</v>
      </c>
      <c r="C1535" s="91">
        <v>13</v>
      </c>
      <c r="D1535" s="114">
        <v>0.0050322445536991455</v>
      </c>
      <c r="E1535" s="114">
        <v>1.861028641991232</v>
      </c>
      <c r="F1535" s="91" t="s">
        <v>2519</v>
      </c>
      <c r="G1535" s="91" t="b">
        <v>0</v>
      </c>
      <c r="H1535" s="91" t="b">
        <v>0</v>
      </c>
      <c r="I1535" s="91" t="b">
        <v>0</v>
      </c>
      <c r="J1535" s="91" t="b">
        <v>0</v>
      </c>
      <c r="K1535" s="91" t="b">
        <v>0</v>
      </c>
      <c r="L1535" s="91" t="b">
        <v>0</v>
      </c>
    </row>
    <row r="1536" spans="1:12" ht="15">
      <c r="A1536" s="92" t="s">
        <v>2666</v>
      </c>
      <c r="B1536" s="91" t="s">
        <v>2630</v>
      </c>
      <c r="C1536" s="91">
        <v>13</v>
      </c>
      <c r="D1536" s="114">
        <v>0.0050322445536991455</v>
      </c>
      <c r="E1536" s="114">
        <v>1.861028641991232</v>
      </c>
      <c r="F1536" s="91" t="s">
        <v>2519</v>
      </c>
      <c r="G1536" s="91" t="b">
        <v>0</v>
      </c>
      <c r="H1536" s="91" t="b">
        <v>0</v>
      </c>
      <c r="I1536" s="91" t="b">
        <v>0</v>
      </c>
      <c r="J1536" s="91" t="b">
        <v>0</v>
      </c>
      <c r="K1536" s="91" t="b">
        <v>0</v>
      </c>
      <c r="L1536" s="91" t="b">
        <v>0</v>
      </c>
    </row>
    <row r="1537" spans="1:12" ht="15">
      <c r="A1537" s="92" t="s">
        <v>2630</v>
      </c>
      <c r="B1537" s="91" t="s">
        <v>2676</v>
      </c>
      <c r="C1537" s="91">
        <v>13</v>
      </c>
      <c r="D1537" s="114">
        <v>0.0050322445536991455</v>
      </c>
      <c r="E1537" s="114">
        <v>1.861028641991232</v>
      </c>
      <c r="F1537" s="91" t="s">
        <v>2519</v>
      </c>
      <c r="G1537" s="91" t="b">
        <v>0</v>
      </c>
      <c r="H1537" s="91" t="b">
        <v>0</v>
      </c>
      <c r="I1537" s="91" t="b">
        <v>0</v>
      </c>
      <c r="J1537" s="91" t="b">
        <v>0</v>
      </c>
      <c r="K1537" s="91" t="b">
        <v>0</v>
      </c>
      <c r="L1537" s="91" t="b">
        <v>0</v>
      </c>
    </row>
    <row r="1538" spans="1:12" ht="15">
      <c r="A1538" s="92" t="s">
        <v>2676</v>
      </c>
      <c r="B1538" s="91" t="s">
        <v>2580</v>
      </c>
      <c r="C1538" s="91">
        <v>13</v>
      </c>
      <c r="D1538" s="114">
        <v>0.0050322445536991455</v>
      </c>
      <c r="E1538" s="114">
        <v>1.6962183933452402</v>
      </c>
      <c r="F1538" s="91" t="s">
        <v>2519</v>
      </c>
      <c r="G1538" s="91" t="b">
        <v>0</v>
      </c>
      <c r="H1538" s="91" t="b">
        <v>0</v>
      </c>
      <c r="I1538" s="91" t="b">
        <v>0</v>
      </c>
      <c r="J1538" s="91" t="b">
        <v>0</v>
      </c>
      <c r="K1538" s="91" t="b">
        <v>0</v>
      </c>
      <c r="L1538" s="91" t="b">
        <v>0</v>
      </c>
    </row>
    <row r="1539" spans="1:12" ht="15">
      <c r="A1539" s="92" t="s">
        <v>2580</v>
      </c>
      <c r="B1539" s="91" t="s">
        <v>2677</v>
      </c>
      <c r="C1539" s="91">
        <v>13</v>
      </c>
      <c r="D1539" s="114">
        <v>0.0050322445536991455</v>
      </c>
      <c r="E1539" s="114">
        <v>1.6962183933452402</v>
      </c>
      <c r="F1539" s="91" t="s">
        <v>2519</v>
      </c>
      <c r="G1539" s="91" t="b">
        <v>0</v>
      </c>
      <c r="H1539" s="91" t="b">
        <v>0</v>
      </c>
      <c r="I1539" s="91" t="b">
        <v>0</v>
      </c>
      <c r="J1539" s="91" t="b">
        <v>0</v>
      </c>
      <c r="K1539" s="91" t="b">
        <v>0</v>
      </c>
      <c r="L1539" s="91" t="b">
        <v>0</v>
      </c>
    </row>
    <row r="1540" spans="1:12" ht="15">
      <c r="A1540" s="92" t="s">
        <v>2677</v>
      </c>
      <c r="B1540" s="91" t="s">
        <v>2678</v>
      </c>
      <c r="C1540" s="91">
        <v>13</v>
      </c>
      <c r="D1540" s="114">
        <v>0.0050322445536991455</v>
      </c>
      <c r="E1540" s="114">
        <v>1.861028641991232</v>
      </c>
      <c r="F1540" s="91" t="s">
        <v>2519</v>
      </c>
      <c r="G1540" s="91" t="b">
        <v>0</v>
      </c>
      <c r="H1540" s="91" t="b">
        <v>0</v>
      </c>
      <c r="I1540" s="91" t="b">
        <v>0</v>
      </c>
      <c r="J1540" s="91" t="b">
        <v>0</v>
      </c>
      <c r="K1540" s="91" t="b">
        <v>0</v>
      </c>
      <c r="L1540" s="91" t="b">
        <v>0</v>
      </c>
    </row>
    <row r="1541" spans="1:12" ht="15">
      <c r="A1541" s="92" t="s">
        <v>2678</v>
      </c>
      <c r="B1541" s="91" t="s">
        <v>2631</v>
      </c>
      <c r="C1541" s="91">
        <v>13</v>
      </c>
      <c r="D1541" s="114">
        <v>0.0050322445536991455</v>
      </c>
      <c r="E1541" s="114">
        <v>1.828843958619831</v>
      </c>
      <c r="F1541" s="91" t="s">
        <v>2519</v>
      </c>
      <c r="G1541" s="91" t="b">
        <v>0</v>
      </c>
      <c r="H1541" s="91" t="b">
        <v>0</v>
      </c>
      <c r="I1541" s="91" t="b">
        <v>0</v>
      </c>
      <c r="J1541" s="91" t="b">
        <v>0</v>
      </c>
      <c r="K1541" s="91" t="b">
        <v>0</v>
      </c>
      <c r="L1541" s="91" t="b">
        <v>0</v>
      </c>
    </row>
    <row r="1542" spans="1:12" ht="15">
      <c r="A1542" s="92" t="s">
        <v>2631</v>
      </c>
      <c r="B1542" s="91" t="s">
        <v>2610</v>
      </c>
      <c r="C1542" s="91">
        <v>13</v>
      </c>
      <c r="D1542" s="114">
        <v>0.0050322445536991455</v>
      </c>
      <c r="E1542" s="114">
        <v>1.7966592752484296</v>
      </c>
      <c r="F1542" s="91" t="s">
        <v>2519</v>
      </c>
      <c r="G1542" s="91" t="b">
        <v>0</v>
      </c>
      <c r="H1542" s="91" t="b">
        <v>0</v>
      </c>
      <c r="I1542" s="91" t="b">
        <v>0</v>
      </c>
      <c r="J1542" s="91" t="b">
        <v>0</v>
      </c>
      <c r="K1542" s="91" t="b">
        <v>0</v>
      </c>
      <c r="L1542" s="91" t="b">
        <v>0</v>
      </c>
    </row>
    <row r="1543" spans="1:12" ht="15">
      <c r="A1543" s="92" t="s">
        <v>2610</v>
      </c>
      <c r="B1543" s="91" t="s">
        <v>2577</v>
      </c>
      <c r="C1543" s="91">
        <v>13</v>
      </c>
      <c r="D1543" s="114">
        <v>0.0050322445536991455</v>
      </c>
      <c r="E1543" s="114">
        <v>1.6417573152626865</v>
      </c>
      <c r="F1543" s="91" t="s">
        <v>2519</v>
      </c>
      <c r="G1543" s="91" t="b">
        <v>0</v>
      </c>
      <c r="H1543" s="91" t="b">
        <v>0</v>
      </c>
      <c r="I1543" s="91" t="b">
        <v>0</v>
      </c>
      <c r="J1543" s="91" t="b">
        <v>0</v>
      </c>
      <c r="K1543" s="91" t="b">
        <v>0</v>
      </c>
      <c r="L1543" s="91" t="b">
        <v>0</v>
      </c>
    </row>
    <row r="1544" spans="1:12" ht="15">
      <c r="A1544" s="92" t="s">
        <v>2577</v>
      </c>
      <c r="B1544" s="91" t="s">
        <v>2658</v>
      </c>
      <c r="C1544" s="91">
        <v>13</v>
      </c>
      <c r="D1544" s="114">
        <v>0.0050322445536991455</v>
      </c>
      <c r="E1544" s="114">
        <v>1.6739419986340878</v>
      </c>
      <c r="F1544" s="91" t="s">
        <v>2519</v>
      </c>
      <c r="G1544" s="91" t="b">
        <v>0</v>
      </c>
      <c r="H1544" s="91" t="b">
        <v>0</v>
      </c>
      <c r="I1544" s="91" t="b">
        <v>0</v>
      </c>
      <c r="J1544" s="91" t="b">
        <v>0</v>
      </c>
      <c r="K1544" s="91" t="b">
        <v>0</v>
      </c>
      <c r="L1544" s="91" t="b">
        <v>0</v>
      </c>
    </row>
    <row r="1545" spans="1:12" ht="15">
      <c r="A1545" s="92" t="s">
        <v>2658</v>
      </c>
      <c r="B1545" s="91" t="s">
        <v>2653</v>
      </c>
      <c r="C1545" s="91">
        <v>13</v>
      </c>
      <c r="D1545" s="114">
        <v>0.0050322445536991455</v>
      </c>
      <c r="E1545" s="114">
        <v>1.861028641991232</v>
      </c>
      <c r="F1545" s="91" t="s">
        <v>2519</v>
      </c>
      <c r="G1545" s="91" t="b">
        <v>0</v>
      </c>
      <c r="H1545" s="91" t="b">
        <v>0</v>
      </c>
      <c r="I1545" s="91" t="b">
        <v>0</v>
      </c>
      <c r="J1545" s="91" t="b">
        <v>0</v>
      </c>
      <c r="K1545" s="91" t="b">
        <v>0</v>
      </c>
      <c r="L1545" s="91" t="b">
        <v>0</v>
      </c>
    </row>
    <row r="1546" spans="1:12" ht="15">
      <c r="A1546" s="92" t="s">
        <v>2653</v>
      </c>
      <c r="B1546" s="91" t="s">
        <v>2667</v>
      </c>
      <c r="C1546" s="91">
        <v>13</v>
      </c>
      <c r="D1546" s="114">
        <v>0.0050322445536991455</v>
      </c>
      <c r="E1546" s="114">
        <v>1.861028641991232</v>
      </c>
      <c r="F1546" s="91" t="s">
        <v>2519</v>
      </c>
      <c r="G1546" s="91" t="b">
        <v>0</v>
      </c>
      <c r="H1546" s="91" t="b">
        <v>0</v>
      </c>
      <c r="I1546" s="91" t="b">
        <v>0</v>
      </c>
      <c r="J1546" s="91" t="b">
        <v>0</v>
      </c>
      <c r="K1546" s="91" t="b">
        <v>0</v>
      </c>
      <c r="L1546" s="91" t="b">
        <v>0</v>
      </c>
    </row>
    <row r="1547" spans="1:12" ht="15">
      <c r="A1547" s="92" t="s">
        <v>2667</v>
      </c>
      <c r="B1547" s="91" t="s">
        <v>2578</v>
      </c>
      <c r="C1547" s="91">
        <v>13</v>
      </c>
      <c r="D1547" s="114">
        <v>0.0050322445536991455</v>
      </c>
      <c r="E1547" s="114">
        <v>1.395188397681259</v>
      </c>
      <c r="F1547" s="91" t="s">
        <v>2519</v>
      </c>
      <c r="G1547" s="91" t="b">
        <v>0</v>
      </c>
      <c r="H1547" s="91" t="b">
        <v>0</v>
      </c>
      <c r="I1547" s="91" t="b">
        <v>0</v>
      </c>
      <c r="J1547" s="91" t="b">
        <v>0</v>
      </c>
      <c r="K1547" s="91" t="b">
        <v>0</v>
      </c>
      <c r="L1547" s="91" t="b">
        <v>0</v>
      </c>
    </row>
    <row r="1548" spans="1:12" ht="15">
      <c r="A1548" s="92" t="s">
        <v>2578</v>
      </c>
      <c r="B1548" s="91" t="s">
        <v>2612</v>
      </c>
      <c r="C1548" s="91">
        <v>13</v>
      </c>
      <c r="D1548" s="114">
        <v>0.0050322445536991455</v>
      </c>
      <c r="E1548" s="114">
        <v>1.0777679858291083</v>
      </c>
      <c r="F1548" s="91" t="s">
        <v>2519</v>
      </c>
      <c r="G1548" s="91" t="b">
        <v>0</v>
      </c>
      <c r="H1548" s="91" t="b">
        <v>0</v>
      </c>
      <c r="I1548" s="91" t="b">
        <v>0</v>
      </c>
      <c r="J1548" s="91" t="b">
        <v>0</v>
      </c>
      <c r="K1548" s="91" t="b">
        <v>0</v>
      </c>
      <c r="L1548" s="91" t="b">
        <v>0</v>
      </c>
    </row>
    <row r="1549" spans="1:12" ht="15">
      <c r="A1549" s="92" t="s">
        <v>2612</v>
      </c>
      <c r="B1549" s="91" t="s">
        <v>2679</v>
      </c>
      <c r="C1549" s="91">
        <v>13</v>
      </c>
      <c r="D1549" s="114">
        <v>0.0050322445536991455</v>
      </c>
      <c r="E1549" s="114">
        <v>1.6527526995641497</v>
      </c>
      <c r="F1549" s="91" t="s">
        <v>2519</v>
      </c>
      <c r="G1549" s="91" t="b">
        <v>0</v>
      </c>
      <c r="H1549" s="91" t="b">
        <v>0</v>
      </c>
      <c r="I1549" s="91" t="b">
        <v>0</v>
      </c>
      <c r="J1549" s="91" t="b">
        <v>0</v>
      </c>
      <c r="K1549" s="91" t="b">
        <v>0</v>
      </c>
      <c r="L1549" s="91" t="b">
        <v>0</v>
      </c>
    </row>
    <row r="1550" spans="1:12" ht="15">
      <c r="A1550" s="92" t="s">
        <v>2679</v>
      </c>
      <c r="B1550" s="91" t="s">
        <v>2565</v>
      </c>
      <c r="C1550" s="91">
        <v>13</v>
      </c>
      <c r="D1550" s="114">
        <v>0.0050322445536991455</v>
      </c>
      <c r="E1550" s="114">
        <v>1.7445230729197951</v>
      </c>
      <c r="F1550" s="91" t="s">
        <v>2519</v>
      </c>
      <c r="G1550" s="91" t="b">
        <v>0</v>
      </c>
      <c r="H1550" s="91" t="b">
        <v>0</v>
      </c>
      <c r="I1550" s="91" t="b">
        <v>0</v>
      </c>
      <c r="J1550" s="91" t="b">
        <v>0</v>
      </c>
      <c r="K1550" s="91" t="b">
        <v>0</v>
      </c>
      <c r="L1550" s="91" t="b">
        <v>0</v>
      </c>
    </row>
    <row r="1551" spans="1:12" ht="15">
      <c r="A1551" s="92" t="s">
        <v>2565</v>
      </c>
      <c r="B1551" s="91" t="s">
        <v>2571</v>
      </c>
      <c r="C1551" s="91">
        <v>13</v>
      </c>
      <c r="D1551" s="114">
        <v>0.0050322445536991455</v>
      </c>
      <c r="E1551" s="114">
        <v>1.5362471304927126</v>
      </c>
      <c r="F1551" s="91" t="s">
        <v>2519</v>
      </c>
      <c r="G1551" s="91" t="b">
        <v>0</v>
      </c>
      <c r="H1551" s="91" t="b">
        <v>0</v>
      </c>
      <c r="I1551" s="91" t="b">
        <v>0</v>
      </c>
      <c r="J1551" s="91" t="b">
        <v>0</v>
      </c>
      <c r="K1551" s="91" t="b">
        <v>0</v>
      </c>
      <c r="L1551" s="91" t="b">
        <v>0</v>
      </c>
    </row>
    <row r="1552" spans="1:12" ht="15">
      <c r="A1552" s="92" t="s">
        <v>2571</v>
      </c>
      <c r="B1552" s="91" t="s">
        <v>2622</v>
      </c>
      <c r="C1552" s="91">
        <v>13</v>
      </c>
      <c r="D1552" s="114">
        <v>0.0050322445536991455</v>
      </c>
      <c r="E1552" s="114">
        <v>1.6527526995641497</v>
      </c>
      <c r="F1552" s="91" t="s">
        <v>2519</v>
      </c>
      <c r="G1552" s="91" t="b">
        <v>0</v>
      </c>
      <c r="H1552" s="91" t="b">
        <v>0</v>
      </c>
      <c r="I1552" s="91" t="b">
        <v>0</v>
      </c>
      <c r="J1552" s="91" t="b">
        <v>0</v>
      </c>
      <c r="K1552" s="91" t="b">
        <v>0</v>
      </c>
      <c r="L1552" s="91" t="b">
        <v>0</v>
      </c>
    </row>
    <row r="1553" spans="1:12" ht="15">
      <c r="A1553" s="92" t="s">
        <v>2622</v>
      </c>
      <c r="B1553" s="91" t="s">
        <v>2567</v>
      </c>
      <c r="C1553" s="91">
        <v>13</v>
      </c>
      <c r="D1553" s="114">
        <v>0.0050322445536991455</v>
      </c>
      <c r="E1553" s="114">
        <v>1.7445230729197951</v>
      </c>
      <c r="F1553" s="91" t="s">
        <v>2519</v>
      </c>
      <c r="G1553" s="91" t="b">
        <v>0</v>
      </c>
      <c r="H1553" s="91" t="b">
        <v>0</v>
      </c>
      <c r="I1553" s="91" t="b">
        <v>0</v>
      </c>
      <c r="J1553" s="91" t="b">
        <v>0</v>
      </c>
      <c r="K1553" s="91" t="b">
        <v>0</v>
      </c>
      <c r="L1553" s="91" t="b">
        <v>0</v>
      </c>
    </row>
    <row r="1554" spans="1:12" ht="15">
      <c r="A1554" s="92" t="s">
        <v>2567</v>
      </c>
      <c r="B1554" s="91" t="s">
        <v>2564</v>
      </c>
      <c r="C1554" s="91">
        <v>13</v>
      </c>
      <c r="D1554" s="114">
        <v>0.0050322445536991455</v>
      </c>
      <c r="E1554" s="114">
        <v>1.367104731392359</v>
      </c>
      <c r="F1554" s="91" t="s">
        <v>2519</v>
      </c>
      <c r="G1554" s="91" t="b">
        <v>0</v>
      </c>
      <c r="H1554" s="91" t="b">
        <v>0</v>
      </c>
      <c r="I1554" s="91" t="b">
        <v>0</v>
      </c>
      <c r="J1554" s="91" t="b">
        <v>0</v>
      </c>
      <c r="K1554" s="91" t="b">
        <v>0</v>
      </c>
      <c r="L1554" s="91" t="b">
        <v>0</v>
      </c>
    </row>
    <row r="1555" spans="1:12" ht="15">
      <c r="A1555" s="92" t="s">
        <v>2913</v>
      </c>
      <c r="B1555" s="91" t="s">
        <v>2795</v>
      </c>
      <c r="C1555" s="91">
        <v>6</v>
      </c>
      <c r="D1555" s="114">
        <v>0.004388987344311564</v>
      </c>
      <c r="E1555" s="114">
        <v>2.1968207439144254</v>
      </c>
      <c r="F1555" s="91" t="s">
        <v>2519</v>
      </c>
      <c r="G1555" s="91" t="b">
        <v>0</v>
      </c>
      <c r="H1555" s="91" t="b">
        <v>0</v>
      </c>
      <c r="I1555" s="91" t="b">
        <v>0</v>
      </c>
      <c r="J1555" s="91" t="b">
        <v>0</v>
      </c>
      <c r="K1555" s="91" t="b">
        <v>0</v>
      </c>
      <c r="L1555" s="91" t="b">
        <v>0</v>
      </c>
    </row>
    <row r="1556" spans="1:12" ht="15">
      <c r="A1556" s="92" t="s">
        <v>2795</v>
      </c>
      <c r="B1556" s="91" t="s">
        <v>2875</v>
      </c>
      <c r="C1556" s="91">
        <v>6</v>
      </c>
      <c r="D1556" s="114">
        <v>0.004388987344311564</v>
      </c>
      <c r="E1556" s="114">
        <v>2.1968207439144254</v>
      </c>
      <c r="F1556" s="91" t="s">
        <v>2519</v>
      </c>
      <c r="G1556" s="91" t="b">
        <v>0</v>
      </c>
      <c r="H1556" s="91" t="b">
        <v>0</v>
      </c>
      <c r="I1556" s="91" t="b">
        <v>0</v>
      </c>
      <c r="J1556" s="91" t="b">
        <v>0</v>
      </c>
      <c r="K1556" s="91" t="b">
        <v>0</v>
      </c>
      <c r="L1556" s="91" t="b">
        <v>0</v>
      </c>
    </row>
    <row r="1557" spans="1:12" ht="15">
      <c r="A1557" s="92" t="s">
        <v>2875</v>
      </c>
      <c r="B1557" s="91" t="s">
        <v>2578</v>
      </c>
      <c r="C1557" s="91">
        <v>6</v>
      </c>
      <c r="D1557" s="114">
        <v>0.004388987344311564</v>
      </c>
      <c r="E1557" s="114">
        <v>1.395188397681259</v>
      </c>
      <c r="F1557" s="91" t="s">
        <v>2519</v>
      </c>
      <c r="G1557" s="91" t="b">
        <v>0</v>
      </c>
      <c r="H1557" s="91" t="b">
        <v>0</v>
      </c>
      <c r="I1557" s="91" t="b">
        <v>0</v>
      </c>
      <c r="J1557" s="91" t="b">
        <v>0</v>
      </c>
      <c r="K1557" s="91" t="b">
        <v>0</v>
      </c>
      <c r="L1557" s="91" t="b">
        <v>0</v>
      </c>
    </row>
    <row r="1558" spans="1:12" ht="15">
      <c r="A1558" s="92" t="s">
        <v>2578</v>
      </c>
      <c r="B1558" s="91" t="s">
        <v>2914</v>
      </c>
      <c r="C1558" s="91">
        <v>6</v>
      </c>
      <c r="D1558" s="114">
        <v>0.004388987344311564</v>
      </c>
      <c r="E1558" s="114">
        <v>1.395188397681259</v>
      </c>
      <c r="F1558" s="91" t="s">
        <v>2519</v>
      </c>
      <c r="G1558" s="91" t="b">
        <v>0</v>
      </c>
      <c r="H1558" s="91" t="b">
        <v>0</v>
      </c>
      <c r="I1558" s="91" t="b">
        <v>0</v>
      </c>
      <c r="J1558" s="91" t="b">
        <v>0</v>
      </c>
      <c r="K1558" s="91" t="b">
        <v>0</v>
      </c>
      <c r="L1558" s="91" t="b">
        <v>0</v>
      </c>
    </row>
    <row r="1559" spans="1:12" ht="15">
      <c r="A1559" s="92" t="s">
        <v>2914</v>
      </c>
      <c r="B1559" s="91" t="s">
        <v>2577</v>
      </c>
      <c r="C1559" s="91">
        <v>6</v>
      </c>
      <c r="D1559" s="114">
        <v>0.004388987344311564</v>
      </c>
      <c r="E1559" s="114">
        <v>1.6739419986340878</v>
      </c>
      <c r="F1559" s="91" t="s">
        <v>2519</v>
      </c>
      <c r="G1559" s="91" t="b">
        <v>0</v>
      </c>
      <c r="H1559" s="91" t="b">
        <v>0</v>
      </c>
      <c r="I1559" s="91" t="b">
        <v>0</v>
      </c>
      <c r="J1559" s="91" t="b">
        <v>0</v>
      </c>
      <c r="K1559" s="91" t="b">
        <v>0</v>
      </c>
      <c r="L1559" s="91" t="b">
        <v>0</v>
      </c>
    </row>
    <row r="1560" spans="1:12" ht="15">
      <c r="A1560" s="92" t="s">
        <v>2577</v>
      </c>
      <c r="B1560" s="91" t="s">
        <v>2915</v>
      </c>
      <c r="C1560" s="91">
        <v>6</v>
      </c>
      <c r="D1560" s="114">
        <v>0.004388987344311564</v>
      </c>
      <c r="E1560" s="114">
        <v>1.6739419986340878</v>
      </c>
      <c r="F1560" s="91" t="s">
        <v>2519</v>
      </c>
      <c r="G1560" s="91" t="b">
        <v>0</v>
      </c>
      <c r="H1560" s="91" t="b">
        <v>0</v>
      </c>
      <c r="I1560" s="91" t="b">
        <v>0</v>
      </c>
      <c r="J1560" s="91" t="b">
        <v>0</v>
      </c>
      <c r="K1560" s="91" t="b">
        <v>0</v>
      </c>
      <c r="L1560" s="91" t="b">
        <v>0</v>
      </c>
    </row>
    <row r="1561" spans="1:12" ht="15">
      <c r="A1561" s="92" t="s">
        <v>2915</v>
      </c>
      <c r="B1561" s="91" t="s">
        <v>2568</v>
      </c>
      <c r="C1561" s="91">
        <v>6</v>
      </c>
      <c r="D1561" s="114">
        <v>0.004388987344311564</v>
      </c>
      <c r="E1561" s="114">
        <v>1.5770319856260315</v>
      </c>
      <c r="F1561" s="91" t="s">
        <v>2519</v>
      </c>
      <c r="G1561" s="91" t="b">
        <v>0</v>
      </c>
      <c r="H1561" s="91" t="b">
        <v>0</v>
      </c>
      <c r="I1561" s="91" t="b">
        <v>0</v>
      </c>
      <c r="J1561" s="91" t="b">
        <v>0</v>
      </c>
      <c r="K1561" s="91" t="b">
        <v>0</v>
      </c>
      <c r="L1561" s="91" t="b">
        <v>0</v>
      </c>
    </row>
    <row r="1562" spans="1:12" ht="15">
      <c r="A1562" s="92" t="s">
        <v>2568</v>
      </c>
      <c r="B1562" s="91" t="s">
        <v>2753</v>
      </c>
      <c r="C1562" s="91">
        <v>6</v>
      </c>
      <c r="D1562" s="114">
        <v>0.004388987344311564</v>
      </c>
      <c r="E1562" s="114">
        <v>1.5770319856260315</v>
      </c>
      <c r="F1562" s="91" t="s">
        <v>2519</v>
      </c>
      <c r="G1562" s="91" t="b">
        <v>0</v>
      </c>
      <c r="H1562" s="91" t="b">
        <v>0</v>
      </c>
      <c r="I1562" s="91" t="b">
        <v>0</v>
      </c>
      <c r="J1562" s="91" t="b">
        <v>0</v>
      </c>
      <c r="K1562" s="91" t="b">
        <v>0</v>
      </c>
      <c r="L1562" s="91" t="b">
        <v>0</v>
      </c>
    </row>
    <row r="1563" spans="1:12" ht="15">
      <c r="A1563" s="92" t="s">
        <v>2753</v>
      </c>
      <c r="B1563" s="91" t="s">
        <v>2569</v>
      </c>
      <c r="C1563" s="91">
        <v>6</v>
      </c>
      <c r="D1563" s="114">
        <v>0.004388987344311564</v>
      </c>
      <c r="E1563" s="114">
        <v>1.5947607525864629</v>
      </c>
      <c r="F1563" s="91" t="s">
        <v>2519</v>
      </c>
      <c r="G1563" s="91" t="b">
        <v>0</v>
      </c>
      <c r="H1563" s="91" t="b">
        <v>0</v>
      </c>
      <c r="I1563" s="91" t="b">
        <v>0</v>
      </c>
      <c r="J1563" s="91" t="b">
        <v>0</v>
      </c>
      <c r="K1563" s="91" t="b">
        <v>0</v>
      </c>
      <c r="L1563" s="91" t="b">
        <v>0</v>
      </c>
    </row>
    <row r="1564" spans="1:12" ht="15">
      <c r="A1564" s="92" t="s">
        <v>2569</v>
      </c>
      <c r="B1564" s="91" t="s">
        <v>2591</v>
      </c>
      <c r="C1564" s="91">
        <v>6</v>
      </c>
      <c r="D1564" s="114">
        <v>0.004388987344311564</v>
      </c>
      <c r="E1564" s="114">
        <v>1.2937307569224816</v>
      </c>
      <c r="F1564" s="91" t="s">
        <v>2519</v>
      </c>
      <c r="G1564" s="91" t="b">
        <v>0</v>
      </c>
      <c r="H1564" s="91" t="b">
        <v>0</v>
      </c>
      <c r="I1564" s="91" t="b">
        <v>0</v>
      </c>
      <c r="J1564" s="91" t="b">
        <v>0</v>
      </c>
      <c r="K1564" s="91" t="b">
        <v>0</v>
      </c>
      <c r="L1564" s="91" t="b">
        <v>0</v>
      </c>
    </row>
    <row r="1565" spans="1:12" ht="15">
      <c r="A1565" s="92" t="s">
        <v>2591</v>
      </c>
      <c r="B1565" s="91" t="s">
        <v>2730</v>
      </c>
      <c r="C1565" s="91">
        <v>6</v>
      </c>
      <c r="D1565" s="114">
        <v>0.004388987344311564</v>
      </c>
      <c r="E1565" s="114">
        <v>1.8957907482504441</v>
      </c>
      <c r="F1565" s="91" t="s">
        <v>2519</v>
      </c>
      <c r="G1565" s="91" t="b">
        <v>0</v>
      </c>
      <c r="H1565" s="91" t="b">
        <v>0</v>
      </c>
      <c r="I1565" s="91" t="b">
        <v>0</v>
      </c>
      <c r="J1565" s="91" t="b">
        <v>0</v>
      </c>
      <c r="K1565" s="91" t="b">
        <v>0</v>
      </c>
      <c r="L1565" s="91" t="b">
        <v>0</v>
      </c>
    </row>
    <row r="1566" spans="1:12" ht="15">
      <c r="A1566" s="92" t="s">
        <v>2730</v>
      </c>
      <c r="B1566" s="91" t="s">
        <v>2844</v>
      </c>
      <c r="C1566" s="91">
        <v>6</v>
      </c>
      <c r="D1566" s="114">
        <v>0.004388987344311564</v>
      </c>
      <c r="E1566" s="114">
        <v>2.1968207439144254</v>
      </c>
      <c r="F1566" s="91" t="s">
        <v>2519</v>
      </c>
      <c r="G1566" s="91" t="b">
        <v>0</v>
      </c>
      <c r="H1566" s="91" t="b">
        <v>0</v>
      </c>
      <c r="I1566" s="91" t="b">
        <v>0</v>
      </c>
      <c r="J1566" s="91" t="b">
        <v>0</v>
      </c>
      <c r="K1566" s="91" t="b">
        <v>0</v>
      </c>
      <c r="L1566" s="91" t="b">
        <v>0</v>
      </c>
    </row>
    <row r="1567" spans="1:12" ht="15">
      <c r="A1567" s="92" t="s">
        <v>2844</v>
      </c>
      <c r="B1567" s="91" t="s">
        <v>2916</v>
      </c>
      <c r="C1567" s="91">
        <v>6</v>
      </c>
      <c r="D1567" s="114">
        <v>0.004388987344311564</v>
      </c>
      <c r="E1567" s="114">
        <v>2.1968207439144254</v>
      </c>
      <c r="F1567" s="91" t="s">
        <v>2519</v>
      </c>
      <c r="G1567" s="91" t="b">
        <v>0</v>
      </c>
      <c r="H1567" s="91" t="b">
        <v>0</v>
      </c>
      <c r="I1567" s="91" t="b">
        <v>0</v>
      </c>
      <c r="J1567" s="91" t="b">
        <v>0</v>
      </c>
      <c r="K1567" s="91" t="b">
        <v>0</v>
      </c>
      <c r="L1567" s="91" t="b">
        <v>0</v>
      </c>
    </row>
    <row r="1568" spans="1:12" ht="15">
      <c r="A1568" s="92" t="s">
        <v>2916</v>
      </c>
      <c r="B1568" s="91" t="s">
        <v>2917</v>
      </c>
      <c r="C1568" s="91">
        <v>6</v>
      </c>
      <c r="D1568" s="114">
        <v>0.004388987344311564</v>
      </c>
      <c r="E1568" s="114">
        <v>2.1968207439144254</v>
      </c>
      <c r="F1568" s="91" t="s">
        <v>2519</v>
      </c>
      <c r="G1568" s="91" t="b">
        <v>0</v>
      </c>
      <c r="H1568" s="91" t="b">
        <v>0</v>
      </c>
      <c r="I1568" s="91" t="b">
        <v>0</v>
      </c>
      <c r="J1568" s="91" t="b">
        <v>0</v>
      </c>
      <c r="K1568" s="91" t="b">
        <v>0</v>
      </c>
      <c r="L1568" s="91" t="b">
        <v>0</v>
      </c>
    </row>
    <row r="1569" spans="1:12" ht="15">
      <c r="A1569" s="92" t="s">
        <v>2917</v>
      </c>
      <c r="B1569" s="91" t="s">
        <v>2721</v>
      </c>
      <c r="C1569" s="91">
        <v>6</v>
      </c>
      <c r="D1569" s="114">
        <v>0.004388987344311564</v>
      </c>
      <c r="E1569" s="114">
        <v>1.8957907482504441</v>
      </c>
      <c r="F1569" s="91" t="s">
        <v>2519</v>
      </c>
      <c r="G1569" s="91" t="b">
        <v>0</v>
      </c>
      <c r="H1569" s="91" t="b">
        <v>0</v>
      </c>
      <c r="I1569" s="91" t="b">
        <v>0</v>
      </c>
      <c r="J1569" s="91" t="b">
        <v>0</v>
      </c>
      <c r="K1569" s="91" t="b">
        <v>0</v>
      </c>
      <c r="L1569" s="91" t="b">
        <v>0</v>
      </c>
    </row>
    <row r="1570" spans="1:12" ht="15">
      <c r="A1570" s="92" t="s">
        <v>2721</v>
      </c>
      <c r="B1570" s="91" t="s">
        <v>2748</v>
      </c>
      <c r="C1570" s="91">
        <v>6</v>
      </c>
      <c r="D1570" s="114">
        <v>0.004388987344311564</v>
      </c>
      <c r="E1570" s="114">
        <v>1.5947607525864629</v>
      </c>
      <c r="F1570" s="91" t="s">
        <v>2519</v>
      </c>
      <c r="G1570" s="91" t="b">
        <v>0</v>
      </c>
      <c r="H1570" s="91" t="b">
        <v>0</v>
      </c>
      <c r="I1570" s="91" t="b">
        <v>0</v>
      </c>
      <c r="J1570" s="91" t="b">
        <v>0</v>
      </c>
      <c r="K1570" s="91" t="b">
        <v>0</v>
      </c>
      <c r="L1570" s="91" t="b">
        <v>0</v>
      </c>
    </row>
    <row r="1571" spans="1:12" ht="15">
      <c r="A1571" s="92" t="s">
        <v>2748</v>
      </c>
      <c r="B1571" s="91" t="s">
        <v>2918</v>
      </c>
      <c r="C1571" s="91">
        <v>6</v>
      </c>
      <c r="D1571" s="114">
        <v>0.004388987344311564</v>
      </c>
      <c r="E1571" s="114">
        <v>1.8957907482504441</v>
      </c>
      <c r="F1571" s="91" t="s">
        <v>2519</v>
      </c>
      <c r="G1571" s="91" t="b">
        <v>0</v>
      </c>
      <c r="H1571" s="91" t="b">
        <v>0</v>
      </c>
      <c r="I1571" s="91" t="b">
        <v>0</v>
      </c>
      <c r="J1571" s="91" t="b">
        <v>0</v>
      </c>
      <c r="K1571" s="91" t="b">
        <v>0</v>
      </c>
      <c r="L1571" s="91" t="b">
        <v>0</v>
      </c>
    </row>
    <row r="1572" spans="1:12" ht="15">
      <c r="A1572" s="92" t="s">
        <v>2918</v>
      </c>
      <c r="B1572" s="91" t="s">
        <v>2919</v>
      </c>
      <c r="C1572" s="91">
        <v>6</v>
      </c>
      <c r="D1572" s="114">
        <v>0.004388987344311564</v>
      </c>
      <c r="E1572" s="114">
        <v>2.1968207439144254</v>
      </c>
      <c r="F1572" s="91" t="s">
        <v>2519</v>
      </c>
      <c r="G1572" s="91" t="b">
        <v>0</v>
      </c>
      <c r="H1572" s="91" t="b">
        <v>0</v>
      </c>
      <c r="I1572" s="91" t="b">
        <v>0</v>
      </c>
      <c r="J1572" s="91" t="b">
        <v>0</v>
      </c>
      <c r="K1572" s="91" t="b">
        <v>0</v>
      </c>
      <c r="L1572" s="91" t="b">
        <v>0</v>
      </c>
    </row>
    <row r="1573" spans="1:12" ht="15">
      <c r="A1573" s="92" t="s">
        <v>2919</v>
      </c>
      <c r="B1573" s="91" t="s">
        <v>2845</v>
      </c>
      <c r="C1573" s="91">
        <v>6</v>
      </c>
      <c r="D1573" s="114">
        <v>0.004388987344311564</v>
      </c>
      <c r="E1573" s="114">
        <v>2.1968207439144254</v>
      </c>
      <c r="F1573" s="91" t="s">
        <v>2519</v>
      </c>
      <c r="G1573" s="91" t="b">
        <v>0</v>
      </c>
      <c r="H1573" s="91" t="b">
        <v>0</v>
      </c>
      <c r="I1573" s="91" t="b">
        <v>0</v>
      </c>
      <c r="J1573" s="91" t="b">
        <v>0</v>
      </c>
      <c r="K1573" s="91" t="b">
        <v>0</v>
      </c>
      <c r="L1573" s="91" t="b">
        <v>0</v>
      </c>
    </row>
    <row r="1574" spans="1:12" ht="15">
      <c r="A1574" s="92" t="s">
        <v>2845</v>
      </c>
      <c r="B1574" s="91" t="s">
        <v>2920</v>
      </c>
      <c r="C1574" s="91">
        <v>6</v>
      </c>
      <c r="D1574" s="114">
        <v>0.004388987344311564</v>
      </c>
      <c r="E1574" s="114">
        <v>2.1968207439144254</v>
      </c>
      <c r="F1574" s="91" t="s">
        <v>2519</v>
      </c>
      <c r="G1574" s="91" t="b">
        <v>0</v>
      </c>
      <c r="H1574" s="91" t="b">
        <v>0</v>
      </c>
      <c r="I1574" s="91" t="b">
        <v>0</v>
      </c>
      <c r="J1574" s="91" t="b">
        <v>0</v>
      </c>
      <c r="K1574" s="91" t="b">
        <v>0</v>
      </c>
      <c r="L1574" s="91" t="b">
        <v>0</v>
      </c>
    </row>
    <row r="1575" spans="1:12" ht="15">
      <c r="A1575" s="92" t="s">
        <v>2920</v>
      </c>
      <c r="B1575" s="91" t="s">
        <v>2578</v>
      </c>
      <c r="C1575" s="91">
        <v>6</v>
      </c>
      <c r="D1575" s="114">
        <v>0.004388987344311564</v>
      </c>
      <c r="E1575" s="114">
        <v>1.395188397681259</v>
      </c>
      <c r="F1575" s="91" t="s">
        <v>2519</v>
      </c>
      <c r="G1575" s="91" t="b">
        <v>0</v>
      </c>
      <c r="H1575" s="91" t="b">
        <v>0</v>
      </c>
      <c r="I1575" s="91" t="b">
        <v>0</v>
      </c>
      <c r="J1575" s="91" t="b">
        <v>0</v>
      </c>
      <c r="K1575" s="91" t="b">
        <v>0</v>
      </c>
      <c r="L1575" s="91" t="b">
        <v>0</v>
      </c>
    </row>
    <row r="1576" spans="1:12" ht="15">
      <c r="A1576" s="92" t="s">
        <v>2578</v>
      </c>
      <c r="B1576" s="91" t="s">
        <v>2921</v>
      </c>
      <c r="C1576" s="91">
        <v>6</v>
      </c>
      <c r="D1576" s="114">
        <v>0.004388987344311564</v>
      </c>
      <c r="E1576" s="114">
        <v>1.395188397681259</v>
      </c>
      <c r="F1576" s="91" t="s">
        <v>2519</v>
      </c>
      <c r="G1576" s="91" t="b">
        <v>0</v>
      </c>
      <c r="H1576" s="91" t="b">
        <v>0</v>
      </c>
      <c r="I1576" s="91" t="b">
        <v>0</v>
      </c>
      <c r="J1576" s="91" t="b">
        <v>0</v>
      </c>
      <c r="K1576" s="91" t="b">
        <v>0</v>
      </c>
      <c r="L1576" s="91" t="b">
        <v>0</v>
      </c>
    </row>
    <row r="1577" spans="1:12" ht="15">
      <c r="A1577" s="92" t="s">
        <v>2921</v>
      </c>
      <c r="B1577" s="91" t="s">
        <v>2719</v>
      </c>
      <c r="C1577" s="91">
        <v>6</v>
      </c>
      <c r="D1577" s="114">
        <v>0.004388987344311564</v>
      </c>
      <c r="E1577" s="114">
        <v>2.1968207439144254</v>
      </c>
      <c r="F1577" s="91" t="s">
        <v>2519</v>
      </c>
      <c r="G1577" s="91" t="b">
        <v>0</v>
      </c>
      <c r="H1577" s="91" t="b">
        <v>0</v>
      </c>
      <c r="I1577" s="91" t="b">
        <v>0</v>
      </c>
      <c r="J1577" s="91" t="b">
        <v>0</v>
      </c>
      <c r="K1577" s="91" t="b">
        <v>0</v>
      </c>
      <c r="L1577" s="91" t="b">
        <v>0</v>
      </c>
    </row>
    <row r="1578" spans="1:12" ht="15">
      <c r="A1578" s="92" t="s">
        <v>2719</v>
      </c>
      <c r="B1578" s="91" t="s">
        <v>2748</v>
      </c>
      <c r="C1578" s="91">
        <v>6</v>
      </c>
      <c r="D1578" s="114">
        <v>0.004388987344311564</v>
      </c>
      <c r="E1578" s="114">
        <v>1.8957907482504441</v>
      </c>
      <c r="F1578" s="91" t="s">
        <v>2519</v>
      </c>
      <c r="G1578" s="91" t="b">
        <v>0</v>
      </c>
      <c r="H1578" s="91" t="b">
        <v>0</v>
      </c>
      <c r="I1578" s="91" t="b">
        <v>0</v>
      </c>
      <c r="J1578" s="91" t="b">
        <v>0</v>
      </c>
      <c r="K1578" s="91" t="b">
        <v>0</v>
      </c>
      <c r="L1578" s="91" t="b">
        <v>0</v>
      </c>
    </row>
    <row r="1579" spans="1:12" ht="15">
      <c r="A1579" s="92" t="s">
        <v>2748</v>
      </c>
      <c r="B1579" s="91" t="s">
        <v>2922</v>
      </c>
      <c r="C1579" s="91">
        <v>6</v>
      </c>
      <c r="D1579" s="114">
        <v>0.004388987344311564</v>
      </c>
      <c r="E1579" s="114">
        <v>1.8957907482504441</v>
      </c>
      <c r="F1579" s="91" t="s">
        <v>2519</v>
      </c>
      <c r="G1579" s="91" t="b">
        <v>0</v>
      </c>
      <c r="H1579" s="91" t="b">
        <v>0</v>
      </c>
      <c r="I1579" s="91" t="b">
        <v>0</v>
      </c>
      <c r="J1579" s="91" t="b">
        <v>0</v>
      </c>
      <c r="K1579" s="91" t="b">
        <v>0</v>
      </c>
      <c r="L1579" s="91" t="b">
        <v>0</v>
      </c>
    </row>
    <row r="1580" spans="1:12" ht="15">
      <c r="A1580" s="92" t="s">
        <v>2922</v>
      </c>
      <c r="B1580" s="91" t="s">
        <v>2578</v>
      </c>
      <c r="C1580" s="91">
        <v>6</v>
      </c>
      <c r="D1580" s="114">
        <v>0.004388987344311564</v>
      </c>
      <c r="E1580" s="114">
        <v>1.395188397681259</v>
      </c>
      <c r="F1580" s="91" t="s">
        <v>2519</v>
      </c>
      <c r="G1580" s="91" t="b">
        <v>0</v>
      </c>
      <c r="H1580" s="91" t="b">
        <v>0</v>
      </c>
      <c r="I1580" s="91" t="b">
        <v>0</v>
      </c>
      <c r="J1580" s="91" t="b">
        <v>0</v>
      </c>
      <c r="K1580" s="91" t="b">
        <v>0</v>
      </c>
      <c r="L1580" s="91" t="b">
        <v>0</v>
      </c>
    </row>
    <row r="1581" spans="1:12" ht="15">
      <c r="A1581" s="92" t="s">
        <v>2578</v>
      </c>
      <c r="B1581" s="91" t="s">
        <v>2923</v>
      </c>
      <c r="C1581" s="91">
        <v>6</v>
      </c>
      <c r="D1581" s="114">
        <v>0.004388987344311564</v>
      </c>
      <c r="E1581" s="114">
        <v>1.395188397681259</v>
      </c>
      <c r="F1581" s="91" t="s">
        <v>2519</v>
      </c>
      <c r="G1581" s="91" t="b">
        <v>0</v>
      </c>
      <c r="H1581" s="91" t="b">
        <v>0</v>
      </c>
      <c r="I1581" s="91" t="b">
        <v>0</v>
      </c>
      <c r="J1581" s="91" t="b">
        <v>0</v>
      </c>
      <c r="K1581" s="91" t="b">
        <v>0</v>
      </c>
      <c r="L1581" s="91" t="b">
        <v>0</v>
      </c>
    </row>
    <row r="1582" spans="1:12" ht="15">
      <c r="A1582" s="92" t="s">
        <v>2923</v>
      </c>
      <c r="B1582" s="91" t="s">
        <v>2924</v>
      </c>
      <c r="C1582" s="91">
        <v>6</v>
      </c>
      <c r="D1582" s="114">
        <v>0.004388987344311564</v>
      </c>
      <c r="E1582" s="114">
        <v>2.1968207439144254</v>
      </c>
      <c r="F1582" s="91" t="s">
        <v>2519</v>
      </c>
      <c r="G1582" s="91" t="b">
        <v>0</v>
      </c>
      <c r="H1582" s="91" t="b">
        <v>0</v>
      </c>
      <c r="I1582" s="91" t="b">
        <v>0</v>
      </c>
      <c r="J1582" s="91" t="b">
        <v>0</v>
      </c>
      <c r="K1582" s="91" t="b">
        <v>0</v>
      </c>
      <c r="L1582" s="91" t="b">
        <v>0</v>
      </c>
    </row>
    <row r="1583" spans="1:12" ht="15">
      <c r="A1583" s="92" t="s">
        <v>2924</v>
      </c>
      <c r="B1583" s="91" t="s">
        <v>2568</v>
      </c>
      <c r="C1583" s="91">
        <v>6</v>
      </c>
      <c r="D1583" s="114">
        <v>0.004388987344311564</v>
      </c>
      <c r="E1583" s="114">
        <v>1.5770319856260315</v>
      </c>
      <c r="F1583" s="91" t="s">
        <v>2519</v>
      </c>
      <c r="G1583" s="91" t="b">
        <v>0</v>
      </c>
      <c r="H1583" s="91" t="b">
        <v>0</v>
      </c>
      <c r="I1583" s="91" t="b">
        <v>0</v>
      </c>
      <c r="J1583" s="91" t="b">
        <v>0</v>
      </c>
      <c r="K1583" s="91" t="b">
        <v>0</v>
      </c>
      <c r="L1583" s="91" t="b">
        <v>0</v>
      </c>
    </row>
    <row r="1584" spans="1:12" ht="15">
      <c r="A1584" s="92" t="s">
        <v>2568</v>
      </c>
      <c r="B1584" s="91" t="s">
        <v>2662</v>
      </c>
      <c r="C1584" s="91">
        <v>6</v>
      </c>
      <c r="D1584" s="114">
        <v>0.004388987344311564</v>
      </c>
      <c r="E1584" s="114">
        <v>1.5770319856260315</v>
      </c>
      <c r="F1584" s="91" t="s">
        <v>2519</v>
      </c>
      <c r="G1584" s="91" t="b">
        <v>0</v>
      </c>
      <c r="H1584" s="91" t="b">
        <v>0</v>
      </c>
      <c r="I1584" s="91" t="b">
        <v>0</v>
      </c>
      <c r="J1584" s="91" t="b">
        <v>0</v>
      </c>
      <c r="K1584" s="91" t="b">
        <v>0</v>
      </c>
      <c r="L1584" s="91" t="b">
        <v>0</v>
      </c>
    </row>
    <row r="1585" spans="1:12" ht="15">
      <c r="A1585" s="92" t="s">
        <v>2662</v>
      </c>
      <c r="B1585" s="91" t="s">
        <v>2925</v>
      </c>
      <c r="C1585" s="91">
        <v>6</v>
      </c>
      <c r="D1585" s="114">
        <v>0.004388987344311564</v>
      </c>
      <c r="E1585" s="114">
        <v>2.1968207439144254</v>
      </c>
      <c r="F1585" s="91" t="s">
        <v>2519</v>
      </c>
      <c r="G1585" s="91" t="b">
        <v>0</v>
      </c>
      <c r="H1585" s="91" t="b">
        <v>0</v>
      </c>
      <c r="I1585" s="91" t="b">
        <v>0</v>
      </c>
      <c r="J1585" s="91" t="b">
        <v>0</v>
      </c>
      <c r="K1585" s="91" t="b">
        <v>0</v>
      </c>
      <c r="L1585" s="91" t="b">
        <v>0</v>
      </c>
    </row>
    <row r="1586" spans="1:12" ht="15">
      <c r="A1586" s="92" t="s">
        <v>2925</v>
      </c>
      <c r="B1586" s="91" t="s">
        <v>2590</v>
      </c>
      <c r="C1586" s="91">
        <v>6</v>
      </c>
      <c r="D1586" s="114">
        <v>0.004388987344311564</v>
      </c>
      <c r="E1586" s="114">
        <v>2.1298739542838123</v>
      </c>
      <c r="F1586" s="91" t="s">
        <v>2519</v>
      </c>
      <c r="G1586" s="91" t="b">
        <v>0</v>
      </c>
      <c r="H1586" s="91" t="b">
        <v>0</v>
      </c>
      <c r="I1586" s="91" t="b">
        <v>0</v>
      </c>
      <c r="J1586" s="91" t="b">
        <v>0</v>
      </c>
      <c r="K1586" s="91" t="b">
        <v>0</v>
      </c>
      <c r="L1586" s="91" t="b">
        <v>0</v>
      </c>
    </row>
    <row r="1587" spans="1:12" ht="15">
      <c r="A1587" s="92" t="s">
        <v>2590</v>
      </c>
      <c r="B1587" s="91" t="s">
        <v>2660</v>
      </c>
      <c r="C1587" s="91">
        <v>6</v>
      </c>
      <c r="D1587" s="114">
        <v>0.004388987344311564</v>
      </c>
      <c r="E1587" s="114">
        <v>2.1298739542838123</v>
      </c>
      <c r="F1587" s="91" t="s">
        <v>2519</v>
      </c>
      <c r="G1587" s="91" t="b">
        <v>0</v>
      </c>
      <c r="H1587" s="91" t="b">
        <v>0</v>
      </c>
      <c r="I1587" s="91" t="b">
        <v>0</v>
      </c>
      <c r="J1587" s="91" t="b">
        <v>0</v>
      </c>
      <c r="K1587" s="91" t="b">
        <v>0</v>
      </c>
      <c r="L1587" s="91" t="b">
        <v>0</v>
      </c>
    </row>
    <row r="1588" spans="1:12" ht="15">
      <c r="A1588" s="92" t="s">
        <v>2660</v>
      </c>
      <c r="B1588" s="91" t="s">
        <v>2721</v>
      </c>
      <c r="C1588" s="91">
        <v>6</v>
      </c>
      <c r="D1588" s="114">
        <v>0.004388987344311564</v>
      </c>
      <c r="E1588" s="114">
        <v>1.8957907482504441</v>
      </c>
      <c r="F1588" s="91" t="s">
        <v>2519</v>
      </c>
      <c r="G1588" s="91" t="b">
        <v>0</v>
      </c>
      <c r="H1588" s="91" t="b">
        <v>0</v>
      </c>
      <c r="I1588" s="91" t="b">
        <v>0</v>
      </c>
      <c r="J1588" s="91" t="b">
        <v>0</v>
      </c>
      <c r="K1588" s="91" t="b">
        <v>0</v>
      </c>
      <c r="L1588" s="91" t="b">
        <v>0</v>
      </c>
    </row>
    <row r="1589" spans="1:12" ht="15">
      <c r="A1589" s="92" t="s">
        <v>2721</v>
      </c>
      <c r="B1589" s="91" t="s">
        <v>2926</v>
      </c>
      <c r="C1589" s="91">
        <v>6</v>
      </c>
      <c r="D1589" s="114">
        <v>0.004388987344311564</v>
      </c>
      <c r="E1589" s="114">
        <v>1.8957907482504441</v>
      </c>
      <c r="F1589" s="91" t="s">
        <v>2519</v>
      </c>
      <c r="G1589" s="91" t="b">
        <v>0</v>
      </c>
      <c r="H1589" s="91" t="b">
        <v>0</v>
      </c>
      <c r="I1589" s="91" t="b">
        <v>0</v>
      </c>
      <c r="J1589" s="91" t="b">
        <v>0</v>
      </c>
      <c r="K1589" s="91" t="b">
        <v>0</v>
      </c>
      <c r="L1589" s="91" t="b">
        <v>0</v>
      </c>
    </row>
    <row r="1590" spans="1:12" ht="15">
      <c r="A1590" s="92" t="s">
        <v>2926</v>
      </c>
      <c r="B1590" s="91" t="s">
        <v>2927</v>
      </c>
      <c r="C1590" s="91">
        <v>6</v>
      </c>
      <c r="D1590" s="114">
        <v>0.004388987344311564</v>
      </c>
      <c r="E1590" s="114">
        <v>2.1968207439144254</v>
      </c>
      <c r="F1590" s="91" t="s">
        <v>2519</v>
      </c>
      <c r="G1590" s="91" t="b">
        <v>0</v>
      </c>
      <c r="H1590" s="91" t="b">
        <v>0</v>
      </c>
      <c r="I1590" s="91" t="b">
        <v>0</v>
      </c>
      <c r="J1590" s="91" t="b">
        <v>0</v>
      </c>
      <c r="K1590" s="91" t="b">
        <v>0</v>
      </c>
      <c r="L1590" s="91" t="b">
        <v>0</v>
      </c>
    </row>
    <row r="1591" spans="1:12" ht="15">
      <c r="A1591" s="92" t="s">
        <v>2927</v>
      </c>
      <c r="B1591" s="91" t="s">
        <v>2729</v>
      </c>
      <c r="C1591" s="91">
        <v>6</v>
      </c>
      <c r="D1591" s="114">
        <v>0.004388987344311564</v>
      </c>
      <c r="E1591" s="114">
        <v>2.1968207439144254</v>
      </c>
      <c r="F1591" s="91" t="s">
        <v>2519</v>
      </c>
      <c r="G1591" s="91" t="b">
        <v>0</v>
      </c>
      <c r="H1591" s="91" t="b">
        <v>0</v>
      </c>
      <c r="I1591" s="91" t="b">
        <v>0</v>
      </c>
      <c r="J1591" s="91" t="b">
        <v>0</v>
      </c>
      <c r="K1591" s="91" t="b">
        <v>0</v>
      </c>
      <c r="L1591" s="91" t="b">
        <v>0</v>
      </c>
    </row>
    <row r="1592" spans="1:12" ht="15">
      <c r="A1592" s="92" t="s">
        <v>2729</v>
      </c>
      <c r="B1592" s="91" t="s">
        <v>2928</v>
      </c>
      <c r="C1592" s="91">
        <v>6</v>
      </c>
      <c r="D1592" s="114">
        <v>0.004388987344311564</v>
      </c>
      <c r="E1592" s="114">
        <v>2.1968207439144254</v>
      </c>
      <c r="F1592" s="91" t="s">
        <v>2519</v>
      </c>
      <c r="G1592" s="91" t="b">
        <v>0</v>
      </c>
      <c r="H1592" s="91" t="b">
        <v>0</v>
      </c>
      <c r="I1592" s="91" t="b">
        <v>0</v>
      </c>
      <c r="J1592" s="91" t="b">
        <v>0</v>
      </c>
      <c r="K1592" s="91" t="b">
        <v>0</v>
      </c>
      <c r="L1592" s="91" t="b">
        <v>0</v>
      </c>
    </row>
    <row r="1593" spans="1:12" ht="15">
      <c r="A1593" s="92" t="s">
        <v>2928</v>
      </c>
      <c r="B1593" s="91" t="s">
        <v>2591</v>
      </c>
      <c r="C1593" s="91">
        <v>6</v>
      </c>
      <c r="D1593" s="114">
        <v>0.004388987344311564</v>
      </c>
      <c r="E1593" s="114">
        <v>1.8957907482504441</v>
      </c>
      <c r="F1593" s="91" t="s">
        <v>2519</v>
      </c>
      <c r="G1593" s="91" t="b">
        <v>0</v>
      </c>
      <c r="H1593" s="91" t="b">
        <v>0</v>
      </c>
      <c r="I1593" s="91" t="b">
        <v>0</v>
      </c>
      <c r="J1593" s="91" t="b">
        <v>0</v>
      </c>
      <c r="K1593" s="91" t="b">
        <v>0</v>
      </c>
      <c r="L1593" s="91" t="b">
        <v>0</v>
      </c>
    </row>
    <row r="1594" spans="1:12" ht="15">
      <c r="A1594" s="92" t="s">
        <v>2591</v>
      </c>
      <c r="B1594" s="91" t="s">
        <v>2929</v>
      </c>
      <c r="C1594" s="91">
        <v>6</v>
      </c>
      <c r="D1594" s="114">
        <v>0.004388987344311564</v>
      </c>
      <c r="E1594" s="114">
        <v>1.8957907482504441</v>
      </c>
      <c r="F1594" s="91" t="s">
        <v>2519</v>
      </c>
      <c r="G1594" s="91" t="b">
        <v>0</v>
      </c>
      <c r="H1594" s="91" t="b">
        <v>0</v>
      </c>
      <c r="I1594" s="91" t="b">
        <v>0</v>
      </c>
      <c r="J1594" s="91" t="b">
        <v>0</v>
      </c>
      <c r="K1594" s="91" t="b">
        <v>0</v>
      </c>
      <c r="L1594" s="91" t="b">
        <v>0</v>
      </c>
    </row>
    <row r="1595" spans="1:12" ht="15">
      <c r="A1595" s="92" t="s">
        <v>2929</v>
      </c>
      <c r="B1595" s="91" t="s">
        <v>2589</v>
      </c>
      <c r="C1595" s="91">
        <v>6</v>
      </c>
      <c r="D1595" s="114">
        <v>0.004388987344311564</v>
      </c>
      <c r="E1595" s="114">
        <v>2.1968207439144254</v>
      </c>
      <c r="F1595" s="91" t="s">
        <v>2519</v>
      </c>
      <c r="G1595" s="91" t="b">
        <v>0</v>
      </c>
      <c r="H1595" s="91" t="b">
        <v>0</v>
      </c>
      <c r="I1595" s="91" t="b">
        <v>0</v>
      </c>
      <c r="J1595" s="91" t="b">
        <v>0</v>
      </c>
      <c r="K1595" s="91" t="b">
        <v>0</v>
      </c>
      <c r="L1595" s="91" t="b">
        <v>0</v>
      </c>
    </row>
    <row r="1596" spans="1:12" ht="15">
      <c r="A1596" s="92" t="s">
        <v>2589</v>
      </c>
      <c r="B1596" s="91" t="s">
        <v>2930</v>
      </c>
      <c r="C1596" s="91">
        <v>6</v>
      </c>
      <c r="D1596" s="114">
        <v>0.004388987344311564</v>
      </c>
      <c r="E1596" s="114">
        <v>2.1968207439144254</v>
      </c>
      <c r="F1596" s="91" t="s">
        <v>2519</v>
      </c>
      <c r="G1596" s="91" t="b">
        <v>0</v>
      </c>
      <c r="H1596" s="91" t="b">
        <v>0</v>
      </c>
      <c r="I1596" s="91" t="b">
        <v>0</v>
      </c>
      <c r="J1596" s="91" t="b">
        <v>0</v>
      </c>
      <c r="K1596" s="91" t="b">
        <v>0</v>
      </c>
      <c r="L1596" s="91" t="b">
        <v>0</v>
      </c>
    </row>
    <row r="1597" spans="1:12" ht="15">
      <c r="A1597" s="92" t="s">
        <v>2930</v>
      </c>
      <c r="B1597" s="91" t="s">
        <v>2580</v>
      </c>
      <c r="C1597" s="91">
        <v>6</v>
      </c>
      <c r="D1597" s="114">
        <v>0.004388987344311564</v>
      </c>
      <c r="E1597" s="114">
        <v>1.69621839334524</v>
      </c>
      <c r="F1597" s="91" t="s">
        <v>2519</v>
      </c>
      <c r="G1597" s="91" t="b">
        <v>0</v>
      </c>
      <c r="H1597" s="91" t="b">
        <v>0</v>
      </c>
      <c r="I1597" s="91" t="b">
        <v>0</v>
      </c>
      <c r="J1597" s="91" t="b">
        <v>0</v>
      </c>
      <c r="K1597" s="91" t="b">
        <v>0</v>
      </c>
      <c r="L1597" s="91" t="b">
        <v>0</v>
      </c>
    </row>
    <row r="1598" spans="1:12" ht="15">
      <c r="A1598" s="92" t="s">
        <v>2580</v>
      </c>
      <c r="B1598" s="91" t="s">
        <v>2578</v>
      </c>
      <c r="C1598" s="91">
        <v>6</v>
      </c>
      <c r="D1598" s="114">
        <v>0.004388987344311564</v>
      </c>
      <c r="E1598" s="114">
        <v>0.8945860471120736</v>
      </c>
      <c r="F1598" s="91" t="s">
        <v>2519</v>
      </c>
      <c r="G1598" s="91" t="b">
        <v>0</v>
      </c>
      <c r="H1598" s="91" t="b">
        <v>0</v>
      </c>
      <c r="I1598" s="91" t="b">
        <v>0</v>
      </c>
      <c r="J1598" s="91" t="b">
        <v>0</v>
      </c>
      <c r="K1598" s="91" t="b">
        <v>0</v>
      </c>
      <c r="L1598" s="91" t="b">
        <v>0</v>
      </c>
    </row>
    <row r="1599" spans="1:12" ht="15">
      <c r="A1599" s="92" t="s">
        <v>2578</v>
      </c>
      <c r="B1599" s="91" t="s">
        <v>2931</v>
      </c>
      <c r="C1599" s="91">
        <v>6</v>
      </c>
      <c r="D1599" s="114">
        <v>0.004388987344311564</v>
      </c>
      <c r="E1599" s="114">
        <v>1.395188397681259</v>
      </c>
      <c r="F1599" s="91" t="s">
        <v>2519</v>
      </c>
      <c r="G1599" s="91" t="b">
        <v>0</v>
      </c>
      <c r="H1599" s="91" t="b">
        <v>0</v>
      </c>
      <c r="I1599" s="91" t="b">
        <v>0</v>
      </c>
      <c r="J1599" s="91" t="b">
        <v>0</v>
      </c>
      <c r="K1599" s="91" t="b">
        <v>0</v>
      </c>
      <c r="L1599" s="91" t="b">
        <v>0</v>
      </c>
    </row>
    <row r="1600" spans="1:12" ht="15">
      <c r="A1600" s="92" t="s">
        <v>2931</v>
      </c>
      <c r="B1600" s="91" t="s">
        <v>2564</v>
      </c>
      <c r="C1600" s="91">
        <v>6</v>
      </c>
      <c r="D1600" s="114">
        <v>0.004388987344311564</v>
      </c>
      <c r="E1600" s="114">
        <v>1.4836103004637962</v>
      </c>
      <c r="F1600" s="91" t="s">
        <v>2519</v>
      </c>
      <c r="G1600" s="91" t="b">
        <v>0</v>
      </c>
      <c r="H1600" s="91" t="b">
        <v>0</v>
      </c>
      <c r="I1600" s="91" t="b">
        <v>0</v>
      </c>
      <c r="J1600" s="91" t="b">
        <v>0</v>
      </c>
      <c r="K1600" s="91" t="b">
        <v>0</v>
      </c>
      <c r="L1600" s="91" t="b">
        <v>0</v>
      </c>
    </row>
    <row r="1601" spans="1:12" ht="15">
      <c r="A1601" s="92" t="s">
        <v>2564</v>
      </c>
      <c r="B1601" s="91" t="s">
        <v>2612</v>
      </c>
      <c r="C1601" s="91">
        <v>6</v>
      </c>
      <c r="D1601" s="114">
        <v>0.004388987344311564</v>
      </c>
      <c r="E1601" s="114">
        <v>0.8303977866884527</v>
      </c>
      <c r="F1601" s="91" t="s">
        <v>2519</v>
      </c>
      <c r="G1601" s="91" t="b">
        <v>0</v>
      </c>
      <c r="H1601" s="91" t="b">
        <v>0</v>
      </c>
      <c r="I1601" s="91" t="b">
        <v>0</v>
      </c>
      <c r="J1601" s="91" t="b">
        <v>0</v>
      </c>
      <c r="K1601" s="91" t="b">
        <v>0</v>
      </c>
      <c r="L1601" s="91" t="b">
        <v>0</v>
      </c>
    </row>
    <row r="1602" spans="1:12" ht="15">
      <c r="A1602" s="92" t="s">
        <v>2904</v>
      </c>
      <c r="B1602" s="91" t="s">
        <v>2799</v>
      </c>
      <c r="C1602" s="91">
        <v>4</v>
      </c>
      <c r="D1602" s="114">
        <v>0.003648417241051529</v>
      </c>
      <c r="E1602" s="114">
        <v>2.3729120029701067</v>
      </c>
      <c r="F1602" s="91" t="s">
        <v>2519</v>
      </c>
      <c r="G1602" s="91" t="b">
        <v>0</v>
      </c>
      <c r="H1602" s="91" t="b">
        <v>0</v>
      </c>
      <c r="I1602" s="91" t="b">
        <v>0</v>
      </c>
      <c r="J1602" s="91" t="b">
        <v>0</v>
      </c>
      <c r="K1602" s="91" t="b">
        <v>0</v>
      </c>
      <c r="L1602" s="91" t="b">
        <v>0</v>
      </c>
    </row>
    <row r="1603" spans="1:12" ht="15">
      <c r="A1603" s="92" t="s">
        <v>2799</v>
      </c>
      <c r="B1603" s="91" t="s">
        <v>2873</v>
      </c>
      <c r="C1603" s="91">
        <v>4</v>
      </c>
      <c r="D1603" s="114">
        <v>0.003648417241051529</v>
      </c>
      <c r="E1603" s="114">
        <v>2.3729120029701067</v>
      </c>
      <c r="F1603" s="91" t="s">
        <v>2519</v>
      </c>
      <c r="G1603" s="91" t="b">
        <v>0</v>
      </c>
      <c r="H1603" s="91" t="b">
        <v>0</v>
      </c>
      <c r="I1603" s="91" t="b">
        <v>0</v>
      </c>
      <c r="J1603" s="91" t="b">
        <v>0</v>
      </c>
      <c r="K1603" s="91" t="b">
        <v>0</v>
      </c>
      <c r="L1603" s="91" t="b">
        <v>0</v>
      </c>
    </row>
    <row r="1604" spans="1:12" ht="15">
      <c r="A1604" s="92" t="s">
        <v>2873</v>
      </c>
      <c r="B1604" s="91" t="s">
        <v>2905</v>
      </c>
      <c r="C1604" s="91">
        <v>4</v>
      </c>
      <c r="D1604" s="114">
        <v>0.003648417241051529</v>
      </c>
      <c r="E1604" s="114">
        <v>2.3729120029701067</v>
      </c>
      <c r="F1604" s="91" t="s">
        <v>2519</v>
      </c>
      <c r="G1604" s="91" t="b">
        <v>0</v>
      </c>
      <c r="H1604" s="91" t="b">
        <v>0</v>
      </c>
      <c r="I1604" s="91" t="b">
        <v>0</v>
      </c>
      <c r="J1604" s="91" t="b">
        <v>0</v>
      </c>
      <c r="K1604" s="91" t="b">
        <v>0</v>
      </c>
      <c r="L1604" s="91" t="b">
        <v>0</v>
      </c>
    </row>
    <row r="1605" spans="1:12" ht="15">
      <c r="A1605" s="92" t="s">
        <v>2905</v>
      </c>
      <c r="B1605" s="91" t="s">
        <v>2796</v>
      </c>
      <c r="C1605" s="91">
        <v>4</v>
      </c>
      <c r="D1605" s="114">
        <v>0.003648417241051529</v>
      </c>
      <c r="E1605" s="114">
        <v>2.3729120029701067</v>
      </c>
      <c r="F1605" s="91" t="s">
        <v>2519</v>
      </c>
      <c r="G1605" s="91" t="b">
        <v>0</v>
      </c>
      <c r="H1605" s="91" t="b">
        <v>0</v>
      </c>
      <c r="I1605" s="91" t="b">
        <v>0</v>
      </c>
      <c r="J1605" s="91" t="b">
        <v>0</v>
      </c>
      <c r="K1605" s="91" t="b">
        <v>0</v>
      </c>
      <c r="L1605" s="91" t="b">
        <v>0</v>
      </c>
    </row>
    <row r="1606" spans="1:12" ht="15">
      <c r="A1606" s="92" t="s">
        <v>2796</v>
      </c>
      <c r="B1606" s="91" t="s">
        <v>2569</v>
      </c>
      <c r="C1606" s="91">
        <v>4</v>
      </c>
      <c r="D1606" s="114">
        <v>0.003648417241051529</v>
      </c>
      <c r="E1606" s="114">
        <v>1.5947607525864629</v>
      </c>
      <c r="F1606" s="91" t="s">
        <v>2519</v>
      </c>
      <c r="G1606" s="91" t="b">
        <v>0</v>
      </c>
      <c r="H1606" s="91" t="b">
        <v>0</v>
      </c>
      <c r="I1606" s="91" t="b">
        <v>0</v>
      </c>
      <c r="J1606" s="91" t="b">
        <v>0</v>
      </c>
      <c r="K1606" s="91" t="b">
        <v>0</v>
      </c>
      <c r="L1606" s="91" t="b">
        <v>0</v>
      </c>
    </row>
    <row r="1607" spans="1:12" ht="15">
      <c r="A1607" s="92" t="s">
        <v>2572</v>
      </c>
      <c r="B1607" s="91" t="s">
        <v>2746</v>
      </c>
      <c r="C1607" s="91">
        <v>4</v>
      </c>
      <c r="D1607" s="114">
        <v>0.003648417241051529</v>
      </c>
      <c r="E1607" s="114">
        <v>1.7196994891947628</v>
      </c>
      <c r="F1607" s="91" t="s">
        <v>2519</v>
      </c>
      <c r="G1607" s="91" t="b">
        <v>0</v>
      </c>
      <c r="H1607" s="91" t="b">
        <v>0</v>
      </c>
      <c r="I1607" s="91" t="b">
        <v>0</v>
      </c>
      <c r="J1607" s="91" t="b">
        <v>0</v>
      </c>
      <c r="K1607" s="91" t="b">
        <v>0</v>
      </c>
      <c r="L1607" s="91" t="b">
        <v>0</v>
      </c>
    </row>
    <row r="1608" spans="1:12" ht="15">
      <c r="A1608" s="92" t="s">
        <v>2746</v>
      </c>
      <c r="B1608" s="91" t="s">
        <v>2744</v>
      </c>
      <c r="C1608" s="91">
        <v>4</v>
      </c>
      <c r="D1608" s="114">
        <v>0.003648417241051529</v>
      </c>
      <c r="E1608" s="114">
        <v>2.3729120029701067</v>
      </c>
      <c r="F1608" s="91" t="s">
        <v>2519</v>
      </c>
      <c r="G1608" s="91" t="b">
        <v>0</v>
      </c>
      <c r="H1608" s="91" t="b">
        <v>0</v>
      </c>
      <c r="I1608" s="91" t="b">
        <v>0</v>
      </c>
      <c r="J1608" s="91" t="b">
        <v>0</v>
      </c>
      <c r="K1608" s="91" t="b">
        <v>0</v>
      </c>
      <c r="L1608" s="91" t="b">
        <v>0</v>
      </c>
    </row>
    <row r="1609" spans="1:12" ht="15">
      <c r="A1609" s="92" t="s">
        <v>2744</v>
      </c>
      <c r="B1609" s="91" t="s">
        <v>2800</v>
      </c>
      <c r="C1609" s="91">
        <v>4</v>
      </c>
      <c r="D1609" s="114">
        <v>0.003648417241051529</v>
      </c>
      <c r="E1609" s="114">
        <v>2.3729120029701067</v>
      </c>
      <c r="F1609" s="91" t="s">
        <v>2519</v>
      </c>
      <c r="G1609" s="91" t="b">
        <v>0</v>
      </c>
      <c r="H1609" s="91" t="b">
        <v>0</v>
      </c>
      <c r="I1609" s="91" t="b">
        <v>0</v>
      </c>
      <c r="J1609" s="91" t="b">
        <v>0</v>
      </c>
      <c r="K1609" s="91" t="b">
        <v>0</v>
      </c>
      <c r="L1609" s="91" t="b">
        <v>0</v>
      </c>
    </row>
    <row r="1610" spans="1:12" ht="15">
      <c r="A1610" s="92" t="s">
        <v>2800</v>
      </c>
      <c r="B1610" s="91" t="s">
        <v>2745</v>
      </c>
      <c r="C1610" s="91">
        <v>4</v>
      </c>
      <c r="D1610" s="114">
        <v>0.003648417241051529</v>
      </c>
      <c r="E1610" s="114">
        <v>2.3729120029701067</v>
      </c>
      <c r="F1610" s="91" t="s">
        <v>2519</v>
      </c>
      <c r="G1610" s="91" t="b">
        <v>0</v>
      </c>
      <c r="H1610" s="91" t="b">
        <v>0</v>
      </c>
      <c r="I1610" s="91" t="b">
        <v>0</v>
      </c>
      <c r="J1610" s="91" t="b">
        <v>0</v>
      </c>
      <c r="K1610" s="91" t="b">
        <v>0</v>
      </c>
      <c r="L1610" s="91" t="b">
        <v>0</v>
      </c>
    </row>
    <row r="1611" spans="1:12" ht="15">
      <c r="A1611" s="92" t="s">
        <v>2745</v>
      </c>
      <c r="B1611" s="91" t="s">
        <v>2906</v>
      </c>
      <c r="C1611" s="91">
        <v>4</v>
      </c>
      <c r="D1611" s="114">
        <v>0.003648417241051529</v>
      </c>
      <c r="E1611" s="114">
        <v>2.3729120029701067</v>
      </c>
      <c r="F1611" s="91" t="s">
        <v>2519</v>
      </c>
      <c r="G1611" s="91" t="b">
        <v>0</v>
      </c>
      <c r="H1611" s="91" t="b">
        <v>0</v>
      </c>
      <c r="I1611" s="91" t="b">
        <v>0</v>
      </c>
      <c r="J1611" s="91" t="b">
        <v>0</v>
      </c>
      <c r="K1611" s="91" t="b">
        <v>0</v>
      </c>
      <c r="L1611" s="91" t="b">
        <v>0</v>
      </c>
    </row>
    <row r="1612" spans="1:12" ht="15">
      <c r="A1612" s="92" t="s">
        <v>2906</v>
      </c>
      <c r="B1612" s="91" t="s">
        <v>2613</v>
      </c>
      <c r="C1612" s="91">
        <v>4</v>
      </c>
      <c r="D1612" s="114">
        <v>0.003648417241051529</v>
      </c>
      <c r="E1612" s="114">
        <v>2.1968207439144254</v>
      </c>
      <c r="F1612" s="91" t="s">
        <v>2519</v>
      </c>
      <c r="G1612" s="91" t="b">
        <v>0</v>
      </c>
      <c r="H1612" s="91" t="b">
        <v>0</v>
      </c>
      <c r="I1612" s="91" t="b">
        <v>0</v>
      </c>
      <c r="J1612" s="91" t="b">
        <v>0</v>
      </c>
      <c r="K1612" s="91" t="b">
        <v>0</v>
      </c>
      <c r="L1612" s="91" t="b">
        <v>0</v>
      </c>
    </row>
    <row r="1613" spans="1:12" ht="15">
      <c r="A1613" s="92" t="s">
        <v>2613</v>
      </c>
      <c r="B1613" s="91" t="s">
        <v>2571</v>
      </c>
      <c r="C1613" s="91">
        <v>4</v>
      </c>
      <c r="D1613" s="114">
        <v>0.003648417241051529</v>
      </c>
      <c r="E1613" s="114">
        <v>1.4766614405084684</v>
      </c>
      <c r="F1613" s="91" t="s">
        <v>2519</v>
      </c>
      <c r="G1613" s="91" t="b">
        <v>0</v>
      </c>
      <c r="H1613" s="91" t="b">
        <v>0</v>
      </c>
      <c r="I1613" s="91" t="b">
        <v>0</v>
      </c>
      <c r="J1613" s="91" t="b">
        <v>0</v>
      </c>
      <c r="K1613" s="91" t="b">
        <v>0</v>
      </c>
      <c r="L1613" s="91" t="b">
        <v>0</v>
      </c>
    </row>
    <row r="1614" spans="1:12" ht="15">
      <c r="A1614" s="92" t="s">
        <v>2571</v>
      </c>
      <c r="B1614" s="91" t="s">
        <v>2717</v>
      </c>
      <c r="C1614" s="91">
        <v>4</v>
      </c>
      <c r="D1614" s="114">
        <v>0.003648417241051529</v>
      </c>
      <c r="E1614" s="114">
        <v>1.3517227039001685</v>
      </c>
      <c r="F1614" s="91" t="s">
        <v>2519</v>
      </c>
      <c r="G1614" s="91" t="b">
        <v>0</v>
      </c>
      <c r="H1614" s="91" t="b">
        <v>0</v>
      </c>
      <c r="I1614" s="91" t="b">
        <v>0</v>
      </c>
      <c r="J1614" s="91" t="b">
        <v>0</v>
      </c>
      <c r="K1614" s="91" t="b">
        <v>0</v>
      </c>
      <c r="L1614" s="91" t="b">
        <v>0</v>
      </c>
    </row>
    <row r="1615" spans="1:12" ht="15">
      <c r="A1615" s="92" t="s">
        <v>2717</v>
      </c>
      <c r="B1615" s="91" t="s">
        <v>2643</v>
      </c>
      <c r="C1615" s="91">
        <v>4</v>
      </c>
      <c r="D1615" s="114">
        <v>0.003648417241051529</v>
      </c>
      <c r="E1615" s="114">
        <v>1.7708520116421442</v>
      </c>
      <c r="F1615" s="91" t="s">
        <v>2519</v>
      </c>
      <c r="G1615" s="91" t="b">
        <v>0</v>
      </c>
      <c r="H1615" s="91" t="b">
        <v>0</v>
      </c>
      <c r="I1615" s="91" t="b">
        <v>0</v>
      </c>
      <c r="J1615" s="91" t="b">
        <v>0</v>
      </c>
      <c r="K1615" s="91" t="b">
        <v>0</v>
      </c>
      <c r="L1615" s="91" t="b">
        <v>0</v>
      </c>
    </row>
    <row r="1616" spans="1:12" ht="15">
      <c r="A1616" s="92" t="s">
        <v>2643</v>
      </c>
      <c r="B1616" s="91" t="s">
        <v>2564</v>
      </c>
      <c r="C1616" s="91">
        <v>4</v>
      </c>
      <c r="D1616" s="114">
        <v>0.003648417241051529</v>
      </c>
      <c r="E1616" s="114">
        <v>1.1825803047998151</v>
      </c>
      <c r="F1616" s="91" t="s">
        <v>2519</v>
      </c>
      <c r="G1616" s="91" t="b">
        <v>0</v>
      </c>
      <c r="H1616" s="91" t="b">
        <v>0</v>
      </c>
      <c r="I1616" s="91" t="b">
        <v>0</v>
      </c>
      <c r="J1616" s="91" t="b">
        <v>0</v>
      </c>
      <c r="K1616" s="91" t="b">
        <v>0</v>
      </c>
      <c r="L1616" s="91" t="b">
        <v>0</v>
      </c>
    </row>
    <row r="1617" spans="1:12" ht="15">
      <c r="A1617" s="92" t="s">
        <v>2564</v>
      </c>
      <c r="B1617" s="91" t="s">
        <v>2747</v>
      </c>
      <c r="C1617" s="91">
        <v>4</v>
      </c>
      <c r="D1617" s="114">
        <v>0.003648417241051529</v>
      </c>
      <c r="E1617" s="114">
        <v>1.1825803047998151</v>
      </c>
      <c r="F1617" s="91" t="s">
        <v>2519</v>
      </c>
      <c r="G1617" s="91" t="b">
        <v>0</v>
      </c>
      <c r="H1617" s="91" t="b">
        <v>0</v>
      </c>
      <c r="I1617" s="91" t="b">
        <v>0</v>
      </c>
      <c r="J1617" s="91" t="b">
        <v>0</v>
      </c>
      <c r="K1617" s="91" t="b">
        <v>0</v>
      </c>
      <c r="L1617" s="91" t="b">
        <v>0</v>
      </c>
    </row>
    <row r="1618" spans="1:12" ht="15">
      <c r="A1618" s="92" t="s">
        <v>2747</v>
      </c>
      <c r="B1618" s="91" t="s">
        <v>2575</v>
      </c>
      <c r="C1618" s="91">
        <v>4</v>
      </c>
      <c r="D1618" s="114">
        <v>0.003648417241051529</v>
      </c>
      <c r="E1618" s="114">
        <v>1.8288439586198308</v>
      </c>
      <c r="F1618" s="91" t="s">
        <v>2519</v>
      </c>
      <c r="G1618" s="91" t="b">
        <v>0</v>
      </c>
      <c r="H1618" s="91" t="b">
        <v>0</v>
      </c>
      <c r="I1618" s="91" t="b">
        <v>0</v>
      </c>
      <c r="J1618" s="91" t="b">
        <v>0</v>
      </c>
      <c r="K1618" s="91" t="b">
        <v>0</v>
      </c>
      <c r="L1618" s="91" t="b">
        <v>0</v>
      </c>
    </row>
    <row r="1619" spans="1:12" ht="15">
      <c r="A1619" s="92" t="s">
        <v>2575</v>
      </c>
      <c r="B1619" s="91" t="s">
        <v>2585</v>
      </c>
      <c r="C1619" s="91">
        <v>4</v>
      </c>
      <c r="D1619" s="114">
        <v>0.003648417241051529</v>
      </c>
      <c r="E1619" s="114">
        <v>1.8288439586198308</v>
      </c>
      <c r="F1619" s="91" t="s">
        <v>2519</v>
      </c>
      <c r="G1619" s="91" t="b">
        <v>0</v>
      </c>
      <c r="H1619" s="91" t="b">
        <v>0</v>
      </c>
      <c r="I1619" s="91" t="b">
        <v>0</v>
      </c>
      <c r="J1619" s="91" t="b">
        <v>0</v>
      </c>
      <c r="K1619" s="91" t="b">
        <v>0</v>
      </c>
      <c r="L1619" s="91" t="b">
        <v>0</v>
      </c>
    </row>
    <row r="1620" spans="1:12" ht="15">
      <c r="A1620" s="92" t="s">
        <v>2585</v>
      </c>
      <c r="B1620" s="91" t="s">
        <v>2907</v>
      </c>
      <c r="C1620" s="91">
        <v>4</v>
      </c>
      <c r="D1620" s="114">
        <v>0.003648417241051529</v>
      </c>
      <c r="E1620" s="114">
        <v>2.0718820073061255</v>
      </c>
      <c r="F1620" s="91" t="s">
        <v>2519</v>
      </c>
      <c r="G1620" s="91" t="b">
        <v>0</v>
      </c>
      <c r="H1620" s="91" t="b">
        <v>0</v>
      </c>
      <c r="I1620" s="91" t="b">
        <v>0</v>
      </c>
      <c r="J1620" s="91" t="b">
        <v>0</v>
      </c>
      <c r="K1620" s="91" t="b">
        <v>0</v>
      </c>
      <c r="L1620" s="91" t="b">
        <v>0</v>
      </c>
    </row>
    <row r="1621" spans="1:12" ht="15">
      <c r="A1621" s="92" t="s">
        <v>2907</v>
      </c>
      <c r="B1621" s="91" t="s">
        <v>2612</v>
      </c>
      <c r="C1621" s="91">
        <v>4</v>
      </c>
      <c r="D1621" s="114">
        <v>0.003648417241051529</v>
      </c>
      <c r="E1621" s="114">
        <v>1.5436082301390817</v>
      </c>
      <c r="F1621" s="91" t="s">
        <v>2519</v>
      </c>
      <c r="G1621" s="91" t="b">
        <v>0</v>
      </c>
      <c r="H1621" s="91" t="b">
        <v>0</v>
      </c>
      <c r="I1621" s="91" t="b">
        <v>0</v>
      </c>
      <c r="J1621" s="91" t="b">
        <v>0</v>
      </c>
      <c r="K1621" s="91" t="b">
        <v>0</v>
      </c>
      <c r="L1621" s="91" t="b">
        <v>0</v>
      </c>
    </row>
    <row r="1622" spans="1:12" ht="15">
      <c r="A1622" s="92" t="s">
        <v>2612</v>
      </c>
      <c r="B1622" s="91" t="s">
        <v>2731</v>
      </c>
      <c r="C1622" s="91">
        <v>4</v>
      </c>
      <c r="D1622" s="114">
        <v>0.003648417241051529</v>
      </c>
      <c r="E1622" s="114">
        <v>1.3517227039001685</v>
      </c>
      <c r="F1622" s="91" t="s">
        <v>2519</v>
      </c>
      <c r="G1622" s="91" t="b">
        <v>0</v>
      </c>
      <c r="H1622" s="91" t="b">
        <v>0</v>
      </c>
      <c r="I1622" s="91" t="b">
        <v>0</v>
      </c>
      <c r="J1622" s="91" t="b">
        <v>0</v>
      </c>
      <c r="K1622" s="91" t="b">
        <v>0</v>
      </c>
      <c r="L1622" s="91" t="b">
        <v>0</v>
      </c>
    </row>
    <row r="1623" spans="1:12" ht="15">
      <c r="A1623" s="92" t="s">
        <v>2731</v>
      </c>
      <c r="B1623" s="91" t="s">
        <v>2830</v>
      </c>
      <c r="C1623" s="91">
        <v>4</v>
      </c>
      <c r="D1623" s="114">
        <v>0.003648417241051529</v>
      </c>
      <c r="E1623" s="114">
        <v>2.0718820073061255</v>
      </c>
      <c r="F1623" s="91" t="s">
        <v>2519</v>
      </c>
      <c r="G1623" s="91" t="b">
        <v>0</v>
      </c>
      <c r="H1623" s="91" t="b">
        <v>0</v>
      </c>
      <c r="I1623" s="91" t="b">
        <v>0</v>
      </c>
      <c r="J1623" s="91" t="b">
        <v>0</v>
      </c>
      <c r="K1623" s="91" t="b">
        <v>0</v>
      </c>
      <c r="L1623" s="91" t="b">
        <v>0</v>
      </c>
    </row>
    <row r="1624" spans="1:12" ht="15">
      <c r="A1624" s="92" t="s">
        <v>2830</v>
      </c>
      <c r="B1624" s="91" t="s">
        <v>2908</v>
      </c>
      <c r="C1624" s="91">
        <v>4</v>
      </c>
      <c r="D1624" s="114">
        <v>0.003648417241051529</v>
      </c>
      <c r="E1624" s="114">
        <v>2.3729120029701067</v>
      </c>
      <c r="F1624" s="91" t="s">
        <v>2519</v>
      </c>
      <c r="G1624" s="91" t="b">
        <v>0</v>
      </c>
      <c r="H1624" s="91" t="b">
        <v>0</v>
      </c>
      <c r="I1624" s="91" t="b">
        <v>0</v>
      </c>
      <c r="J1624" s="91" t="b">
        <v>0</v>
      </c>
      <c r="K1624" s="91" t="b">
        <v>0</v>
      </c>
      <c r="L1624" s="91" t="b">
        <v>0</v>
      </c>
    </row>
    <row r="1625" spans="1:12" ht="15">
      <c r="A1625" s="92" t="s">
        <v>2908</v>
      </c>
      <c r="B1625" s="91" t="s">
        <v>2909</v>
      </c>
      <c r="C1625" s="91">
        <v>4</v>
      </c>
      <c r="D1625" s="114">
        <v>0.003648417241051529</v>
      </c>
      <c r="E1625" s="114">
        <v>2.3729120029701067</v>
      </c>
      <c r="F1625" s="91" t="s">
        <v>2519</v>
      </c>
      <c r="G1625" s="91" t="b">
        <v>0</v>
      </c>
      <c r="H1625" s="91" t="b">
        <v>0</v>
      </c>
      <c r="I1625" s="91" t="b">
        <v>0</v>
      </c>
      <c r="J1625" s="91" t="b">
        <v>0</v>
      </c>
      <c r="K1625" s="91" t="b">
        <v>0</v>
      </c>
      <c r="L1625" s="91" t="b">
        <v>0</v>
      </c>
    </row>
    <row r="1626" spans="1:12" ht="15">
      <c r="A1626" s="92" t="s">
        <v>2909</v>
      </c>
      <c r="B1626" s="91" t="s">
        <v>2801</v>
      </c>
      <c r="C1626" s="91">
        <v>4</v>
      </c>
      <c r="D1626" s="114">
        <v>0.003648417241051529</v>
      </c>
      <c r="E1626" s="114">
        <v>2.3729120029701067</v>
      </c>
      <c r="F1626" s="91" t="s">
        <v>2519</v>
      </c>
      <c r="G1626" s="91" t="b">
        <v>0</v>
      </c>
      <c r="H1626" s="91" t="b">
        <v>0</v>
      </c>
      <c r="I1626" s="91" t="b">
        <v>0</v>
      </c>
      <c r="J1626" s="91" t="b">
        <v>0</v>
      </c>
      <c r="K1626" s="91" t="b">
        <v>0</v>
      </c>
      <c r="L1626" s="91" t="b">
        <v>0</v>
      </c>
    </row>
    <row r="1627" spans="1:12" ht="15">
      <c r="A1627" s="92" t="s">
        <v>2801</v>
      </c>
      <c r="B1627" s="91" t="s">
        <v>2802</v>
      </c>
      <c r="C1627" s="91">
        <v>4</v>
      </c>
      <c r="D1627" s="114">
        <v>0.003648417241051529</v>
      </c>
      <c r="E1627" s="114">
        <v>2.3729120029701067</v>
      </c>
      <c r="F1627" s="91" t="s">
        <v>2519</v>
      </c>
      <c r="G1627" s="91" t="b">
        <v>0</v>
      </c>
      <c r="H1627" s="91" t="b">
        <v>0</v>
      </c>
      <c r="I1627" s="91" t="b">
        <v>0</v>
      </c>
      <c r="J1627" s="91" t="b">
        <v>0</v>
      </c>
      <c r="K1627" s="91" t="b">
        <v>0</v>
      </c>
      <c r="L1627" s="91" t="b">
        <v>0</v>
      </c>
    </row>
    <row r="1628" spans="1:12" ht="15">
      <c r="A1628" s="92" t="s">
        <v>2802</v>
      </c>
      <c r="B1628" s="91" t="s">
        <v>2620</v>
      </c>
      <c r="C1628" s="91">
        <v>4</v>
      </c>
      <c r="D1628" s="114">
        <v>0.003648417241051529</v>
      </c>
      <c r="E1628" s="114">
        <v>2.020729484858744</v>
      </c>
      <c r="F1628" s="91" t="s">
        <v>2519</v>
      </c>
      <c r="G1628" s="91" t="b">
        <v>0</v>
      </c>
      <c r="H1628" s="91" t="b">
        <v>0</v>
      </c>
      <c r="I1628" s="91" t="b">
        <v>0</v>
      </c>
      <c r="J1628" s="91" t="b">
        <v>0</v>
      </c>
      <c r="K1628" s="91" t="b">
        <v>0</v>
      </c>
      <c r="L1628" s="91" t="b">
        <v>0</v>
      </c>
    </row>
    <row r="1629" spans="1:12" ht="15">
      <c r="A1629" s="92" t="s">
        <v>2620</v>
      </c>
      <c r="B1629" s="91" t="s">
        <v>2732</v>
      </c>
      <c r="C1629" s="91">
        <v>4</v>
      </c>
      <c r="D1629" s="114">
        <v>0.003648417241051529</v>
      </c>
      <c r="E1629" s="114">
        <v>2.020729484858744</v>
      </c>
      <c r="F1629" s="91" t="s">
        <v>2519</v>
      </c>
      <c r="G1629" s="91" t="b">
        <v>0</v>
      </c>
      <c r="H1629" s="91" t="b">
        <v>0</v>
      </c>
      <c r="I1629" s="91" t="b">
        <v>0</v>
      </c>
      <c r="J1629" s="91" t="b">
        <v>0</v>
      </c>
      <c r="K1629" s="91" t="b">
        <v>0</v>
      </c>
      <c r="L1629" s="91" t="b">
        <v>0</v>
      </c>
    </row>
    <row r="1630" spans="1:12" ht="15">
      <c r="A1630" s="92" t="s">
        <v>2971</v>
      </c>
      <c r="B1630" s="91" t="s">
        <v>2972</v>
      </c>
      <c r="C1630" s="91">
        <v>4</v>
      </c>
      <c r="D1630" s="114">
        <v>0.003648417241051529</v>
      </c>
      <c r="E1630" s="114">
        <v>2.3729120029701067</v>
      </c>
      <c r="F1630" s="91" t="s">
        <v>2519</v>
      </c>
      <c r="G1630" s="91" t="b">
        <v>0</v>
      </c>
      <c r="H1630" s="91" t="b">
        <v>0</v>
      </c>
      <c r="I1630" s="91" t="b">
        <v>0</v>
      </c>
      <c r="J1630" s="91" t="b">
        <v>0</v>
      </c>
      <c r="K1630" s="91" t="b">
        <v>0</v>
      </c>
      <c r="L1630" s="91" t="b">
        <v>0</v>
      </c>
    </row>
    <row r="1631" spans="1:12" ht="15">
      <c r="A1631" s="92" t="s">
        <v>2972</v>
      </c>
      <c r="B1631" s="91" t="s">
        <v>2973</v>
      </c>
      <c r="C1631" s="91">
        <v>4</v>
      </c>
      <c r="D1631" s="114">
        <v>0.003648417241051529</v>
      </c>
      <c r="E1631" s="114">
        <v>2.3729120029701067</v>
      </c>
      <c r="F1631" s="91" t="s">
        <v>2519</v>
      </c>
      <c r="G1631" s="91" t="b">
        <v>0</v>
      </c>
      <c r="H1631" s="91" t="b">
        <v>0</v>
      </c>
      <c r="I1631" s="91" t="b">
        <v>0</v>
      </c>
      <c r="J1631" s="91" t="b">
        <v>0</v>
      </c>
      <c r="K1631" s="91" t="b">
        <v>0</v>
      </c>
      <c r="L1631" s="91" t="b">
        <v>0</v>
      </c>
    </row>
    <row r="1632" spans="1:12" ht="15">
      <c r="A1632" s="92" t="s">
        <v>2973</v>
      </c>
      <c r="B1632" s="91" t="s">
        <v>2585</v>
      </c>
      <c r="C1632" s="91">
        <v>4</v>
      </c>
      <c r="D1632" s="114">
        <v>0.003648417241051529</v>
      </c>
      <c r="E1632" s="114">
        <v>2.0718820073061255</v>
      </c>
      <c r="F1632" s="91" t="s">
        <v>2519</v>
      </c>
      <c r="G1632" s="91" t="b">
        <v>0</v>
      </c>
      <c r="H1632" s="91" t="b">
        <v>0</v>
      </c>
      <c r="I1632" s="91" t="b">
        <v>0</v>
      </c>
      <c r="J1632" s="91" t="b">
        <v>0</v>
      </c>
      <c r="K1632" s="91" t="b">
        <v>0</v>
      </c>
      <c r="L1632" s="91" t="b">
        <v>0</v>
      </c>
    </row>
    <row r="1633" spans="1:12" ht="15">
      <c r="A1633" s="92" t="s">
        <v>2585</v>
      </c>
      <c r="B1633" s="91" t="s">
        <v>2564</v>
      </c>
      <c r="C1633" s="91">
        <v>4</v>
      </c>
      <c r="D1633" s="114">
        <v>0.003648417241051529</v>
      </c>
      <c r="E1633" s="114">
        <v>1.1825803047998151</v>
      </c>
      <c r="F1633" s="91" t="s">
        <v>2519</v>
      </c>
      <c r="G1633" s="91" t="b">
        <v>0</v>
      </c>
      <c r="H1633" s="91" t="b">
        <v>0</v>
      </c>
      <c r="I1633" s="91" t="b">
        <v>0</v>
      </c>
      <c r="J1633" s="91" t="b">
        <v>0</v>
      </c>
      <c r="K1633" s="91" t="b">
        <v>0</v>
      </c>
      <c r="L1633" s="91" t="b">
        <v>0</v>
      </c>
    </row>
    <row r="1634" spans="1:12" ht="15">
      <c r="A1634" s="92" t="s">
        <v>2566</v>
      </c>
      <c r="B1634" s="91" t="s">
        <v>2612</v>
      </c>
      <c r="C1634" s="91">
        <v>4</v>
      </c>
      <c r="D1634" s="114">
        <v>0.003648417241051529</v>
      </c>
      <c r="E1634" s="114">
        <v>1.3005701814527872</v>
      </c>
      <c r="F1634" s="91" t="s">
        <v>2519</v>
      </c>
      <c r="G1634" s="91" t="b">
        <v>0</v>
      </c>
      <c r="H1634" s="91" t="b">
        <v>0</v>
      </c>
      <c r="I1634" s="91" t="b">
        <v>0</v>
      </c>
      <c r="J1634" s="91" t="b">
        <v>0</v>
      </c>
      <c r="K1634" s="91" t="b">
        <v>0</v>
      </c>
      <c r="L1634" s="91" t="b">
        <v>0</v>
      </c>
    </row>
    <row r="1635" spans="1:12" ht="15">
      <c r="A1635" s="92" t="s">
        <v>2612</v>
      </c>
      <c r="B1635" s="91" t="s">
        <v>2643</v>
      </c>
      <c r="C1635" s="91">
        <v>4</v>
      </c>
      <c r="D1635" s="114">
        <v>0.003648417241051529</v>
      </c>
      <c r="E1635" s="114">
        <v>1.3517227039001685</v>
      </c>
      <c r="F1635" s="91" t="s">
        <v>2519</v>
      </c>
      <c r="G1635" s="91" t="b">
        <v>0</v>
      </c>
      <c r="H1635" s="91" t="b">
        <v>0</v>
      </c>
      <c r="I1635" s="91" t="b">
        <v>0</v>
      </c>
      <c r="J1635" s="91" t="b">
        <v>0</v>
      </c>
      <c r="K1635" s="91" t="b">
        <v>0</v>
      </c>
      <c r="L1635" s="91" t="b">
        <v>0</v>
      </c>
    </row>
    <row r="1636" spans="1:12" ht="15">
      <c r="A1636" s="92" t="s">
        <v>2643</v>
      </c>
      <c r="B1636" s="91" t="s">
        <v>2731</v>
      </c>
      <c r="C1636" s="91">
        <v>4</v>
      </c>
      <c r="D1636" s="114">
        <v>0.003648417241051529</v>
      </c>
      <c r="E1636" s="114">
        <v>1.7708520116421442</v>
      </c>
      <c r="F1636" s="91" t="s">
        <v>2519</v>
      </c>
      <c r="G1636" s="91" t="b">
        <v>0</v>
      </c>
      <c r="H1636" s="91" t="b">
        <v>0</v>
      </c>
      <c r="I1636" s="91" t="b">
        <v>0</v>
      </c>
      <c r="J1636" s="91" t="b">
        <v>0</v>
      </c>
      <c r="K1636" s="91" t="b">
        <v>0</v>
      </c>
      <c r="L1636" s="91" t="b">
        <v>0</v>
      </c>
    </row>
    <row r="1637" spans="1:12" ht="15">
      <c r="A1637" s="92" t="s">
        <v>2731</v>
      </c>
      <c r="B1637" s="91" t="s">
        <v>2728</v>
      </c>
      <c r="C1637" s="91">
        <v>4</v>
      </c>
      <c r="D1637" s="114">
        <v>0.003648417241051529</v>
      </c>
      <c r="E1637" s="114">
        <v>2.0718820073061255</v>
      </c>
      <c r="F1637" s="91" t="s">
        <v>2519</v>
      </c>
      <c r="G1637" s="91" t="b">
        <v>0</v>
      </c>
      <c r="H1637" s="91" t="b">
        <v>0</v>
      </c>
      <c r="I1637" s="91" t="b">
        <v>0</v>
      </c>
      <c r="J1637" s="91" t="b">
        <v>0</v>
      </c>
      <c r="K1637" s="91" t="b">
        <v>0</v>
      </c>
      <c r="L1637" s="91" t="b">
        <v>0</v>
      </c>
    </row>
    <row r="1638" spans="1:12" ht="15">
      <c r="A1638" s="92" t="s">
        <v>2728</v>
      </c>
      <c r="B1638" s="91" t="s">
        <v>2890</v>
      </c>
      <c r="C1638" s="91">
        <v>4</v>
      </c>
      <c r="D1638" s="114">
        <v>0.003648417241051529</v>
      </c>
      <c r="E1638" s="114">
        <v>2.3729120029701067</v>
      </c>
      <c r="F1638" s="91" t="s">
        <v>2519</v>
      </c>
      <c r="G1638" s="91" t="b">
        <v>0</v>
      </c>
      <c r="H1638" s="91" t="b">
        <v>0</v>
      </c>
      <c r="I1638" s="91" t="b">
        <v>0</v>
      </c>
      <c r="J1638" s="91" t="b">
        <v>0</v>
      </c>
      <c r="K1638" s="91" t="b">
        <v>0</v>
      </c>
      <c r="L1638" s="91" t="b">
        <v>0</v>
      </c>
    </row>
    <row r="1639" spans="1:12" ht="15">
      <c r="A1639" s="92" t="s">
        <v>2890</v>
      </c>
      <c r="B1639" s="91" t="s">
        <v>2747</v>
      </c>
      <c r="C1639" s="91">
        <v>4</v>
      </c>
      <c r="D1639" s="114">
        <v>0.003648417241051529</v>
      </c>
      <c r="E1639" s="114">
        <v>2.0718820073061255</v>
      </c>
      <c r="F1639" s="91" t="s">
        <v>2519</v>
      </c>
      <c r="G1639" s="91" t="b">
        <v>0</v>
      </c>
      <c r="H1639" s="91" t="b">
        <v>0</v>
      </c>
      <c r="I1639" s="91" t="b">
        <v>0</v>
      </c>
      <c r="J1639" s="91" t="b">
        <v>0</v>
      </c>
      <c r="K1639" s="91" t="b">
        <v>0</v>
      </c>
      <c r="L1639" s="91" t="b">
        <v>0</v>
      </c>
    </row>
    <row r="1640" spans="1:12" ht="15">
      <c r="A1640" s="92" t="s">
        <v>2747</v>
      </c>
      <c r="B1640" s="91" t="s">
        <v>2717</v>
      </c>
      <c r="C1640" s="91">
        <v>4</v>
      </c>
      <c r="D1640" s="114">
        <v>0.003648417241051529</v>
      </c>
      <c r="E1640" s="114">
        <v>1.7708520116421442</v>
      </c>
      <c r="F1640" s="91" t="s">
        <v>2519</v>
      </c>
      <c r="G1640" s="91" t="b">
        <v>0</v>
      </c>
      <c r="H1640" s="91" t="b">
        <v>0</v>
      </c>
      <c r="I1640" s="91" t="b">
        <v>0</v>
      </c>
      <c r="J1640" s="91" t="b">
        <v>0</v>
      </c>
      <c r="K1640" s="91" t="b">
        <v>0</v>
      </c>
      <c r="L1640" s="91" t="b">
        <v>0</v>
      </c>
    </row>
    <row r="1641" spans="1:12" ht="15">
      <c r="A1641" s="92" t="s">
        <v>2717</v>
      </c>
      <c r="B1641" s="91" t="s">
        <v>2974</v>
      </c>
      <c r="C1641" s="91">
        <v>4</v>
      </c>
      <c r="D1641" s="114">
        <v>0.003648417241051529</v>
      </c>
      <c r="E1641" s="114">
        <v>2.0718820073061255</v>
      </c>
      <c r="F1641" s="91" t="s">
        <v>2519</v>
      </c>
      <c r="G1641" s="91" t="b">
        <v>0</v>
      </c>
      <c r="H1641" s="91" t="b">
        <v>0</v>
      </c>
      <c r="I1641" s="91" t="b">
        <v>0</v>
      </c>
      <c r="J1641" s="91" t="b">
        <v>0</v>
      </c>
      <c r="K1641" s="91" t="b">
        <v>0</v>
      </c>
      <c r="L1641" s="91" t="b">
        <v>0</v>
      </c>
    </row>
    <row r="1642" spans="1:12" ht="15">
      <c r="A1642" s="92" t="s">
        <v>2974</v>
      </c>
      <c r="B1642" s="91" t="s">
        <v>2891</v>
      </c>
      <c r="C1642" s="91">
        <v>4</v>
      </c>
      <c r="D1642" s="114">
        <v>0.003648417241051529</v>
      </c>
      <c r="E1642" s="114">
        <v>2.3729120029701067</v>
      </c>
      <c r="F1642" s="91" t="s">
        <v>2519</v>
      </c>
      <c r="G1642" s="91" t="b">
        <v>0</v>
      </c>
      <c r="H1642" s="91" t="b">
        <v>0</v>
      </c>
      <c r="I1642" s="91" t="b">
        <v>0</v>
      </c>
      <c r="J1642" s="91" t="b">
        <v>0</v>
      </c>
      <c r="K1642" s="91" t="b">
        <v>0</v>
      </c>
      <c r="L1642" s="91" t="b">
        <v>0</v>
      </c>
    </row>
    <row r="1643" spans="1:12" ht="15">
      <c r="A1643" s="92" t="s">
        <v>2891</v>
      </c>
      <c r="B1643" s="91" t="s">
        <v>2851</v>
      </c>
      <c r="C1643" s="91">
        <v>4</v>
      </c>
      <c r="D1643" s="114">
        <v>0.003648417241051529</v>
      </c>
      <c r="E1643" s="114">
        <v>2.3729120029701067</v>
      </c>
      <c r="F1643" s="91" t="s">
        <v>2519</v>
      </c>
      <c r="G1643" s="91" t="b">
        <v>0</v>
      </c>
      <c r="H1643" s="91" t="b">
        <v>0</v>
      </c>
      <c r="I1643" s="91" t="b">
        <v>0</v>
      </c>
      <c r="J1643" s="91" t="b">
        <v>0</v>
      </c>
      <c r="K1643" s="91" t="b">
        <v>0</v>
      </c>
      <c r="L1643" s="91" t="b">
        <v>0</v>
      </c>
    </row>
    <row r="1644" spans="1:12" ht="15">
      <c r="A1644" s="92" t="s">
        <v>2851</v>
      </c>
      <c r="B1644" s="91" t="s">
        <v>2892</v>
      </c>
      <c r="C1644" s="91">
        <v>4</v>
      </c>
      <c r="D1644" s="114">
        <v>0.003648417241051529</v>
      </c>
      <c r="E1644" s="114">
        <v>2.3729120029701067</v>
      </c>
      <c r="F1644" s="91" t="s">
        <v>2519</v>
      </c>
      <c r="G1644" s="91" t="b">
        <v>0</v>
      </c>
      <c r="H1644" s="91" t="b">
        <v>0</v>
      </c>
      <c r="I1644" s="91" t="b">
        <v>0</v>
      </c>
      <c r="J1644" s="91" t="b">
        <v>0</v>
      </c>
      <c r="K1644" s="91" t="b">
        <v>0</v>
      </c>
      <c r="L1644" s="91" t="b">
        <v>0</v>
      </c>
    </row>
    <row r="1645" spans="1:12" ht="15">
      <c r="A1645" s="92" t="s">
        <v>2892</v>
      </c>
      <c r="B1645" s="91" t="s">
        <v>2975</v>
      </c>
      <c r="C1645" s="91">
        <v>4</v>
      </c>
      <c r="D1645" s="114">
        <v>0.003648417241051529</v>
      </c>
      <c r="E1645" s="114">
        <v>2.3729120029701067</v>
      </c>
      <c r="F1645" s="91" t="s">
        <v>2519</v>
      </c>
      <c r="G1645" s="91" t="b">
        <v>0</v>
      </c>
      <c r="H1645" s="91" t="b">
        <v>0</v>
      </c>
      <c r="I1645" s="91" t="b">
        <v>0</v>
      </c>
      <c r="J1645" s="91" t="b">
        <v>0</v>
      </c>
      <c r="K1645" s="91" t="b">
        <v>0</v>
      </c>
      <c r="L1645" s="91" t="b">
        <v>0</v>
      </c>
    </row>
    <row r="1646" spans="1:12" ht="15">
      <c r="A1646" s="92" t="s">
        <v>2975</v>
      </c>
      <c r="B1646" s="91" t="s">
        <v>2741</v>
      </c>
      <c r="C1646" s="91">
        <v>4</v>
      </c>
      <c r="D1646" s="114">
        <v>0.003648417241051529</v>
      </c>
      <c r="E1646" s="114">
        <v>2.3729120029701067</v>
      </c>
      <c r="F1646" s="91" t="s">
        <v>2519</v>
      </c>
      <c r="G1646" s="91" t="b">
        <v>0</v>
      </c>
      <c r="H1646" s="91" t="b">
        <v>0</v>
      </c>
      <c r="I1646" s="91" t="b">
        <v>0</v>
      </c>
      <c r="J1646" s="91" t="b">
        <v>0</v>
      </c>
      <c r="K1646" s="91" t="b">
        <v>0</v>
      </c>
      <c r="L1646" s="91" t="b">
        <v>0</v>
      </c>
    </row>
    <row r="1647" spans="1:12" ht="15">
      <c r="A1647" s="92" t="s">
        <v>2741</v>
      </c>
      <c r="B1647" s="91" t="s">
        <v>2976</v>
      </c>
      <c r="C1647" s="91">
        <v>4</v>
      </c>
      <c r="D1647" s="114">
        <v>0.003648417241051529</v>
      </c>
      <c r="E1647" s="114">
        <v>2.3729120029701067</v>
      </c>
      <c r="F1647" s="91" t="s">
        <v>2519</v>
      </c>
      <c r="G1647" s="91" t="b">
        <v>0</v>
      </c>
      <c r="H1647" s="91" t="b">
        <v>0</v>
      </c>
      <c r="I1647" s="91" t="b">
        <v>0</v>
      </c>
      <c r="J1647" s="91" t="b">
        <v>0</v>
      </c>
      <c r="K1647" s="91" t="b">
        <v>0</v>
      </c>
      <c r="L1647" s="91" t="b">
        <v>0</v>
      </c>
    </row>
    <row r="1648" spans="1:12" ht="15">
      <c r="A1648" s="92" t="s">
        <v>2976</v>
      </c>
      <c r="B1648" s="91" t="s">
        <v>2977</v>
      </c>
      <c r="C1648" s="91">
        <v>4</v>
      </c>
      <c r="D1648" s="114">
        <v>0.003648417241051529</v>
      </c>
      <c r="E1648" s="114">
        <v>2.3729120029701067</v>
      </c>
      <c r="F1648" s="91" t="s">
        <v>2519</v>
      </c>
      <c r="G1648" s="91" t="b">
        <v>0</v>
      </c>
      <c r="H1648" s="91" t="b">
        <v>0</v>
      </c>
      <c r="I1648" s="91" t="b">
        <v>0</v>
      </c>
      <c r="J1648" s="91" t="b">
        <v>0</v>
      </c>
      <c r="K1648" s="91" t="b">
        <v>0</v>
      </c>
      <c r="L1648" s="91" t="b">
        <v>0</v>
      </c>
    </row>
    <row r="1649" spans="1:12" ht="15">
      <c r="A1649" s="92" t="s">
        <v>2977</v>
      </c>
      <c r="B1649" s="91" t="s">
        <v>2620</v>
      </c>
      <c r="C1649" s="91">
        <v>4</v>
      </c>
      <c r="D1649" s="114">
        <v>0.003648417241051529</v>
      </c>
      <c r="E1649" s="114">
        <v>2.020729484858744</v>
      </c>
      <c r="F1649" s="91" t="s">
        <v>2519</v>
      </c>
      <c r="G1649" s="91" t="b">
        <v>0</v>
      </c>
      <c r="H1649" s="91" t="b">
        <v>0</v>
      </c>
      <c r="I1649" s="91" t="b">
        <v>0</v>
      </c>
      <c r="J1649" s="91" t="b">
        <v>0</v>
      </c>
      <c r="K1649" s="91" t="b">
        <v>0</v>
      </c>
      <c r="L1649" s="91" t="b">
        <v>0</v>
      </c>
    </row>
    <row r="1650" spans="1:12" ht="15">
      <c r="A1650" s="92" t="s">
        <v>2620</v>
      </c>
      <c r="B1650" s="91" t="s">
        <v>2749</v>
      </c>
      <c r="C1650" s="91">
        <v>4</v>
      </c>
      <c r="D1650" s="114">
        <v>0.003648417241051529</v>
      </c>
      <c r="E1650" s="114">
        <v>2.020729484858744</v>
      </c>
      <c r="F1650" s="91" t="s">
        <v>2519</v>
      </c>
      <c r="G1650" s="91" t="b">
        <v>0</v>
      </c>
      <c r="H1650" s="91" t="b">
        <v>0</v>
      </c>
      <c r="I1650" s="91" t="b">
        <v>0</v>
      </c>
      <c r="J1650" s="91" t="b">
        <v>0</v>
      </c>
      <c r="K1650" s="91" t="b">
        <v>0</v>
      </c>
      <c r="L1650" s="91" t="b">
        <v>0</v>
      </c>
    </row>
    <row r="1651" spans="1:12" ht="15">
      <c r="A1651" s="92" t="s">
        <v>2749</v>
      </c>
      <c r="B1651" s="91" t="s">
        <v>2978</v>
      </c>
      <c r="C1651" s="91">
        <v>4</v>
      </c>
      <c r="D1651" s="114">
        <v>0.003648417241051529</v>
      </c>
      <c r="E1651" s="114">
        <v>2.3729120029701067</v>
      </c>
      <c r="F1651" s="91" t="s">
        <v>2519</v>
      </c>
      <c r="G1651" s="91" t="b">
        <v>0</v>
      </c>
      <c r="H1651" s="91" t="b">
        <v>0</v>
      </c>
      <c r="I1651" s="91" t="b">
        <v>0</v>
      </c>
      <c r="J1651" s="91" t="b">
        <v>0</v>
      </c>
      <c r="K1651" s="91" t="b">
        <v>0</v>
      </c>
      <c r="L1651" s="91" t="b">
        <v>0</v>
      </c>
    </row>
    <row r="1652" spans="1:12" ht="15">
      <c r="A1652" s="92" t="s">
        <v>2978</v>
      </c>
      <c r="B1652" s="91" t="s">
        <v>2979</v>
      </c>
      <c r="C1652" s="91">
        <v>4</v>
      </c>
      <c r="D1652" s="114">
        <v>0.003648417241051529</v>
      </c>
      <c r="E1652" s="114">
        <v>2.3729120029701067</v>
      </c>
      <c r="F1652" s="91" t="s">
        <v>2519</v>
      </c>
      <c r="G1652" s="91" t="b">
        <v>0</v>
      </c>
      <c r="H1652" s="91" t="b">
        <v>0</v>
      </c>
      <c r="I1652" s="91" t="b">
        <v>0</v>
      </c>
      <c r="J1652" s="91" t="b">
        <v>0</v>
      </c>
      <c r="K1652" s="91" t="b">
        <v>0</v>
      </c>
      <c r="L1652" s="91" t="b">
        <v>0</v>
      </c>
    </row>
    <row r="1653" spans="1:12" ht="15">
      <c r="A1653" s="92" t="s">
        <v>2979</v>
      </c>
      <c r="B1653" s="91" t="s">
        <v>2980</v>
      </c>
      <c r="C1653" s="91">
        <v>4</v>
      </c>
      <c r="D1653" s="114">
        <v>0.003648417241051529</v>
      </c>
      <c r="E1653" s="114">
        <v>2.3729120029701067</v>
      </c>
      <c r="F1653" s="91" t="s">
        <v>2519</v>
      </c>
      <c r="G1653" s="91" t="b">
        <v>0</v>
      </c>
      <c r="H1653" s="91" t="b">
        <v>0</v>
      </c>
      <c r="I1653" s="91" t="b">
        <v>0</v>
      </c>
      <c r="J1653" s="91" t="b">
        <v>0</v>
      </c>
      <c r="K1653" s="91" t="b">
        <v>0</v>
      </c>
      <c r="L1653" s="91" t="b">
        <v>0</v>
      </c>
    </row>
    <row r="1654" spans="1:12" ht="15">
      <c r="A1654" s="92" t="s">
        <v>2980</v>
      </c>
      <c r="B1654" s="91" t="s">
        <v>2981</v>
      </c>
      <c r="C1654" s="91">
        <v>4</v>
      </c>
      <c r="D1654" s="114">
        <v>0.003648417241051529</v>
      </c>
      <c r="E1654" s="114">
        <v>2.3729120029701067</v>
      </c>
      <c r="F1654" s="91" t="s">
        <v>2519</v>
      </c>
      <c r="G1654" s="91" t="b">
        <v>0</v>
      </c>
      <c r="H1654" s="91" t="b">
        <v>0</v>
      </c>
      <c r="I1654" s="91" t="b">
        <v>0</v>
      </c>
      <c r="J1654" s="91" t="b">
        <v>0</v>
      </c>
      <c r="K1654" s="91" t="b">
        <v>0</v>
      </c>
      <c r="L1654" s="91" t="b">
        <v>0</v>
      </c>
    </row>
    <row r="1655" spans="1:12" ht="15">
      <c r="A1655" s="92" t="s">
        <v>2981</v>
      </c>
      <c r="B1655" s="91" t="s">
        <v>2982</v>
      </c>
      <c r="C1655" s="91">
        <v>4</v>
      </c>
      <c r="D1655" s="114">
        <v>0.003648417241051529</v>
      </c>
      <c r="E1655" s="114">
        <v>2.3729120029701067</v>
      </c>
      <c r="F1655" s="91" t="s">
        <v>2519</v>
      </c>
      <c r="G1655" s="91" t="b">
        <v>0</v>
      </c>
      <c r="H1655" s="91" t="b">
        <v>0</v>
      </c>
      <c r="I1655" s="91" t="b">
        <v>0</v>
      </c>
      <c r="J1655" s="91" t="b">
        <v>0</v>
      </c>
      <c r="K1655" s="91" t="b">
        <v>0</v>
      </c>
      <c r="L1655" s="91" t="b">
        <v>0</v>
      </c>
    </row>
    <row r="1656" spans="1:12" ht="15">
      <c r="A1656" s="92" t="s">
        <v>2982</v>
      </c>
      <c r="B1656" s="91" t="s">
        <v>2983</v>
      </c>
      <c r="C1656" s="91">
        <v>4</v>
      </c>
      <c r="D1656" s="114">
        <v>0.003648417241051529</v>
      </c>
      <c r="E1656" s="114">
        <v>2.3729120029701067</v>
      </c>
      <c r="F1656" s="91" t="s">
        <v>2519</v>
      </c>
      <c r="G1656" s="91" t="b">
        <v>0</v>
      </c>
      <c r="H1656" s="91" t="b">
        <v>0</v>
      </c>
      <c r="I1656" s="91" t="b">
        <v>0</v>
      </c>
      <c r="J1656" s="91" t="b">
        <v>0</v>
      </c>
      <c r="K1656" s="91" t="b">
        <v>0</v>
      </c>
      <c r="L1656" s="91" t="b">
        <v>0</v>
      </c>
    </row>
    <row r="1657" spans="1:12" ht="15">
      <c r="A1657" s="92" t="s">
        <v>2983</v>
      </c>
      <c r="B1657" s="91" t="s">
        <v>2751</v>
      </c>
      <c r="C1657" s="91">
        <v>4</v>
      </c>
      <c r="D1657" s="114">
        <v>0.003648417241051529</v>
      </c>
      <c r="E1657" s="114">
        <v>2.3729120029701067</v>
      </c>
      <c r="F1657" s="91" t="s">
        <v>2519</v>
      </c>
      <c r="G1657" s="91" t="b">
        <v>0</v>
      </c>
      <c r="H1657" s="91" t="b">
        <v>0</v>
      </c>
      <c r="I1657" s="91" t="b">
        <v>0</v>
      </c>
      <c r="J1657" s="91" t="b">
        <v>0</v>
      </c>
      <c r="K1657" s="91" t="b">
        <v>0</v>
      </c>
      <c r="L1657" s="91" t="b">
        <v>0</v>
      </c>
    </row>
    <row r="1658" spans="1:12" ht="15">
      <c r="A1658" s="92" t="s">
        <v>2640</v>
      </c>
      <c r="B1658" s="91" t="s">
        <v>2649</v>
      </c>
      <c r="C1658" s="91">
        <v>2</v>
      </c>
      <c r="D1658" s="114">
        <v>0.002441706047528803</v>
      </c>
      <c r="E1658" s="114">
        <v>2.6739419986340875</v>
      </c>
      <c r="F1658" s="91" t="s">
        <v>2519</v>
      </c>
      <c r="G1658" s="91" t="b">
        <v>0</v>
      </c>
      <c r="H1658" s="91" t="b">
        <v>0</v>
      </c>
      <c r="I1658" s="91" t="b">
        <v>0</v>
      </c>
      <c r="J1658" s="91" t="b">
        <v>0</v>
      </c>
      <c r="K1658" s="91" t="b">
        <v>0</v>
      </c>
      <c r="L1658" s="91" t="b">
        <v>0</v>
      </c>
    </row>
    <row r="1659" spans="1:12" ht="15">
      <c r="A1659" s="92" t="s">
        <v>2649</v>
      </c>
      <c r="B1659" s="91" t="s">
        <v>2641</v>
      </c>
      <c r="C1659" s="91">
        <v>2</v>
      </c>
      <c r="D1659" s="114">
        <v>0.002441706047528803</v>
      </c>
      <c r="E1659" s="114">
        <v>2.6739419986340875</v>
      </c>
      <c r="F1659" s="91" t="s">
        <v>2519</v>
      </c>
      <c r="G1659" s="91" t="b">
        <v>0</v>
      </c>
      <c r="H1659" s="91" t="b">
        <v>0</v>
      </c>
      <c r="I1659" s="91" t="b">
        <v>0</v>
      </c>
      <c r="J1659" s="91" t="b">
        <v>0</v>
      </c>
      <c r="K1659" s="91" t="b">
        <v>0</v>
      </c>
      <c r="L1659" s="91" t="b">
        <v>0</v>
      </c>
    </row>
    <row r="1660" spans="1:12" ht="15">
      <c r="A1660" s="92" t="s">
        <v>2611</v>
      </c>
      <c r="B1660" s="91" t="s">
        <v>2642</v>
      </c>
      <c r="C1660" s="91">
        <v>2</v>
      </c>
      <c r="D1660" s="114">
        <v>0.002441706047528803</v>
      </c>
      <c r="E1660" s="114">
        <v>2.6739419986340875</v>
      </c>
      <c r="F1660" s="91" t="s">
        <v>2519</v>
      </c>
      <c r="G1660" s="91" t="b">
        <v>0</v>
      </c>
      <c r="H1660" s="91" t="b">
        <v>0</v>
      </c>
      <c r="I1660" s="91" t="b">
        <v>0</v>
      </c>
      <c r="J1660" s="91" t="b">
        <v>0</v>
      </c>
      <c r="K1660" s="91" t="b">
        <v>0</v>
      </c>
      <c r="L1660" s="91" t="b">
        <v>0</v>
      </c>
    </row>
    <row r="1661" spans="1:12" ht="15">
      <c r="A1661" s="92" t="s">
        <v>2567</v>
      </c>
      <c r="B1661" s="91" t="s">
        <v>2579</v>
      </c>
      <c r="C1661" s="91">
        <v>2</v>
      </c>
      <c r="D1661" s="114">
        <v>0.002441706047528803</v>
      </c>
      <c r="E1661" s="114">
        <v>1.4434930772558139</v>
      </c>
      <c r="F1661" s="91" t="s">
        <v>2519</v>
      </c>
      <c r="G1661" s="91" t="b">
        <v>0</v>
      </c>
      <c r="H1661" s="91" t="b">
        <v>0</v>
      </c>
      <c r="I1661" s="91" t="b">
        <v>0</v>
      </c>
      <c r="J1661" s="91" t="b">
        <v>0</v>
      </c>
      <c r="K1661" s="91" t="b">
        <v>0</v>
      </c>
      <c r="L1661" s="91" t="b">
        <v>0</v>
      </c>
    </row>
    <row r="1662" spans="1:12" ht="15">
      <c r="A1662" s="92" t="s">
        <v>2579</v>
      </c>
      <c r="B1662" s="91" t="s">
        <v>2613</v>
      </c>
      <c r="C1662" s="91">
        <v>2</v>
      </c>
      <c r="D1662" s="114">
        <v>0.002441706047528803</v>
      </c>
      <c r="E1662" s="114">
        <v>1.8957907482504441</v>
      </c>
      <c r="F1662" s="91" t="s">
        <v>2519</v>
      </c>
      <c r="G1662" s="91" t="b">
        <v>0</v>
      </c>
      <c r="H1662" s="91" t="b">
        <v>0</v>
      </c>
      <c r="I1662" s="91" t="b">
        <v>0</v>
      </c>
      <c r="J1662" s="91" t="b">
        <v>0</v>
      </c>
      <c r="K1662" s="91" t="b">
        <v>0</v>
      </c>
      <c r="L1662" s="91" t="b">
        <v>0</v>
      </c>
    </row>
    <row r="1663" spans="1:12" ht="15">
      <c r="A1663" s="92" t="s">
        <v>2613</v>
      </c>
      <c r="B1663" s="91" t="s">
        <v>2614</v>
      </c>
      <c r="C1663" s="91">
        <v>2</v>
      </c>
      <c r="D1663" s="114">
        <v>0.002441706047528803</v>
      </c>
      <c r="E1663" s="114">
        <v>2.1968207439144254</v>
      </c>
      <c r="F1663" s="91" t="s">
        <v>2519</v>
      </c>
      <c r="G1663" s="91" t="b">
        <v>0</v>
      </c>
      <c r="H1663" s="91" t="b">
        <v>0</v>
      </c>
      <c r="I1663" s="91" t="b">
        <v>0</v>
      </c>
      <c r="J1663" s="91" t="b">
        <v>0</v>
      </c>
      <c r="K1663" s="91" t="b">
        <v>0</v>
      </c>
      <c r="L1663" s="91" t="b">
        <v>0</v>
      </c>
    </row>
    <row r="1664" spans="1:12" ht="15">
      <c r="A1664" s="92" t="s">
        <v>2614</v>
      </c>
      <c r="B1664" s="91" t="s">
        <v>2615</v>
      </c>
      <c r="C1664" s="91">
        <v>2</v>
      </c>
      <c r="D1664" s="114">
        <v>0.002441706047528803</v>
      </c>
      <c r="E1664" s="114">
        <v>2.6739419986340875</v>
      </c>
      <c r="F1664" s="91" t="s">
        <v>2519</v>
      </c>
      <c r="G1664" s="91" t="b">
        <v>0</v>
      </c>
      <c r="H1664" s="91" t="b">
        <v>0</v>
      </c>
      <c r="I1664" s="91" t="b">
        <v>0</v>
      </c>
      <c r="J1664" s="91" t="b">
        <v>0</v>
      </c>
      <c r="K1664" s="91" t="b">
        <v>0</v>
      </c>
      <c r="L1664" s="91" t="b">
        <v>0</v>
      </c>
    </row>
    <row r="1665" spans="1:12" ht="15">
      <c r="A1665" s="92" t="s">
        <v>2615</v>
      </c>
      <c r="B1665" s="91" t="s">
        <v>2571</v>
      </c>
      <c r="C1665" s="91">
        <v>2</v>
      </c>
      <c r="D1665" s="114">
        <v>0.002441706047528803</v>
      </c>
      <c r="E1665" s="114">
        <v>1.6527526995641497</v>
      </c>
      <c r="F1665" s="91" t="s">
        <v>2519</v>
      </c>
      <c r="G1665" s="91" t="b">
        <v>0</v>
      </c>
      <c r="H1665" s="91" t="b">
        <v>0</v>
      </c>
      <c r="I1665" s="91" t="b">
        <v>0</v>
      </c>
      <c r="J1665" s="91" t="b">
        <v>0</v>
      </c>
      <c r="K1665" s="91" t="b">
        <v>0</v>
      </c>
      <c r="L1665" s="91" t="b">
        <v>0</v>
      </c>
    </row>
    <row r="1666" spans="1:12" ht="15">
      <c r="A1666" s="92" t="s">
        <v>2571</v>
      </c>
      <c r="B1666" s="91" t="s">
        <v>2575</v>
      </c>
      <c r="C1666" s="91">
        <v>2</v>
      </c>
      <c r="D1666" s="114">
        <v>0.002441706047528803</v>
      </c>
      <c r="E1666" s="114">
        <v>1.108684655213874</v>
      </c>
      <c r="F1666" s="91" t="s">
        <v>2519</v>
      </c>
      <c r="G1666" s="91" t="b">
        <v>0</v>
      </c>
      <c r="H1666" s="91" t="b">
        <v>0</v>
      </c>
      <c r="I1666" s="91" t="b">
        <v>0</v>
      </c>
      <c r="J1666" s="91" t="b">
        <v>0</v>
      </c>
      <c r="K1666" s="91" t="b">
        <v>0</v>
      </c>
      <c r="L1666" s="91" t="b">
        <v>0</v>
      </c>
    </row>
    <row r="1667" spans="1:12" ht="15">
      <c r="A1667" s="92" t="s">
        <v>2575</v>
      </c>
      <c r="B1667" s="91" t="s">
        <v>2638</v>
      </c>
      <c r="C1667" s="91">
        <v>2</v>
      </c>
      <c r="D1667" s="114">
        <v>0.002441706047528803</v>
      </c>
      <c r="E1667" s="114">
        <v>2.129873954283812</v>
      </c>
      <c r="F1667" s="91" t="s">
        <v>2519</v>
      </c>
      <c r="G1667" s="91" t="b">
        <v>0</v>
      </c>
      <c r="H1667" s="91" t="b">
        <v>0</v>
      </c>
      <c r="I1667" s="91" t="b">
        <v>0</v>
      </c>
      <c r="J1667" s="91" t="b">
        <v>0</v>
      </c>
      <c r="K1667" s="91" t="b">
        <v>0</v>
      </c>
      <c r="L1667" s="91" t="b">
        <v>0</v>
      </c>
    </row>
    <row r="1668" spans="1:12" ht="15">
      <c r="A1668" s="92" t="s">
        <v>2638</v>
      </c>
      <c r="B1668" s="91" t="s">
        <v>2570</v>
      </c>
      <c r="C1668" s="91">
        <v>2</v>
      </c>
      <c r="D1668" s="114">
        <v>0.002441706047528803</v>
      </c>
      <c r="E1668" s="114">
        <v>2.4978507395784066</v>
      </c>
      <c r="F1668" s="91" t="s">
        <v>2519</v>
      </c>
      <c r="G1668" s="91" t="b">
        <v>0</v>
      </c>
      <c r="H1668" s="91" t="b">
        <v>0</v>
      </c>
      <c r="I1668" s="91" t="b">
        <v>0</v>
      </c>
      <c r="J1668" s="91" t="b">
        <v>0</v>
      </c>
      <c r="K1668" s="91" t="b">
        <v>0</v>
      </c>
      <c r="L1668" s="91" t="b">
        <v>0</v>
      </c>
    </row>
    <row r="1669" spans="1:12" ht="15">
      <c r="A1669" s="92" t="s">
        <v>2570</v>
      </c>
      <c r="B1669" s="91" t="s">
        <v>2574</v>
      </c>
      <c r="C1669" s="91">
        <v>2</v>
      </c>
      <c r="D1669" s="114">
        <v>0.002441706047528803</v>
      </c>
      <c r="E1669" s="114">
        <v>2.3217594805227253</v>
      </c>
      <c r="F1669" s="91" t="s">
        <v>2519</v>
      </c>
      <c r="G1669" s="91" t="b">
        <v>0</v>
      </c>
      <c r="H1669" s="91" t="b">
        <v>0</v>
      </c>
      <c r="I1669" s="91" t="b">
        <v>0</v>
      </c>
      <c r="J1669" s="91" t="b">
        <v>0</v>
      </c>
      <c r="K1669" s="91" t="b">
        <v>0</v>
      </c>
      <c r="L1669" s="91" t="b">
        <v>0</v>
      </c>
    </row>
    <row r="1670" spans="1:12" ht="15">
      <c r="A1670" s="92" t="s">
        <v>2566</v>
      </c>
      <c r="B1670" s="91" t="s">
        <v>2639</v>
      </c>
      <c r="C1670" s="91">
        <v>2</v>
      </c>
      <c r="D1670" s="114">
        <v>0.002441706047528803</v>
      </c>
      <c r="E1670" s="114">
        <v>2.129873954283812</v>
      </c>
      <c r="F1670" s="91" t="s">
        <v>2519</v>
      </c>
      <c r="G1670" s="91" t="b">
        <v>0</v>
      </c>
      <c r="H1670" s="91" t="b">
        <v>0</v>
      </c>
      <c r="I1670" s="91" t="b">
        <v>0</v>
      </c>
      <c r="J1670" s="91" t="b">
        <v>0</v>
      </c>
      <c r="K1670" s="91" t="b">
        <v>0</v>
      </c>
      <c r="L1670" s="91" t="b">
        <v>0</v>
      </c>
    </row>
    <row r="1671" spans="1:12" ht="15">
      <c r="A1671" s="92" t="s">
        <v>2574</v>
      </c>
      <c r="B1671" s="91" t="s">
        <v>2566</v>
      </c>
      <c r="C1671" s="91">
        <v>2</v>
      </c>
      <c r="D1671" s="114">
        <v>0.002441706047528803</v>
      </c>
      <c r="E1671" s="114">
        <v>1.4978507395784066</v>
      </c>
      <c r="F1671" s="91" t="s">
        <v>2519</v>
      </c>
      <c r="G1671" s="91" t="b">
        <v>0</v>
      </c>
      <c r="H1671" s="91" t="b">
        <v>0</v>
      </c>
      <c r="I1671" s="91" t="b">
        <v>0</v>
      </c>
      <c r="J1671" s="91" t="b">
        <v>0</v>
      </c>
      <c r="K1671" s="91" t="b">
        <v>0</v>
      </c>
      <c r="L1671" s="91" t="b">
        <v>0</v>
      </c>
    </row>
    <row r="1672" spans="1:12" ht="15">
      <c r="A1672" s="92" t="s">
        <v>2624</v>
      </c>
      <c r="B1672" s="91" t="s">
        <v>2625</v>
      </c>
      <c r="C1672" s="91">
        <v>27</v>
      </c>
      <c r="D1672" s="114">
        <v>0.0010660614643500741</v>
      </c>
      <c r="E1672" s="114">
        <v>1.4477321153410854</v>
      </c>
      <c r="F1672" s="91" t="s">
        <v>2520</v>
      </c>
      <c r="G1672" s="91" t="b">
        <v>0</v>
      </c>
      <c r="H1672" s="91" t="b">
        <v>0</v>
      </c>
      <c r="I1672" s="91" t="b">
        <v>0</v>
      </c>
      <c r="J1672" s="91" t="b">
        <v>0</v>
      </c>
      <c r="K1672" s="91" t="b">
        <v>0</v>
      </c>
      <c r="L1672" s="91" t="b">
        <v>0</v>
      </c>
    </row>
    <row r="1673" spans="1:12" ht="15">
      <c r="A1673" s="92" t="s">
        <v>2625</v>
      </c>
      <c r="B1673" s="91" t="s">
        <v>2626</v>
      </c>
      <c r="C1673" s="91">
        <v>27</v>
      </c>
      <c r="D1673" s="114">
        <v>0.0010660614643500741</v>
      </c>
      <c r="E1673" s="114">
        <v>1.4477321153410854</v>
      </c>
      <c r="F1673" s="91" t="s">
        <v>2520</v>
      </c>
      <c r="G1673" s="91" t="b">
        <v>0</v>
      </c>
      <c r="H1673" s="91" t="b">
        <v>0</v>
      </c>
      <c r="I1673" s="91" t="b">
        <v>0</v>
      </c>
      <c r="J1673" s="91" t="b">
        <v>0</v>
      </c>
      <c r="K1673" s="91" t="b">
        <v>0</v>
      </c>
      <c r="L1673" s="91" t="b">
        <v>0</v>
      </c>
    </row>
    <row r="1674" spans="1:12" ht="15">
      <c r="A1674" s="92" t="s">
        <v>2626</v>
      </c>
      <c r="B1674" s="91" t="s">
        <v>2627</v>
      </c>
      <c r="C1674" s="91">
        <v>27</v>
      </c>
      <c r="D1674" s="114">
        <v>0.0010660614643500741</v>
      </c>
      <c r="E1674" s="114">
        <v>1.4477321153410854</v>
      </c>
      <c r="F1674" s="91" t="s">
        <v>2520</v>
      </c>
      <c r="G1674" s="91" t="b">
        <v>0</v>
      </c>
      <c r="H1674" s="91" t="b">
        <v>0</v>
      </c>
      <c r="I1674" s="91" t="b">
        <v>0</v>
      </c>
      <c r="J1674" s="91" t="b">
        <v>0</v>
      </c>
      <c r="K1674" s="91" t="b">
        <v>0</v>
      </c>
      <c r="L1674" s="91" t="b">
        <v>0</v>
      </c>
    </row>
    <row r="1675" spans="1:12" ht="15">
      <c r="A1675" s="92" t="s">
        <v>2608</v>
      </c>
      <c r="B1675" s="91" t="s">
        <v>2623</v>
      </c>
      <c r="C1675" s="91">
        <v>27</v>
      </c>
      <c r="D1675" s="114">
        <v>0.0010660614643500741</v>
      </c>
      <c r="E1675" s="114">
        <v>1.4477321153410854</v>
      </c>
      <c r="F1675" s="91" t="s">
        <v>2520</v>
      </c>
      <c r="G1675" s="91" t="b">
        <v>0</v>
      </c>
      <c r="H1675" s="91" t="b">
        <v>0</v>
      </c>
      <c r="I1675" s="91" t="b">
        <v>0</v>
      </c>
      <c r="J1675" s="91" t="b">
        <v>0</v>
      </c>
      <c r="K1675" s="91" t="b">
        <v>0</v>
      </c>
      <c r="L1675" s="91" t="b">
        <v>0</v>
      </c>
    </row>
    <row r="1676" spans="1:12" ht="15">
      <c r="A1676" s="92" t="s">
        <v>2623</v>
      </c>
      <c r="B1676" s="91" t="s">
        <v>2579</v>
      </c>
      <c r="C1676" s="91">
        <v>27</v>
      </c>
      <c r="D1676" s="114">
        <v>0.0010660614643500741</v>
      </c>
      <c r="E1676" s="114">
        <v>1.4477321153410854</v>
      </c>
      <c r="F1676" s="91" t="s">
        <v>2520</v>
      </c>
      <c r="G1676" s="91" t="b">
        <v>0</v>
      </c>
      <c r="H1676" s="91" t="b">
        <v>0</v>
      </c>
      <c r="I1676" s="91" t="b">
        <v>0</v>
      </c>
      <c r="J1676" s="91" t="b">
        <v>0</v>
      </c>
      <c r="K1676" s="91" t="b">
        <v>0</v>
      </c>
      <c r="L1676" s="91" t="b">
        <v>0</v>
      </c>
    </row>
    <row r="1677" spans="1:12" ht="15">
      <c r="A1677" s="92" t="s">
        <v>2609</v>
      </c>
      <c r="B1677" s="91" t="s">
        <v>2588</v>
      </c>
      <c r="C1677" s="91">
        <v>27</v>
      </c>
      <c r="D1677" s="114">
        <v>0.0010660614643500741</v>
      </c>
      <c r="E1677" s="114">
        <v>1.4477321153410854</v>
      </c>
      <c r="F1677" s="91" t="s">
        <v>2520</v>
      </c>
      <c r="G1677" s="91" t="b">
        <v>0</v>
      </c>
      <c r="H1677" s="91" t="b">
        <v>0</v>
      </c>
      <c r="I1677" s="91" t="b">
        <v>0</v>
      </c>
      <c r="J1677" s="91" t="b">
        <v>0</v>
      </c>
      <c r="K1677" s="91" t="b">
        <v>0</v>
      </c>
      <c r="L1677" s="91" t="b">
        <v>0</v>
      </c>
    </row>
    <row r="1678" spans="1:12" ht="15">
      <c r="A1678" s="92" t="s">
        <v>2588</v>
      </c>
      <c r="B1678" s="91" t="s">
        <v>2619</v>
      </c>
      <c r="C1678" s="91">
        <v>27</v>
      </c>
      <c r="D1678" s="114">
        <v>0.0010660614643500741</v>
      </c>
      <c r="E1678" s="114">
        <v>1.4477321153410854</v>
      </c>
      <c r="F1678" s="91" t="s">
        <v>2520</v>
      </c>
      <c r="G1678" s="91" t="b">
        <v>0</v>
      </c>
      <c r="H1678" s="91" t="b">
        <v>0</v>
      </c>
      <c r="I1678" s="91" t="b">
        <v>0</v>
      </c>
      <c r="J1678" s="91" t="b">
        <v>0</v>
      </c>
      <c r="K1678" s="91" t="b">
        <v>0</v>
      </c>
      <c r="L1678" s="91" t="b">
        <v>0</v>
      </c>
    </row>
    <row r="1679" spans="1:12" ht="15">
      <c r="A1679" s="92" t="s">
        <v>2621</v>
      </c>
      <c r="B1679" s="91" t="s">
        <v>2564</v>
      </c>
      <c r="C1679" s="91">
        <v>27</v>
      </c>
      <c r="D1679" s="114">
        <v>0.0010660614643500741</v>
      </c>
      <c r="E1679" s="114">
        <v>1.4166978816011166</v>
      </c>
      <c r="F1679" s="91" t="s">
        <v>2520</v>
      </c>
      <c r="G1679" s="91" t="b">
        <v>0</v>
      </c>
      <c r="H1679" s="91" t="b">
        <v>0</v>
      </c>
      <c r="I1679" s="91" t="b">
        <v>0</v>
      </c>
      <c r="J1679" s="91" t="b">
        <v>0</v>
      </c>
      <c r="K1679" s="91" t="b">
        <v>0</v>
      </c>
      <c r="L1679" s="91" t="b">
        <v>0</v>
      </c>
    </row>
    <row r="1680" spans="1:12" ht="15">
      <c r="A1680" s="92" t="s">
        <v>2564</v>
      </c>
      <c r="B1680" s="91" t="s">
        <v>2618</v>
      </c>
      <c r="C1680" s="91">
        <v>27</v>
      </c>
      <c r="D1680" s="114">
        <v>0.0010660614643500741</v>
      </c>
      <c r="E1680" s="114">
        <v>1.4319378481578535</v>
      </c>
      <c r="F1680" s="91" t="s">
        <v>2520</v>
      </c>
      <c r="G1680" s="91" t="b">
        <v>0</v>
      </c>
      <c r="H1680" s="91" t="b">
        <v>0</v>
      </c>
      <c r="I1680" s="91" t="b">
        <v>0</v>
      </c>
      <c r="J1680" s="91" t="b">
        <v>0</v>
      </c>
      <c r="K1680" s="91" t="b">
        <v>0</v>
      </c>
      <c r="L1680" s="91" t="b">
        <v>0</v>
      </c>
    </row>
    <row r="1681" spans="1:12" ht="15">
      <c r="A1681" s="92" t="s">
        <v>2565</v>
      </c>
      <c r="B1681" s="91" t="s">
        <v>2624</v>
      </c>
      <c r="C1681" s="91">
        <v>26</v>
      </c>
      <c r="D1681" s="114">
        <v>0.0015687543233226355</v>
      </c>
      <c r="E1681" s="114">
        <v>1.4003074654129473</v>
      </c>
      <c r="F1681" s="91" t="s">
        <v>2520</v>
      </c>
      <c r="G1681" s="91" t="b">
        <v>0</v>
      </c>
      <c r="H1681" s="91" t="b">
        <v>0</v>
      </c>
      <c r="I1681" s="91" t="b">
        <v>0</v>
      </c>
      <c r="J1681" s="91" t="b">
        <v>0</v>
      </c>
      <c r="K1681" s="91" t="b">
        <v>0</v>
      </c>
      <c r="L1681" s="91" t="b">
        <v>0</v>
      </c>
    </row>
    <row r="1682" spans="1:12" ht="15">
      <c r="A1682" s="92" t="s">
        <v>2627</v>
      </c>
      <c r="B1682" s="91" t="s">
        <v>2609</v>
      </c>
      <c r="C1682" s="91">
        <v>25</v>
      </c>
      <c r="D1682" s="114">
        <v>0.002050190497039391</v>
      </c>
      <c r="E1682" s="114">
        <v>1.4143083598541357</v>
      </c>
      <c r="F1682" s="91" t="s">
        <v>2520</v>
      </c>
      <c r="G1682" s="91" t="b">
        <v>0</v>
      </c>
      <c r="H1682" s="91" t="b">
        <v>0</v>
      </c>
      <c r="I1682" s="91" t="b">
        <v>0</v>
      </c>
      <c r="J1682" s="91" t="b">
        <v>0</v>
      </c>
      <c r="K1682" s="91" t="b">
        <v>0</v>
      </c>
      <c r="L1682" s="91" t="b">
        <v>0</v>
      </c>
    </row>
    <row r="1683" spans="1:12" ht="15">
      <c r="A1683" s="92" t="s">
        <v>2618</v>
      </c>
      <c r="B1683" s="91" t="s">
        <v>2633</v>
      </c>
      <c r="C1683" s="91">
        <v>25</v>
      </c>
      <c r="D1683" s="114">
        <v>0.002050190497039391</v>
      </c>
      <c r="E1683" s="114">
        <v>1.481155870828035</v>
      </c>
      <c r="F1683" s="91" t="s">
        <v>2520</v>
      </c>
      <c r="G1683" s="91" t="b">
        <v>0</v>
      </c>
      <c r="H1683" s="91" t="b">
        <v>0</v>
      </c>
      <c r="I1683" s="91" t="b">
        <v>0</v>
      </c>
      <c r="J1683" s="91" t="b">
        <v>0</v>
      </c>
      <c r="K1683" s="91" t="b">
        <v>0</v>
      </c>
      <c r="L1683" s="91" t="b">
        <v>0</v>
      </c>
    </row>
    <row r="1684" spans="1:12" ht="15">
      <c r="A1684" s="92" t="s">
        <v>2579</v>
      </c>
      <c r="B1684" s="91" t="s">
        <v>2565</v>
      </c>
      <c r="C1684" s="91">
        <v>24</v>
      </c>
      <c r="D1684" s="114">
        <v>0.0025095192728961844</v>
      </c>
      <c r="E1684" s="114">
        <v>1.3655453591537354</v>
      </c>
      <c r="F1684" s="91" t="s">
        <v>2520</v>
      </c>
      <c r="G1684" s="91" t="b">
        <v>0</v>
      </c>
      <c r="H1684" s="91" t="b">
        <v>0</v>
      </c>
      <c r="I1684" s="91" t="b">
        <v>0</v>
      </c>
      <c r="J1684" s="91" t="b">
        <v>0</v>
      </c>
      <c r="K1684" s="91" t="b">
        <v>0</v>
      </c>
      <c r="L1684" s="91" t="b">
        <v>0</v>
      </c>
    </row>
    <row r="1685" spans="1:12" ht="15">
      <c r="A1685" s="92" t="s">
        <v>2569</v>
      </c>
      <c r="B1685" s="91" t="s">
        <v>2572</v>
      </c>
      <c r="C1685" s="91">
        <v>17</v>
      </c>
      <c r="D1685" s="114">
        <v>0.005016710306426967</v>
      </c>
      <c r="E1685" s="114">
        <v>1.4319378481578535</v>
      </c>
      <c r="F1685" s="91" t="s">
        <v>2520</v>
      </c>
      <c r="G1685" s="91" t="b">
        <v>0</v>
      </c>
      <c r="H1685" s="91" t="b">
        <v>0</v>
      </c>
      <c r="I1685" s="91" t="b">
        <v>0</v>
      </c>
      <c r="J1685" s="91" t="b">
        <v>0</v>
      </c>
      <c r="K1685" s="91" t="b">
        <v>0</v>
      </c>
      <c r="L1685" s="91" t="b">
        <v>0</v>
      </c>
    </row>
    <row r="1686" spans="1:12" ht="15">
      <c r="A1686" s="92" t="s">
        <v>2594</v>
      </c>
      <c r="B1686" s="91" t="s">
        <v>2583</v>
      </c>
      <c r="C1686" s="91">
        <v>16</v>
      </c>
      <c r="D1686" s="114">
        <v>0.0052575677403161585</v>
      </c>
      <c r="E1686" s="114">
        <v>1.4214031766187363</v>
      </c>
      <c r="F1686" s="91" t="s">
        <v>2520</v>
      </c>
      <c r="G1686" s="91" t="b">
        <v>0</v>
      </c>
      <c r="H1686" s="91" t="b">
        <v>0</v>
      </c>
      <c r="I1686" s="91" t="b">
        <v>0</v>
      </c>
      <c r="J1686" s="91" t="b">
        <v>0</v>
      </c>
      <c r="K1686" s="91" t="b">
        <v>0</v>
      </c>
      <c r="L1686" s="91" t="b">
        <v>0</v>
      </c>
    </row>
    <row r="1687" spans="1:12" ht="15">
      <c r="A1687" s="92" t="s">
        <v>2619</v>
      </c>
      <c r="B1687" s="91" t="s">
        <v>2628</v>
      </c>
      <c r="C1687" s="91">
        <v>14</v>
      </c>
      <c r="D1687" s="114">
        <v>0.005633307215127295</v>
      </c>
      <c r="E1687" s="114">
        <v>1.1624963868603362</v>
      </c>
      <c r="F1687" s="91" t="s">
        <v>2520</v>
      </c>
      <c r="G1687" s="91" t="b">
        <v>0</v>
      </c>
      <c r="H1687" s="91" t="b">
        <v>0</v>
      </c>
      <c r="I1687" s="91" t="b">
        <v>0</v>
      </c>
      <c r="J1687" s="91" t="b">
        <v>0</v>
      </c>
      <c r="K1687" s="91" t="b">
        <v>0</v>
      </c>
      <c r="L1687" s="91" t="b">
        <v>0</v>
      </c>
    </row>
    <row r="1688" spans="1:12" ht="15">
      <c r="A1688" s="92" t="s">
        <v>2628</v>
      </c>
      <c r="B1688" s="91" t="s">
        <v>2621</v>
      </c>
      <c r="C1688" s="91">
        <v>14</v>
      </c>
      <c r="D1688" s="114">
        <v>0.005633307215127295</v>
      </c>
      <c r="E1688" s="114">
        <v>1.4477321153410854</v>
      </c>
      <c r="F1688" s="91" t="s">
        <v>2520</v>
      </c>
      <c r="G1688" s="91" t="b">
        <v>0</v>
      </c>
      <c r="H1688" s="91" t="b">
        <v>0</v>
      </c>
      <c r="I1688" s="91" t="b">
        <v>0</v>
      </c>
      <c r="J1688" s="91" t="b">
        <v>0</v>
      </c>
      <c r="K1688" s="91" t="b">
        <v>0</v>
      </c>
      <c r="L1688" s="91" t="b">
        <v>0</v>
      </c>
    </row>
    <row r="1689" spans="1:12" ht="15">
      <c r="A1689" s="92" t="s">
        <v>2571</v>
      </c>
      <c r="B1689" s="91" t="s">
        <v>2594</v>
      </c>
      <c r="C1689" s="91">
        <v>14</v>
      </c>
      <c r="D1689" s="114">
        <v>0.005633307215127295</v>
      </c>
      <c r="E1689" s="114">
        <v>1.1624963868603362</v>
      </c>
      <c r="F1689" s="91" t="s">
        <v>2520</v>
      </c>
      <c r="G1689" s="91" t="b">
        <v>0</v>
      </c>
      <c r="H1689" s="91" t="b">
        <v>0</v>
      </c>
      <c r="I1689" s="91" t="b">
        <v>0</v>
      </c>
      <c r="J1689" s="91" t="b">
        <v>0</v>
      </c>
      <c r="K1689" s="91" t="b">
        <v>0</v>
      </c>
      <c r="L1689" s="91" t="b">
        <v>0</v>
      </c>
    </row>
    <row r="1690" spans="1:12" ht="15">
      <c r="A1690" s="92" t="s">
        <v>2571</v>
      </c>
      <c r="B1690" s="91" t="s">
        <v>2573</v>
      </c>
      <c r="C1690" s="91">
        <v>13</v>
      </c>
      <c r="D1690" s="114">
        <v>0.005763244774424365</v>
      </c>
      <c r="E1690" s="114">
        <v>1.130311703488935</v>
      </c>
      <c r="F1690" s="91" t="s">
        <v>2520</v>
      </c>
      <c r="G1690" s="91" t="b">
        <v>0</v>
      </c>
      <c r="H1690" s="91" t="b">
        <v>0</v>
      </c>
      <c r="I1690" s="91" t="b">
        <v>0</v>
      </c>
      <c r="J1690" s="91" t="b">
        <v>0</v>
      </c>
      <c r="K1690" s="91" t="b">
        <v>0</v>
      </c>
      <c r="L1690" s="91" t="b">
        <v>0</v>
      </c>
    </row>
    <row r="1691" spans="1:12" ht="15">
      <c r="A1691" s="92" t="s">
        <v>2573</v>
      </c>
      <c r="B1691" s="91" t="s">
        <v>2594</v>
      </c>
      <c r="C1691" s="91">
        <v>13</v>
      </c>
      <c r="D1691" s="114">
        <v>0.005763244774424365</v>
      </c>
      <c r="E1691" s="114">
        <v>1.130311703488935</v>
      </c>
      <c r="F1691" s="91" t="s">
        <v>2520</v>
      </c>
      <c r="G1691" s="91" t="b">
        <v>0</v>
      </c>
      <c r="H1691" s="91" t="b">
        <v>0</v>
      </c>
      <c r="I1691" s="91" t="b">
        <v>0</v>
      </c>
      <c r="J1691" s="91" t="b">
        <v>0</v>
      </c>
      <c r="K1691" s="91" t="b">
        <v>0</v>
      </c>
      <c r="L1691" s="91" t="b">
        <v>0</v>
      </c>
    </row>
    <row r="1692" spans="1:12" ht="15">
      <c r="A1692" s="92" t="s">
        <v>2696</v>
      </c>
      <c r="B1692" s="91" t="s">
        <v>2569</v>
      </c>
      <c r="C1692" s="91">
        <v>13</v>
      </c>
      <c r="D1692" s="114">
        <v>0.005763244774424365</v>
      </c>
      <c r="E1692" s="114">
        <v>1.4641225315292548</v>
      </c>
      <c r="F1692" s="91" t="s">
        <v>2520</v>
      </c>
      <c r="G1692" s="91" t="b">
        <v>0</v>
      </c>
      <c r="H1692" s="91" t="b">
        <v>0</v>
      </c>
      <c r="I1692" s="91" t="b">
        <v>0</v>
      </c>
      <c r="J1692" s="91" t="b">
        <v>0</v>
      </c>
      <c r="K1692" s="91" t="b">
        <v>0</v>
      </c>
      <c r="L1692" s="91" t="b">
        <v>0</v>
      </c>
    </row>
    <row r="1693" spans="1:12" ht="15">
      <c r="A1693" s="92" t="s">
        <v>2572</v>
      </c>
      <c r="B1693" s="91" t="s">
        <v>2697</v>
      </c>
      <c r="C1693" s="91">
        <v>13</v>
      </c>
      <c r="D1693" s="114">
        <v>0.005763244774424365</v>
      </c>
      <c r="E1693" s="114">
        <v>1.6486469581217988</v>
      </c>
      <c r="F1693" s="91" t="s">
        <v>2520</v>
      </c>
      <c r="G1693" s="91" t="b">
        <v>0</v>
      </c>
      <c r="H1693" s="91" t="b">
        <v>0</v>
      </c>
      <c r="I1693" s="91" t="b">
        <v>0</v>
      </c>
      <c r="J1693" s="91" t="b">
        <v>0</v>
      </c>
      <c r="K1693" s="91" t="b">
        <v>0</v>
      </c>
      <c r="L1693" s="91" t="b">
        <v>0</v>
      </c>
    </row>
    <row r="1694" spans="1:12" ht="15">
      <c r="A1694" s="92" t="s">
        <v>2697</v>
      </c>
      <c r="B1694" s="91" t="s">
        <v>2590</v>
      </c>
      <c r="C1694" s="91">
        <v>13</v>
      </c>
      <c r="D1694" s="114">
        <v>0.005763244774424365</v>
      </c>
      <c r="E1694" s="114">
        <v>1.7329678438218346</v>
      </c>
      <c r="F1694" s="91" t="s">
        <v>2520</v>
      </c>
      <c r="G1694" s="91" t="b">
        <v>0</v>
      </c>
      <c r="H1694" s="91" t="b">
        <v>0</v>
      </c>
      <c r="I1694" s="91" t="b">
        <v>0</v>
      </c>
      <c r="J1694" s="91" t="b">
        <v>0</v>
      </c>
      <c r="K1694" s="91" t="b">
        <v>0</v>
      </c>
      <c r="L1694" s="91" t="b">
        <v>0</v>
      </c>
    </row>
    <row r="1695" spans="1:12" ht="15">
      <c r="A1695" s="92" t="s">
        <v>2590</v>
      </c>
      <c r="B1695" s="91" t="s">
        <v>2573</v>
      </c>
      <c r="C1695" s="91">
        <v>13</v>
      </c>
      <c r="D1695" s="114">
        <v>0.005763244774424365</v>
      </c>
      <c r="E1695" s="114">
        <v>1.4155474319696841</v>
      </c>
      <c r="F1695" s="91" t="s">
        <v>2520</v>
      </c>
      <c r="G1695" s="91" t="b">
        <v>0</v>
      </c>
      <c r="H1695" s="91" t="b">
        <v>0</v>
      </c>
      <c r="I1695" s="91" t="b">
        <v>0</v>
      </c>
      <c r="J1695" s="91" t="b">
        <v>0</v>
      </c>
      <c r="K1695" s="91" t="b">
        <v>0</v>
      </c>
      <c r="L1695" s="91" t="b">
        <v>0</v>
      </c>
    </row>
    <row r="1696" spans="1:12" ht="15">
      <c r="A1696" s="92" t="s">
        <v>2573</v>
      </c>
      <c r="B1696" s="91" t="s">
        <v>2571</v>
      </c>
      <c r="C1696" s="91">
        <v>13</v>
      </c>
      <c r="D1696" s="114">
        <v>0.005763244774424365</v>
      </c>
      <c r="E1696" s="114">
        <v>1.130311703488935</v>
      </c>
      <c r="F1696" s="91" t="s">
        <v>2520</v>
      </c>
      <c r="G1696" s="91" t="b">
        <v>0</v>
      </c>
      <c r="H1696" s="91" t="b">
        <v>0</v>
      </c>
      <c r="I1696" s="91" t="b">
        <v>0</v>
      </c>
      <c r="J1696" s="91" t="b">
        <v>0</v>
      </c>
      <c r="K1696" s="91" t="b">
        <v>0</v>
      </c>
      <c r="L1696" s="91" t="b">
        <v>0</v>
      </c>
    </row>
    <row r="1697" spans="1:12" ht="15">
      <c r="A1697" s="92" t="s">
        <v>2583</v>
      </c>
      <c r="B1697" s="91" t="s">
        <v>2608</v>
      </c>
      <c r="C1697" s="91">
        <v>13</v>
      </c>
      <c r="D1697" s="114">
        <v>0.005763244774424365</v>
      </c>
      <c r="E1697" s="114">
        <v>1.3575554849919975</v>
      </c>
      <c r="F1697" s="91" t="s">
        <v>2520</v>
      </c>
      <c r="G1697" s="91" t="b">
        <v>0</v>
      </c>
      <c r="H1697" s="91" t="b">
        <v>0</v>
      </c>
      <c r="I1697" s="91" t="b">
        <v>0</v>
      </c>
      <c r="J1697" s="91" t="b">
        <v>0</v>
      </c>
      <c r="K1697" s="91" t="b">
        <v>0</v>
      </c>
      <c r="L1697" s="91" t="b">
        <v>0</v>
      </c>
    </row>
    <row r="1698" spans="1:12" ht="15">
      <c r="A1698" s="92" t="s">
        <v>2619</v>
      </c>
      <c r="B1698" s="91" t="s">
        <v>2621</v>
      </c>
      <c r="C1698" s="91">
        <v>13</v>
      </c>
      <c r="D1698" s="114">
        <v>0.005763244774424365</v>
      </c>
      <c r="E1698" s="114">
        <v>1.130311703488935</v>
      </c>
      <c r="F1698" s="91" t="s">
        <v>2520</v>
      </c>
      <c r="G1698" s="91" t="b">
        <v>0</v>
      </c>
      <c r="H1698" s="91" t="b">
        <v>0</v>
      </c>
      <c r="I1698" s="91" t="b">
        <v>0</v>
      </c>
      <c r="J1698" s="91" t="b">
        <v>0</v>
      </c>
      <c r="K1698" s="91" t="b">
        <v>0</v>
      </c>
      <c r="L1698" s="91" t="b">
        <v>0</v>
      </c>
    </row>
    <row r="1699" spans="1:12" ht="15">
      <c r="A1699" s="92" t="s">
        <v>2633</v>
      </c>
      <c r="B1699" s="91" t="s">
        <v>2628</v>
      </c>
      <c r="C1699" s="91">
        <v>13</v>
      </c>
      <c r="D1699" s="114">
        <v>0.005763244774424365</v>
      </c>
      <c r="E1699" s="114">
        <v>1.4477321153410854</v>
      </c>
      <c r="F1699" s="91" t="s">
        <v>2520</v>
      </c>
      <c r="G1699" s="91" t="b">
        <v>0</v>
      </c>
      <c r="H1699" s="91" t="b">
        <v>0</v>
      </c>
      <c r="I1699" s="91" t="b">
        <v>0</v>
      </c>
      <c r="J1699" s="91" t="b">
        <v>0</v>
      </c>
      <c r="K1699" s="91" t="b">
        <v>0</v>
      </c>
      <c r="L1699" s="91" t="b">
        <v>0</v>
      </c>
    </row>
    <row r="1700" spans="1:12" ht="15">
      <c r="A1700" s="92" t="s">
        <v>2654</v>
      </c>
      <c r="B1700" s="91" t="s">
        <v>2591</v>
      </c>
      <c r="C1700" s="91">
        <v>12</v>
      </c>
      <c r="D1700" s="114">
        <v>0.005850637432844752</v>
      </c>
      <c r="E1700" s="114">
        <v>1.7329678438218346</v>
      </c>
      <c r="F1700" s="91" t="s">
        <v>2520</v>
      </c>
      <c r="G1700" s="91" t="b">
        <v>0</v>
      </c>
      <c r="H1700" s="91" t="b">
        <v>0</v>
      </c>
      <c r="I1700" s="91" t="b">
        <v>0</v>
      </c>
      <c r="J1700" s="91" t="b">
        <v>0</v>
      </c>
      <c r="K1700" s="91" t="b">
        <v>0</v>
      </c>
      <c r="L1700" s="91" t="b">
        <v>0</v>
      </c>
    </row>
    <row r="1701" spans="1:12" ht="15">
      <c r="A1701" s="92" t="s">
        <v>2591</v>
      </c>
      <c r="B1701" s="91" t="s">
        <v>2648</v>
      </c>
      <c r="C1701" s="91">
        <v>11</v>
      </c>
      <c r="D1701" s="114">
        <v>0.005891931857694709</v>
      </c>
      <c r="E1701" s="114">
        <v>1.7329678438218348</v>
      </c>
      <c r="F1701" s="91" t="s">
        <v>2520</v>
      </c>
      <c r="G1701" s="91" t="b">
        <v>0</v>
      </c>
      <c r="H1701" s="91" t="b">
        <v>0</v>
      </c>
      <c r="I1701" s="91" t="b">
        <v>0</v>
      </c>
      <c r="J1701" s="91" t="b">
        <v>0</v>
      </c>
      <c r="K1701" s="91" t="b">
        <v>0</v>
      </c>
      <c r="L1701" s="91" t="b">
        <v>0</v>
      </c>
    </row>
    <row r="1702" spans="1:12" ht="15">
      <c r="A1702" s="92" t="s">
        <v>2648</v>
      </c>
      <c r="B1702" s="91" t="s">
        <v>2722</v>
      </c>
      <c r="C1702" s="91">
        <v>11</v>
      </c>
      <c r="D1702" s="114">
        <v>0.005891931857694709</v>
      </c>
      <c r="E1702" s="114">
        <v>1.8377031943418476</v>
      </c>
      <c r="F1702" s="91" t="s">
        <v>2520</v>
      </c>
      <c r="G1702" s="91" t="b">
        <v>0</v>
      </c>
      <c r="H1702" s="91" t="b">
        <v>0</v>
      </c>
      <c r="I1702" s="91" t="b">
        <v>0</v>
      </c>
      <c r="J1702" s="91" t="b">
        <v>0</v>
      </c>
      <c r="K1702" s="91" t="b">
        <v>0</v>
      </c>
      <c r="L1702" s="91" t="b">
        <v>0</v>
      </c>
    </row>
    <row r="1703" spans="1:12" ht="15">
      <c r="A1703" s="92" t="s">
        <v>2722</v>
      </c>
      <c r="B1703" s="91" t="s">
        <v>2582</v>
      </c>
      <c r="C1703" s="91">
        <v>11</v>
      </c>
      <c r="D1703" s="114">
        <v>0.005891931857694709</v>
      </c>
      <c r="E1703" s="114">
        <v>1.7999146334524478</v>
      </c>
      <c r="F1703" s="91" t="s">
        <v>2520</v>
      </c>
      <c r="G1703" s="91" t="b">
        <v>0</v>
      </c>
      <c r="H1703" s="91" t="b">
        <v>0</v>
      </c>
      <c r="I1703" s="91" t="b">
        <v>0</v>
      </c>
      <c r="J1703" s="91" t="b">
        <v>0</v>
      </c>
      <c r="K1703" s="91" t="b">
        <v>0</v>
      </c>
      <c r="L1703" s="91" t="b">
        <v>0</v>
      </c>
    </row>
    <row r="1704" spans="1:12" ht="15">
      <c r="A1704" s="92" t="s">
        <v>2582</v>
      </c>
      <c r="B1704" s="91" t="s">
        <v>2589</v>
      </c>
      <c r="C1704" s="91">
        <v>11</v>
      </c>
      <c r="D1704" s="114">
        <v>0.005891931857694709</v>
      </c>
      <c r="E1704" s="114">
        <v>1.7999146334524478</v>
      </c>
      <c r="F1704" s="91" t="s">
        <v>2520</v>
      </c>
      <c r="G1704" s="91" t="b">
        <v>0</v>
      </c>
      <c r="H1704" s="91" t="b">
        <v>0</v>
      </c>
      <c r="I1704" s="91" t="b">
        <v>0</v>
      </c>
      <c r="J1704" s="91" t="b">
        <v>0</v>
      </c>
      <c r="K1704" s="91" t="b">
        <v>0</v>
      </c>
      <c r="L1704" s="91" t="b">
        <v>0</v>
      </c>
    </row>
    <row r="1705" spans="1:12" ht="15">
      <c r="A1705" s="92" t="s">
        <v>2589</v>
      </c>
      <c r="B1705" s="91" t="s">
        <v>2637</v>
      </c>
      <c r="C1705" s="91">
        <v>11</v>
      </c>
      <c r="D1705" s="114">
        <v>0.005891931857694709</v>
      </c>
      <c r="E1705" s="114">
        <v>1.8377031943418476</v>
      </c>
      <c r="F1705" s="91" t="s">
        <v>2520</v>
      </c>
      <c r="G1705" s="91" t="b">
        <v>0</v>
      </c>
      <c r="H1705" s="91" t="b">
        <v>0</v>
      </c>
      <c r="I1705" s="91" t="b">
        <v>0</v>
      </c>
      <c r="J1705" s="91" t="b">
        <v>0</v>
      </c>
      <c r="K1705" s="91" t="b">
        <v>0</v>
      </c>
      <c r="L1705" s="91" t="b">
        <v>0</v>
      </c>
    </row>
    <row r="1706" spans="1:12" ht="15">
      <c r="A1706" s="92" t="s">
        <v>2637</v>
      </c>
      <c r="B1706" s="91" t="s">
        <v>2569</v>
      </c>
      <c r="C1706" s="91">
        <v>11</v>
      </c>
      <c r="D1706" s="114">
        <v>0.005891931857694709</v>
      </c>
      <c r="E1706" s="114">
        <v>1.4641225315292548</v>
      </c>
      <c r="F1706" s="91" t="s">
        <v>2520</v>
      </c>
      <c r="G1706" s="91" t="b">
        <v>0</v>
      </c>
      <c r="H1706" s="91" t="b">
        <v>0</v>
      </c>
      <c r="I1706" s="91" t="b">
        <v>0</v>
      </c>
      <c r="J1706" s="91" t="b">
        <v>0</v>
      </c>
      <c r="K1706" s="91" t="b">
        <v>0</v>
      </c>
      <c r="L1706" s="91" t="b">
        <v>0</v>
      </c>
    </row>
    <row r="1707" spans="1:12" ht="15">
      <c r="A1707" s="92" t="s">
        <v>2569</v>
      </c>
      <c r="B1707" s="91" t="s">
        <v>2723</v>
      </c>
      <c r="C1707" s="91">
        <v>11</v>
      </c>
      <c r="D1707" s="114">
        <v>0.005891931857694709</v>
      </c>
      <c r="E1707" s="114">
        <v>1.4319378481578535</v>
      </c>
      <c r="F1707" s="91" t="s">
        <v>2520</v>
      </c>
      <c r="G1707" s="91" t="b">
        <v>0</v>
      </c>
      <c r="H1707" s="91" t="b">
        <v>0</v>
      </c>
      <c r="I1707" s="91" t="b">
        <v>0</v>
      </c>
      <c r="J1707" s="91" t="b">
        <v>0</v>
      </c>
      <c r="K1707" s="91" t="b">
        <v>0</v>
      </c>
      <c r="L1707" s="91" t="b">
        <v>0</v>
      </c>
    </row>
    <row r="1708" spans="1:12" ht="15">
      <c r="A1708" s="92" t="s">
        <v>2723</v>
      </c>
      <c r="B1708" s="91" t="s">
        <v>2571</v>
      </c>
      <c r="C1708" s="91">
        <v>11</v>
      </c>
      <c r="D1708" s="114">
        <v>0.005891931857694709</v>
      </c>
      <c r="E1708" s="114">
        <v>1.4477321153410854</v>
      </c>
      <c r="F1708" s="91" t="s">
        <v>2520</v>
      </c>
      <c r="G1708" s="91" t="b">
        <v>0</v>
      </c>
      <c r="H1708" s="91" t="b">
        <v>0</v>
      </c>
      <c r="I1708" s="91" t="b">
        <v>0</v>
      </c>
      <c r="J1708" s="91" t="b">
        <v>0</v>
      </c>
      <c r="K1708" s="91" t="b">
        <v>0</v>
      </c>
      <c r="L1708" s="91" t="b">
        <v>0</v>
      </c>
    </row>
    <row r="1709" spans="1:12" ht="15">
      <c r="A1709" s="92" t="s">
        <v>2594</v>
      </c>
      <c r="B1709" s="91" t="s">
        <v>2608</v>
      </c>
      <c r="C1709" s="91">
        <v>11</v>
      </c>
      <c r="D1709" s="114">
        <v>0.005891931857694709</v>
      </c>
      <c r="E1709" s="114">
        <v>1.0577610363403231</v>
      </c>
      <c r="F1709" s="91" t="s">
        <v>2520</v>
      </c>
      <c r="G1709" s="91" t="b">
        <v>0</v>
      </c>
      <c r="H1709" s="91" t="b">
        <v>0</v>
      </c>
      <c r="I1709" s="91" t="b">
        <v>0</v>
      </c>
      <c r="J1709" s="91" t="b">
        <v>0</v>
      </c>
      <c r="K1709" s="91" t="b">
        <v>0</v>
      </c>
      <c r="L1709" s="91" t="b">
        <v>0</v>
      </c>
    </row>
    <row r="1710" spans="1:12" ht="15">
      <c r="A1710" s="92" t="s">
        <v>2583</v>
      </c>
      <c r="B1710" s="91" t="s">
        <v>2565</v>
      </c>
      <c r="C1710" s="91">
        <v>3</v>
      </c>
      <c r="D1710" s="114">
        <v>0.0037605982564095173</v>
      </c>
      <c r="E1710" s="114">
        <v>0.6896991536648542</v>
      </c>
      <c r="F1710" s="91" t="s">
        <v>2520</v>
      </c>
      <c r="G1710" s="91" t="b">
        <v>0</v>
      </c>
      <c r="H1710" s="91" t="b">
        <v>0</v>
      </c>
      <c r="I1710" s="91" t="b">
        <v>0</v>
      </c>
      <c r="J1710" s="91" t="b">
        <v>0</v>
      </c>
      <c r="K1710" s="91" t="b">
        <v>0</v>
      </c>
      <c r="L1710" s="91" t="b">
        <v>0</v>
      </c>
    </row>
    <row r="1711" spans="1:12" ht="15">
      <c r="A1711" s="92" t="s">
        <v>2572</v>
      </c>
      <c r="B1711" s="91" t="s">
        <v>2630</v>
      </c>
      <c r="C1711" s="91">
        <v>2</v>
      </c>
      <c r="D1711" s="114">
        <v>0.00295513486573785</v>
      </c>
      <c r="E1711" s="114">
        <v>1.6486469581217988</v>
      </c>
      <c r="F1711" s="91" t="s">
        <v>2520</v>
      </c>
      <c r="G1711" s="91" t="b">
        <v>0</v>
      </c>
      <c r="H1711" s="91" t="b">
        <v>0</v>
      </c>
      <c r="I1711" s="91" t="b">
        <v>0</v>
      </c>
      <c r="J1711" s="91" t="b">
        <v>0</v>
      </c>
      <c r="K1711" s="91" t="b">
        <v>0</v>
      </c>
      <c r="L1711" s="91" t="b">
        <v>0</v>
      </c>
    </row>
    <row r="1712" spans="1:12" ht="15">
      <c r="A1712" s="92" t="s">
        <v>2630</v>
      </c>
      <c r="B1712" s="91" t="s">
        <v>2664</v>
      </c>
      <c r="C1712" s="91">
        <v>2</v>
      </c>
      <c r="D1712" s="114">
        <v>0.00295513486573785</v>
      </c>
      <c r="E1712" s="114">
        <v>2.40197462478041</v>
      </c>
      <c r="F1712" s="91" t="s">
        <v>2520</v>
      </c>
      <c r="G1712" s="91" t="b">
        <v>0</v>
      </c>
      <c r="H1712" s="91" t="b">
        <v>0</v>
      </c>
      <c r="I1712" s="91" t="b">
        <v>0</v>
      </c>
      <c r="J1712" s="91" t="b">
        <v>0</v>
      </c>
      <c r="K1712" s="91" t="b">
        <v>0</v>
      </c>
      <c r="L1712" s="91" t="b">
        <v>0</v>
      </c>
    </row>
    <row r="1713" spans="1:12" ht="15">
      <c r="A1713" s="92" t="s">
        <v>2664</v>
      </c>
      <c r="B1713" s="91" t="s">
        <v>2591</v>
      </c>
      <c r="C1713" s="91">
        <v>2</v>
      </c>
      <c r="D1713" s="114">
        <v>0.00295513486573785</v>
      </c>
      <c r="E1713" s="114">
        <v>1.5568765847661534</v>
      </c>
      <c r="F1713" s="91" t="s">
        <v>2520</v>
      </c>
      <c r="G1713" s="91" t="b">
        <v>0</v>
      </c>
      <c r="H1713" s="91" t="b">
        <v>0</v>
      </c>
      <c r="I1713" s="91" t="b">
        <v>0</v>
      </c>
      <c r="J1713" s="91" t="b">
        <v>0</v>
      </c>
      <c r="K1713" s="91" t="b">
        <v>0</v>
      </c>
      <c r="L1713" s="91" t="b">
        <v>0</v>
      </c>
    </row>
    <row r="1714" spans="1:12" ht="15">
      <c r="A1714" s="92" t="s">
        <v>2591</v>
      </c>
      <c r="B1714" s="91" t="s">
        <v>3028</v>
      </c>
      <c r="C1714" s="91">
        <v>2</v>
      </c>
      <c r="D1714" s="114">
        <v>0.00295513486573785</v>
      </c>
      <c r="E1714" s="114">
        <v>1.7329678438218346</v>
      </c>
      <c r="F1714" s="91" t="s">
        <v>2520</v>
      </c>
      <c r="G1714" s="91" t="b">
        <v>0</v>
      </c>
      <c r="H1714" s="91" t="b">
        <v>0</v>
      </c>
      <c r="I1714" s="91" t="b">
        <v>0</v>
      </c>
      <c r="J1714" s="91" t="b">
        <v>0</v>
      </c>
      <c r="K1714" s="91" t="b">
        <v>0</v>
      </c>
      <c r="L1714" s="91" t="b">
        <v>0</v>
      </c>
    </row>
    <row r="1715" spans="1:12" ht="15">
      <c r="A1715" s="92" t="s">
        <v>3028</v>
      </c>
      <c r="B1715" s="91" t="s">
        <v>3029</v>
      </c>
      <c r="C1715" s="91">
        <v>2</v>
      </c>
      <c r="D1715" s="114">
        <v>0.00295513486573785</v>
      </c>
      <c r="E1715" s="114">
        <v>2.5780658838360915</v>
      </c>
      <c r="F1715" s="91" t="s">
        <v>2520</v>
      </c>
      <c r="G1715" s="91" t="b">
        <v>0</v>
      </c>
      <c r="H1715" s="91" t="b">
        <v>0</v>
      </c>
      <c r="I1715" s="91" t="b">
        <v>0</v>
      </c>
      <c r="J1715" s="91" t="b">
        <v>0</v>
      </c>
      <c r="K1715" s="91" t="b">
        <v>0</v>
      </c>
      <c r="L1715" s="91" t="b">
        <v>0</v>
      </c>
    </row>
    <row r="1716" spans="1:12" ht="15">
      <c r="A1716" s="92" t="s">
        <v>3029</v>
      </c>
      <c r="B1716" s="91" t="s">
        <v>2737</v>
      </c>
      <c r="C1716" s="91">
        <v>2</v>
      </c>
      <c r="D1716" s="114">
        <v>0.00295513486573785</v>
      </c>
      <c r="E1716" s="114">
        <v>2.5780658838360915</v>
      </c>
      <c r="F1716" s="91" t="s">
        <v>2520</v>
      </c>
      <c r="G1716" s="91" t="b">
        <v>0</v>
      </c>
      <c r="H1716" s="91" t="b">
        <v>0</v>
      </c>
      <c r="I1716" s="91" t="b">
        <v>0</v>
      </c>
      <c r="J1716" s="91" t="b">
        <v>0</v>
      </c>
      <c r="K1716" s="91" t="b">
        <v>0</v>
      </c>
      <c r="L1716" s="91" t="b">
        <v>0</v>
      </c>
    </row>
    <row r="1717" spans="1:12" ht="15">
      <c r="A1717" s="92" t="s">
        <v>2737</v>
      </c>
      <c r="B1717" s="91" t="s">
        <v>2752</v>
      </c>
      <c r="C1717" s="91">
        <v>2</v>
      </c>
      <c r="D1717" s="114">
        <v>0.00295513486573785</v>
      </c>
      <c r="E1717" s="114">
        <v>2.5780658838360915</v>
      </c>
      <c r="F1717" s="91" t="s">
        <v>2520</v>
      </c>
      <c r="G1717" s="91" t="b">
        <v>0</v>
      </c>
      <c r="H1717" s="91" t="b">
        <v>0</v>
      </c>
      <c r="I1717" s="91" t="b">
        <v>0</v>
      </c>
      <c r="J1717" s="91" t="b">
        <v>0</v>
      </c>
      <c r="K1717" s="91" t="b">
        <v>0</v>
      </c>
      <c r="L1717" s="91" t="b">
        <v>0</v>
      </c>
    </row>
    <row r="1718" spans="1:12" ht="15">
      <c r="A1718" s="92" t="s">
        <v>2752</v>
      </c>
      <c r="B1718" s="91" t="s">
        <v>2616</v>
      </c>
      <c r="C1718" s="91">
        <v>2</v>
      </c>
      <c r="D1718" s="114">
        <v>0.00295513486573785</v>
      </c>
      <c r="E1718" s="114">
        <v>2.5780658838360915</v>
      </c>
      <c r="F1718" s="91" t="s">
        <v>2520</v>
      </c>
      <c r="G1718" s="91" t="b">
        <v>0</v>
      </c>
      <c r="H1718" s="91" t="b">
        <v>0</v>
      </c>
      <c r="I1718" s="91" t="b">
        <v>0</v>
      </c>
      <c r="J1718" s="91" t="b">
        <v>0</v>
      </c>
      <c r="K1718" s="91" t="b">
        <v>0</v>
      </c>
      <c r="L1718" s="91" t="b">
        <v>0</v>
      </c>
    </row>
    <row r="1719" spans="1:12" ht="15">
      <c r="A1719" s="92" t="s">
        <v>2616</v>
      </c>
      <c r="B1719" s="91" t="s">
        <v>2571</v>
      </c>
      <c r="C1719" s="91">
        <v>2</v>
      </c>
      <c r="D1719" s="114">
        <v>0.00295513486573785</v>
      </c>
      <c r="E1719" s="114">
        <v>1.4477321153410854</v>
      </c>
      <c r="F1719" s="91" t="s">
        <v>2520</v>
      </c>
      <c r="G1719" s="91" t="b">
        <v>0</v>
      </c>
      <c r="H1719" s="91" t="b">
        <v>0</v>
      </c>
      <c r="I1719" s="91" t="b">
        <v>0</v>
      </c>
      <c r="J1719" s="91" t="b">
        <v>0</v>
      </c>
      <c r="K1719" s="91" t="b">
        <v>0</v>
      </c>
      <c r="L1719" s="91" t="b">
        <v>0</v>
      </c>
    </row>
    <row r="1720" spans="1:12" ht="15">
      <c r="A1720" s="92" t="s">
        <v>2627</v>
      </c>
      <c r="B1720" s="91" t="s">
        <v>2608</v>
      </c>
      <c r="C1720" s="91">
        <v>2</v>
      </c>
      <c r="D1720" s="114">
        <v>0.00295513486573785</v>
      </c>
      <c r="E1720" s="114">
        <v>0.31739834684607937</v>
      </c>
      <c r="F1720" s="91" t="s">
        <v>2520</v>
      </c>
      <c r="G1720" s="91" t="b">
        <v>0</v>
      </c>
      <c r="H1720" s="91" t="b">
        <v>0</v>
      </c>
      <c r="I1720" s="91" t="b">
        <v>0</v>
      </c>
      <c r="J1720" s="91" t="b">
        <v>0</v>
      </c>
      <c r="K1720" s="91" t="b">
        <v>0</v>
      </c>
      <c r="L1720" s="91" t="b">
        <v>0</v>
      </c>
    </row>
    <row r="1721" spans="1:12" ht="15">
      <c r="A1721" s="92" t="s">
        <v>2579</v>
      </c>
      <c r="B1721" s="91" t="s">
        <v>2609</v>
      </c>
      <c r="C1721" s="91">
        <v>2</v>
      </c>
      <c r="D1721" s="114">
        <v>0.00295513486573785</v>
      </c>
      <c r="E1721" s="114">
        <v>0.31739834684607937</v>
      </c>
      <c r="F1721" s="91" t="s">
        <v>2520</v>
      </c>
      <c r="G1721" s="91" t="b">
        <v>0</v>
      </c>
      <c r="H1721" s="91" t="b">
        <v>0</v>
      </c>
      <c r="I1721" s="91" t="b">
        <v>0</v>
      </c>
      <c r="J1721" s="91" t="b">
        <v>0</v>
      </c>
      <c r="K1721" s="91" t="b">
        <v>0</v>
      </c>
      <c r="L1721" s="91" t="b">
        <v>0</v>
      </c>
    </row>
    <row r="1722" spans="1:12" ht="15">
      <c r="A1722" s="92" t="s">
        <v>2568</v>
      </c>
      <c r="B1722" s="91" t="s">
        <v>2592</v>
      </c>
      <c r="C1722" s="91">
        <v>2</v>
      </c>
      <c r="D1722" s="114">
        <v>0.00295513486573785</v>
      </c>
      <c r="E1722" s="114">
        <v>2.40197462478041</v>
      </c>
      <c r="F1722" s="91" t="s">
        <v>2520</v>
      </c>
      <c r="G1722" s="91" t="b">
        <v>0</v>
      </c>
      <c r="H1722" s="91" t="b">
        <v>0</v>
      </c>
      <c r="I1722" s="91" t="b">
        <v>0</v>
      </c>
      <c r="J1722" s="91" t="b">
        <v>0</v>
      </c>
      <c r="K1722" s="91" t="b">
        <v>0</v>
      </c>
      <c r="L1722" s="91" t="b">
        <v>0</v>
      </c>
    </row>
    <row r="1723" spans="1:12" ht="15">
      <c r="A1723" s="92" t="s">
        <v>2681</v>
      </c>
      <c r="B1723" s="91" t="s">
        <v>2682</v>
      </c>
      <c r="C1723" s="91">
        <v>19</v>
      </c>
      <c r="D1723" s="114">
        <v>0</v>
      </c>
      <c r="E1723" s="114">
        <v>1.4313637641589874</v>
      </c>
      <c r="F1723" s="91" t="s">
        <v>2521</v>
      </c>
      <c r="G1723" s="91" t="b">
        <v>0</v>
      </c>
      <c r="H1723" s="91" t="b">
        <v>0</v>
      </c>
      <c r="I1723" s="91" t="b">
        <v>0</v>
      </c>
      <c r="J1723" s="91" t="b">
        <v>0</v>
      </c>
      <c r="K1723" s="91" t="b">
        <v>0</v>
      </c>
      <c r="L1723" s="91" t="b">
        <v>0</v>
      </c>
    </row>
    <row r="1724" spans="1:12" ht="15">
      <c r="A1724" s="92" t="s">
        <v>2682</v>
      </c>
      <c r="B1724" s="91" t="s">
        <v>2582</v>
      </c>
      <c r="C1724" s="91">
        <v>19</v>
      </c>
      <c r="D1724" s="114">
        <v>0</v>
      </c>
      <c r="E1724" s="114">
        <v>1.130333768495006</v>
      </c>
      <c r="F1724" s="91" t="s">
        <v>2521</v>
      </c>
      <c r="G1724" s="91" t="b">
        <v>0</v>
      </c>
      <c r="H1724" s="91" t="b">
        <v>0</v>
      </c>
      <c r="I1724" s="91" t="b">
        <v>0</v>
      </c>
      <c r="J1724" s="91" t="b">
        <v>0</v>
      </c>
      <c r="K1724" s="91" t="b">
        <v>0</v>
      </c>
      <c r="L1724" s="91" t="b">
        <v>0</v>
      </c>
    </row>
    <row r="1725" spans="1:12" ht="15">
      <c r="A1725" s="92" t="s">
        <v>2582</v>
      </c>
      <c r="B1725" s="91" t="s">
        <v>2683</v>
      </c>
      <c r="C1725" s="91">
        <v>19</v>
      </c>
      <c r="D1725" s="114">
        <v>0</v>
      </c>
      <c r="E1725" s="114">
        <v>1.130333768495006</v>
      </c>
      <c r="F1725" s="91" t="s">
        <v>2521</v>
      </c>
      <c r="G1725" s="91" t="b">
        <v>0</v>
      </c>
      <c r="H1725" s="91" t="b">
        <v>0</v>
      </c>
      <c r="I1725" s="91" t="b">
        <v>0</v>
      </c>
      <c r="J1725" s="91" t="b">
        <v>0</v>
      </c>
      <c r="K1725" s="91" t="b">
        <v>0</v>
      </c>
      <c r="L1725" s="91" t="b">
        <v>0</v>
      </c>
    </row>
    <row r="1726" spans="1:12" ht="15">
      <c r="A1726" s="92" t="s">
        <v>2683</v>
      </c>
      <c r="B1726" s="91" t="s">
        <v>2684</v>
      </c>
      <c r="C1726" s="91">
        <v>19</v>
      </c>
      <c r="D1726" s="114">
        <v>0</v>
      </c>
      <c r="E1726" s="114">
        <v>1.4313637641589874</v>
      </c>
      <c r="F1726" s="91" t="s">
        <v>2521</v>
      </c>
      <c r="G1726" s="91" t="b">
        <v>0</v>
      </c>
      <c r="H1726" s="91" t="b">
        <v>0</v>
      </c>
      <c r="I1726" s="91" t="b">
        <v>0</v>
      </c>
      <c r="J1726" s="91" t="b">
        <v>0</v>
      </c>
      <c r="K1726" s="91" t="b">
        <v>0</v>
      </c>
      <c r="L1726" s="91" t="b">
        <v>0</v>
      </c>
    </row>
    <row r="1727" spans="1:12" ht="15">
      <c r="A1727" s="92" t="s">
        <v>2684</v>
      </c>
      <c r="B1727" s="91" t="s">
        <v>2685</v>
      </c>
      <c r="C1727" s="91">
        <v>19</v>
      </c>
      <c r="D1727" s="114">
        <v>0</v>
      </c>
      <c r="E1727" s="114">
        <v>1.4313637641589874</v>
      </c>
      <c r="F1727" s="91" t="s">
        <v>2521</v>
      </c>
      <c r="G1727" s="91" t="b">
        <v>0</v>
      </c>
      <c r="H1727" s="91" t="b">
        <v>0</v>
      </c>
      <c r="I1727" s="91" t="b">
        <v>0</v>
      </c>
      <c r="J1727" s="91" t="b">
        <v>0</v>
      </c>
      <c r="K1727" s="91" t="b">
        <v>0</v>
      </c>
      <c r="L1727" s="91" t="b">
        <v>0</v>
      </c>
    </row>
    <row r="1728" spans="1:12" ht="15">
      <c r="A1728" s="92" t="s">
        <v>2685</v>
      </c>
      <c r="B1728" s="91" t="s">
        <v>2686</v>
      </c>
      <c r="C1728" s="91">
        <v>19</v>
      </c>
      <c r="D1728" s="114">
        <v>0</v>
      </c>
      <c r="E1728" s="114">
        <v>1.4313637641589874</v>
      </c>
      <c r="F1728" s="91" t="s">
        <v>2521</v>
      </c>
      <c r="G1728" s="91" t="b">
        <v>0</v>
      </c>
      <c r="H1728" s="91" t="b">
        <v>0</v>
      </c>
      <c r="I1728" s="91" t="b">
        <v>0</v>
      </c>
      <c r="J1728" s="91" t="b">
        <v>0</v>
      </c>
      <c r="K1728" s="91" t="b">
        <v>0</v>
      </c>
      <c r="L1728" s="91" t="b">
        <v>0</v>
      </c>
    </row>
    <row r="1729" spans="1:12" ht="15">
      <c r="A1729" s="92" t="s">
        <v>2686</v>
      </c>
      <c r="B1729" s="91" t="s">
        <v>2582</v>
      </c>
      <c r="C1729" s="91">
        <v>19</v>
      </c>
      <c r="D1729" s="114">
        <v>0</v>
      </c>
      <c r="E1729" s="114">
        <v>1.130333768495006</v>
      </c>
      <c r="F1729" s="91" t="s">
        <v>2521</v>
      </c>
      <c r="G1729" s="91" t="b">
        <v>0</v>
      </c>
      <c r="H1729" s="91" t="b">
        <v>0</v>
      </c>
      <c r="I1729" s="91" t="b">
        <v>0</v>
      </c>
      <c r="J1729" s="91" t="b">
        <v>0</v>
      </c>
      <c r="K1729" s="91" t="b">
        <v>0</v>
      </c>
      <c r="L1729" s="91" t="b">
        <v>0</v>
      </c>
    </row>
    <row r="1730" spans="1:12" ht="15">
      <c r="A1730" s="92" t="s">
        <v>2582</v>
      </c>
      <c r="B1730" s="91" t="s">
        <v>2687</v>
      </c>
      <c r="C1730" s="91">
        <v>19</v>
      </c>
      <c r="D1730" s="114">
        <v>0</v>
      </c>
      <c r="E1730" s="114">
        <v>1.130333768495006</v>
      </c>
      <c r="F1730" s="91" t="s">
        <v>2521</v>
      </c>
      <c r="G1730" s="91" t="b">
        <v>0</v>
      </c>
      <c r="H1730" s="91" t="b">
        <v>0</v>
      </c>
      <c r="I1730" s="91" t="b">
        <v>0</v>
      </c>
      <c r="J1730" s="91" t="b">
        <v>0</v>
      </c>
      <c r="K1730" s="91" t="b">
        <v>0</v>
      </c>
      <c r="L1730" s="91" t="b">
        <v>0</v>
      </c>
    </row>
    <row r="1731" spans="1:12" ht="15">
      <c r="A1731" s="92" t="s">
        <v>2687</v>
      </c>
      <c r="B1731" s="91" t="s">
        <v>2688</v>
      </c>
      <c r="C1731" s="91">
        <v>19</v>
      </c>
      <c r="D1731" s="114">
        <v>0</v>
      </c>
      <c r="E1731" s="114">
        <v>1.4313637641589874</v>
      </c>
      <c r="F1731" s="91" t="s">
        <v>2521</v>
      </c>
      <c r="G1731" s="91" t="b">
        <v>0</v>
      </c>
      <c r="H1731" s="91" t="b">
        <v>0</v>
      </c>
      <c r="I1731" s="91" t="b">
        <v>0</v>
      </c>
      <c r="J1731" s="91" t="b">
        <v>0</v>
      </c>
      <c r="K1731" s="91" t="b">
        <v>0</v>
      </c>
      <c r="L1731" s="91" t="b">
        <v>0</v>
      </c>
    </row>
    <row r="1732" spans="1:12" ht="15">
      <c r="A1732" s="92" t="s">
        <v>2688</v>
      </c>
      <c r="B1732" s="91" t="s">
        <v>2647</v>
      </c>
      <c r="C1732" s="91">
        <v>19</v>
      </c>
      <c r="D1732" s="114">
        <v>0</v>
      </c>
      <c r="E1732" s="114">
        <v>1.4313637641589874</v>
      </c>
      <c r="F1732" s="91" t="s">
        <v>2521</v>
      </c>
      <c r="G1732" s="91" t="b">
        <v>0</v>
      </c>
      <c r="H1732" s="91" t="b">
        <v>0</v>
      </c>
      <c r="I1732" s="91" t="b">
        <v>0</v>
      </c>
      <c r="J1732" s="91" t="b">
        <v>0</v>
      </c>
      <c r="K1732" s="91" t="b">
        <v>0</v>
      </c>
      <c r="L1732" s="91" t="b">
        <v>0</v>
      </c>
    </row>
    <row r="1733" spans="1:12" ht="15">
      <c r="A1733" s="92" t="s">
        <v>2647</v>
      </c>
      <c r="B1733" s="91" t="s">
        <v>432</v>
      </c>
      <c r="C1733" s="91">
        <v>19</v>
      </c>
      <c r="D1733" s="114">
        <v>0</v>
      </c>
      <c r="E1733" s="114">
        <v>1.4313637641589874</v>
      </c>
      <c r="F1733" s="91" t="s">
        <v>2521</v>
      </c>
      <c r="G1733" s="91" t="b">
        <v>0</v>
      </c>
      <c r="H1733" s="91" t="b">
        <v>0</v>
      </c>
      <c r="I1733" s="91" t="b">
        <v>0</v>
      </c>
      <c r="J1733" s="91" t="b">
        <v>0</v>
      </c>
      <c r="K1733" s="91" t="b">
        <v>0</v>
      </c>
      <c r="L1733" s="91" t="b">
        <v>0</v>
      </c>
    </row>
    <row r="1734" spans="1:12" ht="15">
      <c r="A1734" s="92" t="s">
        <v>432</v>
      </c>
      <c r="B1734" s="91" t="s">
        <v>2567</v>
      </c>
      <c r="C1734" s="91">
        <v>19</v>
      </c>
      <c r="D1734" s="114">
        <v>0</v>
      </c>
      <c r="E1734" s="114">
        <v>1.4313637641589874</v>
      </c>
      <c r="F1734" s="91" t="s">
        <v>2521</v>
      </c>
      <c r="G1734" s="91" t="b">
        <v>0</v>
      </c>
      <c r="H1734" s="91" t="b">
        <v>0</v>
      </c>
      <c r="I1734" s="91" t="b">
        <v>0</v>
      </c>
      <c r="J1734" s="91" t="b">
        <v>0</v>
      </c>
      <c r="K1734" s="91" t="b">
        <v>0</v>
      </c>
      <c r="L1734" s="91" t="b">
        <v>0</v>
      </c>
    </row>
    <row r="1735" spans="1:12" ht="15">
      <c r="A1735" s="92" t="s">
        <v>2567</v>
      </c>
      <c r="B1735" s="91" t="s">
        <v>2646</v>
      </c>
      <c r="C1735" s="91">
        <v>19</v>
      </c>
      <c r="D1735" s="114">
        <v>0</v>
      </c>
      <c r="E1735" s="114">
        <v>1.4313637641589874</v>
      </c>
      <c r="F1735" s="91" t="s">
        <v>2521</v>
      </c>
      <c r="G1735" s="91" t="b">
        <v>0</v>
      </c>
      <c r="H1735" s="91" t="b">
        <v>0</v>
      </c>
      <c r="I1735" s="91" t="b">
        <v>0</v>
      </c>
      <c r="J1735" s="91" t="b">
        <v>0</v>
      </c>
      <c r="K1735" s="91" t="b">
        <v>0</v>
      </c>
      <c r="L1735" s="91" t="b">
        <v>0</v>
      </c>
    </row>
    <row r="1736" spans="1:12" ht="15">
      <c r="A1736" s="92" t="s">
        <v>2646</v>
      </c>
      <c r="B1736" s="91" t="s">
        <v>2573</v>
      </c>
      <c r="C1736" s="91">
        <v>19</v>
      </c>
      <c r="D1736" s="114">
        <v>0</v>
      </c>
      <c r="E1736" s="114">
        <v>1.4313637641589874</v>
      </c>
      <c r="F1736" s="91" t="s">
        <v>2521</v>
      </c>
      <c r="G1736" s="91" t="b">
        <v>0</v>
      </c>
      <c r="H1736" s="91" t="b">
        <v>0</v>
      </c>
      <c r="I1736" s="91" t="b">
        <v>0</v>
      </c>
      <c r="J1736" s="91" t="b">
        <v>0</v>
      </c>
      <c r="K1736" s="91" t="b">
        <v>0</v>
      </c>
      <c r="L1736" s="91" t="b">
        <v>0</v>
      </c>
    </row>
    <row r="1737" spans="1:12" ht="15">
      <c r="A1737" s="92" t="s">
        <v>2573</v>
      </c>
      <c r="B1737" s="91" t="s">
        <v>2689</v>
      </c>
      <c r="C1737" s="91">
        <v>19</v>
      </c>
      <c r="D1737" s="114">
        <v>0</v>
      </c>
      <c r="E1737" s="114">
        <v>1.4313637641589874</v>
      </c>
      <c r="F1737" s="91" t="s">
        <v>2521</v>
      </c>
      <c r="G1737" s="91" t="b">
        <v>0</v>
      </c>
      <c r="H1737" s="91" t="b">
        <v>0</v>
      </c>
      <c r="I1737" s="91" t="b">
        <v>0</v>
      </c>
      <c r="J1737" s="91" t="b">
        <v>0</v>
      </c>
      <c r="K1737" s="91" t="b">
        <v>0</v>
      </c>
      <c r="L1737" s="91" t="b">
        <v>0</v>
      </c>
    </row>
    <row r="1738" spans="1:12" ht="15">
      <c r="A1738" s="92" t="s">
        <v>2689</v>
      </c>
      <c r="B1738" s="91" t="s">
        <v>2608</v>
      </c>
      <c r="C1738" s="91">
        <v>19</v>
      </c>
      <c r="D1738" s="114">
        <v>0</v>
      </c>
      <c r="E1738" s="114">
        <v>1.4313637641589874</v>
      </c>
      <c r="F1738" s="91" t="s">
        <v>2521</v>
      </c>
      <c r="G1738" s="91" t="b">
        <v>0</v>
      </c>
      <c r="H1738" s="91" t="b">
        <v>0</v>
      </c>
      <c r="I1738" s="91" t="b">
        <v>0</v>
      </c>
      <c r="J1738" s="91" t="b">
        <v>0</v>
      </c>
      <c r="K1738" s="91" t="b">
        <v>0</v>
      </c>
      <c r="L1738" s="91" t="b">
        <v>0</v>
      </c>
    </row>
    <row r="1739" spans="1:12" ht="15">
      <c r="A1739" s="92" t="s">
        <v>2608</v>
      </c>
      <c r="B1739" s="91" t="s">
        <v>2564</v>
      </c>
      <c r="C1739" s="91">
        <v>19</v>
      </c>
      <c r="D1739" s="114">
        <v>0</v>
      </c>
      <c r="E1739" s="114">
        <v>1.4313637641589874</v>
      </c>
      <c r="F1739" s="91" t="s">
        <v>2521</v>
      </c>
      <c r="G1739" s="91" t="b">
        <v>0</v>
      </c>
      <c r="H1739" s="91" t="b">
        <v>0</v>
      </c>
      <c r="I1739" s="91" t="b">
        <v>0</v>
      </c>
      <c r="J1739" s="91" t="b">
        <v>0</v>
      </c>
      <c r="K1739" s="91" t="b">
        <v>0</v>
      </c>
      <c r="L1739" s="91" t="b">
        <v>0</v>
      </c>
    </row>
    <row r="1740" spans="1:12" ht="15">
      <c r="A1740" s="92" t="s">
        <v>2564</v>
      </c>
      <c r="B1740" s="91" t="s">
        <v>2690</v>
      </c>
      <c r="C1740" s="91">
        <v>19</v>
      </c>
      <c r="D1740" s="114">
        <v>0</v>
      </c>
      <c r="E1740" s="114">
        <v>1.4313637641589874</v>
      </c>
      <c r="F1740" s="91" t="s">
        <v>2521</v>
      </c>
      <c r="G1740" s="91" t="b">
        <v>0</v>
      </c>
      <c r="H1740" s="91" t="b">
        <v>0</v>
      </c>
      <c r="I1740" s="91" t="b">
        <v>0</v>
      </c>
      <c r="J1740" s="91" t="b">
        <v>0</v>
      </c>
      <c r="K1740" s="91" t="b">
        <v>0</v>
      </c>
      <c r="L1740" s="91" t="b">
        <v>0</v>
      </c>
    </row>
    <row r="1741" spans="1:12" ht="15">
      <c r="A1741" s="92" t="s">
        <v>2690</v>
      </c>
      <c r="B1741" s="91" t="s">
        <v>2583</v>
      </c>
      <c r="C1741" s="91">
        <v>19</v>
      </c>
      <c r="D1741" s="114">
        <v>0</v>
      </c>
      <c r="E1741" s="114">
        <v>1.4313637641589874</v>
      </c>
      <c r="F1741" s="91" t="s">
        <v>2521</v>
      </c>
      <c r="G1741" s="91" t="b">
        <v>0</v>
      </c>
      <c r="H1741" s="91" t="b">
        <v>0</v>
      </c>
      <c r="I1741" s="91" t="b">
        <v>0</v>
      </c>
      <c r="J1741" s="91" t="b">
        <v>0</v>
      </c>
      <c r="K1741" s="91" t="b">
        <v>0</v>
      </c>
      <c r="L1741" s="91" t="b">
        <v>0</v>
      </c>
    </row>
    <row r="1742" spans="1:12" ht="15">
      <c r="A1742" s="92" t="s">
        <v>2583</v>
      </c>
      <c r="B1742" s="91" t="s">
        <v>2691</v>
      </c>
      <c r="C1742" s="91">
        <v>19</v>
      </c>
      <c r="D1742" s="114">
        <v>0</v>
      </c>
      <c r="E1742" s="114">
        <v>1.4313637641589874</v>
      </c>
      <c r="F1742" s="91" t="s">
        <v>2521</v>
      </c>
      <c r="G1742" s="91" t="b">
        <v>0</v>
      </c>
      <c r="H1742" s="91" t="b">
        <v>0</v>
      </c>
      <c r="I1742" s="91" t="b">
        <v>0</v>
      </c>
      <c r="J1742" s="91" t="b">
        <v>0</v>
      </c>
      <c r="K1742" s="91" t="b">
        <v>0</v>
      </c>
      <c r="L1742" s="91" t="b">
        <v>0</v>
      </c>
    </row>
    <row r="1743" spans="1:12" ht="15">
      <c r="A1743" s="92" t="s">
        <v>2691</v>
      </c>
      <c r="B1743" s="91" t="s">
        <v>431</v>
      </c>
      <c r="C1743" s="91">
        <v>19</v>
      </c>
      <c r="D1743" s="114">
        <v>0</v>
      </c>
      <c r="E1743" s="114">
        <v>1.4313637641589874</v>
      </c>
      <c r="F1743" s="91" t="s">
        <v>2521</v>
      </c>
      <c r="G1743" s="91" t="b">
        <v>0</v>
      </c>
      <c r="H1743" s="91" t="b">
        <v>0</v>
      </c>
      <c r="I1743" s="91" t="b">
        <v>0</v>
      </c>
      <c r="J1743" s="91" t="b">
        <v>0</v>
      </c>
      <c r="K1743" s="91" t="b">
        <v>0</v>
      </c>
      <c r="L1743" s="91" t="b">
        <v>0</v>
      </c>
    </row>
    <row r="1744" spans="1:12" ht="15">
      <c r="A1744" s="92" t="s">
        <v>431</v>
      </c>
      <c r="B1744" s="91" t="s">
        <v>381</v>
      </c>
      <c r="C1744" s="91">
        <v>19</v>
      </c>
      <c r="D1744" s="114">
        <v>0</v>
      </c>
      <c r="E1744" s="114">
        <v>1.4313637641589874</v>
      </c>
      <c r="F1744" s="91" t="s">
        <v>2521</v>
      </c>
      <c r="G1744" s="91" t="b">
        <v>0</v>
      </c>
      <c r="H1744" s="91" t="b">
        <v>0</v>
      </c>
      <c r="I1744" s="91" t="b">
        <v>0</v>
      </c>
      <c r="J1744" s="91" t="b">
        <v>0</v>
      </c>
      <c r="K1744" s="91" t="b">
        <v>0</v>
      </c>
      <c r="L1744" s="91" t="b">
        <v>0</v>
      </c>
    </row>
    <row r="1745" spans="1:12" ht="15">
      <c r="A1745" s="92" t="s">
        <v>381</v>
      </c>
      <c r="B1745" s="91" t="s">
        <v>380</v>
      </c>
      <c r="C1745" s="91">
        <v>19</v>
      </c>
      <c r="D1745" s="114">
        <v>0</v>
      </c>
      <c r="E1745" s="114">
        <v>1.4313637641589874</v>
      </c>
      <c r="F1745" s="91" t="s">
        <v>2521</v>
      </c>
      <c r="G1745" s="91" t="b">
        <v>0</v>
      </c>
      <c r="H1745" s="91" t="b">
        <v>0</v>
      </c>
      <c r="I1745" s="91" t="b">
        <v>0</v>
      </c>
      <c r="J1745" s="91" t="b">
        <v>0</v>
      </c>
      <c r="K1745" s="91" t="b">
        <v>0</v>
      </c>
      <c r="L1745" s="91" t="b">
        <v>0</v>
      </c>
    </row>
    <row r="1746" spans="1:12" ht="15">
      <c r="A1746" s="92" t="s">
        <v>380</v>
      </c>
      <c r="B1746" s="91" t="s">
        <v>383</v>
      </c>
      <c r="C1746" s="91">
        <v>19</v>
      </c>
      <c r="D1746" s="114">
        <v>0</v>
      </c>
      <c r="E1746" s="114">
        <v>1.4313637641589874</v>
      </c>
      <c r="F1746" s="91" t="s">
        <v>2521</v>
      </c>
      <c r="G1746" s="91" t="b">
        <v>0</v>
      </c>
      <c r="H1746" s="91" t="b">
        <v>0</v>
      </c>
      <c r="I1746" s="91" t="b">
        <v>0</v>
      </c>
      <c r="J1746" s="91" t="b">
        <v>0</v>
      </c>
      <c r="K1746" s="91" t="b">
        <v>0</v>
      </c>
      <c r="L1746" s="91" t="b">
        <v>0</v>
      </c>
    </row>
    <row r="1747" spans="1:12" ht="15">
      <c r="A1747" s="92" t="s">
        <v>383</v>
      </c>
      <c r="B1747" s="91" t="s">
        <v>430</v>
      </c>
      <c r="C1747" s="91">
        <v>19</v>
      </c>
      <c r="D1747" s="114">
        <v>0</v>
      </c>
      <c r="E1747" s="114">
        <v>1.4313637641589874</v>
      </c>
      <c r="F1747" s="91" t="s">
        <v>2521</v>
      </c>
      <c r="G1747" s="91" t="b">
        <v>0</v>
      </c>
      <c r="H1747" s="91" t="b">
        <v>0</v>
      </c>
      <c r="I1747" s="91" t="b">
        <v>0</v>
      </c>
      <c r="J1747" s="91" t="b">
        <v>0</v>
      </c>
      <c r="K1747" s="91" t="b">
        <v>0</v>
      </c>
      <c r="L1747" s="91" t="b">
        <v>0</v>
      </c>
    </row>
    <row r="1748" spans="1:12" ht="15">
      <c r="A1748" s="92" t="s">
        <v>430</v>
      </c>
      <c r="B1748" s="91" t="s">
        <v>385</v>
      </c>
      <c r="C1748" s="91">
        <v>19</v>
      </c>
      <c r="D1748" s="114">
        <v>0</v>
      </c>
      <c r="E1748" s="114">
        <v>1.4313637641589874</v>
      </c>
      <c r="F1748" s="91" t="s">
        <v>2521</v>
      </c>
      <c r="G1748" s="91" t="b">
        <v>0</v>
      </c>
      <c r="H1748" s="91" t="b">
        <v>0</v>
      </c>
      <c r="I1748" s="91" t="b">
        <v>0</v>
      </c>
      <c r="J1748" s="91" t="b">
        <v>0</v>
      </c>
      <c r="K1748" s="91" t="b">
        <v>0</v>
      </c>
      <c r="L1748" s="91" t="b">
        <v>0</v>
      </c>
    </row>
    <row r="1749" spans="1:12" ht="15">
      <c r="A1749" s="92" t="s">
        <v>385</v>
      </c>
      <c r="B1749" s="91" t="s">
        <v>382</v>
      </c>
      <c r="C1749" s="91">
        <v>19</v>
      </c>
      <c r="D1749" s="114">
        <v>0</v>
      </c>
      <c r="E1749" s="114">
        <v>1.4313637641589874</v>
      </c>
      <c r="F1749" s="91" t="s">
        <v>2521</v>
      </c>
      <c r="G1749" s="91" t="b">
        <v>0</v>
      </c>
      <c r="H1749" s="91" t="b">
        <v>0</v>
      </c>
      <c r="I1749" s="91" t="b">
        <v>0</v>
      </c>
      <c r="J1749" s="91" t="b">
        <v>0</v>
      </c>
      <c r="K1749" s="91" t="b">
        <v>0</v>
      </c>
      <c r="L1749" s="91" t="b">
        <v>0</v>
      </c>
    </row>
    <row r="1750" spans="1:12" ht="15">
      <c r="A1750" s="92" t="s">
        <v>2569</v>
      </c>
      <c r="B1750" s="91" t="s">
        <v>2572</v>
      </c>
      <c r="C1750" s="91">
        <v>29</v>
      </c>
      <c r="D1750" s="114">
        <v>0.004462597548721968</v>
      </c>
      <c r="E1750" s="114">
        <v>1.5860062114498839</v>
      </c>
      <c r="F1750" s="91" t="s">
        <v>2522</v>
      </c>
      <c r="G1750" s="91" t="b">
        <v>0</v>
      </c>
      <c r="H1750" s="91" t="b">
        <v>0</v>
      </c>
      <c r="I1750" s="91" t="b">
        <v>0</v>
      </c>
      <c r="J1750" s="91" t="b">
        <v>0</v>
      </c>
      <c r="K1750" s="91" t="b">
        <v>0</v>
      </c>
      <c r="L1750" s="91" t="b">
        <v>0</v>
      </c>
    </row>
    <row r="1751" spans="1:12" ht="15">
      <c r="A1751" s="92" t="s">
        <v>2564</v>
      </c>
      <c r="B1751" s="91" t="s">
        <v>2574</v>
      </c>
      <c r="C1751" s="91">
        <v>20</v>
      </c>
      <c r="D1751" s="114">
        <v>0.0056803631953445555</v>
      </c>
      <c r="E1751" s="114">
        <v>1.4651139991877191</v>
      </c>
      <c r="F1751" s="91" t="s">
        <v>2522</v>
      </c>
      <c r="G1751" s="91" t="b">
        <v>0</v>
      </c>
      <c r="H1751" s="91" t="b">
        <v>0</v>
      </c>
      <c r="I1751" s="91" t="b">
        <v>0</v>
      </c>
      <c r="J1751" s="91" t="b">
        <v>0</v>
      </c>
      <c r="K1751" s="91" t="b">
        <v>0</v>
      </c>
      <c r="L1751" s="91" t="b">
        <v>0</v>
      </c>
    </row>
    <row r="1752" spans="1:12" ht="15">
      <c r="A1752" s="92" t="s">
        <v>2571</v>
      </c>
      <c r="B1752" s="91" t="s">
        <v>2573</v>
      </c>
      <c r="C1752" s="91">
        <v>16</v>
      </c>
      <c r="D1752" s="114">
        <v>0.00579474233702476</v>
      </c>
      <c r="E1752" s="114">
        <v>1.1937064701305389</v>
      </c>
      <c r="F1752" s="91" t="s">
        <v>2522</v>
      </c>
      <c r="G1752" s="91" t="b">
        <v>0</v>
      </c>
      <c r="H1752" s="91" t="b">
        <v>0</v>
      </c>
      <c r="I1752" s="91" t="b">
        <v>0</v>
      </c>
      <c r="J1752" s="91" t="b">
        <v>0</v>
      </c>
      <c r="K1752" s="91" t="b">
        <v>0</v>
      </c>
      <c r="L1752" s="91" t="b">
        <v>0</v>
      </c>
    </row>
    <row r="1753" spans="1:12" ht="15">
      <c r="A1753" s="92" t="s">
        <v>2566</v>
      </c>
      <c r="B1753" s="91" t="s">
        <v>2584</v>
      </c>
      <c r="C1753" s="91">
        <v>14</v>
      </c>
      <c r="D1753" s="114">
        <v>0.005725147333354419</v>
      </c>
      <c r="E1753" s="114">
        <v>1.9012766462284751</v>
      </c>
      <c r="F1753" s="91" t="s">
        <v>2522</v>
      </c>
      <c r="G1753" s="91" t="b">
        <v>0</v>
      </c>
      <c r="H1753" s="91" t="b">
        <v>0</v>
      </c>
      <c r="I1753" s="91" t="b">
        <v>0</v>
      </c>
      <c r="J1753" s="91" t="b">
        <v>0</v>
      </c>
      <c r="K1753" s="91" t="b">
        <v>0</v>
      </c>
      <c r="L1753" s="91" t="b">
        <v>0</v>
      </c>
    </row>
    <row r="1754" spans="1:12" ht="15">
      <c r="A1754" s="92" t="s">
        <v>2738</v>
      </c>
      <c r="B1754" s="91" t="s">
        <v>2569</v>
      </c>
      <c r="C1754" s="91">
        <v>14</v>
      </c>
      <c r="D1754" s="114">
        <v>0.005725147333354419</v>
      </c>
      <c r="E1754" s="114">
        <v>1.5860062114498839</v>
      </c>
      <c r="F1754" s="91" t="s">
        <v>2522</v>
      </c>
      <c r="G1754" s="91" t="b">
        <v>0</v>
      </c>
      <c r="H1754" s="91" t="b">
        <v>0</v>
      </c>
      <c r="I1754" s="91" t="b">
        <v>0</v>
      </c>
      <c r="J1754" s="91" t="b">
        <v>0</v>
      </c>
      <c r="K1754" s="91" t="b">
        <v>0</v>
      </c>
      <c r="L1754" s="91" t="b">
        <v>0</v>
      </c>
    </row>
    <row r="1755" spans="1:12" ht="15">
      <c r="A1755" s="92" t="s">
        <v>2572</v>
      </c>
      <c r="B1755" s="91" t="s">
        <v>2591</v>
      </c>
      <c r="C1755" s="91">
        <v>14</v>
      </c>
      <c r="D1755" s="114">
        <v>0.005725147333354419</v>
      </c>
      <c r="E1755" s="114">
        <v>1.283976688343776</v>
      </c>
      <c r="F1755" s="91" t="s">
        <v>2522</v>
      </c>
      <c r="G1755" s="91" t="b">
        <v>0</v>
      </c>
      <c r="H1755" s="91" t="b">
        <v>0</v>
      </c>
      <c r="I1755" s="91" t="b">
        <v>0</v>
      </c>
      <c r="J1755" s="91" t="b">
        <v>0</v>
      </c>
      <c r="K1755" s="91" t="b">
        <v>0</v>
      </c>
      <c r="L1755" s="91" t="b">
        <v>0</v>
      </c>
    </row>
    <row r="1756" spans="1:12" ht="15">
      <c r="A1756" s="92" t="s">
        <v>2591</v>
      </c>
      <c r="B1756" s="91" t="s">
        <v>2718</v>
      </c>
      <c r="C1756" s="91">
        <v>14</v>
      </c>
      <c r="D1756" s="114">
        <v>0.005725147333354419</v>
      </c>
      <c r="E1756" s="114">
        <v>1.600246650564494</v>
      </c>
      <c r="F1756" s="91" t="s">
        <v>2522</v>
      </c>
      <c r="G1756" s="91" t="b">
        <v>0</v>
      </c>
      <c r="H1756" s="91" t="b">
        <v>0</v>
      </c>
      <c r="I1756" s="91" t="b">
        <v>0</v>
      </c>
      <c r="J1756" s="91" t="b">
        <v>0</v>
      </c>
      <c r="K1756" s="91" t="b">
        <v>0</v>
      </c>
      <c r="L1756" s="91" t="b">
        <v>0</v>
      </c>
    </row>
    <row r="1757" spans="1:12" ht="15">
      <c r="A1757" s="92" t="s">
        <v>2573</v>
      </c>
      <c r="B1757" s="91" t="s">
        <v>2564</v>
      </c>
      <c r="C1757" s="91">
        <v>14</v>
      </c>
      <c r="D1757" s="114">
        <v>0.005725147333354419</v>
      </c>
      <c r="E1757" s="114">
        <v>1.0139809264197637</v>
      </c>
      <c r="F1757" s="91" t="s">
        <v>2522</v>
      </c>
      <c r="G1757" s="91" t="b">
        <v>0</v>
      </c>
      <c r="H1757" s="91" t="b">
        <v>0</v>
      </c>
      <c r="I1757" s="91" t="b">
        <v>0</v>
      </c>
      <c r="J1757" s="91" t="b">
        <v>0</v>
      </c>
      <c r="K1757" s="91" t="b">
        <v>0</v>
      </c>
      <c r="L1757" s="91" t="b">
        <v>0</v>
      </c>
    </row>
    <row r="1758" spans="1:12" ht="15">
      <c r="A1758" s="92" t="s">
        <v>2644</v>
      </c>
      <c r="B1758" s="91" t="s">
        <v>2588</v>
      </c>
      <c r="C1758" s="91">
        <v>11</v>
      </c>
      <c r="D1758" s="114">
        <v>0.005427433963538955</v>
      </c>
      <c r="E1758" s="114">
        <v>1.7986143043313276</v>
      </c>
      <c r="F1758" s="91" t="s">
        <v>2522</v>
      </c>
      <c r="G1758" s="91" t="b">
        <v>0</v>
      </c>
      <c r="H1758" s="91" t="b">
        <v>0</v>
      </c>
      <c r="I1758" s="91" t="b">
        <v>0</v>
      </c>
      <c r="J1758" s="91" t="b">
        <v>0</v>
      </c>
      <c r="K1758" s="91" t="b">
        <v>0</v>
      </c>
      <c r="L1758" s="91" t="b">
        <v>0</v>
      </c>
    </row>
    <row r="1759" spans="1:12" ht="15">
      <c r="A1759" s="92" t="s">
        <v>2575</v>
      </c>
      <c r="B1759" s="91" t="s">
        <v>2570</v>
      </c>
      <c r="C1759" s="91">
        <v>11</v>
      </c>
      <c r="D1759" s="114">
        <v>0.005427433963538955</v>
      </c>
      <c r="E1759" s="114">
        <v>1.7665780723310192</v>
      </c>
      <c r="F1759" s="91" t="s">
        <v>2522</v>
      </c>
      <c r="G1759" s="91" t="b">
        <v>0</v>
      </c>
      <c r="H1759" s="91" t="b">
        <v>0</v>
      </c>
      <c r="I1759" s="91" t="b">
        <v>0</v>
      </c>
      <c r="J1759" s="91" t="b">
        <v>0</v>
      </c>
      <c r="K1759" s="91" t="b">
        <v>0</v>
      </c>
      <c r="L1759" s="91" t="b">
        <v>0</v>
      </c>
    </row>
    <row r="1760" spans="1:12" ht="15">
      <c r="A1760" s="92" t="s">
        <v>2565</v>
      </c>
      <c r="B1760" s="91" t="s">
        <v>2622</v>
      </c>
      <c r="C1760" s="91">
        <v>9</v>
      </c>
      <c r="D1760" s="114">
        <v>0.005073169386309815</v>
      </c>
      <c r="E1760" s="114">
        <v>1.6149699073852004</v>
      </c>
      <c r="F1760" s="91" t="s">
        <v>2522</v>
      </c>
      <c r="G1760" s="91" t="b">
        <v>0</v>
      </c>
      <c r="H1760" s="91" t="b">
        <v>0</v>
      </c>
      <c r="I1760" s="91" t="b">
        <v>0</v>
      </c>
      <c r="J1760" s="91" t="b">
        <v>0</v>
      </c>
      <c r="K1760" s="91" t="b">
        <v>0</v>
      </c>
      <c r="L1760" s="91" t="b">
        <v>0</v>
      </c>
    </row>
    <row r="1761" spans="1:12" ht="15">
      <c r="A1761" s="92" t="s">
        <v>2622</v>
      </c>
      <c r="B1761" s="91" t="s">
        <v>2571</v>
      </c>
      <c r="C1761" s="91">
        <v>9</v>
      </c>
      <c r="D1761" s="114">
        <v>0.005073169386309815</v>
      </c>
      <c r="E1761" s="114">
        <v>1.5458889882419014</v>
      </c>
      <c r="F1761" s="91" t="s">
        <v>2522</v>
      </c>
      <c r="G1761" s="91" t="b">
        <v>0</v>
      </c>
      <c r="H1761" s="91" t="b">
        <v>0</v>
      </c>
      <c r="I1761" s="91" t="b">
        <v>0</v>
      </c>
      <c r="J1761" s="91" t="b">
        <v>0</v>
      </c>
      <c r="K1761" s="91" t="b">
        <v>0</v>
      </c>
      <c r="L1761" s="91" t="b">
        <v>0</v>
      </c>
    </row>
    <row r="1762" spans="1:12" ht="15">
      <c r="A1762" s="92" t="s">
        <v>2571</v>
      </c>
      <c r="B1762" s="91" t="s">
        <v>2567</v>
      </c>
      <c r="C1762" s="91">
        <v>9</v>
      </c>
      <c r="D1762" s="114">
        <v>0.005073169386309815</v>
      </c>
      <c r="E1762" s="114">
        <v>1.1384036616636333</v>
      </c>
      <c r="F1762" s="91" t="s">
        <v>2522</v>
      </c>
      <c r="G1762" s="91" t="b">
        <v>0</v>
      </c>
      <c r="H1762" s="91" t="b">
        <v>0</v>
      </c>
      <c r="I1762" s="91" t="b">
        <v>0</v>
      </c>
      <c r="J1762" s="91" t="b">
        <v>0</v>
      </c>
      <c r="K1762" s="91" t="b">
        <v>0</v>
      </c>
      <c r="L1762" s="91" t="b">
        <v>0</v>
      </c>
    </row>
    <row r="1763" spans="1:12" ht="15">
      <c r="A1763" s="92" t="s">
        <v>2567</v>
      </c>
      <c r="B1763" s="91" t="s">
        <v>2573</v>
      </c>
      <c r="C1763" s="91">
        <v>9</v>
      </c>
      <c r="D1763" s="114">
        <v>0.005073169386309815</v>
      </c>
      <c r="E1763" s="114">
        <v>1.1135800779386011</v>
      </c>
      <c r="F1763" s="91" t="s">
        <v>2522</v>
      </c>
      <c r="G1763" s="91" t="b">
        <v>0</v>
      </c>
      <c r="H1763" s="91" t="b">
        <v>0</v>
      </c>
      <c r="I1763" s="91" t="b">
        <v>0</v>
      </c>
      <c r="J1763" s="91" t="b">
        <v>0</v>
      </c>
      <c r="K1763" s="91" t="b">
        <v>0</v>
      </c>
      <c r="L1763" s="91" t="b">
        <v>0</v>
      </c>
    </row>
    <row r="1764" spans="1:12" ht="15">
      <c r="A1764" s="92" t="s">
        <v>2573</v>
      </c>
      <c r="B1764" s="91" t="s">
        <v>2579</v>
      </c>
      <c r="C1764" s="91">
        <v>9</v>
      </c>
      <c r="D1764" s="114">
        <v>0.005073169386309815</v>
      </c>
      <c r="E1764" s="114">
        <v>1.174277918292213</v>
      </c>
      <c r="F1764" s="91" t="s">
        <v>2522</v>
      </c>
      <c r="G1764" s="91" t="b">
        <v>0</v>
      </c>
      <c r="H1764" s="91" t="b">
        <v>0</v>
      </c>
      <c r="I1764" s="91" t="b">
        <v>0</v>
      </c>
      <c r="J1764" s="91" t="b">
        <v>0</v>
      </c>
      <c r="K1764" s="91" t="b">
        <v>0</v>
      </c>
      <c r="L1764" s="91" t="b">
        <v>0</v>
      </c>
    </row>
    <row r="1765" spans="1:12" ht="15">
      <c r="A1765" s="92" t="s">
        <v>2579</v>
      </c>
      <c r="B1765" s="91" t="s">
        <v>2739</v>
      </c>
      <c r="C1765" s="91">
        <v>9</v>
      </c>
      <c r="D1765" s="114">
        <v>0.005073169386309815</v>
      </c>
      <c r="E1765" s="114">
        <v>1.7763379096201752</v>
      </c>
      <c r="F1765" s="91" t="s">
        <v>2522</v>
      </c>
      <c r="G1765" s="91" t="b">
        <v>0</v>
      </c>
      <c r="H1765" s="91" t="b">
        <v>0</v>
      </c>
      <c r="I1765" s="91" t="b">
        <v>0</v>
      </c>
      <c r="J1765" s="91" t="b">
        <v>0</v>
      </c>
      <c r="K1765" s="91" t="b">
        <v>0</v>
      </c>
      <c r="L1765" s="91" t="b">
        <v>0</v>
      </c>
    </row>
    <row r="1766" spans="1:12" ht="15">
      <c r="A1766" s="92" t="s">
        <v>2581</v>
      </c>
      <c r="B1766" s="91" t="s">
        <v>2586</v>
      </c>
      <c r="C1766" s="91">
        <v>9</v>
      </c>
      <c r="D1766" s="114">
        <v>0.005073169386309815</v>
      </c>
      <c r="E1766" s="114">
        <v>1.7597688081869824</v>
      </c>
      <c r="F1766" s="91" t="s">
        <v>2522</v>
      </c>
      <c r="G1766" s="91" t="b">
        <v>0</v>
      </c>
      <c r="H1766" s="91" t="b">
        <v>0</v>
      </c>
      <c r="I1766" s="91" t="b">
        <v>0</v>
      </c>
      <c r="J1766" s="91" t="b">
        <v>0</v>
      </c>
      <c r="K1766" s="91" t="b">
        <v>0</v>
      </c>
      <c r="L1766" s="91" t="b">
        <v>0</v>
      </c>
    </row>
    <row r="1767" spans="1:12" ht="15">
      <c r="A1767" s="92" t="s">
        <v>2586</v>
      </c>
      <c r="B1767" s="91" t="s">
        <v>2595</v>
      </c>
      <c r="C1767" s="91">
        <v>9</v>
      </c>
      <c r="D1767" s="114">
        <v>0.005073169386309815</v>
      </c>
      <c r="E1767" s="114">
        <v>1.8469189839058826</v>
      </c>
      <c r="F1767" s="91" t="s">
        <v>2522</v>
      </c>
      <c r="G1767" s="91" t="b">
        <v>0</v>
      </c>
      <c r="H1767" s="91" t="b">
        <v>0</v>
      </c>
      <c r="I1767" s="91" t="b">
        <v>0</v>
      </c>
      <c r="J1767" s="91" t="b">
        <v>0</v>
      </c>
      <c r="K1767" s="91" t="b">
        <v>0</v>
      </c>
      <c r="L1767" s="91" t="b">
        <v>0</v>
      </c>
    </row>
    <row r="1768" spans="1:12" ht="15">
      <c r="A1768" s="92" t="s">
        <v>2595</v>
      </c>
      <c r="B1768" s="91" t="s">
        <v>2568</v>
      </c>
      <c r="C1768" s="91">
        <v>9</v>
      </c>
      <c r="D1768" s="114">
        <v>0.005073169386309815</v>
      </c>
      <c r="E1768" s="114">
        <v>2.1231253958448315</v>
      </c>
      <c r="F1768" s="91" t="s">
        <v>2522</v>
      </c>
      <c r="G1768" s="91" t="b">
        <v>0</v>
      </c>
      <c r="H1768" s="91" t="b">
        <v>0</v>
      </c>
      <c r="I1768" s="91" t="b">
        <v>0</v>
      </c>
      <c r="J1768" s="91" t="b">
        <v>0</v>
      </c>
      <c r="K1768" s="91" t="b">
        <v>0</v>
      </c>
      <c r="L1768" s="91" t="b">
        <v>0</v>
      </c>
    </row>
    <row r="1769" spans="1:12" ht="15">
      <c r="A1769" s="92" t="s">
        <v>2568</v>
      </c>
      <c r="B1769" s="91" t="s">
        <v>2592</v>
      </c>
      <c r="C1769" s="91">
        <v>9</v>
      </c>
      <c r="D1769" s="114">
        <v>0.005073169386309815</v>
      </c>
      <c r="E1769" s="114">
        <v>2.1231253958448315</v>
      </c>
      <c r="F1769" s="91" t="s">
        <v>2522</v>
      </c>
      <c r="G1769" s="91" t="b">
        <v>0</v>
      </c>
      <c r="H1769" s="91" t="b">
        <v>0</v>
      </c>
      <c r="I1769" s="91" t="b">
        <v>0</v>
      </c>
      <c r="J1769" s="91" t="b">
        <v>0</v>
      </c>
      <c r="K1769" s="91" t="b">
        <v>0</v>
      </c>
      <c r="L1769" s="91" t="b">
        <v>0</v>
      </c>
    </row>
    <row r="1770" spans="1:12" ht="15">
      <c r="A1770" s="92" t="s">
        <v>2592</v>
      </c>
      <c r="B1770" s="91" t="s">
        <v>2567</v>
      </c>
      <c r="C1770" s="91">
        <v>9</v>
      </c>
      <c r="D1770" s="114">
        <v>0.005073169386309815</v>
      </c>
      <c r="E1770" s="114">
        <v>1.7156400692665636</v>
      </c>
      <c r="F1770" s="91" t="s">
        <v>2522</v>
      </c>
      <c r="G1770" s="91" t="b">
        <v>0</v>
      </c>
      <c r="H1770" s="91" t="b">
        <v>0</v>
      </c>
      <c r="I1770" s="91" t="b">
        <v>0</v>
      </c>
      <c r="J1770" s="91" t="b">
        <v>0</v>
      </c>
      <c r="K1770" s="91" t="b">
        <v>0</v>
      </c>
      <c r="L1770" s="91" t="b">
        <v>0</v>
      </c>
    </row>
    <row r="1771" spans="1:12" ht="15">
      <c r="A1771" s="92" t="s">
        <v>2567</v>
      </c>
      <c r="B1771" s="91" t="s">
        <v>2576</v>
      </c>
      <c r="C1771" s="91">
        <v>9</v>
      </c>
      <c r="D1771" s="114">
        <v>0.005073169386309815</v>
      </c>
      <c r="E1771" s="114">
        <v>1.4937913196502073</v>
      </c>
      <c r="F1771" s="91" t="s">
        <v>2522</v>
      </c>
      <c r="G1771" s="91" t="b">
        <v>0</v>
      </c>
      <c r="H1771" s="91" t="b">
        <v>0</v>
      </c>
      <c r="I1771" s="91" t="b">
        <v>0</v>
      </c>
      <c r="J1771" s="91" t="b">
        <v>0</v>
      </c>
      <c r="K1771" s="91" t="b">
        <v>0</v>
      </c>
      <c r="L1771" s="91" t="b">
        <v>0</v>
      </c>
    </row>
    <row r="1772" spans="1:12" ht="15">
      <c r="A1772" s="92" t="s">
        <v>2576</v>
      </c>
      <c r="B1772" s="91" t="s">
        <v>2596</v>
      </c>
      <c r="C1772" s="91">
        <v>9</v>
      </c>
      <c r="D1772" s="114">
        <v>0.005073169386309815</v>
      </c>
      <c r="E1772" s="114">
        <v>1.9012766462284754</v>
      </c>
      <c r="F1772" s="91" t="s">
        <v>2522</v>
      </c>
      <c r="G1772" s="91" t="b">
        <v>0</v>
      </c>
      <c r="H1772" s="91" t="b">
        <v>0</v>
      </c>
      <c r="I1772" s="91" t="b">
        <v>0</v>
      </c>
      <c r="J1772" s="91" t="b">
        <v>0</v>
      </c>
      <c r="K1772" s="91" t="b">
        <v>0</v>
      </c>
      <c r="L1772" s="91" t="b">
        <v>0</v>
      </c>
    </row>
    <row r="1773" spans="1:12" ht="15">
      <c r="A1773" s="92" t="s">
        <v>2596</v>
      </c>
      <c r="B1773" s="91" t="s">
        <v>2597</v>
      </c>
      <c r="C1773" s="91">
        <v>9</v>
      </c>
      <c r="D1773" s="114">
        <v>0.005073169386309815</v>
      </c>
      <c r="E1773" s="114">
        <v>2.1231253958448315</v>
      </c>
      <c r="F1773" s="91" t="s">
        <v>2522</v>
      </c>
      <c r="G1773" s="91" t="b">
        <v>0</v>
      </c>
      <c r="H1773" s="91" t="b">
        <v>0</v>
      </c>
      <c r="I1773" s="91" t="b">
        <v>0</v>
      </c>
      <c r="J1773" s="91" t="b">
        <v>0</v>
      </c>
      <c r="K1773" s="91" t="b">
        <v>0</v>
      </c>
      <c r="L1773" s="91" t="b">
        <v>0</v>
      </c>
    </row>
    <row r="1774" spans="1:12" ht="15">
      <c r="A1774" s="92" t="s">
        <v>2597</v>
      </c>
      <c r="B1774" s="91" t="s">
        <v>2598</v>
      </c>
      <c r="C1774" s="91">
        <v>9</v>
      </c>
      <c r="D1774" s="114">
        <v>0.005073169386309815</v>
      </c>
      <c r="E1774" s="114">
        <v>2.1231253958448315</v>
      </c>
      <c r="F1774" s="91" t="s">
        <v>2522</v>
      </c>
      <c r="G1774" s="91" t="b">
        <v>0</v>
      </c>
      <c r="H1774" s="91" t="b">
        <v>0</v>
      </c>
      <c r="I1774" s="91" t="b">
        <v>0</v>
      </c>
      <c r="J1774" s="91" t="b">
        <v>0</v>
      </c>
      <c r="K1774" s="91" t="b">
        <v>0</v>
      </c>
      <c r="L1774" s="91" t="b">
        <v>0</v>
      </c>
    </row>
    <row r="1775" spans="1:12" ht="15">
      <c r="A1775" s="92" t="s">
        <v>2598</v>
      </c>
      <c r="B1775" s="91" t="s">
        <v>2599</v>
      </c>
      <c r="C1775" s="91">
        <v>9</v>
      </c>
      <c r="D1775" s="114">
        <v>0.005073169386309815</v>
      </c>
      <c r="E1775" s="114">
        <v>2.1231253958448315</v>
      </c>
      <c r="F1775" s="91" t="s">
        <v>2522</v>
      </c>
      <c r="G1775" s="91" t="b">
        <v>0</v>
      </c>
      <c r="H1775" s="91" t="b">
        <v>0</v>
      </c>
      <c r="I1775" s="91" t="b">
        <v>0</v>
      </c>
      <c r="J1775" s="91" t="b">
        <v>0</v>
      </c>
      <c r="K1775" s="91" t="b">
        <v>0</v>
      </c>
      <c r="L1775" s="91" t="b">
        <v>0</v>
      </c>
    </row>
    <row r="1776" spans="1:12" ht="15">
      <c r="A1776" s="92" t="s">
        <v>2599</v>
      </c>
      <c r="B1776" s="91" t="s">
        <v>2600</v>
      </c>
      <c r="C1776" s="91">
        <v>9</v>
      </c>
      <c r="D1776" s="114">
        <v>0.005073169386309815</v>
      </c>
      <c r="E1776" s="114">
        <v>2.1231253958448315</v>
      </c>
      <c r="F1776" s="91" t="s">
        <v>2522</v>
      </c>
      <c r="G1776" s="91" t="b">
        <v>0</v>
      </c>
      <c r="H1776" s="91" t="b">
        <v>0</v>
      </c>
      <c r="I1776" s="91" t="b">
        <v>0</v>
      </c>
      <c r="J1776" s="91" t="b">
        <v>0</v>
      </c>
      <c r="K1776" s="91" t="b">
        <v>0</v>
      </c>
      <c r="L1776" s="91" t="b">
        <v>0</v>
      </c>
    </row>
    <row r="1777" spans="1:12" ht="15">
      <c r="A1777" s="92" t="s">
        <v>2600</v>
      </c>
      <c r="B1777" s="91" t="s">
        <v>2601</v>
      </c>
      <c r="C1777" s="91">
        <v>9</v>
      </c>
      <c r="D1777" s="114">
        <v>0.005073169386309815</v>
      </c>
      <c r="E1777" s="114">
        <v>2.1231253958448315</v>
      </c>
      <c r="F1777" s="91" t="s">
        <v>2522</v>
      </c>
      <c r="G1777" s="91" t="b">
        <v>0</v>
      </c>
      <c r="H1777" s="91" t="b">
        <v>0</v>
      </c>
      <c r="I1777" s="91" t="b">
        <v>0</v>
      </c>
      <c r="J1777" s="91" t="b">
        <v>0</v>
      </c>
      <c r="K1777" s="91" t="b">
        <v>0</v>
      </c>
      <c r="L1777" s="91" t="b">
        <v>0</v>
      </c>
    </row>
    <row r="1778" spans="1:12" ht="15">
      <c r="A1778" s="92" t="s">
        <v>2601</v>
      </c>
      <c r="B1778" s="91" t="s">
        <v>2565</v>
      </c>
      <c r="C1778" s="91">
        <v>9</v>
      </c>
      <c r="D1778" s="114">
        <v>0.005073169386309815</v>
      </c>
      <c r="E1778" s="114">
        <v>1.6149699073852004</v>
      </c>
      <c r="F1778" s="91" t="s">
        <v>2522</v>
      </c>
      <c r="G1778" s="91" t="b">
        <v>0</v>
      </c>
      <c r="H1778" s="91" t="b">
        <v>0</v>
      </c>
      <c r="I1778" s="91" t="b">
        <v>0</v>
      </c>
      <c r="J1778" s="91" t="b">
        <v>0</v>
      </c>
      <c r="K1778" s="91" t="b">
        <v>0</v>
      </c>
      <c r="L1778" s="91" t="b">
        <v>0</v>
      </c>
    </row>
    <row r="1779" spans="1:12" ht="15">
      <c r="A1779" s="92" t="s">
        <v>2565</v>
      </c>
      <c r="B1779" s="91" t="s">
        <v>2564</v>
      </c>
      <c r="C1779" s="91">
        <v>9</v>
      </c>
      <c r="D1779" s="114">
        <v>0.005073169386309815</v>
      </c>
      <c r="E1779" s="114">
        <v>0.9159999030491816</v>
      </c>
      <c r="F1779" s="91" t="s">
        <v>2522</v>
      </c>
      <c r="G1779" s="91" t="b">
        <v>0</v>
      </c>
      <c r="H1779" s="91" t="b">
        <v>0</v>
      </c>
      <c r="I1779" s="91" t="b">
        <v>0</v>
      </c>
      <c r="J1779" s="91" t="b">
        <v>0</v>
      </c>
      <c r="K1779" s="91" t="b">
        <v>0</v>
      </c>
      <c r="L1779" s="91" t="b">
        <v>0</v>
      </c>
    </row>
    <row r="1780" spans="1:12" ht="15">
      <c r="A1780" s="92" t="s">
        <v>2574</v>
      </c>
      <c r="B1780" s="91" t="s">
        <v>2585</v>
      </c>
      <c r="C1780" s="91">
        <v>9</v>
      </c>
      <c r="D1780" s="114">
        <v>0.005073169386309815</v>
      </c>
      <c r="E1780" s="114">
        <v>1.7551486105502372</v>
      </c>
      <c r="F1780" s="91" t="s">
        <v>2522</v>
      </c>
      <c r="G1780" s="91" t="b">
        <v>0</v>
      </c>
      <c r="H1780" s="91" t="b">
        <v>0</v>
      </c>
      <c r="I1780" s="91" t="b">
        <v>0</v>
      </c>
      <c r="J1780" s="91" t="b">
        <v>0</v>
      </c>
      <c r="K1780" s="91" t="b">
        <v>0</v>
      </c>
      <c r="L1780" s="91" t="b">
        <v>0</v>
      </c>
    </row>
    <row r="1781" spans="1:12" ht="15">
      <c r="A1781" s="92" t="s">
        <v>2585</v>
      </c>
      <c r="B1781" s="91" t="s">
        <v>2566</v>
      </c>
      <c r="C1781" s="91">
        <v>9</v>
      </c>
      <c r="D1781" s="114">
        <v>0.005073169386309815</v>
      </c>
      <c r="E1781" s="114">
        <v>1.9012766462284754</v>
      </c>
      <c r="F1781" s="91" t="s">
        <v>2522</v>
      </c>
      <c r="G1781" s="91" t="b">
        <v>0</v>
      </c>
      <c r="H1781" s="91" t="b">
        <v>0</v>
      </c>
      <c r="I1781" s="91" t="b">
        <v>0</v>
      </c>
      <c r="J1781" s="91" t="b">
        <v>0</v>
      </c>
      <c r="K1781" s="91" t="b">
        <v>0</v>
      </c>
      <c r="L1781" s="91" t="b">
        <v>0</v>
      </c>
    </row>
    <row r="1782" spans="1:12" ht="15">
      <c r="A1782" s="92" t="s">
        <v>2584</v>
      </c>
      <c r="B1782" s="91" t="s">
        <v>2575</v>
      </c>
      <c r="C1782" s="91">
        <v>9</v>
      </c>
      <c r="D1782" s="114">
        <v>0.005073169386309815</v>
      </c>
      <c r="E1782" s="114">
        <v>1.709391119989562</v>
      </c>
      <c r="F1782" s="91" t="s">
        <v>2522</v>
      </c>
      <c r="G1782" s="91" t="b">
        <v>0</v>
      </c>
      <c r="H1782" s="91" t="b">
        <v>0</v>
      </c>
      <c r="I1782" s="91" t="b">
        <v>0</v>
      </c>
      <c r="J1782" s="91" t="b">
        <v>0</v>
      </c>
      <c r="K1782" s="91" t="b">
        <v>0</v>
      </c>
      <c r="L1782" s="91" t="b">
        <v>0</v>
      </c>
    </row>
    <row r="1783" spans="1:12" ht="15">
      <c r="A1783" s="92" t="s">
        <v>2570</v>
      </c>
      <c r="B1783" s="91" t="s">
        <v>2602</v>
      </c>
      <c r="C1783" s="91">
        <v>9</v>
      </c>
      <c r="D1783" s="114">
        <v>0.005073169386309815</v>
      </c>
      <c r="E1783" s="114">
        <v>1.9981866592365316</v>
      </c>
      <c r="F1783" s="91" t="s">
        <v>2522</v>
      </c>
      <c r="G1783" s="91" t="b">
        <v>0</v>
      </c>
      <c r="H1783" s="91" t="b">
        <v>0</v>
      </c>
      <c r="I1783" s="91" t="b">
        <v>0</v>
      </c>
      <c r="J1783" s="91" t="b">
        <v>0</v>
      </c>
      <c r="K1783" s="91" t="b">
        <v>0</v>
      </c>
      <c r="L1783" s="91" t="b">
        <v>0</v>
      </c>
    </row>
    <row r="1784" spans="1:12" ht="15">
      <c r="A1784" s="92" t="s">
        <v>2602</v>
      </c>
      <c r="B1784" s="91" t="s">
        <v>2603</v>
      </c>
      <c r="C1784" s="91">
        <v>9</v>
      </c>
      <c r="D1784" s="114">
        <v>0.005073169386309815</v>
      </c>
      <c r="E1784" s="114">
        <v>2.1231253958448315</v>
      </c>
      <c r="F1784" s="91" t="s">
        <v>2522</v>
      </c>
      <c r="G1784" s="91" t="b">
        <v>0</v>
      </c>
      <c r="H1784" s="91" t="b">
        <v>0</v>
      </c>
      <c r="I1784" s="91" t="b">
        <v>0</v>
      </c>
      <c r="J1784" s="91" t="b">
        <v>0</v>
      </c>
      <c r="K1784" s="91" t="b">
        <v>0</v>
      </c>
      <c r="L1784" s="91" t="b">
        <v>0</v>
      </c>
    </row>
    <row r="1785" spans="1:12" ht="15">
      <c r="A1785" s="92" t="s">
        <v>2603</v>
      </c>
      <c r="B1785" s="91" t="s">
        <v>2604</v>
      </c>
      <c r="C1785" s="91">
        <v>9</v>
      </c>
      <c r="D1785" s="114">
        <v>0.005073169386309815</v>
      </c>
      <c r="E1785" s="114">
        <v>2.1231253958448315</v>
      </c>
      <c r="F1785" s="91" t="s">
        <v>2522</v>
      </c>
      <c r="G1785" s="91" t="b">
        <v>0</v>
      </c>
      <c r="H1785" s="91" t="b">
        <v>0</v>
      </c>
      <c r="I1785" s="91" t="b">
        <v>0</v>
      </c>
      <c r="J1785" s="91" t="b">
        <v>0</v>
      </c>
      <c r="K1785" s="91" t="b">
        <v>0</v>
      </c>
      <c r="L1785" s="91" t="b">
        <v>0</v>
      </c>
    </row>
    <row r="1786" spans="1:12" ht="15">
      <c r="A1786" s="92" t="s">
        <v>2604</v>
      </c>
      <c r="B1786" s="91" t="s">
        <v>2587</v>
      </c>
      <c r="C1786" s="91">
        <v>9</v>
      </c>
      <c r="D1786" s="114">
        <v>0.005073169386309815</v>
      </c>
      <c r="E1786" s="114">
        <v>2.1231253958448315</v>
      </c>
      <c r="F1786" s="91" t="s">
        <v>2522</v>
      </c>
      <c r="G1786" s="91" t="b">
        <v>0</v>
      </c>
      <c r="H1786" s="91" t="b">
        <v>0</v>
      </c>
      <c r="I1786" s="91" t="b">
        <v>0</v>
      </c>
      <c r="J1786" s="91" t="b">
        <v>0</v>
      </c>
      <c r="K1786" s="91" t="b">
        <v>0</v>
      </c>
      <c r="L1786" s="91" t="b">
        <v>0</v>
      </c>
    </row>
    <row r="1787" spans="1:12" ht="15">
      <c r="A1787" s="92" t="s">
        <v>2587</v>
      </c>
      <c r="B1787" s="91" t="s">
        <v>2593</v>
      </c>
      <c r="C1787" s="91">
        <v>9</v>
      </c>
      <c r="D1787" s="114">
        <v>0.005073169386309815</v>
      </c>
      <c r="E1787" s="114">
        <v>2.1231253958448315</v>
      </c>
      <c r="F1787" s="91" t="s">
        <v>2522</v>
      </c>
      <c r="G1787" s="91" t="b">
        <v>0</v>
      </c>
      <c r="H1787" s="91" t="b">
        <v>0</v>
      </c>
      <c r="I1787" s="91" t="b">
        <v>0</v>
      </c>
      <c r="J1787" s="91" t="b">
        <v>0</v>
      </c>
      <c r="K1787" s="91" t="b">
        <v>0</v>
      </c>
      <c r="L1787" s="91" t="b">
        <v>0</v>
      </c>
    </row>
    <row r="1788" spans="1:12" ht="15">
      <c r="A1788" s="92" t="s">
        <v>2593</v>
      </c>
      <c r="B1788" s="91" t="s">
        <v>2605</v>
      </c>
      <c r="C1788" s="91">
        <v>9</v>
      </c>
      <c r="D1788" s="114">
        <v>0.005073169386309815</v>
      </c>
      <c r="E1788" s="114">
        <v>2.1231253958448315</v>
      </c>
      <c r="F1788" s="91" t="s">
        <v>2522</v>
      </c>
      <c r="G1788" s="91" t="b">
        <v>0</v>
      </c>
      <c r="H1788" s="91" t="b">
        <v>0</v>
      </c>
      <c r="I1788" s="91" t="b">
        <v>0</v>
      </c>
      <c r="J1788" s="91" t="b">
        <v>0</v>
      </c>
      <c r="K1788" s="91" t="b">
        <v>0</v>
      </c>
      <c r="L1788" s="91" t="b">
        <v>0</v>
      </c>
    </row>
    <row r="1789" spans="1:12" ht="15">
      <c r="A1789" s="92" t="s">
        <v>2605</v>
      </c>
      <c r="B1789" s="91" t="s">
        <v>2606</v>
      </c>
      <c r="C1789" s="91">
        <v>9</v>
      </c>
      <c r="D1789" s="114">
        <v>0.005073169386309815</v>
      </c>
      <c r="E1789" s="114">
        <v>2.1231253958448315</v>
      </c>
      <c r="F1789" s="91" t="s">
        <v>2522</v>
      </c>
      <c r="G1789" s="91" t="b">
        <v>0</v>
      </c>
      <c r="H1789" s="91" t="b">
        <v>0</v>
      </c>
      <c r="I1789" s="91" t="b">
        <v>0</v>
      </c>
      <c r="J1789" s="91" t="b">
        <v>0</v>
      </c>
      <c r="K1789" s="91" t="b">
        <v>0</v>
      </c>
      <c r="L1789" s="91" t="b">
        <v>0</v>
      </c>
    </row>
    <row r="1790" spans="1:12" ht="15">
      <c r="A1790" s="92" t="s">
        <v>2833</v>
      </c>
      <c r="B1790" s="91" t="s">
        <v>2834</v>
      </c>
      <c r="C1790" s="91">
        <v>8</v>
      </c>
      <c r="D1790" s="114">
        <v>0.00483950017279613</v>
      </c>
      <c r="E1790" s="114">
        <v>2.174277918292213</v>
      </c>
      <c r="F1790" s="91" t="s">
        <v>2522</v>
      </c>
      <c r="G1790" s="91" t="b">
        <v>0</v>
      </c>
      <c r="H1790" s="91" t="b">
        <v>0</v>
      </c>
      <c r="I1790" s="91" t="b">
        <v>0</v>
      </c>
      <c r="J1790" s="91" t="b">
        <v>0</v>
      </c>
      <c r="K1790" s="91" t="b">
        <v>0</v>
      </c>
      <c r="L1790" s="91" t="b">
        <v>0</v>
      </c>
    </row>
    <row r="1791" spans="1:12" ht="15">
      <c r="A1791" s="92" t="s">
        <v>2834</v>
      </c>
      <c r="B1791" s="91" t="s">
        <v>2835</v>
      </c>
      <c r="C1791" s="91">
        <v>8</v>
      </c>
      <c r="D1791" s="114">
        <v>0.00483950017279613</v>
      </c>
      <c r="E1791" s="114">
        <v>2.174277918292213</v>
      </c>
      <c r="F1791" s="91" t="s">
        <v>2522</v>
      </c>
      <c r="G1791" s="91" t="b">
        <v>0</v>
      </c>
      <c r="H1791" s="91" t="b">
        <v>0</v>
      </c>
      <c r="I1791" s="91" t="b">
        <v>0</v>
      </c>
      <c r="J1791" s="91" t="b">
        <v>0</v>
      </c>
      <c r="K1791" s="91" t="b">
        <v>0</v>
      </c>
      <c r="L1791" s="91" t="b">
        <v>0</v>
      </c>
    </row>
    <row r="1792" spans="1:12" ht="15">
      <c r="A1792" s="92" t="s">
        <v>2835</v>
      </c>
      <c r="B1792" s="91" t="s">
        <v>2580</v>
      </c>
      <c r="C1792" s="91">
        <v>8</v>
      </c>
      <c r="D1792" s="114">
        <v>0.00483950017279613</v>
      </c>
      <c r="E1792" s="114">
        <v>1.7986143043313276</v>
      </c>
      <c r="F1792" s="91" t="s">
        <v>2522</v>
      </c>
      <c r="G1792" s="91" t="b">
        <v>0</v>
      </c>
      <c r="H1792" s="91" t="b">
        <v>0</v>
      </c>
      <c r="I1792" s="91" t="b">
        <v>0</v>
      </c>
      <c r="J1792" s="91" t="b">
        <v>0</v>
      </c>
      <c r="K1792" s="91" t="b">
        <v>0</v>
      </c>
      <c r="L1792" s="91" t="b">
        <v>0</v>
      </c>
    </row>
    <row r="1793" spans="1:12" ht="15">
      <c r="A1793" s="92" t="s">
        <v>2580</v>
      </c>
      <c r="B1793" s="91" t="s">
        <v>2836</v>
      </c>
      <c r="C1793" s="91">
        <v>8</v>
      </c>
      <c r="D1793" s="114">
        <v>0.00483950017279613</v>
      </c>
      <c r="E1793" s="114">
        <v>1.7986143043313276</v>
      </c>
      <c r="F1793" s="91" t="s">
        <v>2522</v>
      </c>
      <c r="G1793" s="91" t="b">
        <v>0</v>
      </c>
      <c r="H1793" s="91" t="b">
        <v>0</v>
      </c>
      <c r="I1793" s="91" t="b">
        <v>0</v>
      </c>
      <c r="J1793" s="91" t="b">
        <v>0</v>
      </c>
      <c r="K1793" s="91" t="b">
        <v>0</v>
      </c>
      <c r="L1793" s="91" t="b">
        <v>0</v>
      </c>
    </row>
    <row r="1794" spans="1:12" ht="15">
      <c r="A1794" s="92" t="s">
        <v>2836</v>
      </c>
      <c r="B1794" s="91" t="s">
        <v>2837</v>
      </c>
      <c r="C1794" s="91">
        <v>8</v>
      </c>
      <c r="D1794" s="114">
        <v>0.00483950017279613</v>
      </c>
      <c r="E1794" s="114">
        <v>2.174277918292213</v>
      </c>
      <c r="F1794" s="91" t="s">
        <v>2522</v>
      </c>
      <c r="G1794" s="91" t="b">
        <v>0</v>
      </c>
      <c r="H1794" s="91" t="b">
        <v>0</v>
      </c>
      <c r="I1794" s="91" t="b">
        <v>0</v>
      </c>
      <c r="J1794" s="91" t="b">
        <v>0</v>
      </c>
      <c r="K1794" s="91" t="b">
        <v>0</v>
      </c>
      <c r="L1794" s="91" t="b">
        <v>0</v>
      </c>
    </row>
    <row r="1795" spans="1:12" ht="15">
      <c r="A1795" s="92" t="s">
        <v>2837</v>
      </c>
      <c r="B1795" s="91" t="s">
        <v>2738</v>
      </c>
      <c r="C1795" s="91">
        <v>8</v>
      </c>
      <c r="D1795" s="114">
        <v>0.00483950017279613</v>
      </c>
      <c r="E1795" s="114">
        <v>2.174277918292213</v>
      </c>
      <c r="F1795" s="91" t="s">
        <v>2522</v>
      </c>
      <c r="G1795" s="91" t="b">
        <v>0</v>
      </c>
      <c r="H1795" s="91" t="b">
        <v>0</v>
      </c>
      <c r="I1795" s="91" t="b">
        <v>0</v>
      </c>
      <c r="J1795" s="91" t="b">
        <v>0</v>
      </c>
      <c r="K1795" s="91" t="b">
        <v>0</v>
      </c>
      <c r="L1795" s="91" t="b">
        <v>0</v>
      </c>
    </row>
    <row r="1796" spans="1:12" ht="15">
      <c r="A1796" s="92" t="s">
        <v>2718</v>
      </c>
      <c r="B1796" s="91" t="s">
        <v>586</v>
      </c>
      <c r="C1796" s="91">
        <v>8</v>
      </c>
      <c r="D1796" s="114">
        <v>0.00483950017279613</v>
      </c>
      <c r="E1796" s="114">
        <v>1.6882018209196241</v>
      </c>
      <c r="F1796" s="91" t="s">
        <v>2522</v>
      </c>
      <c r="G1796" s="91" t="b">
        <v>0</v>
      </c>
      <c r="H1796" s="91" t="b">
        <v>0</v>
      </c>
      <c r="I1796" s="91" t="b">
        <v>0</v>
      </c>
      <c r="J1796" s="91" t="b">
        <v>0</v>
      </c>
      <c r="K1796" s="91" t="b">
        <v>0</v>
      </c>
      <c r="L1796" s="91" t="b">
        <v>0</v>
      </c>
    </row>
    <row r="1797" spans="1:12" ht="15">
      <c r="A1797" s="92" t="s">
        <v>586</v>
      </c>
      <c r="B1797" s="91" t="s">
        <v>2577</v>
      </c>
      <c r="C1797" s="91">
        <v>8</v>
      </c>
      <c r="D1797" s="114">
        <v>0.00483950017279613</v>
      </c>
      <c r="E1797" s="114">
        <v>1.834329856597862</v>
      </c>
      <c r="F1797" s="91" t="s">
        <v>2522</v>
      </c>
      <c r="G1797" s="91" t="b">
        <v>0</v>
      </c>
      <c r="H1797" s="91" t="b">
        <v>0</v>
      </c>
      <c r="I1797" s="91" t="b">
        <v>0</v>
      </c>
      <c r="J1797" s="91" t="b">
        <v>0</v>
      </c>
      <c r="K1797" s="91" t="b">
        <v>0</v>
      </c>
      <c r="L1797" s="91" t="b">
        <v>0</v>
      </c>
    </row>
    <row r="1798" spans="1:12" ht="15">
      <c r="A1798" s="92" t="s">
        <v>2577</v>
      </c>
      <c r="B1798" s="91" t="s">
        <v>2838</v>
      </c>
      <c r="C1798" s="91">
        <v>8</v>
      </c>
      <c r="D1798" s="114">
        <v>0.00483950017279613</v>
      </c>
      <c r="E1798" s="114">
        <v>2.0773679052841567</v>
      </c>
      <c r="F1798" s="91" t="s">
        <v>2522</v>
      </c>
      <c r="G1798" s="91" t="b">
        <v>0</v>
      </c>
      <c r="H1798" s="91" t="b">
        <v>0</v>
      </c>
      <c r="I1798" s="91" t="b">
        <v>0</v>
      </c>
      <c r="J1798" s="91" t="b">
        <v>0</v>
      </c>
      <c r="K1798" s="91" t="b">
        <v>0</v>
      </c>
      <c r="L1798" s="91" t="b">
        <v>0</v>
      </c>
    </row>
    <row r="1799" spans="1:12" ht="15">
      <c r="A1799" s="92" t="s">
        <v>2838</v>
      </c>
      <c r="B1799" s="91" t="s">
        <v>2586</v>
      </c>
      <c r="C1799" s="91">
        <v>8</v>
      </c>
      <c r="D1799" s="114">
        <v>0.00483950017279613</v>
      </c>
      <c r="E1799" s="114">
        <v>1.8469189839058826</v>
      </c>
      <c r="F1799" s="91" t="s">
        <v>2522</v>
      </c>
      <c r="G1799" s="91" t="b">
        <v>0</v>
      </c>
      <c r="H1799" s="91" t="b">
        <v>0</v>
      </c>
      <c r="I1799" s="91" t="b">
        <v>0</v>
      </c>
      <c r="J1799" s="91" t="b">
        <v>0</v>
      </c>
      <c r="K1799" s="91" t="b">
        <v>0</v>
      </c>
      <c r="L1799" s="91" t="b">
        <v>0</v>
      </c>
    </row>
    <row r="1800" spans="1:12" ht="15">
      <c r="A1800" s="92" t="s">
        <v>2586</v>
      </c>
      <c r="B1800" s="91" t="s">
        <v>2839</v>
      </c>
      <c r="C1800" s="91">
        <v>8</v>
      </c>
      <c r="D1800" s="114">
        <v>0.00483950017279613</v>
      </c>
      <c r="E1800" s="114">
        <v>1.8469189839058826</v>
      </c>
      <c r="F1800" s="91" t="s">
        <v>2522</v>
      </c>
      <c r="G1800" s="91" t="b">
        <v>0</v>
      </c>
      <c r="H1800" s="91" t="b">
        <v>0</v>
      </c>
      <c r="I1800" s="91" t="b">
        <v>0</v>
      </c>
      <c r="J1800" s="91" t="b">
        <v>0</v>
      </c>
      <c r="K1800" s="91" t="b">
        <v>0</v>
      </c>
      <c r="L1800" s="91" t="b">
        <v>0</v>
      </c>
    </row>
    <row r="1801" spans="1:12" ht="15">
      <c r="A1801" s="92" t="s">
        <v>2839</v>
      </c>
      <c r="B1801" s="91" t="s">
        <v>2840</v>
      </c>
      <c r="C1801" s="91">
        <v>8</v>
      </c>
      <c r="D1801" s="114">
        <v>0.00483950017279613</v>
      </c>
      <c r="E1801" s="114">
        <v>2.174277918292213</v>
      </c>
      <c r="F1801" s="91" t="s">
        <v>2522</v>
      </c>
      <c r="G1801" s="91" t="b">
        <v>0</v>
      </c>
      <c r="H1801" s="91" t="b">
        <v>0</v>
      </c>
      <c r="I1801" s="91" t="b">
        <v>0</v>
      </c>
      <c r="J1801" s="91" t="b">
        <v>0</v>
      </c>
      <c r="K1801" s="91" t="b">
        <v>0</v>
      </c>
      <c r="L1801" s="91" t="b">
        <v>0</v>
      </c>
    </row>
    <row r="1802" spans="1:12" ht="15">
      <c r="A1802" s="92" t="s">
        <v>2840</v>
      </c>
      <c r="B1802" s="91" t="s">
        <v>2841</v>
      </c>
      <c r="C1802" s="91">
        <v>8</v>
      </c>
      <c r="D1802" s="114">
        <v>0.00483950017279613</v>
      </c>
      <c r="E1802" s="114">
        <v>2.174277918292213</v>
      </c>
      <c r="F1802" s="91" t="s">
        <v>2522</v>
      </c>
      <c r="G1802" s="91" t="b">
        <v>0</v>
      </c>
      <c r="H1802" s="91" t="b">
        <v>0</v>
      </c>
      <c r="I1802" s="91" t="b">
        <v>0</v>
      </c>
      <c r="J1802" s="91" t="b">
        <v>0</v>
      </c>
      <c r="K1802" s="91" t="b">
        <v>0</v>
      </c>
      <c r="L1802" s="91" t="b">
        <v>0</v>
      </c>
    </row>
    <row r="1803" spans="1:12" ht="15">
      <c r="A1803" s="92" t="s">
        <v>2841</v>
      </c>
      <c r="B1803" s="91" t="s">
        <v>2774</v>
      </c>
      <c r="C1803" s="91">
        <v>8</v>
      </c>
      <c r="D1803" s="114">
        <v>0.00483950017279613</v>
      </c>
      <c r="E1803" s="114">
        <v>2.174277918292213</v>
      </c>
      <c r="F1803" s="91" t="s">
        <v>2522</v>
      </c>
      <c r="G1803" s="91" t="b">
        <v>0</v>
      </c>
      <c r="H1803" s="91" t="b">
        <v>0</v>
      </c>
      <c r="I1803" s="91" t="b">
        <v>0</v>
      </c>
      <c r="J1803" s="91" t="b">
        <v>0</v>
      </c>
      <c r="K1803" s="91" t="b">
        <v>0</v>
      </c>
      <c r="L1803" s="91" t="b">
        <v>0</v>
      </c>
    </row>
    <row r="1804" spans="1:12" ht="15">
      <c r="A1804" s="92" t="s">
        <v>2774</v>
      </c>
      <c r="B1804" s="91" t="s">
        <v>2775</v>
      </c>
      <c r="C1804" s="91">
        <v>8</v>
      </c>
      <c r="D1804" s="114">
        <v>0.00483950017279613</v>
      </c>
      <c r="E1804" s="114">
        <v>2.174277918292213</v>
      </c>
      <c r="F1804" s="91" t="s">
        <v>2522</v>
      </c>
      <c r="G1804" s="91" t="b">
        <v>0</v>
      </c>
      <c r="H1804" s="91" t="b">
        <v>0</v>
      </c>
      <c r="I1804" s="91" t="b">
        <v>0</v>
      </c>
      <c r="J1804" s="91" t="b">
        <v>0</v>
      </c>
      <c r="K1804" s="91" t="b">
        <v>0</v>
      </c>
      <c r="L1804" s="91" t="b">
        <v>0</v>
      </c>
    </row>
    <row r="1805" spans="1:12" ht="15">
      <c r="A1805" s="92" t="s">
        <v>2775</v>
      </c>
      <c r="B1805" s="91" t="s">
        <v>2842</v>
      </c>
      <c r="C1805" s="91">
        <v>8</v>
      </c>
      <c r="D1805" s="114">
        <v>0.00483950017279613</v>
      </c>
      <c r="E1805" s="114">
        <v>2.174277918292213</v>
      </c>
      <c r="F1805" s="91" t="s">
        <v>2522</v>
      </c>
      <c r="G1805" s="91" t="b">
        <v>0</v>
      </c>
      <c r="H1805" s="91" t="b">
        <v>0</v>
      </c>
      <c r="I1805" s="91" t="b">
        <v>0</v>
      </c>
      <c r="J1805" s="91" t="b">
        <v>0</v>
      </c>
      <c r="K1805" s="91" t="b">
        <v>0</v>
      </c>
      <c r="L1805" s="91" t="b">
        <v>0</v>
      </c>
    </row>
    <row r="1806" spans="1:12" ht="15">
      <c r="A1806" s="92" t="s">
        <v>2842</v>
      </c>
      <c r="B1806" s="91" t="s">
        <v>2580</v>
      </c>
      <c r="C1806" s="91">
        <v>8</v>
      </c>
      <c r="D1806" s="114">
        <v>0.00483950017279613</v>
      </c>
      <c r="E1806" s="114">
        <v>1.7986143043313276</v>
      </c>
      <c r="F1806" s="91" t="s">
        <v>2522</v>
      </c>
      <c r="G1806" s="91" t="b">
        <v>0</v>
      </c>
      <c r="H1806" s="91" t="b">
        <v>0</v>
      </c>
      <c r="I1806" s="91" t="b">
        <v>0</v>
      </c>
      <c r="J1806" s="91" t="b">
        <v>0</v>
      </c>
      <c r="K1806" s="91" t="b">
        <v>0</v>
      </c>
      <c r="L1806" s="91" t="b">
        <v>0</v>
      </c>
    </row>
    <row r="1807" spans="1:12" ht="15">
      <c r="A1807" s="92" t="s">
        <v>2580</v>
      </c>
      <c r="B1807" s="91" t="s">
        <v>2607</v>
      </c>
      <c r="C1807" s="91">
        <v>8</v>
      </c>
      <c r="D1807" s="114">
        <v>0.00483950017279613</v>
      </c>
      <c r="E1807" s="114">
        <v>1.471255369944997</v>
      </c>
      <c r="F1807" s="91" t="s">
        <v>2522</v>
      </c>
      <c r="G1807" s="91" t="b">
        <v>0</v>
      </c>
      <c r="H1807" s="91" t="b">
        <v>0</v>
      </c>
      <c r="I1807" s="91" t="b">
        <v>0</v>
      </c>
      <c r="J1807" s="91" t="b">
        <v>0</v>
      </c>
      <c r="K1807" s="91" t="b">
        <v>0</v>
      </c>
      <c r="L1807" s="91" t="b">
        <v>0</v>
      </c>
    </row>
    <row r="1808" spans="1:12" ht="15">
      <c r="A1808" s="92" t="s">
        <v>2607</v>
      </c>
      <c r="B1808" s="91" t="s">
        <v>2591</v>
      </c>
      <c r="C1808" s="91">
        <v>8</v>
      </c>
      <c r="D1808" s="114">
        <v>0.00483950017279613</v>
      </c>
      <c r="E1808" s="114">
        <v>1.2728877161781638</v>
      </c>
      <c r="F1808" s="91" t="s">
        <v>2522</v>
      </c>
      <c r="G1808" s="91" t="b">
        <v>0</v>
      </c>
      <c r="H1808" s="91" t="b">
        <v>0</v>
      </c>
      <c r="I1808" s="91" t="b">
        <v>0</v>
      </c>
      <c r="J1808" s="91" t="b">
        <v>0</v>
      </c>
      <c r="K1808" s="91" t="b">
        <v>0</v>
      </c>
      <c r="L1808" s="91" t="b">
        <v>0</v>
      </c>
    </row>
    <row r="1809" spans="1:12" ht="15">
      <c r="A1809" s="92" t="s">
        <v>2591</v>
      </c>
      <c r="B1809" s="91" t="s">
        <v>2778</v>
      </c>
      <c r="C1809" s="91">
        <v>8</v>
      </c>
      <c r="D1809" s="114">
        <v>0.00483950017279613</v>
      </c>
      <c r="E1809" s="114">
        <v>1.600246650564494</v>
      </c>
      <c r="F1809" s="91" t="s">
        <v>2522</v>
      </c>
      <c r="G1809" s="91" t="b">
        <v>0</v>
      </c>
      <c r="H1809" s="91" t="b">
        <v>0</v>
      </c>
      <c r="I1809" s="91" t="b">
        <v>0</v>
      </c>
      <c r="J1809" s="91" t="b">
        <v>0</v>
      </c>
      <c r="K1809" s="91" t="b">
        <v>0</v>
      </c>
      <c r="L1809" s="91" t="b">
        <v>0</v>
      </c>
    </row>
    <row r="1810" spans="1:12" ht="15">
      <c r="A1810" s="92" t="s">
        <v>2778</v>
      </c>
      <c r="B1810" s="91" t="s">
        <v>2716</v>
      </c>
      <c r="C1810" s="91">
        <v>8</v>
      </c>
      <c r="D1810" s="114">
        <v>0.00483950017279613</v>
      </c>
      <c r="E1810" s="114">
        <v>2.174277918292213</v>
      </c>
      <c r="F1810" s="91" t="s">
        <v>2522</v>
      </c>
      <c r="G1810" s="91" t="b">
        <v>0</v>
      </c>
      <c r="H1810" s="91" t="b">
        <v>0</v>
      </c>
      <c r="I1810" s="91" t="b">
        <v>0</v>
      </c>
      <c r="J1810" s="91" t="b">
        <v>0</v>
      </c>
      <c r="K1810" s="91" t="b">
        <v>0</v>
      </c>
      <c r="L1810" s="91" t="b">
        <v>0</v>
      </c>
    </row>
    <row r="1811" spans="1:12" ht="15">
      <c r="A1811" s="92" t="s">
        <v>2716</v>
      </c>
      <c r="B1811" s="91" t="s">
        <v>2843</v>
      </c>
      <c r="C1811" s="91">
        <v>8</v>
      </c>
      <c r="D1811" s="114">
        <v>0.00483950017279613</v>
      </c>
      <c r="E1811" s="114">
        <v>2.174277918292213</v>
      </c>
      <c r="F1811" s="91" t="s">
        <v>2522</v>
      </c>
      <c r="G1811" s="91" t="b">
        <v>0</v>
      </c>
      <c r="H1811" s="91" t="b">
        <v>0</v>
      </c>
      <c r="I1811" s="91" t="b">
        <v>0</v>
      </c>
      <c r="J1811" s="91" t="b">
        <v>0</v>
      </c>
      <c r="K1811" s="91" t="b">
        <v>0</v>
      </c>
      <c r="L1811" s="91" t="b">
        <v>0</v>
      </c>
    </row>
    <row r="1812" spans="1:12" ht="15">
      <c r="A1812" s="92" t="s">
        <v>2843</v>
      </c>
      <c r="B1812" s="91" t="s">
        <v>2571</v>
      </c>
      <c r="C1812" s="91">
        <v>8</v>
      </c>
      <c r="D1812" s="114">
        <v>0.00483950017279613</v>
      </c>
      <c r="E1812" s="114">
        <v>1.5458889882419014</v>
      </c>
      <c r="F1812" s="91" t="s">
        <v>2522</v>
      </c>
      <c r="G1812" s="91" t="b">
        <v>0</v>
      </c>
      <c r="H1812" s="91" t="b">
        <v>0</v>
      </c>
      <c r="I1812" s="91" t="b">
        <v>0</v>
      </c>
      <c r="J1812" s="91" t="b">
        <v>0</v>
      </c>
      <c r="K1812" s="91" t="b">
        <v>0</v>
      </c>
      <c r="L1812" s="91" t="b">
        <v>0</v>
      </c>
    </row>
    <row r="1813" spans="1:12" ht="15">
      <c r="A1813" s="92" t="s">
        <v>2564</v>
      </c>
      <c r="B1813" s="91" t="s">
        <v>2594</v>
      </c>
      <c r="C1813" s="91">
        <v>8</v>
      </c>
      <c r="D1813" s="114">
        <v>0.00483950017279613</v>
      </c>
      <c r="E1813" s="114">
        <v>1.1852733025936761</v>
      </c>
      <c r="F1813" s="91" t="s">
        <v>2522</v>
      </c>
      <c r="G1813" s="91" t="b">
        <v>0</v>
      </c>
      <c r="H1813" s="91" t="b">
        <v>0</v>
      </c>
      <c r="I1813" s="91" t="b">
        <v>0</v>
      </c>
      <c r="J1813" s="91" t="b">
        <v>0</v>
      </c>
      <c r="K1813" s="91" t="b">
        <v>0</v>
      </c>
      <c r="L1813" s="91" t="b">
        <v>0</v>
      </c>
    </row>
    <row r="1814" spans="1:12" ht="15">
      <c r="A1814" s="92" t="s">
        <v>2608</v>
      </c>
      <c r="B1814" s="91" t="s">
        <v>2623</v>
      </c>
      <c r="C1814" s="91">
        <v>8</v>
      </c>
      <c r="D1814" s="114">
        <v>0.00483950017279613</v>
      </c>
      <c r="E1814" s="114">
        <v>2.0773679052841567</v>
      </c>
      <c r="F1814" s="91" t="s">
        <v>2522</v>
      </c>
      <c r="G1814" s="91" t="b">
        <v>0</v>
      </c>
      <c r="H1814" s="91" t="b">
        <v>0</v>
      </c>
      <c r="I1814" s="91" t="b">
        <v>0</v>
      </c>
      <c r="J1814" s="91" t="b">
        <v>0</v>
      </c>
      <c r="K1814" s="91" t="b">
        <v>0</v>
      </c>
      <c r="L1814" s="91" t="b">
        <v>0</v>
      </c>
    </row>
    <row r="1815" spans="1:12" ht="15">
      <c r="A1815" s="92" t="s">
        <v>2623</v>
      </c>
      <c r="B1815" s="91" t="s">
        <v>2579</v>
      </c>
      <c r="C1815" s="91">
        <v>8</v>
      </c>
      <c r="D1815" s="114">
        <v>0.00483950017279613</v>
      </c>
      <c r="E1815" s="114">
        <v>1.7763379096201752</v>
      </c>
      <c r="F1815" s="91" t="s">
        <v>2522</v>
      </c>
      <c r="G1815" s="91" t="b">
        <v>0</v>
      </c>
      <c r="H1815" s="91" t="b">
        <v>0</v>
      </c>
      <c r="I1815" s="91" t="b">
        <v>0</v>
      </c>
      <c r="J1815" s="91" t="b">
        <v>0</v>
      </c>
      <c r="K1815" s="91" t="b">
        <v>0</v>
      </c>
      <c r="L1815" s="91" t="b">
        <v>0</v>
      </c>
    </row>
    <row r="1816" spans="1:12" ht="15">
      <c r="A1816" s="92" t="s">
        <v>2624</v>
      </c>
      <c r="B1816" s="91" t="s">
        <v>2625</v>
      </c>
      <c r="C1816" s="91">
        <v>8</v>
      </c>
      <c r="D1816" s="114">
        <v>0.00483950017279613</v>
      </c>
      <c r="E1816" s="114">
        <v>2.174277918292213</v>
      </c>
      <c r="F1816" s="91" t="s">
        <v>2522</v>
      </c>
      <c r="G1816" s="91" t="b">
        <v>0</v>
      </c>
      <c r="H1816" s="91" t="b">
        <v>0</v>
      </c>
      <c r="I1816" s="91" t="b">
        <v>0</v>
      </c>
      <c r="J1816" s="91" t="b">
        <v>0</v>
      </c>
      <c r="K1816" s="91" t="b">
        <v>0</v>
      </c>
      <c r="L1816" s="91" t="b">
        <v>0</v>
      </c>
    </row>
    <row r="1817" spans="1:12" ht="15">
      <c r="A1817" s="92" t="s">
        <v>2625</v>
      </c>
      <c r="B1817" s="91" t="s">
        <v>2626</v>
      </c>
      <c r="C1817" s="91">
        <v>8</v>
      </c>
      <c r="D1817" s="114">
        <v>0.00483950017279613</v>
      </c>
      <c r="E1817" s="114">
        <v>2.174277918292213</v>
      </c>
      <c r="F1817" s="91" t="s">
        <v>2522</v>
      </c>
      <c r="G1817" s="91" t="b">
        <v>0</v>
      </c>
      <c r="H1817" s="91" t="b">
        <v>0</v>
      </c>
      <c r="I1817" s="91" t="b">
        <v>0</v>
      </c>
      <c r="J1817" s="91" t="b">
        <v>0</v>
      </c>
      <c r="K1817" s="91" t="b">
        <v>0</v>
      </c>
      <c r="L1817" s="91" t="b">
        <v>0</v>
      </c>
    </row>
    <row r="1818" spans="1:12" ht="15">
      <c r="A1818" s="92" t="s">
        <v>2626</v>
      </c>
      <c r="B1818" s="91" t="s">
        <v>2627</v>
      </c>
      <c r="C1818" s="91">
        <v>8</v>
      </c>
      <c r="D1818" s="114">
        <v>0.00483950017279613</v>
      </c>
      <c r="E1818" s="114">
        <v>2.174277918292213</v>
      </c>
      <c r="F1818" s="91" t="s">
        <v>2522</v>
      </c>
      <c r="G1818" s="91" t="b">
        <v>0</v>
      </c>
      <c r="H1818" s="91" t="b">
        <v>0</v>
      </c>
      <c r="I1818" s="91" t="b">
        <v>0</v>
      </c>
      <c r="J1818" s="91" t="b">
        <v>0</v>
      </c>
      <c r="K1818" s="91" t="b">
        <v>0</v>
      </c>
      <c r="L1818" s="91" t="b">
        <v>0</v>
      </c>
    </row>
    <row r="1819" spans="1:12" ht="15">
      <c r="A1819" s="92" t="s">
        <v>2627</v>
      </c>
      <c r="B1819" s="91" t="s">
        <v>2609</v>
      </c>
      <c r="C1819" s="91">
        <v>8</v>
      </c>
      <c r="D1819" s="114">
        <v>0.00483950017279613</v>
      </c>
      <c r="E1819" s="114">
        <v>1.7763379096201752</v>
      </c>
      <c r="F1819" s="91" t="s">
        <v>2522</v>
      </c>
      <c r="G1819" s="91" t="b">
        <v>0</v>
      </c>
      <c r="H1819" s="91" t="b">
        <v>0</v>
      </c>
      <c r="I1819" s="91" t="b">
        <v>0</v>
      </c>
      <c r="J1819" s="91" t="b">
        <v>0</v>
      </c>
      <c r="K1819" s="91" t="b">
        <v>0</v>
      </c>
      <c r="L1819" s="91" t="b">
        <v>0</v>
      </c>
    </row>
    <row r="1820" spans="1:12" ht="15">
      <c r="A1820" s="92" t="s">
        <v>2609</v>
      </c>
      <c r="B1820" s="91" t="s">
        <v>2588</v>
      </c>
      <c r="C1820" s="91">
        <v>8</v>
      </c>
      <c r="D1820" s="114">
        <v>0.00483950017279613</v>
      </c>
      <c r="E1820" s="114">
        <v>1.5555762556450332</v>
      </c>
      <c r="F1820" s="91" t="s">
        <v>2522</v>
      </c>
      <c r="G1820" s="91" t="b">
        <v>0</v>
      </c>
      <c r="H1820" s="91" t="b">
        <v>0</v>
      </c>
      <c r="I1820" s="91" t="b">
        <v>0</v>
      </c>
      <c r="J1820" s="91" t="b">
        <v>0</v>
      </c>
      <c r="K1820" s="91" t="b">
        <v>0</v>
      </c>
      <c r="L1820" s="91" t="b">
        <v>0</v>
      </c>
    </row>
    <row r="1821" spans="1:12" ht="15">
      <c r="A1821" s="92" t="s">
        <v>2588</v>
      </c>
      <c r="B1821" s="91" t="s">
        <v>2619</v>
      </c>
      <c r="C1821" s="91">
        <v>8</v>
      </c>
      <c r="D1821" s="114">
        <v>0.00483950017279613</v>
      </c>
      <c r="E1821" s="114">
        <v>1.7986143043313276</v>
      </c>
      <c r="F1821" s="91" t="s">
        <v>2522</v>
      </c>
      <c r="G1821" s="91" t="b">
        <v>0</v>
      </c>
      <c r="H1821" s="91" t="b">
        <v>0</v>
      </c>
      <c r="I1821" s="91" t="b">
        <v>0</v>
      </c>
      <c r="J1821" s="91" t="b">
        <v>0</v>
      </c>
      <c r="K1821" s="91" t="b">
        <v>0</v>
      </c>
      <c r="L1821" s="91" t="b">
        <v>0</v>
      </c>
    </row>
    <row r="1822" spans="1:12" ht="15">
      <c r="A1822" s="92" t="s">
        <v>2621</v>
      </c>
      <c r="B1822" s="91" t="s">
        <v>2564</v>
      </c>
      <c r="C1822" s="91">
        <v>8</v>
      </c>
      <c r="D1822" s="114">
        <v>0.00483950017279613</v>
      </c>
      <c r="E1822" s="114">
        <v>1.4241553915088128</v>
      </c>
      <c r="F1822" s="91" t="s">
        <v>2522</v>
      </c>
      <c r="G1822" s="91" t="b">
        <v>0</v>
      </c>
      <c r="H1822" s="91" t="b">
        <v>0</v>
      </c>
      <c r="I1822" s="91" t="b">
        <v>0</v>
      </c>
      <c r="J1822" s="91" t="b">
        <v>0</v>
      </c>
      <c r="K1822" s="91" t="b">
        <v>0</v>
      </c>
      <c r="L1822" s="91" t="b">
        <v>0</v>
      </c>
    </row>
    <row r="1823" spans="1:12" ht="15">
      <c r="A1823" s="92" t="s">
        <v>2564</v>
      </c>
      <c r="B1823" s="91" t="s">
        <v>2618</v>
      </c>
      <c r="C1823" s="91">
        <v>8</v>
      </c>
      <c r="D1823" s="114">
        <v>0.00483950017279613</v>
      </c>
      <c r="E1823" s="114">
        <v>1.4863032982576574</v>
      </c>
      <c r="F1823" s="91" t="s">
        <v>2522</v>
      </c>
      <c r="G1823" s="91" t="b">
        <v>0</v>
      </c>
      <c r="H1823" s="91" t="b">
        <v>0</v>
      </c>
      <c r="I1823" s="91" t="b">
        <v>0</v>
      </c>
      <c r="J1823" s="91" t="b">
        <v>0</v>
      </c>
      <c r="K1823" s="91" t="b">
        <v>0</v>
      </c>
      <c r="L1823" s="91" t="b">
        <v>0</v>
      </c>
    </row>
    <row r="1824" spans="1:12" ht="15">
      <c r="A1824" s="92" t="s">
        <v>2618</v>
      </c>
      <c r="B1824" s="91" t="s">
        <v>2633</v>
      </c>
      <c r="C1824" s="91">
        <v>8</v>
      </c>
      <c r="D1824" s="114">
        <v>0.00483950017279613</v>
      </c>
      <c r="E1824" s="114">
        <v>2.174277918292213</v>
      </c>
      <c r="F1824" s="91" t="s">
        <v>2522</v>
      </c>
      <c r="G1824" s="91" t="b">
        <v>0</v>
      </c>
      <c r="H1824" s="91" t="b">
        <v>0</v>
      </c>
      <c r="I1824" s="91" t="b">
        <v>0</v>
      </c>
      <c r="J1824" s="91" t="b">
        <v>0</v>
      </c>
      <c r="K1824" s="91" t="b">
        <v>0</v>
      </c>
      <c r="L1824" s="91" t="b">
        <v>0</v>
      </c>
    </row>
    <row r="1825" spans="1:12" ht="15">
      <c r="A1825" s="92" t="s">
        <v>2803</v>
      </c>
      <c r="B1825" s="91" t="s">
        <v>2804</v>
      </c>
      <c r="C1825" s="91">
        <v>6</v>
      </c>
      <c r="D1825" s="114">
        <v>0.0042341674035082265</v>
      </c>
      <c r="E1825" s="114">
        <v>2.299216654900513</v>
      </c>
      <c r="F1825" s="91" t="s">
        <v>2522</v>
      </c>
      <c r="G1825" s="91" t="b">
        <v>0</v>
      </c>
      <c r="H1825" s="91" t="b">
        <v>0</v>
      </c>
      <c r="I1825" s="91" t="b">
        <v>0</v>
      </c>
      <c r="J1825" s="91" t="b">
        <v>0</v>
      </c>
      <c r="K1825" s="91" t="b">
        <v>0</v>
      </c>
      <c r="L1825" s="91" t="b">
        <v>0</v>
      </c>
    </row>
    <row r="1826" spans="1:12" ht="15">
      <c r="A1826" s="92" t="s">
        <v>2804</v>
      </c>
      <c r="B1826" s="91" t="s">
        <v>2805</v>
      </c>
      <c r="C1826" s="91">
        <v>6</v>
      </c>
      <c r="D1826" s="114">
        <v>0.0042341674035082265</v>
      </c>
      <c r="E1826" s="114">
        <v>2.299216654900513</v>
      </c>
      <c r="F1826" s="91" t="s">
        <v>2522</v>
      </c>
      <c r="G1826" s="91" t="b">
        <v>0</v>
      </c>
      <c r="H1826" s="91" t="b">
        <v>0</v>
      </c>
      <c r="I1826" s="91" t="b">
        <v>0</v>
      </c>
      <c r="J1826" s="91" t="b">
        <v>0</v>
      </c>
      <c r="K1826" s="91" t="b">
        <v>0</v>
      </c>
      <c r="L1826" s="91" t="b">
        <v>0</v>
      </c>
    </row>
    <row r="1827" spans="1:12" ht="15">
      <c r="A1827" s="92" t="s">
        <v>2805</v>
      </c>
      <c r="B1827" s="91" t="s">
        <v>2668</v>
      </c>
      <c r="C1827" s="91">
        <v>6</v>
      </c>
      <c r="D1827" s="114">
        <v>0.0042341674035082265</v>
      </c>
      <c r="E1827" s="114">
        <v>2.299216654900513</v>
      </c>
      <c r="F1827" s="91" t="s">
        <v>2522</v>
      </c>
      <c r="G1827" s="91" t="b">
        <v>0</v>
      </c>
      <c r="H1827" s="91" t="b">
        <v>0</v>
      </c>
      <c r="I1827" s="91" t="b">
        <v>0</v>
      </c>
      <c r="J1827" s="91" t="b">
        <v>0</v>
      </c>
      <c r="K1827" s="91" t="b">
        <v>0</v>
      </c>
      <c r="L1827" s="91" t="b">
        <v>0</v>
      </c>
    </row>
    <row r="1828" spans="1:12" ht="15">
      <c r="A1828" s="92" t="s">
        <v>2668</v>
      </c>
      <c r="B1828" s="91" t="s">
        <v>2806</v>
      </c>
      <c r="C1828" s="91">
        <v>6</v>
      </c>
      <c r="D1828" s="114">
        <v>0.0042341674035082265</v>
      </c>
      <c r="E1828" s="114">
        <v>2.299216654900513</v>
      </c>
      <c r="F1828" s="91" t="s">
        <v>2522</v>
      </c>
      <c r="G1828" s="91" t="b">
        <v>0</v>
      </c>
      <c r="H1828" s="91" t="b">
        <v>0</v>
      </c>
      <c r="I1828" s="91" t="b">
        <v>0</v>
      </c>
      <c r="J1828" s="91" t="b">
        <v>0</v>
      </c>
      <c r="K1828" s="91" t="b">
        <v>0</v>
      </c>
      <c r="L1828" s="91" t="b">
        <v>0</v>
      </c>
    </row>
    <row r="1829" spans="1:12" ht="15">
      <c r="A1829" s="92" t="s">
        <v>2806</v>
      </c>
      <c r="B1829" s="91" t="s">
        <v>2576</v>
      </c>
      <c r="C1829" s="91">
        <v>6</v>
      </c>
      <c r="D1829" s="114">
        <v>0.0042341674035082265</v>
      </c>
      <c r="E1829" s="114">
        <v>1.9012766462284754</v>
      </c>
      <c r="F1829" s="91" t="s">
        <v>2522</v>
      </c>
      <c r="G1829" s="91" t="b">
        <v>0</v>
      </c>
      <c r="H1829" s="91" t="b">
        <v>0</v>
      </c>
      <c r="I1829" s="91" t="b">
        <v>0</v>
      </c>
      <c r="J1829" s="91" t="b">
        <v>0</v>
      </c>
      <c r="K1829" s="91" t="b">
        <v>0</v>
      </c>
      <c r="L1829" s="91" t="b">
        <v>0</v>
      </c>
    </row>
    <row r="1830" spans="1:12" ht="15">
      <c r="A1830" s="92" t="s">
        <v>2576</v>
      </c>
      <c r="B1830" s="91" t="s">
        <v>2569</v>
      </c>
      <c r="C1830" s="91">
        <v>6</v>
      </c>
      <c r="D1830" s="114">
        <v>0.0042341674035082265</v>
      </c>
      <c r="E1830" s="114">
        <v>1.1880662027778461</v>
      </c>
      <c r="F1830" s="91" t="s">
        <v>2522</v>
      </c>
      <c r="G1830" s="91" t="b">
        <v>0</v>
      </c>
      <c r="H1830" s="91" t="b">
        <v>0</v>
      </c>
      <c r="I1830" s="91" t="b">
        <v>0</v>
      </c>
      <c r="J1830" s="91" t="b">
        <v>0</v>
      </c>
      <c r="K1830" s="91" t="b">
        <v>0</v>
      </c>
      <c r="L1830" s="91" t="b">
        <v>0</v>
      </c>
    </row>
    <row r="1831" spans="1:12" ht="15">
      <c r="A1831" s="92" t="s">
        <v>2572</v>
      </c>
      <c r="B1831" s="91" t="s">
        <v>2565</v>
      </c>
      <c r="C1831" s="91">
        <v>6</v>
      </c>
      <c r="D1831" s="114">
        <v>0.0042341674035082265</v>
      </c>
      <c r="E1831" s="114">
        <v>0.930723159869888</v>
      </c>
      <c r="F1831" s="91" t="s">
        <v>2522</v>
      </c>
      <c r="G1831" s="91" t="b">
        <v>0</v>
      </c>
      <c r="H1831" s="91" t="b">
        <v>0</v>
      </c>
      <c r="I1831" s="91" t="b">
        <v>0</v>
      </c>
      <c r="J1831" s="91" t="b">
        <v>0</v>
      </c>
      <c r="K1831" s="91" t="b">
        <v>0</v>
      </c>
      <c r="L1831" s="91" t="b">
        <v>0</v>
      </c>
    </row>
    <row r="1832" spans="1:12" ht="15">
      <c r="A1832" s="92" t="s">
        <v>2739</v>
      </c>
      <c r="B1832" s="91" t="s">
        <v>2769</v>
      </c>
      <c r="C1832" s="91">
        <v>6</v>
      </c>
      <c r="D1832" s="114">
        <v>0.0042341674035082265</v>
      </c>
      <c r="E1832" s="114">
        <v>2.1231253958448315</v>
      </c>
      <c r="F1832" s="91" t="s">
        <v>2522</v>
      </c>
      <c r="G1832" s="91" t="b">
        <v>0</v>
      </c>
      <c r="H1832" s="91" t="b">
        <v>0</v>
      </c>
      <c r="I1832" s="91" t="b">
        <v>0</v>
      </c>
      <c r="J1832" s="91" t="b">
        <v>0</v>
      </c>
      <c r="K1832" s="91" t="b">
        <v>0</v>
      </c>
      <c r="L1832" s="91" t="b">
        <v>0</v>
      </c>
    </row>
    <row r="1833" spans="1:12" ht="15">
      <c r="A1833" s="92" t="s">
        <v>2769</v>
      </c>
      <c r="B1833" s="91" t="s">
        <v>2564</v>
      </c>
      <c r="C1833" s="91">
        <v>6</v>
      </c>
      <c r="D1833" s="114">
        <v>0.0042341674035082265</v>
      </c>
      <c r="E1833" s="114">
        <v>1.4241553915088128</v>
      </c>
      <c r="F1833" s="91" t="s">
        <v>2522</v>
      </c>
      <c r="G1833" s="91" t="b">
        <v>0</v>
      </c>
      <c r="H1833" s="91" t="b">
        <v>0</v>
      </c>
      <c r="I1833" s="91" t="b">
        <v>0</v>
      </c>
      <c r="J1833" s="91" t="b">
        <v>0</v>
      </c>
      <c r="K1833" s="91" t="b">
        <v>0</v>
      </c>
      <c r="L1833" s="91" t="b">
        <v>0</v>
      </c>
    </row>
    <row r="1834" spans="1:12" ht="15">
      <c r="A1834" s="92" t="s">
        <v>2574</v>
      </c>
      <c r="B1834" s="91" t="s">
        <v>2609</v>
      </c>
      <c r="C1834" s="91">
        <v>6</v>
      </c>
      <c r="D1834" s="114">
        <v>0.0042341674035082265</v>
      </c>
      <c r="E1834" s="114">
        <v>1.2322698652698996</v>
      </c>
      <c r="F1834" s="91" t="s">
        <v>2522</v>
      </c>
      <c r="G1834" s="91" t="b">
        <v>0</v>
      </c>
      <c r="H1834" s="91" t="b">
        <v>0</v>
      </c>
      <c r="I1834" s="91" t="b">
        <v>0</v>
      </c>
      <c r="J1834" s="91" t="b">
        <v>0</v>
      </c>
      <c r="K1834" s="91" t="b">
        <v>0</v>
      </c>
      <c r="L1834" s="91" t="b">
        <v>0</v>
      </c>
    </row>
    <row r="1835" spans="1:12" ht="15">
      <c r="A1835" s="92" t="s">
        <v>2609</v>
      </c>
      <c r="B1835" s="91" t="s">
        <v>2644</v>
      </c>
      <c r="C1835" s="91">
        <v>6</v>
      </c>
      <c r="D1835" s="114">
        <v>0.0042341674035082265</v>
      </c>
      <c r="E1835" s="114">
        <v>1.667998434831337</v>
      </c>
      <c r="F1835" s="91" t="s">
        <v>2522</v>
      </c>
      <c r="G1835" s="91" t="b">
        <v>0</v>
      </c>
      <c r="H1835" s="91" t="b">
        <v>0</v>
      </c>
      <c r="I1835" s="91" t="b">
        <v>0</v>
      </c>
      <c r="J1835" s="91" t="b">
        <v>0</v>
      </c>
      <c r="K1835" s="91" t="b">
        <v>0</v>
      </c>
      <c r="L1835" s="91" t="b">
        <v>0</v>
      </c>
    </row>
    <row r="1836" spans="1:12" ht="15">
      <c r="A1836" s="92" t="s">
        <v>2588</v>
      </c>
      <c r="B1836" s="91" t="s">
        <v>2615</v>
      </c>
      <c r="C1836" s="91">
        <v>6</v>
      </c>
      <c r="D1836" s="114">
        <v>0.0042341674035082265</v>
      </c>
      <c r="E1836" s="114">
        <v>1.7316675147007143</v>
      </c>
      <c r="F1836" s="91" t="s">
        <v>2522</v>
      </c>
      <c r="G1836" s="91" t="b">
        <v>0</v>
      </c>
      <c r="H1836" s="91" t="b">
        <v>0</v>
      </c>
      <c r="I1836" s="91" t="b">
        <v>0</v>
      </c>
      <c r="J1836" s="91" t="b">
        <v>0</v>
      </c>
      <c r="K1836" s="91" t="b">
        <v>0</v>
      </c>
      <c r="L1836" s="91" t="b">
        <v>0</v>
      </c>
    </row>
    <row r="1837" spans="1:12" ht="15">
      <c r="A1837" s="92" t="s">
        <v>2615</v>
      </c>
      <c r="B1837" s="91" t="s">
        <v>2583</v>
      </c>
      <c r="C1837" s="91">
        <v>6</v>
      </c>
      <c r="D1837" s="114">
        <v>0.0042341674035082265</v>
      </c>
      <c r="E1837" s="114">
        <v>1.7093911199895622</v>
      </c>
      <c r="F1837" s="91" t="s">
        <v>2522</v>
      </c>
      <c r="G1837" s="91" t="b">
        <v>0</v>
      </c>
      <c r="H1837" s="91" t="b">
        <v>0</v>
      </c>
      <c r="I1837" s="91" t="b">
        <v>0</v>
      </c>
      <c r="J1837" s="91" t="b">
        <v>0</v>
      </c>
      <c r="K1837" s="91" t="b">
        <v>0</v>
      </c>
      <c r="L1837" s="91" t="b">
        <v>0</v>
      </c>
    </row>
    <row r="1838" spans="1:12" ht="15">
      <c r="A1838" s="92" t="s">
        <v>2583</v>
      </c>
      <c r="B1838" s="91" t="s">
        <v>2807</v>
      </c>
      <c r="C1838" s="91">
        <v>6</v>
      </c>
      <c r="D1838" s="114">
        <v>0.0042341674035082265</v>
      </c>
      <c r="E1838" s="114">
        <v>1.8469189839058824</v>
      </c>
      <c r="F1838" s="91" t="s">
        <v>2522</v>
      </c>
      <c r="G1838" s="91" t="b">
        <v>0</v>
      </c>
      <c r="H1838" s="91" t="b">
        <v>0</v>
      </c>
      <c r="I1838" s="91" t="b">
        <v>0</v>
      </c>
      <c r="J1838" s="91" t="b">
        <v>0</v>
      </c>
      <c r="K1838" s="91" t="b">
        <v>0</v>
      </c>
      <c r="L1838" s="91" t="b">
        <v>0</v>
      </c>
    </row>
    <row r="1839" spans="1:12" ht="15">
      <c r="A1839" s="92" t="s">
        <v>2807</v>
      </c>
      <c r="B1839" s="91" t="s">
        <v>2614</v>
      </c>
      <c r="C1839" s="91">
        <v>6</v>
      </c>
      <c r="D1839" s="114">
        <v>0.0042341674035082265</v>
      </c>
      <c r="E1839" s="114">
        <v>2.2322698652699</v>
      </c>
      <c r="F1839" s="91" t="s">
        <v>2522</v>
      </c>
      <c r="G1839" s="91" t="b">
        <v>0</v>
      </c>
      <c r="H1839" s="91" t="b">
        <v>0</v>
      </c>
      <c r="I1839" s="91" t="b">
        <v>0</v>
      </c>
      <c r="J1839" s="91" t="b">
        <v>0</v>
      </c>
      <c r="K1839" s="91" t="b">
        <v>0</v>
      </c>
      <c r="L1839" s="91" t="b">
        <v>0</v>
      </c>
    </row>
    <row r="1840" spans="1:12" ht="15">
      <c r="A1840" s="92" t="s">
        <v>2614</v>
      </c>
      <c r="B1840" s="91" t="s">
        <v>2609</v>
      </c>
      <c r="C1840" s="91">
        <v>6</v>
      </c>
      <c r="D1840" s="114">
        <v>0.0042341674035082265</v>
      </c>
      <c r="E1840" s="114">
        <v>1.7093911199895622</v>
      </c>
      <c r="F1840" s="91" t="s">
        <v>2522</v>
      </c>
      <c r="G1840" s="91" t="b">
        <v>0</v>
      </c>
      <c r="H1840" s="91" t="b">
        <v>0</v>
      </c>
      <c r="I1840" s="91" t="b">
        <v>0</v>
      </c>
      <c r="J1840" s="91" t="b">
        <v>0</v>
      </c>
      <c r="K1840" s="91" t="b">
        <v>0</v>
      </c>
      <c r="L1840" s="91" t="b">
        <v>0</v>
      </c>
    </row>
    <row r="1841" spans="1:12" ht="15">
      <c r="A1841" s="92" t="s">
        <v>2574</v>
      </c>
      <c r="B1841" s="91" t="s">
        <v>2566</v>
      </c>
      <c r="C1841" s="91">
        <v>6</v>
      </c>
      <c r="D1841" s="114">
        <v>0.0042341674035082265</v>
      </c>
      <c r="E1841" s="114">
        <v>1.3572086018781995</v>
      </c>
      <c r="F1841" s="91" t="s">
        <v>2522</v>
      </c>
      <c r="G1841" s="91" t="b">
        <v>0</v>
      </c>
      <c r="H1841" s="91" t="b">
        <v>0</v>
      </c>
      <c r="I1841" s="91" t="b">
        <v>0</v>
      </c>
      <c r="J1841" s="91" t="b">
        <v>0</v>
      </c>
      <c r="K1841" s="91" t="b">
        <v>0</v>
      </c>
      <c r="L1841" s="91" t="b">
        <v>0</v>
      </c>
    </row>
    <row r="1842" spans="1:12" ht="15">
      <c r="A1842" s="92" t="s">
        <v>2718</v>
      </c>
      <c r="B1842" s="91" t="s">
        <v>2742</v>
      </c>
      <c r="C1842" s="91">
        <v>6</v>
      </c>
      <c r="D1842" s="114">
        <v>0.0042341674035082265</v>
      </c>
      <c r="E1842" s="114">
        <v>1.9312398696059183</v>
      </c>
      <c r="F1842" s="91" t="s">
        <v>2522</v>
      </c>
      <c r="G1842" s="91" t="b">
        <v>0</v>
      </c>
      <c r="H1842" s="91" t="b">
        <v>0</v>
      </c>
      <c r="I1842" s="91" t="b">
        <v>0</v>
      </c>
      <c r="J1842" s="91" t="b">
        <v>0</v>
      </c>
      <c r="K1842" s="91" t="b">
        <v>0</v>
      </c>
      <c r="L1842" s="91" t="b">
        <v>0</v>
      </c>
    </row>
    <row r="1843" spans="1:12" ht="15">
      <c r="A1843" s="92" t="s">
        <v>2742</v>
      </c>
      <c r="B1843" s="91" t="s">
        <v>2647</v>
      </c>
      <c r="C1843" s="91">
        <v>6</v>
      </c>
      <c r="D1843" s="114">
        <v>0.0042341674035082265</v>
      </c>
      <c r="E1843" s="114">
        <v>2.174277918292213</v>
      </c>
      <c r="F1843" s="91" t="s">
        <v>2522</v>
      </c>
      <c r="G1843" s="91" t="b">
        <v>0</v>
      </c>
      <c r="H1843" s="91" t="b">
        <v>0</v>
      </c>
      <c r="I1843" s="91" t="b">
        <v>0</v>
      </c>
      <c r="J1843" s="91" t="b">
        <v>0</v>
      </c>
      <c r="K1843" s="91" t="b">
        <v>0</v>
      </c>
      <c r="L1843" s="91" t="b">
        <v>0</v>
      </c>
    </row>
    <row r="1844" spans="1:12" ht="15">
      <c r="A1844" s="92" t="s">
        <v>2647</v>
      </c>
      <c r="B1844" s="91" t="s">
        <v>2910</v>
      </c>
      <c r="C1844" s="91">
        <v>6</v>
      </c>
      <c r="D1844" s="114">
        <v>0.0042341674035082265</v>
      </c>
      <c r="E1844" s="114">
        <v>2.174277918292213</v>
      </c>
      <c r="F1844" s="91" t="s">
        <v>2522</v>
      </c>
      <c r="G1844" s="91" t="b">
        <v>0</v>
      </c>
      <c r="H1844" s="91" t="b">
        <v>0</v>
      </c>
      <c r="I1844" s="91" t="b">
        <v>0</v>
      </c>
      <c r="J1844" s="91" t="b">
        <v>0</v>
      </c>
      <c r="K1844" s="91" t="b">
        <v>0</v>
      </c>
      <c r="L1844" s="91" t="b">
        <v>0</v>
      </c>
    </row>
    <row r="1845" spans="1:12" ht="15">
      <c r="A1845" s="92" t="s">
        <v>2910</v>
      </c>
      <c r="B1845" s="91" t="s">
        <v>2911</v>
      </c>
      <c r="C1845" s="91">
        <v>6</v>
      </c>
      <c r="D1845" s="114">
        <v>0.0042341674035082265</v>
      </c>
      <c r="E1845" s="114">
        <v>2.299216654900513</v>
      </c>
      <c r="F1845" s="91" t="s">
        <v>2522</v>
      </c>
      <c r="G1845" s="91" t="b">
        <v>0</v>
      </c>
      <c r="H1845" s="91" t="b">
        <v>0</v>
      </c>
      <c r="I1845" s="91" t="b">
        <v>0</v>
      </c>
      <c r="J1845" s="91" t="b">
        <v>0</v>
      </c>
      <c r="K1845" s="91" t="b">
        <v>0</v>
      </c>
      <c r="L1845" s="91" t="b">
        <v>0</v>
      </c>
    </row>
    <row r="1846" spans="1:12" ht="15">
      <c r="A1846" s="92" t="s">
        <v>2911</v>
      </c>
      <c r="B1846" s="91" t="s">
        <v>2590</v>
      </c>
      <c r="C1846" s="91">
        <v>6</v>
      </c>
      <c r="D1846" s="114">
        <v>0.0042341674035082265</v>
      </c>
      <c r="E1846" s="114">
        <v>1.8732479226282317</v>
      </c>
      <c r="F1846" s="91" t="s">
        <v>2522</v>
      </c>
      <c r="G1846" s="91" t="b">
        <v>0</v>
      </c>
      <c r="H1846" s="91" t="b">
        <v>0</v>
      </c>
      <c r="I1846" s="91" t="b">
        <v>0</v>
      </c>
      <c r="J1846" s="91" t="b">
        <v>0</v>
      </c>
      <c r="K1846" s="91" t="b">
        <v>0</v>
      </c>
      <c r="L1846" s="91" t="b">
        <v>0</v>
      </c>
    </row>
    <row r="1847" spans="1:12" ht="15">
      <c r="A1847" s="92" t="s">
        <v>2590</v>
      </c>
      <c r="B1847" s="91" t="s">
        <v>2607</v>
      </c>
      <c r="C1847" s="91">
        <v>6</v>
      </c>
      <c r="D1847" s="114">
        <v>0.0042341674035082265</v>
      </c>
      <c r="E1847" s="114">
        <v>1.4209502516336014</v>
      </c>
      <c r="F1847" s="91" t="s">
        <v>2522</v>
      </c>
      <c r="G1847" s="91" t="b">
        <v>0</v>
      </c>
      <c r="H1847" s="91" t="b">
        <v>0</v>
      </c>
      <c r="I1847" s="91" t="b">
        <v>0</v>
      </c>
      <c r="J1847" s="91" t="b">
        <v>0</v>
      </c>
      <c r="K1847" s="91" t="b">
        <v>0</v>
      </c>
      <c r="L1847" s="91" t="b">
        <v>0</v>
      </c>
    </row>
    <row r="1848" spans="1:12" ht="15">
      <c r="A1848" s="92" t="s">
        <v>2607</v>
      </c>
      <c r="B1848" s="91" t="s">
        <v>2912</v>
      </c>
      <c r="C1848" s="91">
        <v>6</v>
      </c>
      <c r="D1848" s="114">
        <v>0.0042341674035082265</v>
      </c>
      <c r="E1848" s="114">
        <v>1.8469189839058824</v>
      </c>
      <c r="F1848" s="91" t="s">
        <v>2522</v>
      </c>
      <c r="G1848" s="91" t="b">
        <v>0</v>
      </c>
      <c r="H1848" s="91" t="b">
        <v>0</v>
      </c>
      <c r="I1848" s="91" t="b">
        <v>0</v>
      </c>
      <c r="J1848" s="91" t="b">
        <v>0</v>
      </c>
      <c r="K1848" s="91" t="b">
        <v>0</v>
      </c>
      <c r="L1848" s="91" t="b">
        <v>0</v>
      </c>
    </row>
    <row r="1849" spans="1:12" ht="15">
      <c r="A1849" s="92" t="s">
        <v>2912</v>
      </c>
      <c r="B1849" s="91" t="s">
        <v>2591</v>
      </c>
      <c r="C1849" s="91">
        <v>6</v>
      </c>
      <c r="D1849" s="114">
        <v>0.0042341674035082265</v>
      </c>
      <c r="E1849" s="114">
        <v>1.600246650564494</v>
      </c>
      <c r="F1849" s="91" t="s">
        <v>2522</v>
      </c>
      <c r="G1849" s="91" t="b">
        <v>0</v>
      </c>
      <c r="H1849" s="91" t="b">
        <v>0</v>
      </c>
      <c r="I1849" s="91" t="b">
        <v>0</v>
      </c>
      <c r="J1849" s="91" t="b">
        <v>0</v>
      </c>
      <c r="K1849" s="91" t="b">
        <v>0</v>
      </c>
      <c r="L1849" s="91" t="b">
        <v>0</v>
      </c>
    </row>
    <row r="1850" spans="1:12" ht="15">
      <c r="A1850" s="92" t="s">
        <v>2591</v>
      </c>
      <c r="B1850" s="91" t="s">
        <v>2629</v>
      </c>
      <c r="C1850" s="91">
        <v>6</v>
      </c>
      <c r="D1850" s="114">
        <v>0.0042341674035082265</v>
      </c>
      <c r="E1850" s="114">
        <v>1.600246650564494</v>
      </c>
      <c r="F1850" s="91" t="s">
        <v>2522</v>
      </c>
      <c r="G1850" s="91" t="b">
        <v>0</v>
      </c>
      <c r="H1850" s="91" t="b">
        <v>0</v>
      </c>
      <c r="I1850" s="91" t="b">
        <v>0</v>
      </c>
      <c r="J1850" s="91" t="b">
        <v>0</v>
      </c>
      <c r="K1850" s="91" t="b">
        <v>0</v>
      </c>
      <c r="L1850" s="91" t="b">
        <v>0</v>
      </c>
    </row>
    <row r="1851" spans="1:12" ht="15">
      <c r="A1851" s="92" t="s">
        <v>2629</v>
      </c>
      <c r="B1851" s="91" t="s">
        <v>2590</v>
      </c>
      <c r="C1851" s="91">
        <v>6</v>
      </c>
      <c r="D1851" s="114">
        <v>0.0042341674035082265</v>
      </c>
      <c r="E1851" s="114">
        <v>1.8732479226282317</v>
      </c>
      <c r="F1851" s="91" t="s">
        <v>2522</v>
      </c>
      <c r="G1851" s="91" t="b">
        <v>0</v>
      </c>
      <c r="H1851" s="91" t="b">
        <v>0</v>
      </c>
      <c r="I1851" s="91" t="b">
        <v>0</v>
      </c>
      <c r="J1851" s="91" t="b">
        <v>0</v>
      </c>
      <c r="K1851" s="91" t="b">
        <v>0</v>
      </c>
      <c r="L1851" s="91" t="b">
        <v>0</v>
      </c>
    </row>
    <row r="1852" spans="1:12" ht="15">
      <c r="A1852" s="92" t="s">
        <v>2590</v>
      </c>
      <c r="B1852" s="91" t="s">
        <v>586</v>
      </c>
      <c r="C1852" s="91">
        <v>6</v>
      </c>
      <c r="D1852" s="114">
        <v>0.0042341674035082265</v>
      </c>
      <c r="E1852" s="114">
        <v>1.5052711373336374</v>
      </c>
      <c r="F1852" s="91" t="s">
        <v>2522</v>
      </c>
      <c r="G1852" s="91" t="b">
        <v>0</v>
      </c>
      <c r="H1852" s="91" t="b">
        <v>0</v>
      </c>
      <c r="I1852" s="91" t="b">
        <v>0</v>
      </c>
      <c r="J1852" s="91" t="b">
        <v>0</v>
      </c>
      <c r="K1852" s="91" t="b">
        <v>0</v>
      </c>
      <c r="L1852" s="91" t="b">
        <v>0</v>
      </c>
    </row>
    <row r="1853" spans="1:12" ht="15">
      <c r="A1853" s="92" t="s">
        <v>586</v>
      </c>
      <c r="B1853" s="91" t="s">
        <v>2571</v>
      </c>
      <c r="C1853" s="91">
        <v>6</v>
      </c>
      <c r="D1853" s="114">
        <v>0.0042341674035082265</v>
      </c>
      <c r="E1853" s="114">
        <v>1.1779122029473068</v>
      </c>
      <c r="F1853" s="91" t="s">
        <v>2522</v>
      </c>
      <c r="G1853" s="91" t="b">
        <v>0</v>
      </c>
      <c r="H1853" s="91" t="b">
        <v>0</v>
      </c>
      <c r="I1853" s="91" t="b">
        <v>0</v>
      </c>
      <c r="J1853" s="91" t="b">
        <v>0</v>
      </c>
      <c r="K1853" s="91" t="b">
        <v>0</v>
      </c>
      <c r="L1853" s="91" t="b">
        <v>0</v>
      </c>
    </row>
    <row r="1854" spans="1:12" ht="15">
      <c r="A1854" s="92" t="s">
        <v>2571</v>
      </c>
      <c r="B1854" s="91" t="s">
        <v>2594</v>
      </c>
      <c r="C1854" s="91">
        <v>6</v>
      </c>
      <c r="D1854" s="114">
        <v>0.0042341674035082265</v>
      </c>
      <c r="E1854" s="114">
        <v>1.1199202559696202</v>
      </c>
      <c r="F1854" s="91" t="s">
        <v>2522</v>
      </c>
      <c r="G1854" s="91" t="b">
        <v>0</v>
      </c>
      <c r="H1854" s="91" t="b">
        <v>0</v>
      </c>
      <c r="I1854" s="91" t="b">
        <v>0</v>
      </c>
      <c r="J1854" s="91" t="b">
        <v>0</v>
      </c>
      <c r="K1854" s="91" t="b">
        <v>0</v>
      </c>
      <c r="L1854" s="91" t="b">
        <v>0</v>
      </c>
    </row>
    <row r="1855" spans="1:12" ht="15">
      <c r="A1855" s="92" t="s">
        <v>2594</v>
      </c>
      <c r="B1855" s="91" t="s">
        <v>2583</v>
      </c>
      <c r="C1855" s="91">
        <v>6</v>
      </c>
      <c r="D1855" s="114">
        <v>0.0042341674035082265</v>
      </c>
      <c r="E1855" s="114">
        <v>1.6513991730118753</v>
      </c>
      <c r="F1855" s="91" t="s">
        <v>2522</v>
      </c>
      <c r="G1855" s="91" t="b">
        <v>0</v>
      </c>
      <c r="H1855" s="91" t="b">
        <v>0</v>
      </c>
      <c r="I1855" s="91" t="b">
        <v>0</v>
      </c>
      <c r="J1855" s="91" t="b">
        <v>0</v>
      </c>
      <c r="K1855" s="91" t="b">
        <v>0</v>
      </c>
      <c r="L1855" s="91" t="b">
        <v>0</v>
      </c>
    </row>
    <row r="1856" spans="1:12" ht="15">
      <c r="A1856" s="92" t="s">
        <v>2635</v>
      </c>
      <c r="B1856" s="91" t="s">
        <v>2581</v>
      </c>
      <c r="C1856" s="91">
        <v>6</v>
      </c>
      <c r="D1856" s="114">
        <v>0.0042341674035082265</v>
      </c>
      <c r="E1856" s="114">
        <v>2.0359752201259314</v>
      </c>
      <c r="F1856" s="91" t="s">
        <v>2522</v>
      </c>
      <c r="G1856" s="91" t="b">
        <v>0</v>
      </c>
      <c r="H1856" s="91" t="b">
        <v>0</v>
      </c>
      <c r="I1856" s="91" t="b">
        <v>0</v>
      </c>
      <c r="J1856" s="91" t="b">
        <v>0</v>
      </c>
      <c r="K1856" s="91" t="b">
        <v>0</v>
      </c>
      <c r="L1856" s="91" t="b">
        <v>0</v>
      </c>
    </row>
    <row r="1857" spans="1:12" ht="15">
      <c r="A1857" s="92" t="s">
        <v>2606</v>
      </c>
      <c r="B1857" s="91" t="s">
        <v>2583</v>
      </c>
      <c r="C1857" s="91">
        <v>6</v>
      </c>
      <c r="D1857" s="114">
        <v>0.0042341674035082265</v>
      </c>
      <c r="E1857" s="114">
        <v>1.7763379096201752</v>
      </c>
      <c r="F1857" s="91" t="s">
        <v>2522</v>
      </c>
      <c r="G1857" s="91" t="b">
        <v>0</v>
      </c>
      <c r="H1857" s="91" t="b">
        <v>0</v>
      </c>
      <c r="I1857" s="91" t="b">
        <v>0</v>
      </c>
      <c r="J1857" s="91" t="b">
        <v>0</v>
      </c>
      <c r="K1857" s="91" t="b">
        <v>0</v>
      </c>
      <c r="L1857" s="91" t="b">
        <v>0</v>
      </c>
    </row>
    <row r="1858" spans="1:12" ht="15">
      <c r="A1858" s="92" t="s">
        <v>2579</v>
      </c>
      <c r="B1858" s="91" t="s">
        <v>2565</v>
      </c>
      <c r="C1858" s="91">
        <v>6</v>
      </c>
      <c r="D1858" s="114">
        <v>0.0042341674035082265</v>
      </c>
      <c r="E1858" s="114">
        <v>1.0920911621048628</v>
      </c>
      <c r="F1858" s="91" t="s">
        <v>2522</v>
      </c>
      <c r="G1858" s="91" t="b">
        <v>0</v>
      </c>
      <c r="H1858" s="91" t="b">
        <v>0</v>
      </c>
      <c r="I1858" s="91" t="b">
        <v>0</v>
      </c>
      <c r="J1858" s="91" t="b">
        <v>0</v>
      </c>
      <c r="K1858" s="91" t="b">
        <v>0</v>
      </c>
      <c r="L1858" s="91" t="b">
        <v>0</v>
      </c>
    </row>
    <row r="1859" spans="1:12" ht="15">
      <c r="A1859" s="92" t="s">
        <v>2565</v>
      </c>
      <c r="B1859" s="91" t="s">
        <v>2624</v>
      </c>
      <c r="C1859" s="91">
        <v>6</v>
      </c>
      <c r="D1859" s="114">
        <v>0.0042341674035082265</v>
      </c>
      <c r="E1859" s="114">
        <v>1.4900311707769005</v>
      </c>
      <c r="F1859" s="91" t="s">
        <v>2522</v>
      </c>
      <c r="G1859" s="91" t="b">
        <v>0</v>
      </c>
      <c r="H1859" s="91" t="b">
        <v>0</v>
      </c>
      <c r="I1859" s="91" t="b">
        <v>0</v>
      </c>
      <c r="J1859" s="91" t="b">
        <v>0</v>
      </c>
      <c r="K1859" s="91" t="b">
        <v>0</v>
      </c>
      <c r="L1859" s="91" t="b">
        <v>0</v>
      </c>
    </row>
    <row r="1860" spans="1:12" ht="15">
      <c r="A1860" s="92" t="s">
        <v>2588</v>
      </c>
      <c r="B1860" s="91" t="s">
        <v>2575</v>
      </c>
      <c r="C1860" s="91">
        <v>5</v>
      </c>
      <c r="D1860" s="114">
        <v>0.003847752054190826</v>
      </c>
      <c r="E1860" s="114">
        <v>1.321493049611665</v>
      </c>
      <c r="F1860" s="91" t="s">
        <v>2522</v>
      </c>
      <c r="G1860" s="91" t="b">
        <v>0</v>
      </c>
      <c r="H1860" s="91" t="b">
        <v>0</v>
      </c>
      <c r="I1860" s="91" t="b">
        <v>0</v>
      </c>
      <c r="J1860" s="91" t="b">
        <v>0</v>
      </c>
      <c r="K1860" s="91" t="b">
        <v>0</v>
      </c>
      <c r="L1860" s="91" t="b">
        <v>0</v>
      </c>
    </row>
    <row r="1861" spans="1:12" ht="15">
      <c r="A1861" s="92" t="s">
        <v>2619</v>
      </c>
      <c r="B1861" s="91" t="s">
        <v>2628</v>
      </c>
      <c r="C1861" s="91">
        <v>4</v>
      </c>
      <c r="D1861" s="114">
        <v>0.0033908145885399392</v>
      </c>
      <c r="E1861" s="114">
        <v>1.8732479226282317</v>
      </c>
      <c r="F1861" s="91" t="s">
        <v>2522</v>
      </c>
      <c r="G1861" s="91" t="b">
        <v>0</v>
      </c>
      <c r="H1861" s="91" t="b">
        <v>0</v>
      </c>
      <c r="I1861" s="91" t="b">
        <v>0</v>
      </c>
      <c r="J1861" s="91" t="b">
        <v>0</v>
      </c>
      <c r="K1861" s="91" t="b">
        <v>0</v>
      </c>
      <c r="L1861" s="91" t="b">
        <v>0</v>
      </c>
    </row>
    <row r="1862" spans="1:12" ht="15">
      <c r="A1862" s="92" t="s">
        <v>2628</v>
      </c>
      <c r="B1862" s="91" t="s">
        <v>2621</v>
      </c>
      <c r="C1862" s="91">
        <v>4</v>
      </c>
      <c r="D1862" s="114">
        <v>0.0033908145885399392</v>
      </c>
      <c r="E1862" s="114">
        <v>2.174277918292213</v>
      </c>
      <c r="F1862" s="91" t="s">
        <v>2522</v>
      </c>
      <c r="G1862" s="91" t="b">
        <v>0</v>
      </c>
      <c r="H1862" s="91" t="b">
        <v>0</v>
      </c>
      <c r="I1862" s="91" t="b">
        <v>0</v>
      </c>
      <c r="J1862" s="91" t="b">
        <v>0</v>
      </c>
      <c r="K1862" s="91" t="b">
        <v>0</v>
      </c>
      <c r="L1862" s="91" t="b">
        <v>0</v>
      </c>
    </row>
    <row r="1863" spans="1:12" ht="15">
      <c r="A1863" s="92" t="s">
        <v>2696</v>
      </c>
      <c r="B1863" s="91" t="s">
        <v>2569</v>
      </c>
      <c r="C1863" s="91">
        <v>4</v>
      </c>
      <c r="D1863" s="114">
        <v>0.0033908145885399392</v>
      </c>
      <c r="E1863" s="114">
        <v>1.5860062114498839</v>
      </c>
      <c r="F1863" s="91" t="s">
        <v>2522</v>
      </c>
      <c r="G1863" s="91" t="b">
        <v>0</v>
      </c>
      <c r="H1863" s="91" t="b">
        <v>0</v>
      </c>
      <c r="I1863" s="91" t="b">
        <v>0</v>
      </c>
      <c r="J1863" s="91" t="b">
        <v>0</v>
      </c>
      <c r="K1863" s="91" t="b">
        <v>0</v>
      </c>
      <c r="L1863" s="91" t="b">
        <v>0</v>
      </c>
    </row>
    <row r="1864" spans="1:12" ht="15">
      <c r="A1864" s="92" t="s">
        <v>2572</v>
      </c>
      <c r="B1864" s="91" t="s">
        <v>2697</v>
      </c>
      <c r="C1864" s="91">
        <v>4</v>
      </c>
      <c r="D1864" s="114">
        <v>0.0033908145885399392</v>
      </c>
      <c r="E1864" s="114">
        <v>1.6149699073852004</v>
      </c>
      <c r="F1864" s="91" t="s">
        <v>2522</v>
      </c>
      <c r="G1864" s="91" t="b">
        <v>0</v>
      </c>
      <c r="H1864" s="91" t="b">
        <v>0</v>
      </c>
      <c r="I1864" s="91" t="b">
        <v>0</v>
      </c>
      <c r="J1864" s="91" t="b">
        <v>0</v>
      </c>
      <c r="K1864" s="91" t="b">
        <v>0</v>
      </c>
      <c r="L1864" s="91" t="b">
        <v>0</v>
      </c>
    </row>
    <row r="1865" spans="1:12" ht="15">
      <c r="A1865" s="92" t="s">
        <v>2697</v>
      </c>
      <c r="B1865" s="91" t="s">
        <v>2590</v>
      </c>
      <c r="C1865" s="91">
        <v>4</v>
      </c>
      <c r="D1865" s="114">
        <v>0.0033908145885399392</v>
      </c>
      <c r="E1865" s="114">
        <v>1.8732479226282317</v>
      </c>
      <c r="F1865" s="91" t="s">
        <v>2522</v>
      </c>
      <c r="G1865" s="91" t="b">
        <v>0</v>
      </c>
      <c r="H1865" s="91" t="b">
        <v>0</v>
      </c>
      <c r="I1865" s="91" t="b">
        <v>0</v>
      </c>
      <c r="J1865" s="91" t="b">
        <v>0</v>
      </c>
      <c r="K1865" s="91" t="b">
        <v>0</v>
      </c>
      <c r="L1865" s="91" t="b">
        <v>0</v>
      </c>
    </row>
    <row r="1866" spans="1:12" ht="15">
      <c r="A1866" s="92" t="s">
        <v>2590</v>
      </c>
      <c r="B1866" s="91" t="s">
        <v>2573</v>
      </c>
      <c r="C1866" s="91">
        <v>4</v>
      </c>
      <c r="D1866" s="114">
        <v>0.0033908145885399392</v>
      </c>
      <c r="E1866" s="114">
        <v>0.9190054131889068</v>
      </c>
      <c r="F1866" s="91" t="s">
        <v>2522</v>
      </c>
      <c r="G1866" s="91" t="b">
        <v>0</v>
      </c>
      <c r="H1866" s="91" t="b">
        <v>0</v>
      </c>
      <c r="I1866" s="91" t="b">
        <v>0</v>
      </c>
      <c r="J1866" s="91" t="b">
        <v>0</v>
      </c>
      <c r="K1866" s="91" t="b">
        <v>0</v>
      </c>
      <c r="L1866" s="91" t="b">
        <v>0</v>
      </c>
    </row>
    <row r="1867" spans="1:12" ht="15">
      <c r="A1867" s="92" t="s">
        <v>2573</v>
      </c>
      <c r="B1867" s="91" t="s">
        <v>2571</v>
      </c>
      <c r="C1867" s="91">
        <v>4</v>
      </c>
      <c r="D1867" s="114">
        <v>0.0033908145885399392</v>
      </c>
      <c r="E1867" s="114">
        <v>0.5916464788025765</v>
      </c>
      <c r="F1867" s="91" t="s">
        <v>2522</v>
      </c>
      <c r="G1867" s="91" t="b">
        <v>0</v>
      </c>
      <c r="H1867" s="91" t="b">
        <v>0</v>
      </c>
      <c r="I1867" s="91" t="b">
        <v>0</v>
      </c>
      <c r="J1867" s="91" t="b">
        <v>0</v>
      </c>
      <c r="K1867" s="91" t="b">
        <v>0</v>
      </c>
      <c r="L1867" s="91" t="b">
        <v>0</v>
      </c>
    </row>
    <row r="1868" spans="1:12" ht="15">
      <c r="A1868" s="92" t="s">
        <v>2583</v>
      </c>
      <c r="B1868" s="91" t="s">
        <v>2608</v>
      </c>
      <c r="C1868" s="91">
        <v>4</v>
      </c>
      <c r="D1868" s="114">
        <v>0.0033908145885399392</v>
      </c>
      <c r="E1868" s="114">
        <v>1.448978975233845</v>
      </c>
      <c r="F1868" s="91" t="s">
        <v>2522</v>
      </c>
      <c r="G1868" s="91" t="b">
        <v>0</v>
      </c>
      <c r="H1868" s="91" t="b">
        <v>0</v>
      </c>
      <c r="I1868" s="91" t="b">
        <v>0</v>
      </c>
      <c r="J1868" s="91" t="b">
        <v>0</v>
      </c>
      <c r="K1868" s="91" t="b">
        <v>0</v>
      </c>
      <c r="L1868" s="91" t="b">
        <v>0</v>
      </c>
    </row>
    <row r="1869" spans="1:12" ht="15">
      <c r="A1869" s="92" t="s">
        <v>2619</v>
      </c>
      <c r="B1869" s="91" t="s">
        <v>2621</v>
      </c>
      <c r="C1869" s="91">
        <v>4</v>
      </c>
      <c r="D1869" s="114">
        <v>0.0033908145885399392</v>
      </c>
      <c r="E1869" s="114">
        <v>1.8732479226282317</v>
      </c>
      <c r="F1869" s="91" t="s">
        <v>2522</v>
      </c>
      <c r="G1869" s="91" t="b">
        <v>0</v>
      </c>
      <c r="H1869" s="91" t="b">
        <v>0</v>
      </c>
      <c r="I1869" s="91" t="b">
        <v>0</v>
      </c>
      <c r="J1869" s="91" t="b">
        <v>0</v>
      </c>
      <c r="K1869" s="91" t="b">
        <v>0</v>
      </c>
      <c r="L1869" s="91" t="b">
        <v>0</v>
      </c>
    </row>
    <row r="1870" spans="1:12" ht="15">
      <c r="A1870" s="92" t="s">
        <v>2633</v>
      </c>
      <c r="B1870" s="91" t="s">
        <v>2628</v>
      </c>
      <c r="C1870" s="91">
        <v>4</v>
      </c>
      <c r="D1870" s="114">
        <v>0.0033908145885399392</v>
      </c>
      <c r="E1870" s="114">
        <v>2.174277918292213</v>
      </c>
      <c r="F1870" s="91" t="s">
        <v>2522</v>
      </c>
      <c r="G1870" s="91" t="b">
        <v>0</v>
      </c>
      <c r="H1870" s="91" t="b">
        <v>0</v>
      </c>
      <c r="I1870" s="91" t="b">
        <v>0</v>
      </c>
      <c r="J1870" s="91" t="b">
        <v>0</v>
      </c>
      <c r="K1870" s="91" t="b">
        <v>0</v>
      </c>
      <c r="L1870" s="91" t="b">
        <v>0</v>
      </c>
    </row>
    <row r="1871" spans="1:12" ht="15">
      <c r="A1871" s="92" t="s">
        <v>2941</v>
      </c>
      <c r="B1871" s="91" t="s">
        <v>2648</v>
      </c>
      <c r="C1871" s="91">
        <v>3</v>
      </c>
      <c r="D1871" s="114">
        <v>0.0028453820783605195</v>
      </c>
      <c r="E1871" s="114">
        <v>2.3783979009481375</v>
      </c>
      <c r="F1871" s="91" t="s">
        <v>2522</v>
      </c>
      <c r="G1871" s="91" t="b">
        <v>0</v>
      </c>
      <c r="H1871" s="91" t="b">
        <v>0</v>
      </c>
      <c r="I1871" s="91" t="b">
        <v>0</v>
      </c>
      <c r="J1871" s="91" t="b">
        <v>0</v>
      </c>
      <c r="K1871" s="91" t="b">
        <v>0</v>
      </c>
      <c r="L1871" s="91" t="b">
        <v>0</v>
      </c>
    </row>
    <row r="1872" spans="1:12" ht="15">
      <c r="A1872" s="92" t="s">
        <v>2648</v>
      </c>
      <c r="B1872" s="91" t="s">
        <v>2942</v>
      </c>
      <c r="C1872" s="91">
        <v>3</v>
      </c>
      <c r="D1872" s="114">
        <v>0.0028453820783605195</v>
      </c>
      <c r="E1872" s="114">
        <v>2.3783979009481375</v>
      </c>
      <c r="F1872" s="91" t="s">
        <v>2522</v>
      </c>
      <c r="G1872" s="91" t="b">
        <v>0</v>
      </c>
      <c r="H1872" s="91" t="b">
        <v>0</v>
      </c>
      <c r="I1872" s="91" t="b">
        <v>0</v>
      </c>
      <c r="J1872" s="91" t="b">
        <v>0</v>
      </c>
      <c r="K1872" s="91" t="b">
        <v>0</v>
      </c>
      <c r="L1872" s="91" t="b">
        <v>0</v>
      </c>
    </row>
    <row r="1873" spans="1:12" ht="15">
      <c r="A1873" s="92" t="s">
        <v>2942</v>
      </c>
      <c r="B1873" s="91" t="s">
        <v>2943</v>
      </c>
      <c r="C1873" s="91">
        <v>3</v>
      </c>
      <c r="D1873" s="114">
        <v>0.0028453820783605195</v>
      </c>
      <c r="E1873" s="114">
        <v>2.600246650564494</v>
      </c>
      <c r="F1873" s="91" t="s">
        <v>2522</v>
      </c>
      <c r="G1873" s="91" t="b">
        <v>0</v>
      </c>
      <c r="H1873" s="91" t="b">
        <v>0</v>
      </c>
      <c r="I1873" s="91" t="b">
        <v>0</v>
      </c>
      <c r="J1873" s="91" t="b">
        <v>0</v>
      </c>
      <c r="K1873" s="91" t="b">
        <v>0</v>
      </c>
      <c r="L1873" s="91" t="b">
        <v>0</v>
      </c>
    </row>
    <row r="1874" spans="1:12" ht="15">
      <c r="A1874" s="92" t="s">
        <v>2943</v>
      </c>
      <c r="B1874" s="91" t="s">
        <v>2944</v>
      </c>
      <c r="C1874" s="91">
        <v>3</v>
      </c>
      <c r="D1874" s="114">
        <v>0.0028453820783605195</v>
      </c>
      <c r="E1874" s="114">
        <v>2.600246650564494</v>
      </c>
      <c r="F1874" s="91" t="s">
        <v>2522</v>
      </c>
      <c r="G1874" s="91" t="b">
        <v>0</v>
      </c>
      <c r="H1874" s="91" t="b">
        <v>0</v>
      </c>
      <c r="I1874" s="91" t="b">
        <v>0</v>
      </c>
      <c r="J1874" s="91" t="b">
        <v>0</v>
      </c>
      <c r="K1874" s="91" t="b">
        <v>0</v>
      </c>
      <c r="L1874" s="91" t="b">
        <v>0</v>
      </c>
    </row>
    <row r="1875" spans="1:12" ht="15">
      <c r="A1875" s="92" t="s">
        <v>2944</v>
      </c>
      <c r="B1875" s="91" t="s">
        <v>2945</v>
      </c>
      <c r="C1875" s="91">
        <v>3</v>
      </c>
      <c r="D1875" s="114">
        <v>0.0028453820783605195</v>
      </c>
      <c r="E1875" s="114">
        <v>2.600246650564494</v>
      </c>
      <c r="F1875" s="91" t="s">
        <v>2522</v>
      </c>
      <c r="G1875" s="91" t="b">
        <v>0</v>
      </c>
      <c r="H1875" s="91" t="b">
        <v>0</v>
      </c>
      <c r="I1875" s="91" t="b">
        <v>0</v>
      </c>
      <c r="J1875" s="91" t="b">
        <v>0</v>
      </c>
      <c r="K1875" s="91" t="b">
        <v>0</v>
      </c>
      <c r="L1875" s="91" t="b">
        <v>0</v>
      </c>
    </row>
    <row r="1876" spans="1:12" ht="15">
      <c r="A1876" s="92" t="s">
        <v>2945</v>
      </c>
      <c r="B1876" s="91" t="s">
        <v>2946</v>
      </c>
      <c r="C1876" s="91">
        <v>3</v>
      </c>
      <c r="D1876" s="114">
        <v>0.0028453820783605195</v>
      </c>
      <c r="E1876" s="114">
        <v>2.600246650564494</v>
      </c>
      <c r="F1876" s="91" t="s">
        <v>2522</v>
      </c>
      <c r="G1876" s="91" t="b">
        <v>0</v>
      </c>
      <c r="H1876" s="91" t="b">
        <v>0</v>
      </c>
      <c r="I1876" s="91" t="b">
        <v>0</v>
      </c>
      <c r="J1876" s="91" t="b">
        <v>0</v>
      </c>
      <c r="K1876" s="91" t="b">
        <v>0</v>
      </c>
      <c r="L1876" s="91" t="b">
        <v>0</v>
      </c>
    </row>
    <row r="1877" spans="1:12" ht="15">
      <c r="A1877" s="92" t="s">
        <v>2946</v>
      </c>
      <c r="B1877" s="91" t="s">
        <v>2656</v>
      </c>
      <c r="C1877" s="91">
        <v>3</v>
      </c>
      <c r="D1877" s="114">
        <v>0.0028453820783605195</v>
      </c>
      <c r="E1877" s="114">
        <v>2.600246650564494</v>
      </c>
      <c r="F1877" s="91" t="s">
        <v>2522</v>
      </c>
      <c r="G1877" s="91" t="b">
        <v>0</v>
      </c>
      <c r="H1877" s="91" t="b">
        <v>0</v>
      </c>
      <c r="I1877" s="91" t="b">
        <v>0</v>
      </c>
      <c r="J1877" s="91" t="b">
        <v>0</v>
      </c>
      <c r="K1877" s="91" t="b">
        <v>0</v>
      </c>
      <c r="L1877" s="91" t="b">
        <v>0</v>
      </c>
    </row>
    <row r="1878" spans="1:12" ht="15">
      <c r="A1878" s="92" t="s">
        <v>2656</v>
      </c>
      <c r="B1878" s="91" t="s">
        <v>2947</v>
      </c>
      <c r="C1878" s="91">
        <v>3</v>
      </c>
      <c r="D1878" s="114">
        <v>0.0028453820783605195</v>
      </c>
      <c r="E1878" s="114">
        <v>2.600246650564494</v>
      </c>
      <c r="F1878" s="91" t="s">
        <v>2522</v>
      </c>
      <c r="G1878" s="91" t="b">
        <v>0</v>
      </c>
      <c r="H1878" s="91" t="b">
        <v>0</v>
      </c>
      <c r="I1878" s="91" t="b">
        <v>0</v>
      </c>
      <c r="J1878" s="91" t="b">
        <v>0</v>
      </c>
      <c r="K1878" s="91" t="b">
        <v>0</v>
      </c>
      <c r="L1878" s="91" t="b">
        <v>0</v>
      </c>
    </row>
    <row r="1879" spans="1:12" ht="15">
      <c r="A1879" s="92" t="s">
        <v>2947</v>
      </c>
      <c r="B1879" s="91" t="s">
        <v>2580</v>
      </c>
      <c r="C1879" s="91">
        <v>3</v>
      </c>
      <c r="D1879" s="114">
        <v>0.0028453820783605195</v>
      </c>
      <c r="E1879" s="114">
        <v>1.7986143043313276</v>
      </c>
      <c r="F1879" s="91" t="s">
        <v>2522</v>
      </c>
      <c r="G1879" s="91" t="b">
        <v>0</v>
      </c>
      <c r="H1879" s="91" t="b">
        <v>0</v>
      </c>
      <c r="I1879" s="91" t="b">
        <v>0</v>
      </c>
      <c r="J1879" s="91" t="b">
        <v>0</v>
      </c>
      <c r="K1879" s="91" t="b">
        <v>0</v>
      </c>
      <c r="L1879" s="91" t="b">
        <v>0</v>
      </c>
    </row>
    <row r="1880" spans="1:12" ht="15">
      <c r="A1880" s="92" t="s">
        <v>2580</v>
      </c>
      <c r="B1880" s="91" t="s">
        <v>2569</v>
      </c>
      <c r="C1880" s="91">
        <v>3</v>
      </c>
      <c r="D1880" s="114">
        <v>0.0028453820783605195</v>
      </c>
      <c r="E1880" s="114">
        <v>0.7843738652167174</v>
      </c>
      <c r="F1880" s="91" t="s">
        <v>2522</v>
      </c>
      <c r="G1880" s="91" t="b">
        <v>0</v>
      </c>
      <c r="H1880" s="91" t="b">
        <v>0</v>
      </c>
      <c r="I1880" s="91" t="b">
        <v>0</v>
      </c>
      <c r="J1880" s="91" t="b">
        <v>0</v>
      </c>
      <c r="K1880" s="91" t="b">
        <v>0</v>
      </c>
      <c r="L1880" s="91" t="b">
        <v>0</v>
      </c>
    </row>
    <row r="1881" spans="1:12" ht="15">
      <c r="A1881" s="92" t="s">
        <v>2572</v>
      </c>
      <c r="B1881" s="91" t="s">
        <v>2948</v>
      </c>
      <c r="C1881" s="91">
        <v>3</v>
      </c>
      <c r="D1881" s="114">
        <v>0.0028453820783605195</v>
      </c>
      <c r="E1881" s="114">
        <v>1.6149699073852004</v>
      </c>
      <c r="F1881" s="91" t="s">
        <v>2522</v>
      </c>
      <c r="G1881" s="91" t="b">
        <v>0</v>
      </c>
      <c r="H1881" s="91" t="b">
        <v>0</v>
      </c>
      <c r="I1881" s="91" t="b">
        <v>0</v>
      </c>
      <c r="J1881" s="91" t="b">
        <v>0</v>
      </c>
      <c r="K1881" s="91" t="b">
        <v>0</v>
      </c>
      <c r="L1881" s="91" t="b">
        <v>0</v>
      </c>
    </row>
    <row r="1882" spans="1:12" ht="15">
      <c r="A1882" s="92" t="s">
        <v>2948</v>
      </c>
      <c r="B1882" s="91" t="s">
        <v>2565</v>
      </c>
      <c r="C1882" s="91">
        <v>3</v>
      </c>
      <c r="D1882" s="114">
        <v>0.0028453820783605195</v>
      </c>
      <c r="E1882" s="114">
        <v>1.6149699073852004</v>
      </c>
      <c r="F1882" s="91" t="s">
        <v>2522</v>
      </c>
      <c r="G1882" s="91" t="b">
        <v>0</v>
      </c>
      <c r="H1882" s="91" t="b">
        <v>0</v>
      </c>
      <c r="I1882" s="91" t="b">
        <v>0</v>
      </c>
      <c r="J1882" s="91" t="b">
        <v>0</v>
      </c>
      <c r="K1882" s="91" t="b">
        <v>0</v>
      </c>
      <c r="L1882" s="91" t="b">
        <v>0</v>
      </c>
    </row>
    <row r="1883" spans="1:12" ht="15">
      <c r="A1883" s="92" t="s">
        <v>2739</v>
      </c>
      <c r="B1883" s="91" t="s">
        <v>2564</v>
      </c>
      <c r="C1883" s="91">
        <v>3</v>
      </c>
      <c r="D1883" s="114">
        <v>0.0028453820783605195</v>
      </c>
      <c r="E1883" s="114">
        <v>0.9470341367891504</v>
      </c>
      <c r="F1883" s="91" t="s">
        <v>2522</v>
      </c>
      <c r="G1883" s="91" t="b">
        <v>0</v>
      </c>
      <c r="H1883" s="91" t="b">
        <v>0</v>
      </c>
      <c r="I1883" s="91" t="b">
        <v>0</v>
      </c>
      <c r="J1883" s="91" t="b">
        <v>0</v>
      </c>
      <c r="K1883" s="91" t="b">
        <v>0</v>
      </c>
      <c r="L1883" s="91" t="b">
        <v>0</v>
      </c>
    </row>
    <row r="1884" spans="1:12" ht="15">
      <c r="A1884" s="92" t="s">
        <v>2584</v>
      </c>
      <c r="B1884" s="91" t="s">
        <v>2770</v>
      </c>
      <c r="C1884" s="91">
        <v>3</v>
      </c>
      <c r="D1884" s="114">
        <v>0.0028453820783605195</v>
      </c>
      <c r="E1884" s="114">
        <v>1.9312398696059183</v>
      </c>
      <c r="F1884" s="91" t="s">
        <v>2522</v>
      </c>
      <c r="G1884" s="91" t="b">
        <v>0</v>
      </c>
      <c r="H1884" s="91" t="b">
        <v>0</v>
      </c>
      <c r="I1884" s="91" t="b">
        <v>0</v>
      </c>
      <c r="J1884" s="91" t="b">
        <v>0</v>
      </c>
      <c r="K1884" s="91" t="b">
        <v>0</v>
      </c>
      <c r="L1884" s="91" t="b">
        <v>0</v>
      </c>
    </row>
    <row r="1885" spans="1:12" ht="15">
      <c r="A1885" s="92" t="s">
        <v>2770</v>
      </c>
      <c r="B1885" s="91" t="s">
        <v>2644</v>
      </c>
      <c r="C1885" s="91">
        <v>3</v>
      </c>
      <c r="D1885" s="114">
        <v>0.0028453820783605195</v>
      </c>
      <c r="E1885" s="114">
        <v>2.0359752201259314</v>
      </c>
      <c r="F1885" s="91" t="s">
        <v>2522</v>
      </c>
      <c r="G1885" s="91" t="b">
        <v>0</v>
      </c>
      <c r="H1885" s="91" t="b">
        <v>0</v>
      </c>
      <c r="I1885" s="91" t="b">
        <v>0</v>
      </c>
      <c r="J1885" s="91" t="b">
        <v>0</v>
      </c>
      <c r="K1885" s="91" t="b">
        <v>0</v>
      </c>
      <c r="L1885" s="91" t="b">
        <v>0</v>
      </c>
    </row>
    <row r="1886" spans="1:12" ht="15">
      <c r="A1886" s="92" t="s">
        <v>2575</v>
      </c>
      <c r="B1886" s="91" t="s">
        <v>2612</v>
      </c>
      <c r="C1886" s="91">
        <v>3</v>
      </c>
      <c r="D1886" s="114">
        <v>0.0028453820783605195</v>
      </c>
      <c r="E1886" s="114">
        <v>1.9012766462284754</v>
      </c>
      <c r="F1886" s="91" t="s">
        <v>2522</v>
      </c>
      <c r="G1886" s="91" t="b">
        <v>0</v>
      </c>
      <c r="H1886" s="91" t="b">
        <v>0</v>
      </c>
      <c r="I1886" s="91" t="b">
        <v>0</v>
      </c>
      <c r="J1886" s="91" t="b">
        <v>0</v>
      </c>
      <c r="K1886" s="91" t="b">
        <v>0</v>
      </c>
      <c r="L1886" s="91" t="b">
        <v>0</v>
      </c>
    </row>
    <row r="1887" spans="1:12" ht="15">
      <c r="A1887" s="92" t="s">
        <v>2612</v>
      </c>
      <c r="B1887" s="91" t="s">
        <v>2643</v>
      </c>
      <c r="C1887" s="91">
        <v>3</v>
      </c>
      <c r="D1887" s="114">
        <v>0.0028453820783605195</v>
      </c>
      <c r="E1887" s="114">
        <v>2.600246650564494</v>
      </c>
      <c r="F1887" s="91" t="s">
        <v>2522</v>
      </c>
      <c r="G1887" s="91" t="b">
        <v>0</v>
      </c>
      <c r="H1887" s="91" t="b">
        <v>0</v>
      </c>
      <c r="I1887" s="91" t="b">
        <v>0</v>
      </c>
      <c r="J1887" s="91" t="b">
        <v>0</v>
      </c>
      <c r="K1887" s="91" t="b">
        <v>0</v>
      </c>
      <c r="L1887" s="91" t="b">
        <v>0</v>
      </c>
    </row>
    <row r="1888" spans="1:12" ht="15">
      <c r="A1888" s="92" t="s">
        <v>2643</v>
      </c>
      <c r="B1888" s="91" t="s">
        <v>2570</v>
      </c>
      <c r="C1888" s="91">
        <v>3</v>
      </c>
      <c r="D1888" s="114">
        <v>0.0028453820783605195</v>
      </c>
      <c r="E1888" s="114">
        <v>1.9012766462284754</v>
      </c>
      <c r="F1888" s="91" t="s">
        <v>2522</v>
      </c>
      <c r="G1888" s="91" t="b">
        <v>0</v>
      </c>
      <c r="H1888" s="91" t="b">
        <v>0</v>
      </c>
      <c r="I1888" s="91" t="b">
        <v>0</v>
      </c>
      <c r="J1888" s="91" t="b">
        <v>0</v>
      </c>
      <c r="K1888" s="91" t="b">
        <v>0</v>
      </c>
      <c r="L1888" s="91" t="b">
        <v>0</v>
      </c>
    </row>
    <row r="1889" spans="1:12" ht="15">
      <c r="A1889" s="92" t="s">
        <v>2669</v>
      </c>
      <c r="B1889" s="91" t="s">
        <v>2607</v>
      </c>
      <c r="C1889" s="91">
        <v>3</v>
      </c>
      <c r="D1889" s="114">
        <v>0.0028453820783605195</v>
      </c>
      <c r="E1889" s="114">
        <v>1.8469189839058824</v>
      </c>
      <c r="F1889" s="91" t="s">
        <v>2522</v>
      </c>
      <c r="G1889" s="91" t="b">
        <v>0</v>
      </c>
      <c r="H1889" s="91" t="b">
        <v>0</v>
      </c>
      <c r="I1889" s="91" t="b">
        <v>0</v>
      </c>
      <c r="J1889" s="91" t="b">
        <v>0</v>
      </c>
      <c r="K1889" s="91" t="b">
        <v>0</v>
      </c>
      <c r="L1889" s="91" t="b">
        <v>0</v>
      </c>
    </row>
    <row r="1890" spans="1:12" ht="15">
      <c r="A1890" s="92" t="s">
        <v>2607</v>
      </c>
      <c r="B1890" s="91" t="s">
        <v>2698</v>
      </c>
      <c r="C1890" s="91">
        <v>3</v>
      </c>
      <c r="D1890" s="114">
        <v>0.0028453820783605195</v>
      </c>
      <c r="E1890" s="114">
        <v>1.8469189839058824</v>
      </c>
      <c r="F1890" s="91" t="s">
        <v>2522</v>
      </c>
      <c r="G1890" s="91" t="b">
        <v>0</v>
      </c>
      <c r="H1890" s="91" t="b">
        <v>0</v>
      </c>
      <c r="I1890" s="91" t="b">
        <v>0</v>
      </c>
      <c r="J1890" s="91" t="b">
        <v>0</v>
      </c>
      <c r="K1890" s="91" t="b">
        <v>0</v>
      </c>
      <c r="L1890" s="91" t="b">
        <v>0</v>
      </c>
    </row>
    <row r="1891" spans="1:12" ht="15">
      <c r="A1891" s="92" t="s">
        <v>2698</v>
      </c>
      <c r="B1891" s="91" t="s">
        <v>2699</v>
      </c>
      <c r="C1891" s="91">
        <v>3</v>
      </c>
      <c r="D1891" s="114">
        <v>0.0028453820783605195</v>
      </c>
      <c r="E1891" s="114">
        <v>2.600246650564494</v>
      </c>
      <c r="F1891" s="91" t="s">
        <v>2522</v>
      </c>
      <c r="G1891" s="91" t="b">
        <v>0</v>
      </c>
      <c r="H1891" s="91" t="b">
        <v>0</v>
      </c>
      <c r="I1891" s="91" t="b">
        <v>0</v>
      </c>
      <c r="J1891" s="91" t="b">
        <v>0</v>
      </c>
      <c r="K1891" s="91" t="b">
        <v>0</v>
      </c>
      <c r="L1891" s="91" t="b">
        <v>0</v>
      </c>
    </row>
    <row r="1892" spans="1:12" ht="15">
      <c r="A1892" s="92" t="s">
        <v>2699</v>
      </c>
      <c r="B1892" s="91" t="s">
        <v>2635</v>
      </c>
      <c r="C1892" s="91">
        <v>3</v>
      </c>
      <c r="D1892" s="114">
        <v>0.0028453820783605195</v>
      </c>
      <c r="E1892" s="114">
        <v>2.600246650564494</v>
      </c>
      <c r="F1892" s="91" t="s">
        <v>2522</v>
      </c>
      <c r="G1892" s="91" t="b">
        <v>0</v>
      </c>
      <c r="H1892" s="91" t="b">
        <v>0</v>
      </c>
      <c r="I1892" s="91" t="b">
        <v>0</v>
      </c>
      <c r="J1892" s="91" t="b">
        <v>0</v>
      </c>
      <c r="K1892" s="91" t="b">
        <v>0</v>
      </c>
      <c r="L1892" s="91" t="b">
        <v>0</v>
      </c>
    </row>
    <row r="1893" spans="1:12" ht="15">
      <c r="A1893" s="92" t="s">
        <v>2651</v>
      </c>
      <c r="B1893" s="91" t="s">
        <v>2581</v>
      </c>
      <c r="C1893" s="91">
        <v>3</v>
      </c>
      <c r="D1893" s="114">
        <v>0.0028453820783605195</v>
      </c>
      <c r="E1893" s="114">
        <v>2.0359752201259314</v>
      </c>
      <c r="F1893" s="91" t="s">
        <v>2522</v>
      </c>
      <c r="G1893" s="91" t="b">
        <v>0</v>
      </c>
      <c r="H1893" s="91" t="b">
        <v>0</v>
      </c>
      <c r="I1893" s="91" t="b">
        <v>0</v>
      </c>
      <c r="J1893" s="91" t="b">
        <v>0</v>
      </c>
      <c r="K1893" s="91" t="b">
        <v>0</v>
      </c>
      <c r="L1893" s="91" t="b">
        <v>0</v>
      </c>
    </row>
    <row r="1894" spans="1:12" ht="15">
      <c r="A1894" s="92" t="s">
        <v>2583</v>
      </c>
      <c r="B1894" s="91" t="s">
        <v>2617</v>
      </c>
      <c r="C1894" s="91">
        <v>3</v>
      </c>
      <c r="D1894" s="114">
        <v>0.0028453820783605195</v>
      </c>
      <c r="E1894" s="114">
        <v>1.6250702342895262</v>
      </c>
      <c r="F1894" s="91" t="s">
        <v>2522</v>
      </c>
      <c r="G1894" s="91" t="b">
        <v>0</v>
      </c>
      <c r="H1894" s="91" t="b">
        <v>0</v>
      </c>
      <c r="I1894" s="91" t="b">
        <v>0</v>
      </c>
      <c r="J1894" s="91" t="b">
        <v>0</v>
      </c>
      <c r="K1894" s="91" t="b">
        <v>0</v>
      </c>
      <c r="L1894" s="91" t="b">
        <v>0</v>
      </c>
    </row>
    <row r="1895" spans="1:12" ht="15">
      <c r="A1895" s="92" t="s">
        <v>2673</v>
      </c>
      <c r="B1895" s="91" t="s">
        <v>2674</v>
      </c>
      <c r="C1895" s="91">
        <v>2</v>
      </c>
      <c r="D1895" s="114">
        <v>0.002180939545340907</v>
      </c>
      <c r="E1895" s="114">
        <v>2.7763379096201755</v>
      </c>
      <c r="F1895" s="91" t="s">
        <v>2522</v>
      </c>
      <c r="G1895" s="91" t="b">
        <v>0</v>
      </c>
      <c r="H1895" s="91" t="b">
        <v>0</v>
      </c>
      <c r="I1895" s="91" t="b">
        <v>0</v>
      </c>
      <c r="J1895" s="91" t="b">
        <v>0</v>
      </c>
      <c r="K1895" s="91" t="b">
        <v>0</v>
      </c>
      <c r="L1895" s="91" t="b">
        <v>0</v>
      </c>
    </row>
    <row r="1896" spans="1:12" ht="15">
      <c r="A1896" s="92" t="s">
        <v>2674</v>
      </c>
      <c r="B1896" s="91" t="s">
        <v>2581</v>
      </c>
      <c r="C1896" s="91">
        <v>2</v>
      </c>
      <c r="D1896" s="114">
        <v>0.002180939545340907</v>
      </c>
      <c r="E1896" s="114">
        <v>2.0359752201259314</v>
      </c>
      <c r="F1896" s="91" t="s">
        <v>2522</v>
      </c>
      <c r="G1896" s="91" t="b">
        <v>0</v>
      </c>
      <c r="H1896" s="91" t="b">
        <v>0</v>
      </c>
      <c r="I1896" s="91" t="b">
        <v>0</v>
      </c>
      <c r="J1896" s="91" t="b">
        <v>0</v>
      </c>
      <c r="K1896" s="91" t="b">
        <v>0</v>
      </c>
      <c r="L1896" s="91" t="b">
        <v>0</v>
      </c>
    </row>
    <row r="1897" spans="1:12" ht="15">
      <c r="A1897" s="92" t="s">
        <v>2581</v>
      </c>
      <c r="B1897" s="91" t="s">
        <v>2675</v>
      </c>
      <c r="C1897" s="91">
        <v>2</v>
      </c>
      <c r="D1897" s="114">
        <v>0.002180939545340907</v>
      </c>
      <c r="E1897" s="114">
        <v>2.0359752201259314</v>
      </c>
      <c r="F1897" s="91" t="s">
        <v>2522</v>
      </c>
      <c r="G1897" s="91" t="b">
        <v>0</v>
      </c>
      <c r="H1897" s="91" t="b">
        <v>0</v>
      </c>
      <c r="I1897" s="91" t="b">
        <v>0</v>
      </c>
      <c r="J1897" s="91" t="b">
        <v>0</v>
      </c>
      <c r="K1897" s="91" t="b">
        <v>0</v>
      </c>
      <c r="L1897" s="91" t="b">
        <v>0</v>
      </c>
    </row>
    <row r="1898" spans="1:12" ht="15">
      <c r="A1898" s="92" t="s">
        <v>2675</v>
      </c>
      <c r="B1898" s="91" t="s">
        <v>2610</v>
      </c>
      <c r="C1898" s="91">
        <v>2</v>
      </c>
      <c r="D1898" s="114">
        <v>0.002180939545340907</v>
      </c>
      <c r="E1898" s="114">
        <v>2.7763379096201755</v>
      </c>
      <c r="F1898" s="91" t="s">
        <v>2522</v>
      </c>
      <c r="G1898" s="91" t="b">
        <v>0</v>
      </c>
      <c r="H1898" s="91" t="b">
        <v>0</v>
      </c>
      <c r="I1898" s="91" t="b">
        <v>0</v>
      </c>
      <c r="J1898" s="91" t="b">
        <v>0</v>
      </c>
      <c r="K1898" s="91" t="b">
        <v>0</v>
      </c>
      <c r="L1898" s="91" t="b">
        <v>0</v>
      </c>
    </row>
    <row r="1899" spans="1:12" ht="15">
      <c r="A1899" s="92" t="s">
        <v>2610</v>
      </c>
      <c r="B1899" s="91" t="s">
        <v>2567</v>
      </c>
      <c r="C1899" s="91">
        <v>2</v>
      </c>
      <c r="D1899" s="114">
        <v>0.002180939545340907</v>
      </c>
      <c r="E1899" s="114">
        <v>1.7156400692665636</v>
      </c>
      <c r="F1899" s="91" t="s">
        <v>2522</v>
      </c>
      <c r="G1899" s="91" t="b">
        <v>0</v>
      </c>
      <c r="H1899" s="91" t="b">
        <v>0</v>
      </c>
      <c r="I1899" s="91" t="b">
        <v>0</v>
      </c>
      <c r="J1899" s="91" t="b">
        <v>0</v>
      </c>
      <c r="K1899" s="91" t="b">
        <v>0</v>
      </c>
      <c r="L1899" s="91" t="b">
        <v>0</v>
      </c>
    </row>
    <row r="1900" spans="1:12" ht="15">
      <c r="A1900" s="92" t="s">
        <v>2567</v>
      </c>
      <c r="B1900" s="91" t="s">
        <v>2617</v>
      </c>
      <c r="C1900" s="91">
        <v>2</v>
      </c>
      <c r="D1900" s="114">
        <v>0.002180939545340907</v>
      </c>
      <c r="E1900" s="114">
        <v>1.317700060594526</v>
      </c>
      <c r="F1900" s="91" t="s">
        <v>2522</v>
      </c>
      <c r="G1900" s="91" t="b">
        <v>0</v>
      </c>
      <c r="H1900" s="91" t="b">
        <v>0</v>
      </c>
      <c r="I1900" s="91" t="b">
        <v>0</v>
      </c>
      <c r="J1900" s="91" t="b">
        <v>0</v>
      </c>
      <c r="K1900" s="91" t="b">
        <v>0</v>
      </c>
      <c r="L1900" s="91" t="b">
        <v>0</v>
      </c>
    </row>
    <row r="1901" spans="1:12" ht="15">
      <c r="A1901" s="92" t="s">
        <v>2617</v>
      </c>
      <c r="B1901" s="91" t="s">
        <v>2577</v>
      </c>
      <c r="C1901" s="91">
        <v>2</v>
      </c>
      <c r="D1901" s="114">
        <v>0.002180939545340907</v>
      </c>
      <c r="E1901" s="114">
        <v>2.0773679052841567</v>
      </c>
      <c r="F1901" s="91" t="s">
        <v>2522</v>
      </c>
      <c r="G1901" s="91" t="b">
        <v>0</v>
      </c>
      <c r="H1901" s="91" t="b">
        <v>0</v>
      </c>
      <c r="I1901" s="91" t="b">
        <v>0</v>
      </c>
      <c r="J1901" s="91" t="b">
        <v>0</v>
      </c>
      <c r="K1901" s="91" t="b">
        <v>0</v>
      </c>
      <c r="L1901" s="91" t="b">
        <v>0</v>
      </c>
    </row>
    <row r="1902" spans="1:12" ht="15">
      <c r="A1902" s="92" t="s">
        <v>2577</v>
      </c>
      <c r="B1902" s="91" t="s">
        <v>2571</v>
      </c>
      <c r="C1902" s="91">
        <v>2</v>
      </c>
      <c r="D1902" s="114">
        <v>0.002180939545340907</v>
      </c>
      <c r="E1902" s="114">
        <v>0.8469189839058826</v>
      </c>
      <c r="F1902" s="91" t="s">
        <v>2522</v>
      </c>
      <c r="G1902" s="91" t="b">
        <v>0</v>
      </c>
      <c r="H1902" s="91" t="b">
        <v>0</v>
      </c>
      <c r="I1902" s="91" t="b">
        <v>0</v>
      </c>
      <c r="J1902" s="91" t="b">
        <v>0</v>
      </c>
      <c r="K1902" s="91" t="b">
        <v>0</v>
      </c>
      <c r="L1902" s="91" t="b">
        <v>0</v>
      </c>
    </row>
    <row r="1903" spans="1:12" ht="15">
      <c r="A1903" s="92" t="s">
        <v>2571</v>
      </c>
      <c r="B1903" s="91" t="s">
        <v>2631</v>
      </c>
      <c r="C1903" s="91">
        <v>2</v>
      </c>
      <c r="D1903" s="114">
        <v>0.002180939545340907</v>
      </c>
      <c r="E1903" s="114">
        <v>1.5458889882419014</v>
      </c>
      <c r="F1903" s="91" t="s">
        <v>2522</v>
      </c>
      <c r="G1903" s="91" t="b">
        <v>0</v>
      </c>
      <c r="H1903" s="91" t="b">
        <v>0</v>
      </c>
      <c r="I1903" s="91" t="b">
        <v>0</v>
      </c>
      <c r="J1903" s="91" t="b">
        <v>0</v>
      </c>
      <c r="K1903" s="91" t="b">
        <v>0</v>
      </c>
      <c r="L1903" s="91" t="b">
        <v>0</v>
      </c>
    </row>
    <row r="1904" spans="1:12" ht="15">
      <c r="A1904" s="92" t="s">
        <v>2631</v>
      </c>
      <c r="B1904" s="91" t="s">
        <v>2659</v>
      </c>
      <c r="C1904" s="91">
        <v>2</v>
      </c>
      <c r="D1904" s="114">
        <v>0.002180939545340907</v>
      </c>
      <c r="E1904" s="114">
        <v>2.7763379096201755</v>
      </c>
      <c r="F1904" s="91" t="s">
        <v>2522</v>
      </c>
      <c r="G1904" s="91" t="b">
        <v>0</v>
      </c>
      <c r="H1904" s="91" t="b">
        <v>0</v>
      </c>
      <c r="I1904" s="91" t="b">
        <v>0</v>
      </c>
      <c r="J1904" s="91" t="b">
        <v>0</v>
      </c>
      <c r="K1904" s="91" t="b">
        <v>0</v>
      </c>
      <c r="L1904" s="91" t="b">
        <v>0</v>
      </c>
    </row>
    <row r="1905" spans="1:12" ht="15">
      <c r="A1905" s="92" t="s">
        <v>2659</v>
      </c>
      <c r="B1905" s="91" t="s">
        <v>2573</v>
      </c>
      <c r="C1905" s="91">
        <v>2</v>
      </c>
      <c r="D1905" s="114">
        <v>0.002180939545340907</v>
      </c>
      <c r="E1905" s="114">
        <v>1.5210654045168692</v>
      </c>
      <c r="F1905" s="91" t="s">
        <v>2522</v>
      </c>
      <c r="G1905" s="91" t="b">
        <v>0</v>
      </c>
      <c r="H1905" s="91" t="b">
        <v>0</v>
      </c>
      <c r="I1905" s="91" t="b">
        <v>0</v>
      </c>
      <c r="J1905" s="91" t="b">
        <v>0</v>
      </c>
      <c r="K1905" s="91" t="b">
        <v>0</v>
      </c>
      <c r="L1905" s="91" t="b">
        <v>0</v>
      </c>
    </row>
    <row r="1906" spans="1:12" ht="15">
      <c r="A1906" s="92" t="s">
        <v>2573</v>
      </c>
      <c r="B1906" s="91" t="s">
        <v>2565</v>
      </c>
      <c r="C1906" s="91">
        <v>2</v>
      </c>
      <c r="D1906" s="114">
        <v>0.002180939545340907</v>
      </c>
      <c r="E1906" s="114">
        <v>0.35969740228189434</v>
      </c>
      <c r="F1906" s="91" t="s">
        <v>2522</v>
      </c>
      <c r="G1906" s="91" t="b">
        <v>0</v>
      </c>
      <c r="H1906" s="91" t="b">
        <v>0</v>
      </c>
      <c r="I1906" s="91" t="b">
        <v>0</v>
      </c>
      <c r="J1906" s="91" t="b">
        <v>0</v>
      </c>
      <c r="K1906" s="91" t="b">
        <v>0</v>
      </c>
      <c r="L1906" s="91" t="b">
        <v>0</v>
      </c>
    </row>
    <row r="1907" spans="1:12" ht="15">
      <c r="A1907" s="92" t="s">
        <v>2565</v>
      </c>
      <c r="B1907" s="91" t="s">
        <v>2579</v>
      </c>
      <c r="C1907" s="91">
        <v>2</v>
      </c>
      <c r="D1907" s="114">
        <v>0.002180939545340907</v>
      </c>
      <c r="E1907" s="114">
        <v>0.6149699073852004</v>
      </c>
      <c r="F1907" s="91" t="s">
        <v>2522</v>
      </c>
      <c r="G1907" s="91" t="b">
        <v>0</v>
      </c>
      <c r="H1907" s="91" t="b">
        <v>0</v>
      </c>
      <c r="I1907" s="91" t="b">
        <v>0</v>
      </c>
      <c r="J1907" s="91" t="b">
        <v>0</v>
      </c>
      <c r="K1907" s="91" t="b">
        <v>0</v>
      </c>
      <c r="L1907" s="91" t="b">
        <v>0</v>
      </c>
    </row>
    <row r="1908" spans="1:12" ht="15">
      <c r="A1908" s="92" t="s">
        <v>2579</v>
      </c>
      <c r="B1908" s="91" t="s">
        <v>2564</v>
      </c>
      <c r="C1908" s="91">
        <v>2</v>
      </c>
      <c r="D1908" s="114">
        <v>0.002180939545340907</v>
      </c>
      <c r="E1908" s="114">
        <v>0.4241553915088128</v>
      </c>
      <c r="F1908" s="91" t="s">
        <v>2522</v>
      </c>
      <c r="G1908" s="91" t="b">
        <v>0</v>
      </c>
      <c r="H1908" s="91" t="b">
        <v>0</v>
      </c>
      <c r="I1908" s="91" t="b">
        <v>0</v>
      </c>
      <c r="J1908" s="91" t="b">
        <v>0</v>
      </c>
      <c r="K1908" s="91" t="b">
        <v>0</v>
      </c>
      <c r="L1908" s="91" t="b">
        <v>0</v>
      </c>
    </row>
    <row r="1909" spans="1:12" ht="15">
      <c r="A1909" s="92" t="s">
        <v>2584</v>
      </c>
      <c r="B1909" s="91" t="s">
        <v>2644</v>
      </c>
      <c r="C1909" s="91">
        <v>2</v>
      </c>
      <c r="D1909" s="114">
        <v>0.002180939545340907</v>
      </c>
      <c r="E1909" s="114">
        <v>1.1908771801116746</v>
      </c>
      <c r="F1909" s="91" t="s">
        <v>2522</v>
      </c>
      <c r="G1909" s="91" t="b">
        <v>0</v>
      </c>
      <c r="H1909" s="91" t="b">
        <v>0</v>
      </c>
      <c r="I1909" s="91" t="b">
        <v>0</v>
      </c>
      <c r="J1909" s="91" t="b">
        <v>0</v>
      </c>
      <c r="K1909" s="91" t="b">
        <v>0</v>
      </c>
      <c r="L1909" s="91" t="b">
        <v>0</v>
      </c>
    </row>
    <row r="1910" spans="1:12" ht="15">
      <c r="A1910" s="92" t="s">
        <v>2570</v>
      </c>
      <c r="B1910" s="91" t="s">
        <v>2645</v>
      </c>
      <c r="C1910" s="91">
        <v>2</v>
      </c>
      <c r="D1910" s="114">
        <v>0.002180939545340907</v>
      </c>
      <c r="E1910" s="114">
        <v>1.9981866592365316</v>
      </c>
      <c r="F1910" s="91" t="s">
        <v>2522</v>
      </c>
      <c r="G1910" s="91" t="b">
        <v>0</v>
      </c>
      <c r="H1910" s="91" t="b">
        <v>0</v>
      </c>
      <c r="I1910" s="91" t="b">
        <v>0</v>
      </c>
      <c r="J1910" s="91" t="b">
        <v>0</v>
      </c>
      <c r="K1910" s="91" t="b">
        <v>0</v>
      </c>
      <c r="L1910" s="91" t="b">
        <v>0</v>
      </c>
    </row>
    <row r="1911" spans="1:12" ht="15">
      <c r="A1911" s="92" t="s">
        <v>2645</v>
      </c>
      <c r="B1911" s="91" t="s">
        <v>2632</v>
      </c>
      <c r="C1911" s="91">
        <v>2</v>
      </c>
      <c r="D1911" s="114">
        <v>0.002180939545340907</v>
      </c>
      <c r="E1911" s="114">
        <v>2.600246650564494</v>
      </c>
      <c r="F1911" s="91" t="s">
        <v>2522</v>
      </c>
      <c r="G1911" s="91" t="b">
        <v>0</v>
      </c>
      <c r="H1911" s="91" t="b">
        <v>0</v>
      </c>
      <c r="I1911" s="91" t="b">
        <v>0</v>
      </c>
      <c r="J1911" s="91" t="b">
        <v>0</v>
      </c>
      <c r="K1911" s="91" t="b">
        <v>0</v>
      </c>
      <c r="L1911" s="91" t="b">
        <v>0</v>
      </c>
    </row>
    <row r="1912" spans="1:12" ht="15">
      <c r="A1912" s="92" t="s">
        <v>2632</v>
      </c>
      <c r="B1912" s="91" t="s">
        <v>436</v>
      </c>
      <c r="C1912" s="91">
        <v>2</v>
      </c>
      <c r="D1912" s="114">
        <v>0.002180939545340907</v>
      </c>
      <c r="E1912" s="114">
        <v>2.600246650564494</v>
      </c>
      <c r="F1912" s="91" t="s">
        <v>2522</v>
      </c>
      <c r="G1912" s="91" t="b">
        <v>0</v>
      </c>
      <c r="H1912" s="91" t="b">
        <v>0</v>
      </c>
      <c r="I1912" s="91" t="b">
        <v>0</v>
      </c>
      <c r="J1912" s="91" t="b">
        <v>0</v>
      </c>
      <c r="K1912" s="91" t="b">
        <v>0</v>
      </c>
      <c r="L1912" s="91" t="b">
        <v>0</v>
      </c>
    </row>
    <row r="1913" spans="1:12" ht="15">
      <c r="A1913" s="92" t="s">
        <v>2681</v>
      </c>
      <c r="B1913" s="91" t="s">
        <v>2682</v>
      </c>
      <c r="C1913" s="91">
        <v>2</v>
      </c>
      <c r="D1913" s="114">
        <v>0.002180939545340907</v>
      </c>
      <c r="E1913" s="114">
        <v>2.7763379096201755</v>
      </c>
      <c r="F1913" s="91" t="s">
        <v>2522</v>
      </c>
      <c r="G1913" s="91" t="b">
        <v>0</v>
      </c>
      <c r="H1913" s="91" t="b">
        <v>0</v>
      </c>
      <c r="I1913" s="91" t="b">
        <v>0</v>
      </c>
      <c r="J1913" s="91" t="b">
        <v>0</v>
      </c>
      <c r="K1913" s="91" t="b">
        <v>0</v>
      </c>
      <c r="L1913" s="91" t="b">
        <v>0</v>
      </c>
    </row>
    <row r="1914" spans="1:12" ht="15">
      <c r="A1914" s="92" t="s">
        <v>2682</v>
      </c>
      <c r="B1914" s="91" t="s">
        <v>2582</v>
      </c>
      <c r="C1914" s="91">
        <v>2</v>
      </c>
      <c r="D1914" s="114">
        <v>0.002180939545340907</v>
      </c>
      <c r="E1914" s="114">
        <v>2.174277918292213</v>
      </c>
      <c r="F1914" s="91" t="s">
        <v>2522</v>
      </c>
      <c r="G1914" s="91" t="b">
        <v>0</v>
      </c>
      <c r="H1914" s="91" t="b">
        <v>0</v>
      </c>
      <c r="I1914" s="91" t="b">
        <v>0</v>
      </c>
      <c r="J1914" s="91" t="b">
        <v>0</v>
      </c>
      <c r="K1914" s="91" t="b">
        <v>0</v>
      </c>
      <c r="L1914" s="91" t="b">
        <v>0</v>
      </c>
    </row>
    <row r="1915" spans="1:12" ht="15">
      <c r="A1915" s="92" t="s">
        <v>2582</v>
      </c>
      <c r="B1915" s="91" t="s">
        <v>2683</v>
      </c>
      <c r="C1915" s="91">
        <v>2</v>
      </c>
      <c r="D1915" s="114">
        <v>0.002180939545340907</v>
      </c>
      <c r="E1915" s="114">
        <v>2.174277918292213</v>
      </c>
      <c r="F1915" s="91" t="s">
        <v>2522</v>
      </c>
      <c r="G1915" s="91" t="b">
        <v>0</v>
      </c>
      <c r="H1915" s="91" t="b">
        <v>0</v>
      </c>
      <c r="I1915" s="91" t="b">
        <v>0</v>
      </c>
      <c r="J1915" s="91" t="b">
        <v>0</v>
      </c>
      <c r="K1915" s="91" t="b">
        <v>0</v>
      </c>
      <c r="L1915" s="91" t="b">
        <v>0</v>
      </c>
    </row>
    <row r="1916" spans="1:12" ht="15">
      <c r="A1916" s="92" t="s">
        <v>2683</v>
      </c>
      <c r="B1916" s="91" t="s">
        <v>2684</v>
      </c>
      <c r="C1916" s="91">
        <v>2</v>
      </c>
      <c r="D1916" s="114">
        <v>0.002180939545340907</v>
      </c>
      <c r="E1916" s="114">
        <v>2.7763379096201755</v>
      </c>
      <c r="F1916" s="91" t="s">
        <v>2522</v>
      </c>
      <c r="G1916" s="91" t="b">
        <v>0</v>
      </c>
      <c r="H1916" s="91" t="b">
        <v>0</v>
      </c>
      <c r="I1916" s="91" t="b">
        <v>0</v>
      </c>
      <c r="J1916" s="91" t="b">
        <v>0</v>
      </c>
      <c r="K1916" s="91" t="b">
        <v>0</v>
      </c>
      <c r="L1916" s="91" t="b">
        <v>0</v>
      </c>
    </row>
    <row r="1917" spans="1:12" ht="15">
      <c r="A1917" s="92" t="s">
        <v>2684</v>
      </c>
      <c r="B1917" s="91" t="s">
        <v>2685</v>
      </c>
      <c r="C1917" s="91">
        <v>2</v>
      </c>
      <c r="D1917" s="114">
        <v>0.002180939545340907</v>
      </c>
      <c r="E1917" s="114">
        <v>2.7763379096201755</v>
      </c>
      <c r="F1917" s="91" t="s">
        <v>2522</v>
      </c>
      <c r="G1917" s="91" t="b">
        <v>0</v>
      </c>
      <c r="H1917" s="91" t="b">
        <v>0</v>
      </c>
      <c r="I1917" s="91" t="b">
        <v>0</v>
      </c>
      <c r="J1917" s="91" t="b">
        <v>0</v>
      </c>
      <c r="K1917" s="91" t="b">
        <v>0</v>
      </c>
      <c r="L1917" s="91" t="b">
        <v>0</v>
      </c>
    </row>
    <row r="1918" spans="1:12" ht="15">
      <c r="A1918" s="92" t="s">
        <v>2685</v>
      </c>
      <c r="B1918" s="91" t="s">
        <v>2686</v>
      </c>
      <c r="C1918" s="91">
        <v>2</v>
      </c>
      <c r="D1918" s="114">
        <v>0.002180939545340907</v>
      </c>
      <c r="E1918" s="114">
        <v>2.7763379096201755</v>
      </c>
      <c r="F1918" s="91" t="s">
        <v>2522</v>
      </c>
      <c r="G1918" s="91" t="b">
        <v>0</v>
      </c>
      <c r="H1918" s="91" t="b">
        <v>0</v>
      </c>
      <c r="I1918" s="91" t="b">
        <v>0</v>
      </c>
      <c r="J1918" s="91" t="b">
        <v>0</v>
      </c>
      <c r="K1918" s="91" t="b">
        <v>0</v>
      </c>
      <c r="L1918" s="91" t="b">
        <v>0</v>
      </c>
    </row>
    <row r="1919" spans="1:12" ht="15">
      <c r="A1919" s="92" t="s">
        <v>2686</v>
      </c>
      <c r="B1919" s="91" t="s">
        <v>2582</v>
      </c>
      <c r="C1919" s="91">
        <v>2</v>
      </c>
      <c r="D1919" s="114">
        <v>0.002180939545340907</v>
      </c>
      <c r="E1919" s="114">
        <v>2.174277918292213</v>
      </c>
      <c r="F1919" s="91" t="s">
        <v>2522</v>
      </c>
      <c r="G1919" s="91" t="b">
        <v>0</v>
      </c>
      <c r="H1919" s="91" t="b">
        <v>0</v>
      </c>
      <c r="I1919" s="91" t="b">
        <v>0</v>
      </c>
      <c r="J1919" s="91" t="b">
        <v>0</v>
      </c>
      <c r="K1919" s="91" t="b">
        <v>0</v>
      </c>
      <c r="L1919" s="91" t="b">
        <v>0</v>
      </c>
    </row>
    <row r="1920" spans="1:12" ht="15">
      <c r="A1920" s="92" t="s">
        <v>2582</v>
      </c>
      <c r="B1920" s="91" t="s">
        <v>2687</v>
      </c>
      <c r="C1920" s="91">
        <v>2</v>
      </c>
      <c r="D1920" s="114">
        <v>0.002180939545340907</v>
      </c>
      <c r="E1920" s="114">
        <v>2.174277918292213</v>
      </c>
      <c r="F1920" s="91" t="s">
        <v>2522</v>
      </c>
      <c r="G1920" s="91" t="b">
        <v>0</v>
      </c>
      <c r="H1920" s="91" t="b">
        <v>0</v>
      </c>
      <c r="I1920" s="91" t="b">
        <v>0</v>
      </c>
      <c r="J1920" s="91" t="b">
        <v>0</v>
      </c>
      <c r="K1920" s="91" t="b">
        <v>0</v>
      </c>
      <c r="L1920" s="91" t="b">
        <v>0</v>
      </c>
    </row>
    <row r="1921" spans="1:12" ht="15">
      <c r="A1921" s="92" t="s">
        <v>2687</v>
      </c>
      <c r="B1921" s="91" t="s">
        <v>2688</v>
      </c>
      <c r="C1921" s="91">
        <v>2</v>
      </c>
      <c r="D1921" s="114">
        <v>0.002180939545340907</v>
      </c>
      <c r="E1921" s="114">
        <v>2.7763379096201755</v>
      </c>
      <c r="F1921" s="91" t="s">
        <v>2522</v>
      </c>
      <c r="G1921" s="91" t="b">
        <v>0</v>
      </c>
      <c r="H1921" s="91" t="b">
        <v>0</v>
      </c>
      <c r="I1921" s="91" t="b">
        <v>0</v>
      </c>
      <c r="J1921" s="91" t="b">
        <v>0</v>
      </c>
      <c r="K1921" s="91" t="b">
        <v>0</v>
      </c>
      <c r="L1921" s="91" t="b">
        <v>0</v>
      </c>
    </row>
    <row r="1922" spans="1:12" ht="15">
      <c r="A1922" s="92" t="s">
        <v>2688</v>
      </c>
      <c r="B1922" s="91" t="s">
        <v>2647</v>
      </c>
      <c r="C1922" s="91">
        <v>2</v>
      </c>
      <c r="D1922" s="114">
        <v>0.002180939545340907</v>
      </c>
      <c r="E1922" s="114">
        <v>2.174277918292213</v>
      </c>
      <c r="F1922" s="91" t="s">
        <v>2522</v>
      </c>
      <c r="G1922" s="91" t="b">
        <v>0</v>
      </c>
      <c r="H1922" s="91" t="b">
        <v>0</v>
      </c>
      <c r="I1922" s="91" t="b">
        <v>0</v>
      </c>
      <c r="J1922" s="91" t="b">
        <v>0</v>
      </c>
      <c r="K1922" s="91" t="b">
        <v>0</v>
      </c>
      <c r="L1922" s="91" t="b">
        <v>0</v>
      </c>
    </row>
    <row r="1923" spans="1:12" ht="15">
      <c r="A1923" s="92" t="s">
        <v>2647</v>
      </c>
      <c r="B1923" s="91" t="s">
        <v>432</v>
      </c>
      <c r="C1923" s="91">
        <v>2</v>
      </c>
      <c r="D1923" s="114">
        <v>0.002180939545340907</v>
      </c>
      <c r="E1923" s="114">
        <v>2.174277918292213</v>
      </c>
      <c r="F1923" s="91" t="s">
        <v>2522</v>
      </c>
      <c r="G1923" s="91" t="b">
        <v>0</v>
      </c>
      <c r="H1923" s="91" t="b">
        <v>0</v>
      </c>
      <c r="I1923" s="91" t="b">
        <v>0</v>
      </c>
      <c r="J1923" s="91" t="b">
        <v>0</v>
      </c>
      <c r="K1923" s="91" t="b">
        <v>0</v>
      </c>
      <c r="L1923" s="91" t="b">
        <v>0</v>
      </c>
    </row>
    <row r="1924" spans="1:12" ht="15">
      <c r="A1924" s="92" t="s">
        <v>432</v>
      </c>
      <c r="B1924" s="91" t="s">
        <v>2567</v>
      </c>
      <c r="C1924" s="91">
        <v>2</v>
      </c>
      <c r="D1924" s="114">
        <v>0.002180939545340907</v>
      </c>
      <c r="E1924" s="114">
        <v>1.7156400692665636</v>
      </c>
      <c r="F1924" s="91" t="s">
        <v>2522</v>
      </c>
      <c r="G1924" s="91" t="b">
        <v>0</v>
      </c>
      <c r="H1924" s="91" t="b">
        <v>0</v>
      </c>
      <c r="I1924" s="91" t="b">
        <v>0</v>
      </c>
      <c r="J1924" s="91" t="b">
        <v>0</v>
      </c>
      <c r="K1924" s="91" t="b">
        <v>0</v>
      </c>
      <c r="L1924" s="91" t="b">
        <v>0</v>
      </c>
    </row>
    <row r="1925" spans="1:12" ht="15">
      <c r="A1925" s="92" t="s">
        <v>2567</v>
      </c>
      <c r="B1925" s="91" t="s">
        <v>2646</v>
      </c>
      <c r="C1925" s="91">
        <v>2</v>
      </c>
      <c r="D1925" s="114">
        <v>0.002180939545340907</v>
      </c>
      <c r="E1925" s="114">
        <v>1.7156400692665636</v>
      </c>
      <c r="F1925" s="91" t="s">
        <v>2522</v>
      </c>
      <c r="G1925" s="91" t="b">
        <v>0</v>
      </c>
      <c r="H1925" s="91" t="b">
        <v>0</v>
      </c>
      <c r="I1925" s="91" t="b">
        <v>0</v>
      </c>
      <c r="J1925" s="91" t="b">
        <v>0</v>
      </c>
      <c r="K1925" s="91" t="b">
        <v>0</v>
      </c>
      <c r="L1925" s="91" t="b">
        <v>0</v>
      </c>
    </row>
    <row r="1926" spans="1:12" ht="15">
      <c r="A1926" s="92" t="s">
        <v>2646</v>
      </c>
      <c r="B1926" s="91" t="s">
        <v>2573</v>
      </c>
      <c r="C1926" s="91">
        <v>2</v>
      </c>
      <c r="D1926" s="114">
        <v>0.002180939545340907</v>
      </c>
      <c r="E1926" s="114">
        <v>1.5210654045168692</v>
      </c>
      <c r="F1926" s="91" t="s">
        <v>2522</v>
      </c>
      <c r="G1926" s="91" t="b">
        <v>0</v>
      </c>
      <c r="H1926" s="91" t="b">
        <v>0</v>
      </c>
      <c r="I1926" s="91" t="b">
        <v>0</v>
      </c>
      <c r="J1926" s="91" t="b">
        <v>0</v>
      </c>
      <c r="K1926" s="91" t="b">
        <v>0</v>
      </c>
      <c r="L1926" s="91" t="b">
        <v>0</v>
      </c>
    </row>
    <row r="1927" spans="1:12" ht="15">
      <c r="A1927" s="92" t="s">
        <v>2573</v>
      </c>
      <c r="B1927" s="91" t="s">
        <v>2689</v>
      </c>
      <c r="C1927" s="91">
        <v>2</v>
      </c>
      <c r="D1927" s="114">
        <v>0.002180939545340907</v>
      </c>
      <c r="E1927" s="114">
        <v>1.5210654045168692</v>
      </c>
      <c r="F1927" s="91" t="s">
        <v>2522</v>
      </c>
      <c r="G1927" s="91" t="b">
        <v>0</v>
      </c>
      <c r="H1927" s="91" t="b">
        <v>0</v>
      </c>
      <c r="I1927" s="91" t="b">
        <v>0</v>
      </c>
      <c r="J1927" s="91" t="b">
        <v>0</v>
      </c>
      <c r="K1927" s="91" t="b">
        <v>0</v>
      </c>
      <c r="L1927" s="91" t="b">
        <v>0</v>
      </c>
    </row>
    <row r="1928" spans="1:12" ht="15">
      <c r="A1928" s="92" t="s">
        <v>2689</v>
      </c>
      <c r="B1928" s="91" t="s">
        <v>2608</v>
      </c>
      <c r="C1928" s="91">
        <v>2</v>
      </c>
      <c r="D1928" s="114">
        <v>0.002180939545340907</v>
      </c>
      <c r="E1928" s="114">
        <v>2.0773679052841567</v>
      </c>
      <c r="F1928" s="91" t="s">
        <v>2522</v>
      </c>
      <c r="G1928" s="91" t="b">
        <v>0</v>
      </c>
      <c r="H1928" s="91" t="b">
        <v>0</v>
      </c>
      <c r="I1928" s="91" t="b">
        <v>0</v>
      </c>
      <c r="J1928" s="91" t="b">
        <v>0</v>
      </c>
      <c r="K1928" s="91" t="b">
        <v>0</v>
      </c>
      <c r="L1928" s="91" t="b">
        <v>0</v>
      </c>
    </row>
    <row r="1929" spans="1:12" ht="15">
      <c r="A1929" s="92" t="s">
        <v>2608</v>
      </c>
      <c r="B1929" s="91" t="s">
        <v>2564</v>
      </c>
      <c r="C1929" s="91">
        <v>2</v>
      </c>
      <c r="D1929" s="114">
        <v>0.002180939545340907</v>
      </c>
      <c r="E1929" s="114">
        <v>0.725185387172794</v>
      </c>
      <c r="F1929" s="91" t="s">
        <v>2522</v>
      </c>
      <c r="G1929" s="91" t="b">
        <v>0</v>
      </c>
      <c r="H1929" s="91" t="b">
        <v>0</v>
      </c>
      <c r="I1929" s="91" t="b">
        <v>0</v>
      </c>
      <c r="J1929" s="91" t="b">
        <v>0</v>
      </c>
      <c r="K1929" s="91" t="b">
        <v>0</v>
      </c>
      <c r="L1929" s="91" t="b">
        <v>0</v>
      </c>
    </row>
    <row r="1930" spans="1:12" ht="15">
      <c r="A1930" s="92" t="s">
        <v>2564</v>
      </c>
      <c r="B1930" s="91" t="s">
        <v>2690</v>
      </c>
      <c r="C1930" s="91">
        <v>2</v>
      </c>
      <c r="D1930" s="114">
        <v>0.002180939545340907</v>
      </c>
      <c r="E1930" s="114">
        <v>1.4863032982576574</v>
      </c>
      <c r="F1930" s="91" t="s">
        <v>2522</v>
      </c>
      <c r="G1930" s="91" t="b">
        <v>0</v>
      </c>
      <c r="H1930" s="91" t="b">
        <v>0</v>
      </c>
      <c r="I1930" s="91" t="b">
        <v>0</v>
      </c>
      <c r="J1930" s="91" t="b">
        <v>0</v>
      </c>
      <c r="K1930" s="91" t="b">
        <v>0</v>
      </c>
      <c r="L1930" s="91" t="b">
        <v>0</v>
      </c>
    </row>
    <row r="1931" spans="1:12" ht="15">
      <c r="A1931" s="92" t="s">
        <v>2690</v>
      </c>
      <c r="B1931" s="91" t="s">
        <v>2583</v>
      </c>
      <c r="C1931" s="91">
        <v>2</v>
      </c>
      <c r="D1931" s="114">
        <v>0.002180939545340907</v>
      </c>
      <c r="E1931" s="114">
        <v>1.7763379096201752</v>
      </c>
      <c r="F1931" s="91" t="s">
        <v>2522</v>
      </c>
      <c r="G1931" s="91" t="b">
        <v>0</v>
      </c>
      <c r="H1931" s="91" t="b">
        <v>0</v>
      </c>
      <c r="I1931" s="91" t="b">
        <v>0</v>
      </c>
      <c r="J1931" s="91" t="b">
        <v>0</v>
      </c>
      <c r="K1931" s="91" t="b">
        <v>0</v>
      </c>
      <c r="L1931" s="91" t="b">
        <v>0</v>
      </c>
    </row>
    <row r="1932" spans="1:12" ht="15">
      <c r="A1932" s="92" t="s">
        <v>2583</v>
      </c>
      <c r="B1932" s="91" t="s">
        <v>2691</v>
      </c>
      <c r="C1932" s="91">
        <v>2</v>
      </c>
      <c r="D1932" s="114">
        <v>0.002180939545340907</v>
      </c>
      <c r="E1932" s="114">
        <v>1.8469189839058826</v>
      </c>
      <c r="F1932" s="91" t="s">
        <v>2522</v>
      </c>
      <c r="G1932" s="91" t="b">
        <v>0</v>
      </c>
      <c r="H1932" s="91" t="b">
        <v>0</v>
      </c>
      <c r="I1932" s="91" t="b">
        <v>0</v>
      </c>
      <c r="J1932" s="91" t="b">
        <v>0</v>
      </c>
      <c r="K1932" s="91" t="b">
        <v>0</v>
      </c>
      <c r="L1932" s="91" t="b">
        <v>0</v>
      </c>
    </row>
    <row r="1933" spans="1:12" ht="15">
      <c r="A1933" s="92" t="s">
        <v>2691</v>
      </c>
      <c r="B1933" s="91" t="s">
        <v>431</v>
      </c>
      <c r="C1933" s="91">
        <v>2</v>
      </c>
      <c r="D1933" s="114">
        <v>0.002180939545340907</v>
      </c>
      <c r="E1933" s="114">
        <v>2.7763379096201755</v>
      </c>
      <c r="F1933" s="91" t="s">
        <v>2522</v>
      </c>
      <c r="G1933" s="91" t="b">
        <v>0</v>
      </c>
      <c r="H1933" s="91" t="b">
        <v>0</v>
      </c>
      <c r="I1933" s="91" t="b">
        <v>0</v>
      </c>
      <c r="J1933" s="91" t="b">
        <v>0</v>
      </c>
      <c r="K1933" s="91" t="b">
        <v>0</v>
      </c>
      <c r="L1933" s="91" t="b">
        <v>0</v>
      </c>
    </row>
    <row r="1934" spans="1:12" ht="15">
      <c r="A1934" s="92" t="s">
        <v>431</v>
      </c>
      <c r="B1934" s="91" t="s">
        <v>381</v>
      </c>
      <c r="C1934" s="91">
        <v>2</v>
      </c>
      <c r="D1934" s="114">
        <v>0.002180939545340907</v>
      </c>
      <c r="E1934" s="114">
        <v>2.7763379096201755</v>
      </c>
      <c r="F1934" s="91" t="s">
        <v>2522</v>
      </c>
      <c r="G1934" s="91" t="b">
        <v>0</v>
      </c>
      <c r="H1934" s="91" t="b">
        <v>0</v>
      </c>
      <c r="I1934" s="91" t="b">
        <v>0</v>
      </c>
      <c r="J1934" s="91" t="b">
        <v>0</v>
      </c>
      <c r="K1934" s="91" t="b">
        <v>0</v>
      </c>
      <c r="L1934" s="91" t="b">
        <v>0</v>
      </c>
    </row>
    <row r="1935" spans="1:12" ht="15">
      <c r="A1935" s="92" t="s">
        <v>381</v>
      </c>
      <c r="B1935" s="91" t="s">
        <v>380</v>
      </c>
      <c r="C1935" s="91">
        <v>2</v>
      </c>
      <c r="D1935" s="114">
        <v>0.002180939545340907</v>
      </c>
      <c r="E1935" s="114">
        <v>2.7763379096201755</v>
      </c>
      <c r="F1935" s="91" t="s">
        <v>2522</v>
      </c>
      <c r="G1935" s="91" t="b">
        <v>0</v>
      </c>
      <c r="H1935" s="91" t="b">
        <v>0</v>
      </c>
      <c r="I1935" s="91" t="b">
        <v>0</v>
      </c>
      <c r="J1935" s="91" t="b">
        <v>0</v>
      </c>
      <c r="K1935" s="91" t="b">
        <v>0</v>
      </c>
      <c r="L1935" s="91" t="b">
        <v>0</v>
      </c>
    </row>
    <row r="1936" spans="1:12" ht="15">
      <c r="A1936" s="92" t="s">
        <v>380</v>
      </c>
      <c r="B1936" s="91" t="s">
        <v>383</v>
      </c>
      <c r="C1936" s="91">
        <v>2</v>
      </c>
      <c r="D1936" s="114">
        <v>0.002180939545340907</v>
      </c>
      <c r="E1936" s="114">
        <v>2.7763379096201755</v>
      </c>
      <c r="F1936" s="91" t="s">
        <v>2522</v>
      </c>
      <c r="G1936" s="91" t="b">
        <v>0</v>
      </c>
      <c r="H1936" s="91" t="b">
        <v>0</v>
      </c>
      <c r="I1936" s="91" t="b">
        <v>0</v>
      </c>
      <c r="J1936" s="91" t="b">
        <v>0</v>
      </c>
      <c r="K1936" s="91" t="b">
        <v>0</v>
      </c>
      <c r="L1936" s="91" t="b">
        <v>0</v>
      </c>
    </row>
    <row r="1937" spans="1:12" ht="15">
      <c r="A1937" s="92" t="s">
        <v>383</v>
      </c>
      <c r="B1937" s="91" t="s">
        <v>430</v>
      </c>
      <c r="C1937" s="91">
        <v>2</v>
      </c>
      <c r="D1937" s="114">
        <v>0.002180939545340907</v>
      </c>
      <c r="E1937" s="114">
        <v>2.7763379096201755</v>
      </c>
      <c r="F1937" s="91" t="s">
        <v>2522</v>
      </c>
      <c r="G1937" s="91" t="b">
        <v>0</v>
      </c>
      <c r="H1937" s="91" t="b">
        <v>0</v>
      </c>
      <c r="I1937" s="91" t="b">
        <v>0</v>
      </c>
      <c r="J1937" s="91" t="b">
        <v>0</v>
      </c>
      <c r="K1937" s="91" t="b">
        <v>0</v>
      </c>
      <c r="L1937" s="91" t="b">
        <v>0</v>
      </c>
    </row>
    <row r="1938" spans="1:12" ht="15">
      <c r="A1938" s="92" t="s">
        <v>430</v>
      </c>
      <c r="B1938" s="91" t="s">
        <v>385</v>
      </c>
      <c r="C1938" s="91">
        <v>2</v>
      </c>
      <c r="D1938" s="114">
        <v>0.002180939545340907</v>
      </c>
      <c r="E1938" s="114">
        <v>2.7763379096201755</v>
      </c>
      <c r="F1938" s="91" t="s">
        <v>2522</v>
      </c>
      <c r="G1938" s="91" t="b">
        <v>0</v>
      </c>
      <c r="H1938" s="91" t="b">
        <v>0</v>
      </c>
      <c r="I1938" s="91" t="b">
        <v>0</v>
      </c>
      <c r="J1938" s="91" t="b">
        <v>0</v>
      </c>
      <c r="K1938" s="91" t="b">
        <v>0</v>
      </c>
      <c r="L1938" s="91" t="b">
        <v>0</v>
      </c>
    </row>
    <row r="1939" spans="1:12" ht="15">
      <c r="A1939" s="92" t="s">
        <v>385</v>
      </c>
      <c r="B1939" s="91" t="s">
        <v>382</v>
      </c>
      <c r="C1939" s="91">
        <v>2</v>
      </c>
      <c r="D1939" s="114">
        <v>0.002180939545340907</v>
      </c>
      <c r="E1939" s="114">
        <v>2.7763379096201755</v>
      </c>
      <c r="F1939" s="91" t="s">
        <v>2522</v>
      </c>
      <c r="G1939" s="91" t="b">
        <v>0</v>
      </c>
      <c r="H1939" s="91" t="b">
        <v>0</v>
      </c>
      <c r="I1939" s="91" t="b">
        <v>0</v>
      </c>
      <c r="J1939" s="91" t="b">
        <v>0</v>
      </c>
      <c r="K1939" s="91" t="b">
        <v>0</v>
      </c>
      <c r="L1939" s="91" t="b">
        <v>0</v>
      </c>
    </row>
    <row r="1940" spans="1:12" ht="15">
      <c r="A1940" s="92" t="s">
        <v>2966</v>
      </c>
      <c r="B1940" s="91" t="s">
        <v>2582</v>
      </c>
      <c r="C1940" s="91">
        <v>2</v>
      </c>
      <c r="D1940" s="114">
        <v>0.002180939545340907</v>
      </c>
      <c r="E1940" s="114">
        <v>2.174277918292213</v>
      </c>
      <c r="F1940" s="91" t="s">
        <v>2522</v>
      </c>
      <c r="G1940" s="91" t="b">
        <v>0</v>
      </c>
      <c r="H1940" s="91" t="b">
        <v>0</v>
      </c>
      <c r="I1940" s="91" t="b">
        <v>0</v>
      </c>
      <c r="J1940" s="91" t="b">
        <v>0</v>
      </c>
      <c r="K1940" s="91" t="b">
        <v>0</v>
      </c>
      <c r="L1940" s="91" t="b">
        <v>0</v>
      </c>
    </row>
    <row r="1941" spans="1:12" ht="15">
      <c r="A1941" s="92" t="s">
        <v>2582</v>
      </c>
      <c r="B1941" s="91" t="s">
        <v>2573</v>
      </c>
      <c r="C1941" s="91">
        <v>2</v>
      </c>
      <c r="D1941" s="114">
        <v>0.002180939545340907</v>
      </c>
      <c r="E1941" s="114">
        <v>0.9190054131889068</v>
      </c>
      <c r="F1941" s="91" t="s">
        <v>2522</v>
      </c>
      <c r="G1941" s="91" t="b">
        <v>0</v>
      </c>
      <c r="H1941" s="91" t="b">
        <v>0</v>
      </c>
      <c r="I1941" s="91" t="b">
        <v>0</v>
      </c>
      <c r="J1941" s="91" t="b">
        <v>0</v>
      </c>
      <c r="K1941" s="91" t="b">
        <v>0</v>
      </c>
      <c r="L1941" s="91" t="b">
        <v>0</v>
      </c>
    </row>
    <row r="1942" spans="1:12" ht="15">
      <c r="A1942" s="92" t="s">
        <v>2573</v>
      </c>
      <c r="B1942" s="91" t="s">
        <v>2874</v>
      </c>
      <c r="C1942" s="91">
        <v>2</v>
      </c>
      <c r="D1942" s="114">
        <v>0.002180939545340907</v>
      </c>
      <c r="E1942" s="114">
        <v>1.5210654045168692</v>
      </c>
      <c r="F1942" s="91" t="s">
        <v>2522</v>
      </c>
      <c r="G1942" s="91" t="b">
        <v>0</v>
      </c>
      <c r="H1942" s="91" t="b">
        <v>0</v>
      </c>
      <c r="I1942" s="91" t="b">
        <v>0</v>
      </c>
      <c r="J1942" s="91" t="b">
        <v>0</v>
      </c>
      <c r="K1942" s="91" t="b">
        <v>0</v>
      </c>
      <c r="L1942" s="91" t="b">
        <v>0</v>
      </c>
    </row>
    <row r="1943" spans="1:12" ht="15">
      <c r="A1943" s="92" t="s">
        <v>2874</v>
      </c>
      <c r="B1943" s="91" t="s">
        <v>2967</v>
      </c>
      <c r="C1943" s="91">
        <v>2</v>
      </c>
      <c r="D1943" s="114">
        <v>0.002180939545340907</v>
      </c>
      <c r="E1943" s="114">
        <v>2.7763379096201755</v>
      </c>
      <c r="F1943" s="91" t="s">
        <v>2522</v>
      </c>
      <c r="G1943" s="91" t="b">
        <v>0</v>
      </c>
      <c r="H1943" s="91" t="b">
        <v>0</v>
      </c>
      <c r="I1943" s="91" t="b">
        <v>0</v>
      </c>
      <c r="J1943" s="91" t="b">
        <v>0</v>
      </c>
      <c r="K1943" s="91" t="b">
        <v>0</v>
      </c>
      <c r="L1943" s="91" t="b">
        <v>0</v>
      </c>
    </row>
    <row r="1944" spans="1:12" ht="15">
      <c r="A1944" s="92" t="s">
        <v>2967</v>
      </c>
      <c r="B1944" s="91" t="s">
        <v>2968</v>
      </c>
      <c r="C1944" s="91">
        <v>2</v>
      </c>
      <c r="D1944" s="114">
        <v>0.002180939545340907</v>
      </c>
      <c r="E1944" s="114">
        <v>2.7763379096201755</v>
      </c>
      <c r="F1944" s="91" t="s">
        <v>2522</v>
      </c>
      <c r="G1944" s="91" t="b">
        <v>0</v>
      </c>
      <c r="H1944" s="91" t="b">
        <v>0</v>
      </c>
      <c r="I1944" s="91" t="b">
        <v>0</v>
      </c>
      <c r="J1944" s="91" t="b">
        <v>0</v>
      </c>
      <c r="K1944" s="91" t="b">
        <v>0</v>
      </c>
      <c r="L1944" s="91" t="b">
        <v>0</v>
      </c>
    </row>
    <row r="1945" spans="1:12" ht="15">
      <c r="A1945" s="92" t="s">
        <v>2968</v>
      </c>
      <c r="B1945" s="91" t="s">
        <v>2569</v>
      </c>
      <c r="C1945" s="91">
        <v>2</v>
      </c>
      <c r="D1945" s="114">
        <v>0.002180939545340907</v>
      </c>
      <c r="E1945" s="114">
        <v>1.5860062114498839</v>
      </c>
      <c r="F1945" s="91" t="s">
        <v>2522</v>
      </c>
      <c r="G1945" s="91" t="b">
        <v>0</v>
      </c>
      <c r="H1945" s="91" t="b">
        <v>0</v>
      </c>
      <c r="I1945" s="91" t="b">
        <v>0</v>
      </c>
      <c r="J1945" s="91" t="b">
        <v>0</v>
      </c>
      <c r="K1945" s="91" t="b">
        <v>0</v>
      </c>
      <c r="L1945" s="91" t="b">
        <v>0</v>
      </c>
    </row>
    <row r="1946" spans="1:12" ht="15">
      <c r="A1946" s="92" t="s">
        <v>2572</v>
      </c>
      <c r="B1946" s="91" t="s">
        <v>2571</v>
      </c>
      <c r="C1946" s="91">
        <v>2</v>
      </c>
      <c r="D1946" s="114">
        <v>0.002180939545340907</v>
      </c>
      <c r="E1946" s="114">
        <v>0.38452098600692647</v>
      </c>
      <c r="F1946" s="91" t="s">
        <v>2522</v>
      </c>
      <c r="G1946" s="91" t="b">
        <v>0</v>
      </c>
      <c r="H1946" s="91" t="b">
        <v>0</v>
      </c>
      <c r="I1946" s="91" t="b">
        <v>0</v>
      </c>
      <c r="J1946" s="91" t="b">
        <v>0</v>
      </c>
      <c r="K1946" s="91" t="b">
        <v>0</v>
      </c>
      <c r="L1946" s="91" t="b">
        <v>0</v>
      </c>
    </row>
    <row r="1947" spans="1:12" ht="15">
      <c r="A1947" s="92" t="s">
        <v>2583</v>
      </c>
      <c r="B1947" s="91" t="s">
        <v>2565</v>
      </c>
      <c r="C1947" s="91">
        <v>2</v>
      </c>
      <c r="D1947" s="114">
        <v>0.002180939545340907</v>
      </c>
      <c r="E1947" s="114">
        <v>0.6855509816709077</v>
      </c>
      <c r="F1947" s="91" t="s">
        <v>2522</v>
      </c>
      <c r="G1947" s="91" t="b">
        <v>0</v>
      </c>
      <c r="H1947" s="91" t="b">
        <v>0</v>
      </c>
      <c r="I1947" s="91" t="b">
        <v>0</v>
      </c>
      <c r="J1947" s="91" t="b">
        <v>0</v>
      </c>
      <c r="K1947" s="91" t="b">
        <v>0</v>
      </c>
      <c r="L1947" s="91" t="b">
        <v>0</v>
      </c>
    </row>
    <row r="1948" spans="1:12" ht="15">
      <c r="A1948" s="92" t="s">
        <v>2565</v>
      </c>
      <c r="B1948" s="91" t="s">
        <v>2608</v>
      </c>
      <c r="C1948" s="91">
        <v>2</v>
      </c>
      <c r="D1948" s="114">
        <v>0.002180939545340907</v>
      </c>
      <c r="E1948" s="114">
        <v>0.9159999030491816</v>
      </c>
      <c r="F1948" s="91" t="s">
        <v>2522</v>
      </c>
      <c r="G1948" s="91" t="b">
        <v>0</v>
      </c>
      <c r="H1948" s="91" t="b">
        <v>0</v>
      </c>
      <c r="I1948" s="91" t="b">
        <v>0</v>
      </c>
      <c r="J1948" s="91" t="b">
        <v>0</v>
      </c>
      <c r="K1948" s="91" t="b">
        <v>0</v>
      </c>
      <c r="L1948" s="91" t="b">
        <v>0</v>
      </c>
    </row>
    <row r="1949" spans="1:12" ht="15">
      <c r="A1949" s="92" t="s">
        <v>2579</v>
      </c>
      <c r="B1949" s="91" t="s">
        <v>2624</v>
      </c>
      <c r="C1949" s="91">
        <v>2</v>
      </c>
      <c r="D1949" s="114">
        <v>0.002180939545340907</v>
      </c>
      <c r="E1949" s="114">
        <v>1.174277918292213</v>
      </c>
      <c r="F1949" s="91" t="s">
        <v>2522</v>
      </c>
      <c r="G1949" s="91" t="b">
        <v>0</v>
      </c>
      <c r="H1949" s="91" t="b">
        <v>0</v>
      </c>
      <c r="I1949" s="91" t="b">
        <v>0</v>
      </c>
      <c r="J1949" s="91" t="b">
        <v>0</v>
      </c>
      <c r="K1949" s="91" t="b">
        <v>0</v>
      </c>
      <c r="L1949" s="91" t="b">
        <v>0</v>
      </c>
    </row>
    <row r="1950" spans="1:12" ht="15">
      <c r="A1950" s="92" t="s">
        <v>2654</v>
      </c>
      <c r="B1950" s="91" t="s">
        <v>2591</v>
      </c>
      <c r="C1950" s="91">
        <v>2</v>
      </c>
      <c r="D1950" s="114">
        <v>0.002180939545340907</v>
      </c>
      <c r="E1950" s="114">
        <v>1.600246650564494</v>
      </c>
      <c r="F1950" s="91" t="s">
        <v>2522</v>
      </c>
      <c r="G1950" s="91" t="b">
        <v>0</v>
      </c>
      <c r="H1950" s="91" t="b">
        <v>0</v>
      </c>
      <c r="I1950" s="91" t="b">
        <v>0</v>
      </c>
      <c r="J1950" s="91" t="b">
        <v>0</v>
      </c>
      <c r="K1950" s="91" t="b">
        <v>0</v>
      </c>
      <c r="L1950" s="91" t="b">
        <v>0</v>
      </c>
    </row>
    <row r="1951" spans="1:12" ht="15">
      <c r="A1951" s="92" t="s">
        <v>2591</v>
      </c>
      <c r="B1951" s="91" t="s">
        <v>2648</v>
      </c>
      <c r="C1951" s="91">
        <v>2</v>
      </c>
      <c r="D1951" s="114">
        <v>0.002180939545340907</v>
      </c>
      <c r="E1951" s="114">
        <v>1.2023066418924564</v>
      </c>
      <c r="F1951" s="91" t="s">
        <v>2522</v>
      </c>
      <c r="G1951" s="91" t="b">
        <v>0</v>
      </c>
      <c r="H1951" s="91" t="b">
        <v>0</v>
      </c>
      <c r="I1951" s="91" t="b">
        <v>0</v>
      </c>
      <c r="J1951" s="91" t="b">
        <v>0</v>
      </c>
      <c r="K1951" s="91" t="b">
        <v>0</v>
      </c>
      <c r="L1951" s="91" t="b">
        <v>0</v>
      </c>
    </row>
    <row r="1952" spans="1:12" ht="15">
      <c r="A1952" s="92" t="s">
        <v>2648</v>
      </c>
      <c r="B1952" s="91" t="s">
        <v>2722</v>
      </c>
      <c r="C1952" s="91">
        <v>2</v>
      </c>
      <c r="D1952" s="114">
        <v>0.002180939545340907</v>
      </c>
      <c r="E1952" s="114">
        <v>2.3783979009481375</v>
      </c>
      <c r="F1952" s="91" t="s">
        <v>2522</v>
      </c>
      <c r="G1952" s="91" t="b">
        <v>0</v>
      </c>
      <c r="H1952" s="91" t="b">
        <v>0</v>
      </c>
      <c r="I1952" s="91" t="b">
        <v>0</v>
      </c>
      <c r="J1952" s="91" t="b">
        <v>0</v>
      </c>
      <c r="K1952" s="91" t="b">
        <v>0</v>
      </c>
      <c r="L1952" s="91" t="b">
        <v>0</v>
      </c>
    </row>
    <row r="1953" spans="1:12" ht="15">
      <c r="A1953" s="92" t="s">
        <v>2722</v>
      </c>
      <c r="B1953" s="91" t="s">
        <v>2582</v>
      </c>
      <c r="C1953" s="91">
        <v>2</v>
      </c>
      <c r="D1953" s="114">
        <v>0.002180939545340907</v>
      </c>
      <c r="E1953" s="114">
        <v>2.174277918292213</v>
      </c>
      <c r="F1953" s="91" t="s">
        <v>2522</v>
      </c>
      <c r="G1953" s="91" t="b">
        <v>0</v>
      </c>
      <c r="H1953" s="91" t="b">
        <v>0</v>
      </c>
      <c r="I1953" s="91" t="b">
        <v>0</v>
      </c>
      <c r="J1953" s="91" t="b">
        <v>0</v>
      </c>
      <c r="K1953" s="91" t="b">
        <v>0</v>
      </c>
      <c r="L1953" s="91" t="b">
        <v>0</v>
      </c>
    </row>
    <row r="1954" spans="1:12" ht="15">
      <c r="A1954" s="92" t="s">
        <v>2582</v>
      </c>
      <c r="B1954" s="91" t="s">
        <v>2589</v>
      </c>
      <c r="C1954" s="91">
        <v>2</v>
      </c>
      <c r="D1954" s="114">
        <v>0.002180939545340907</v>
      </c>
      <c r="E1954" s="114">
        <v>2.174277918292213</v>
      </c>
      <c r="F1954" s="91" t="s">
        <v>2522</v>
      </c>
      <c r="G1954" s="91" t="b">
        <v>0</v>
      </c>
      <c r="H1954" s="91" t="b">
        <v>0</v>
      </c>
      <c r="I1954" s="91" t="b">
        <v>0</v>
      </c>
      <c r="J1954" s="91" t="b">
        <v>0</v>
      </c>
      <c r="K1954" s="91" t="b">
        <v>0</v>
      </c>
      <c r="L1954" s="91" t="b">
        <v>0</v>
      </c>
    </row>
    <row r="1955" spans="1:12" ht="15">
      <c r="A1955" s="92" t="s">
        <v>2589</v>
      </c>
      <c r="B1955" s="91" t="s">
        <v>2637</v>
      </c>
      <c r="C1955" s="91">
        <v>2</v>
      </c>
      <c r="D1955" s="114">
        <v>0.002180939545340907</v>
      </c>
      <c r="E1955" s="114">
        <v>2.600246650564494</v>
      </c>
      <c r="F1955" s="91" t="s">
        <v>2522</v>
      </c>
      <c r="G1955" s="91" t="b">
        <v>0</v>
      </c>
      <c r="H1955" s="91" t="b">
        <v>0</v>
      </c>
      <c r="I1955" s="91" t="b">
        <v>0</v>
      </c>
      <c r="J1955" s="91" t="b">
        <v>0</v>
      </c>
      <c r="K1955" s="91" t="b">
        <v>0</v>
      </c>
      <c r="L1955" s="91" t="b">
        <v>0</v>
      </c>
    </row>
    <row r="1956" spans="1:12" ht="15">
      <c r="A1956" s="92" t="s">
        <v>2637</v>
      </c>
      <c r="B1956" s="91" t="s">
        <v>2569</v>
      </c>
      <c r="C1956" s="91">
        <v>2</v>
      </c>
      <c r="D1956" s="114">
        <v>0.002180939545340907</v>
      </c>
      <c r="E1956" s="114">
        <v>1.4099149523942025</v>
      </c>
      <c r="F1956" s="91" t="s">
        <v>2522</v>
      </c>
      <c r="G1956" s="91" t="b">
        <v>0</v>
      </c>
      <c r="H1956" s="91" t="b">
        <v>0</v>
      </c>
      <c r="I1956" s="91" t="b">
        <v>0</v>
      </c>
      <c r="J1956" s="91" t="b">
        <v>0</v>
      </c>
      <c r="K1956" s="91" t="b">
        <v>0</v>
      </c>
      <c r="L1956" s="91" t="b">
        <v>0</v>
      </c>
    </row>
    <row r="1957" spans="1:12" ht="15">
      <c r="A1957" s="92" t="s">
        <v>2569</v>
      </c>
      <c r="B1957" s="91" t="s">
        <v>2723</v>
      </c>
      <c r="C1957" s="91">
        <v>2</v>
      </c>
      <c r="D1957" s="114">
        <v>0.002180939545340907</v>
      </c>
      <c r="E1957" s="114">
        <v>1.5860062114498839</v>
      </c>
      <c r="F1957" s="91" t="s">
        <v>2522</v>
      </c>
      <c r="G1957" s="91" t="b">
        <v>0</v>
      </c>
      <c r="H1957" s="91" t="b">
        <v>0</v>
      </c>
      <c r="I1957" s="91" t="b">
        <v>0</v>
      </c>
      <c r="J1957" s="91" t="b">
        <v>0</v>
      </c>
      <c r="K1957" s="91" t="b">
        <v>0</v>
      </c>
      <c r="L1957" s="91" t="b">
        <v>0</v>
      </c>
    </row>
    <row r="1958" spans="1:12" ht="15">
      <c r="A1958" s="92" t="s">
        <v>2723</v>
      </c>
      <c r="B1958" s="91" t="s">
        <v>2571</v>
      </c>
      <c r="C1958" s="91">
        <v>2</v>
      </c>
      <c r="D1958" s="114">
        <v>0.002180939545340907</v>
      </c>
      <c r="E1958" s="114">
        <v>1.5458889882419014</v>
      </c>
      <c r="F1958" s="91" t="s">
        <v>2522</v>
      </c>
      <c r="G1958" s="91" t="b">
        <v>0</v>
      </c>
      <c r="H1958" s="91" t="b">
        <v>0</v>
      </c>
      <c r="I1958" s="91" t="b">
        <v>0</v>
      </c>
      <c r="J1958" s="91" t="b">
        <v>0</v>
      </c>
      <c r="K1958" s="91" t="b">
        <v>0</v>
      </c>
      <c r="L1958" s="91" t="b">
        <v>0</v>
      </c>
    </row>
    <row r="1959" spans="1:12" ht="15">
      <c r="A1959" s="92" t="s">
        <v>2573</v>
      </c>
      <c r="B1959" s="91" t="s">
        <v>2594</v>
      </c>
      <c r="C1959" s="91">
        <v>2</v>
      </c>
      <c r="D1959" s="114">
        <v>0.002180939545340907</v>
      </c>
      <c r="E1959" s="114">
        <v>0.6179754175249256</v>
      </c>
      <c r="F1959" s="91" t="s">
        <v>2522</v>
      </c>
      <c r="G1959" s="91" t="b">
        <v>0</v>
      </c>
      <c r="H1959" s="91" t="b">
        <v>0</v>
      </c>
      <c r="I1959" s="91" t="b">
        <v>0</v>
      </c>
      <c r="J1959" s="91" t="b">
        <v>0</v>
      </c>
      <c r="K1959" s="91" t="b">
        <v>0</v>
      </c>
      <c r="L1959" s="91" t="b">
        <v>0</v>
      </c>
    </row>
    <row r="1960" spans="1:12" ht="15">
      <c r="A1960" s="92" t="s">
        <v>2594</v>
      </c>
      <c r="B1960" s="91" t="s">
        <v>2608</v>
      </c>
      <c r="C1960" s="91">
        <v>2</v>
      </c>
      <c r="D1960" s="114">
        <v>0.002180939545340907</v>
      </c>
      <c r="E1960" s="114">
        <v>1.4753079139561942</v>
      </c>
      <c r="F1960" s="91" t="s">
        <v>2522</v>
      </c>
      <c r="G1960" s="91" t="b">
        <v>0</v>
      </c>
      <c r="H1960" s="91" t="b">
        <v>0</v>
      </c>
      <c r="I1960" s="91" t="b">
        <v>0</v>
      </c>
      <c r="J1960" s="91" t="b">
        <v>0</v>
      </c>
      <c r="K1960" s="91" t="b">
        <v>0</v>
      </c>
      <c r="L1960" s="91" t="b">
        <v>0</v>
      </c>
    </row>
    <row r="1961" spans="1:12" ht="15">
      <c r="A1961" s="92" t="s">
        <v>2877</v>
      </c>
      <c r="B1961" s="91" t="s">
        <v>2878</v>
      </c>
      <c r="C1961" s="91">
        <v>7</v>
      </c>
      <c r="D1961" s="114">
        <v>0.008767922224033161</v>
      </c>
      <c r="E1961" s="114">
        <v>1.6914604025572733</v>
      </c>
      <c r="F1961" s="91" t="s">
        <v>2523</v>
      </c>
      <c r="G1961" s="91" t="b">
        <v>0</v>
      </c>
      <c r="H1961" s="91" t="b">
        <v>0</v>
      </c>
      <c r="I1961" s="91" t="b">
        <v>0</v>
      </c>
      <c r="J1961" s="91" t="b">
        <v>0</v>
      </c>
      <c r="K1961" s="91" t="b">
        <v>0</v>
      </c>
      <c r="L1961" s="91" t="b">
        <v>0</v>
      </c>
    </row>
    <row r="1962" spans="1:12" ht="15">
      <c r="A1962" s="92" t="s">
        <v>2878</v>
      </c>
      <c r="B1962" s="91" t="s">
        <v>2879</v>
      </c>
      <c r="C1962" s="91">
        <v>7</v>
      </c>
      <c r="D1962" s="114">
        <v>0.008767922224033161</v>
      </c>
      <c r="E1962" s="114">
        <v>1.6914604025572733</v>
      </c>
      <c r="F1962" s="91" t="s">
        <v>2523</v>
      </c>
      <c r="G1962" s="91" t="b">
        <v>0</v>
      </c>
      <c r="H1962" s="91" t="b">
        <v>0</v>
      </c>
      <c r="I1962" s="91" t="b">
        <v>0</v>
      </c>
      <c r="J1962" s="91" t="b">
        <v>0</v>
      </c>
      <c r="K1962" s="91" t="b">
        <v>0</v>
      </c>
      <c r="L1962" s="91" t="b">
        <v>0</v>
      </c>
    </row>
    <row r="1963" spans="1:12" ht="15">
      <c r="A1963" s="92" t="s">
        <v>2879</v>
      </c>
      <c r="B1963" s="91" t="s">
        <v>2880</v>
      </c>
      <c r="C1963" s="91">
        <v>7</v>
      </c>
      <c r="D1963" s="114">
        <v>0.008767922224033161</v>
      </c>
      <c r="E1963" s="114">
        <v>1.6914604025572733</v>
      </c>
      <c r="F1963" s="91" t="s">
        <v>2523</v>
      </c>
      <c r="G1963" s="91" t="b">
        <v>0</v>
      </c>
      <c r="H1963" s="91" t="b">
        <v>0</v>
      </c>
      <c r="I1963" s="91" t="b">
        <v>0</v>
      </c>
      <c r="J1963" s="91" t="b">
        <v>0</v>
      </c>
      <c r="K1963" s="91" t="b">
        <v>0</v>
      </c>
      <c r="L1963" s="91" t="b">
        <v>0</v>
      </c>
    </row>
    <row r="1964" spans="1:12" ht="15">
      <c r="A1964" s="92" t="s">
        <v>2880</v>
      </c>
      <c r="B1964" s="91" t="s">
        <v>2881</v>
      </c>
      <c r="C1964" s="91">
        <v>7</v>
      </c>
      <c r="D1964" s="114">
        <v>0.008767922224033161</v>
      </c>
      <c r="E1964" s="114">
        <v>1.6914604025572733</v>
      </c>
      <c r="F1964" s="91" t="s">
        <v>2523</v>
      </c>
      <c r="G1964" s="91" t="b">
        <v>0</v>
      </c>
      <c r="H1964" s="91" t="b">
        <v>0</v>
      </c>
      <c r="I1964" s="91" t="b">
        <v>0</v>
      </c>
      <c r="J1964" s="91" t="b">
        <v>0</v>
      </c>
      <c r="K1964" s="91" t="b">
        <v>0</v>
      </c>
      <c r="L1964" s="91" t="b">
        <v>0</v>
      </c>
    </row>
    <row r="1965" spans="1:12" ht="15">
      <c r="A1965" s="92" t="s">
        <v>2881</v>
      </c>
      <c r="B1965" s="91" t="s">
        <v>2882</v>
      </c>
      <c r="C1965" s="91">
        <v>7</v>
      </c>
      <c r="D1965" s="114">
        <v>0.008767922224033161</v>
      </c>
      <c r="E1965" s="114">
        <v>1.6914604025572733</v>
      </c>
      <c r="F1965" s="91" t="s">
        <v>2523</v>
      </c>
      <c r="G1965" s="91" t="b">
        <v>0</v>
      </c>
      <c r="H1965" s="91" t="b">
        <v>0</v>
      </c>
      <c r="I1965" s="91" t="b">
        <v>0</v>
      </c>
      <c r="J1965" s="91" t="b">
        <v>0</v>
      </c>
      <c r="K1965" s="91" t="b">
        <v>0</v>
      </c>
      <c r="L1965" s="91" t="b">
        <v>0</v>
      </c>
    </row>
    <row r="1966" spans="1:12" ht="15">
      <c r="A1966" s="92" t="s">
        <v>2882</v>
      </c>
      <c r="B1966" s="91" t="s">
        <v>2883</v>
      </c>
      <c r="C1966" s="91">
        <v>7</v>
      </c>
      <c r="D1966" s="114">
        <v>0.008767922224033161</v>
      </c>
      <c r="E1966" s="114">
        <v>1.6914604025572733</v>
      </c>
      <c r="F1966" s="91" t="s">
        <v>2523</v>
      </c>
      <c r="G1966" s="91" t="b">
        <v>0</v>
      </c>
      <c r="H1966" s="91" t="b">
        <v>0</v>
      </c>
      <c r="I1966" s="91" t="b">
        <v>0</v>
      </c>
      <c r="J1966" s="91" t="b">
        <v>0</v>
      </c>
      <c r="K1966" s="91" t="b">
        <v>0</v>
      </c>
      <c r="L1966" s="91" t="b">
        <v>0</v>
      </c>
    </row>
    <row r="1967" spans="1:12" ht="15">
      <c r="A1967" s="92" t="s">
        <v>2883</v>
      </c>
      <c r="B1967" s="91" t="s">
        <v>2884</v>
      </c>
      <c r="C1967" s="91">
        <v>7</v>
      </c>
      <c r="D1967" s="114">
        <v>0.008767922224033161</v>
      </c>
      <c r="E1967" s="114">
        <v>1.6914604025572733</v>
      </c>
      <c r="F1967" s="91" t="s">
        <v>2523</v>
      </c>
      <c r="G1967" s="91" t="b">
        <v>0</v>
      </c>
      <c r="H1967" s="91" t="b">
        <v>0</v>
      </c>
      <c r="I1967" s="91" t="b">
        <v>0</v>
      </c>
      <c r="J1967" s="91" t="b">
        <v>0</v>
      </c>
      <c r="K1967" s="91" t="b">
        <v>0</v>
      </c>
      <c r="L1967" s="91" t="b">
        <v>0</v>
      </c>
    </row>
    <row r="1968" spans="1:12" ht="15">
      <c r="A1968" s="92" t="s">
        <v>2884</v>
      </c>
      <c r="B1968" s="91" t="s">
        <v>2885</v>
      </c>
      <c r="C1968" s="91">
        <v>7</v>
      </c>
      <c r="D1968" s="114">
        <v>0.008767922224033161</v>
      </c>
      <c r="E1968" s="114">
        <v>1.6914604025572733</v>
      </c>
      <c r="F1968" s="91" t="s">
        <v>2523</v>
      </c>
      <c r="G1968" s="91" t="b">
        <v>0</v>
      </c>
      <c r="H1968" s="91" t="b">
        <v>0</v>
      </c>
      <c r="I1968" s="91" t="b">
        <v>0</v>
      </c>
      <c r="J1968" s="91" t="b">
        <v>0</v>
      </c>
      <c r="K1968" s="91" t="b">
        <v>0</v>
      </c>
      <c r="L1968" s="91" t="b">
        <v>0</v>
      </c>
    </row>
    <row r="1969" spans="1:12" ht="15">
      <c r="A1969" s="92" t="s">
        <v>2885</v>
      </c>
      <c r="B1969" s="91" t="s">
        <v>2886</v>
      </c>
      <c r="C1969" s="91">
        <v>7</v>
      </c>
      <c r="D1969" s="114">
        <v>0.008767922224033161</v>
      </c>
      <c r="E1969" s="114">
        <v>1.6914604025572733</v>
      </c>
      <c r="F1969" s="91" t="s">
        <v>2523</v>
      </c>
      <c r="G1969" s="91" t="b">
        <v>0</v>
      </c>
      <c r="H1969" s="91" t="b">
        <v>0</v>
      </c>
      <c r="I1969" s="91" t="b">
        <v>0</v>
      </c>
      <c r="J1969" s="91" t="b">
        <v>0</v>
      </c>
      <c r="K1969" s="91" t="b">
        <v>0</v>
      </c>
      <c r="L1969" s="91" t="b">
        <v>0</v>
      </c>
    </row>
    <row r="1970" spans="1:12" ht="15">
      <c r="A1970" s="92" t="s">
        <v>2886</v>
      </c>
      <c r="B1970" s="91" t="s">
        <v>2887</v>
      </c>
      <c r="C1970" s="91">
        <v>7</v>
      </c>
      <c r="D1970" s="114">
        <v>0.008767922224033161</v>
      </c>
      <c r="E1970" s="114">
        <v>1.6914604025572733</v>
      </c>
      <c r="F1970" s="91" t="s">
        <v>2523</v>
      </c>
      <c r="G1970" s="91" t="b">
        <v>0</v>
      </c>
      <c r="H1970" s="91" t="b">
        <v>0</v>
      </c>
      <c r="I1970" s="91" t="b">
        <v>0</v>
      </c>
      <c r="J1970" s="91" t="b">
        <v>0</v>
      </c>
      <c r="K1970" s="91" t="b">
        <v>0</v>
      </c>
      <c r="L1970" s="91" t="b">
        <v>0</v>
      </c>
    </row>
    <row r="1971" spans="1:12" ht="15">
      <c r="A1971" s="92" t="s">
        <v>2887</v>
      </c>
      <c r="B1971" s="91" t="s">
        <v>2888</v>
      </c>
      <c r="C1971" s="91">
        <v>7</v>
      </c>
      <c r="D1971" s="114">
        <v>0.008767922224033161</v>
      </c>
      <c r="E1971" s="114">
        <v>1.6914604025572733</v>
      </c>
      <c r="F1971" s="91" t="s">
        <v>2523</v>
      </c>
      <c r="G1971" s="91" t="b">
        <v>0</v>
      </c>
      <c r="H1971" s="91" t="b">
        <v>0</v>
      </c>
      <c r="I1971" s="91" t="b">
        <v>0</v>
      </c>
      <c r="J1971" s="91" t="b">
        <v>0</v>
      </c>
      <c r="K1971" s="91" t="b">
        <v>0</v>
      </c>
      <c r="L1971" s="91" t="b">
        <v>0</v>
      </c>
    </row>
    <row r="1972" spans="1:12" ht="15">
      <c r="A1972" s="92" t="s">
        <v>2888</v>
      </c>
      <c r="B1972" s="91" t="s">
        <v>2889</v>
      </c>
      <c r="C1972" s="91">
        <v>7</v>
      </c>
      <c r="D1972" s="114">
        <v>0.008767922224033161</v>
      </c>
      <c r="E1972" s="114">
        <v>1.6914604025572733</v>
      </c>
      <c r="F1972" s="91" t="s">
        <v>2523</v>
      </c>
      <c r="G1972" s="91" t="b">
        <v>0</v>
      </c>
      <c r="H1972" s="91" t="b">
        <v>0</v>
      </c>
      <c r="I1972" s="91" t="b">
        <v>0</v>
      </c>
      <c r="J1972" s="91" t="b">
        <v>0</v>
      </c>
      <c r="K1972" s="91" t="b">
        <v>0</v>
      </c>
      <c r="L1972" s="91" t="b">
        <v>0</v>
      </c>
    </row>
    <row r="1973" spans="1:12" ht="15">
      <c r="A1973" s="92" t="s">
        <v>2889</v>
      </c>
      <c r="B1973" s="91" t="s">
        <v>2646</v>
      </c>
      <c r="C1973" s="91">
        <v>7</v>
      </c>
      <c r="D1973" s="114">
        <v>0.008767922224033161</v>
      </c>
      <c r="E1973" s="114">
        <v>1.5823159331322052</v>
      </c>
      <c r="F1973" s="91" t="s">
        <v>2523</v>
      </c>
      <c r="G1973" s="91" t="b">
        <v>0</v>
      </c>
      <c r="H1973" s="91" t="b">
        <v>0</v>
      </c>
      <c r="I1973" s="91" t="b">
        <v>0</v>
      </c>
      <c r="J1973" s="91" t="b">
        <v>0</v>
      </c>
      <c r="K1973" s="91" t="b">
        <v>0</v>
      </c>
      <c r="L1973" s="91" t="b">
        <v>0</v>
      </c>
    </row>
    <row r="1974" spans="1:12" ht="15">
      <c r="A1974" s="92" t="s">
        <v>2646</v>
      </c>
      <c r="B1974" s="91" t="s">
        <v>2620</v>
      </c>
      <c r="C1974" s="91">
        <v>7</v>
      </c>
      <c r="D1974" s="114">
        <v>0.008767922224033161</v>
      </c>
      <c r="E1974" s="114">
        <v>1.5243239861545184</v>
      </c>
      <c r="F1974" s="91" t="s">
        <v>2523</v>
      </c>
      <c r="G1974" s="91" t="b">
        <v>0</v>
      </c>
      <c r="H1974" s="91" t="b">
        <v>0</v>
      </c>
      <c r="I1974" s="91" t="b">
        <v>0</v>
      </c>
      <c r="J1974" s="91" t="b">
        <v>0</v>
      </c>
      <c r="K1974" s="91" t="b">
        <v>0</v>
      </c>
      <c r="L1974" s="91" t="b">
        <v>0</v>
      </c>
    </row>
    <row r="1975" spans="1:12" ht="15">
      <c r="A1975" s="92" t="s">
        <v>2620</v>
      </c>
      <c r="B1975" s="91" t="s">
        <v>2564</v>
      </c>
      <c r="C1975" s="91">
        <v>7</v>
      </c>
      <c r="D1975" s="114">
        <v>0.008767922224033161</v>
      </c>
      <c r="E1975" s="114">
        <v>1.177536499929862</v>
      </c>
      <c r="F1975" s="91" t="s">
        <v>2523</v>
      </c>
      <c r="G1975" s="91" t="b">
        <v>0</v>
      </c>
      <c r="H1975" s="91" t="b">
        <v>0</v>
      </c>
      <c r="I1975" s="91" t="b">
        <v>0</v>
      </c>
      <c r="J1975" s="91" t="b">
        <v>0</v>
      </c>
      <c r="K1975" s="91" t="b">
        <v>0</v>
      </c>
      <c r="L1975" s="91" t="b">
        <v>0</v>
      </c>
    </row>
    <row r="1976" spans="1:12" ht="15">
      <c r="A1976" s="92" t="s">
        <v>2569</v>
      </c>
      <c r="B1976" s="91" t="s">
        <v>2572</v>
      </c>
      <c r="C1976" s="91">
        <v>4</v>
      </c>
      <c r="D1976" s="114">
        <v>0.0076809890586375705</v>
      </c>
      <c r="E1976" s="114">
        <v>1.7584071921878865</v>
      </c>
      <c r="F1976" s="91" t="s">
        <v>2523</v>
      </c>
      <c r="G1976" s="91" t="b">
        <v>0</v>
      </c>
      <c r="H1976" s="91" t="b">
        <v>0</v>
      </c>
      <c r="I1976" s="91" t="b">
        <v>0</v>
      </c>
      <c r="J1976" s="91" t="b">
        <v>0</v>
      </c>
      <c r="K1976" s="91" t="b">
        <v>0</v>
      </c>
      <c r="L1976" s="91" t="b">
        <v>0</v>
      </c>
    </row>
    <row r="1977" spans="1:12" ht="15">
      <c r="A1977" s="92" t="s">
        <v>2564</v>
      </c>
      <c r="B1977" s="91" t="s">
        <v>3026</v>
      </c>
      <c r="C1977" s="91">
        <v>3</v>
      </c>
      <c r="D1977" s="114">
        <v>0.006790456656134495</v>
      </c>
      <c r="E1977" s="114">
        <v>1.4226150902646932</v>
      </c>
      <c r="F1977" s="91" t="s">
        <v>2523</v>
      </c>
      <c r="G1977" s="91" t="b">
        <v>0</v>
      </c>
      <c r="H1977" s="91" t="b">
        <v>0</v>
      </c>
      <c r="I1977" s="91" t="b">
        <v>0</v>
      </c>
      <c r="J1977" s="91" t="b">
        <v>0</v>
      </c>
      <c r="K1977" s="91" t="b">
        <v>0</v>
      </c>
      <c r="L1977" s="91" t="b">
        <v>0</v>
      </c>
    </row>
    <row r="1978" spans="1:12" ht="15">
      <c r="A1978" s="92" t="s">
        <v>2564</v>
      </c>
      <c r="B1978" s="91" t="s">
        <v>2616</v>
      </c>
      <c r="C1978" s="91">
        <v>2</v>
      </c>
      <c r="D1978" s="114">
        <v>0.005494505494505495</v>
      </c>
      <c r="E1978" s="114">
        <v>1.2465238312090121</v>
      </c>
      <c r="F1978" s="91" t="s">
        <v>2523</v>
      </c>
      <c r="G1978" s="91" t="b">
        <v>0</v>
      </c>
      <c r="H1978" s="91" t="b">
        <v>0</v>
      </c>
      <c r="I1978" s="91" t="b">
        <v>0</v>
      </c>
      <c r="J1978" s="91" t="b">
        <v>0</v>
      </c>
      <c r="K1978" s="91" t="b">
        <v>0</v>
      </c>
      <c r="L1978" s="91" t="b">
        <v>0</v>
      </c>
    </row>
    <row r="1979" spans="1:12" ht="15">
      <c r="A1979" s="92" t="s">
        <v>2582</v>
      </c>
      <c r="B1979" s="91" t="s">
        <v>2589</v>
      </c>
      <c r="C1979" s="91">
        <v>2</v>
      </c>
      <c r="D1979" s="114">
        <v>0.005494505494505495</v>
      </c>
      <c r="E1979" s="114">
        <v>1.3604671835158488</v>
      </c>
      <c r="F1979" s="91" t="s">
        <v>2523</v>
      </c>
      <c r="G1979" s="91" t="b">
        <v>0</v>
      </c>
      <c r="H1979" s="91" t="b">
        <v>0</v>
      </c>
      <c r="I1979" s="91" t="b">
        <v>0</v>
      </c>
      <c r="J1979" s="91" t="b">
        <v>0</v>
      </c>
      <c r="K1979" s="91" t="b">
        <v>0</v>
      </c>
      <c r="L1979" s="91" t="b">
        <v>0</v>
      </c>
    </row>
    <row r="1980" spans="1:12" ht="15">
      <c r="A1980" s="92" t="s">
        <v>586</v>
      </c>
      <c r="B1980" s="91" t="s">
        <v>2564</v>
      </c>
      <c r="C1980" s="91">
        <v>2</v>
      </c>
      <c r="D1980" s="114">
        <v>0.005494505494505495</v>
      </c>
      <c r="E1980" s="114">
        <v>1.0594371878518676</v>
      </c>
      <c r="F1980" s="91" t="s">
        <v>2523</v>
      </c>
      <c r="G1980" s="91" t="b">
        <v>0</v>
      </c>
      <c r="H1980" s="91" t="b">
        <v>0</v>
      </c>
      <c r="I1980" s="91" t="b">
        <v>0</v>
      </c>
      <c r="J1980" s="91" t="b">
        <v>0</v>
      </c>
      <c r="K1980" s="91" t="b">
        <v>0</v>
      </c>
      <c r="L1980" s="91" t="b">
        <v>0</v>
      </c>
    </row>
    <row r="1981" spans="1:12" ht="15">
      <c r="A1981" s="92" t="s">
        <v>3026</v>
      </c>
      <c r="B1981" s="91" t="s">
        <v>3025</v>
      </c>
      <c r="C1981" s="91">
        <v>2</v>
      </c>
      <c r="D1981" s="114">
        <v>0.005494505494505495</v>
      </c>
      <c r="E1981" s="114">
        <v>1.8833459287961865</v>
      </c>
      <c r="F1981" s="91" t="s">
        <v>2523</v>
      </c>
      <c r="G1981" s="91" t="b">
        <v>0</v>
      </c>
      <c r="H1981" s="91" t="b">
        <v>0</v>
      </c>
      <c r="I1981" s="91" t="b">
        <v>0</v>
      </c>
      <c r="J1981" s="91" t="b">
        <v>0</v>
      </c>
      <c r="K1981" s="91" t="b">
        <v>0</v>
      </c>
      <c r="L1981" s="91" t="b">
        <v>0</v>
      </c>
    </row>
    <row r="1982" spans="1:12" ht="15">
      <c r="A1982" s="92" t="s">
        <v>2569</v>
      </c>
      <c r="B1982" s="91" t="s">
        <v>2572</v>
      </c>
      <c r="C1982" s="91">
        <v>23</v>
      </c>
      <c r="D1982" s="114">
        <v>0.004358043727664368</v>
      </c>
      <c r="E1982" s="114">
        <v>1.315520532385217</v>
      </c>
      <c r="F1982" s="91" t="s">
        <v>2524</v>
      </c>
      <c r="G1982" s="91" t="b">
        <v>0</v>
      </c>
      <c r="H1982" s="91" t="b">
        <v>0</v>
      </c>
      <c r="I1982" s="91" t="b">
        <v>0</v>
      </c>
      <c r="J1982" s="91" t="b">
        <v>0</v>
      </c>
      <c r="K1982" s="91" t="b">
        <v>0</v>
      </c>
      <c r="L1982" s="91" t="b">
        <v>0</v>
      </c>
    </row>
    <row r="1983" spans="1:12" ht="15">
      <c r="A1983" s="92" t="s">
        <v>2576</v>
      </c>
      <c r="B1983" s="91" t="s">
        <v>2569</v>
      </c>
      <c r="C1983" s="91">
        <v>18</v>
      </c>
      <c r="D1983" s="114">
        <v>0.006557105899990829</v>
      </c>
      <c r="E1983" s="114">
        <v>1.2697630418245418</v>
      </c>
      <c r="F1983" s="91" t="s">
        <v>2524</v>
      </c>
      <c r="G1983" s="91" t="b">
        <v>0</v>
      </c>
      <c r="H1983" s="91" t="b">
        <v>0</v>
      </c>
      <c r="I1983" s="91" t="b">
        <v>0</v>
      </c>
      <c r="J1983" s="91" t="b">
        <v>0</v>
      </c>
      <c r="K1983" s="91" t="b">
        <v>0</v>
      </c>
      <c r="L1983" s="91" t="b">
        <v>0</v>
      </c>
    </row>
    <row r="1984" spans="1:12" ht="15">
      <c r="A1984" s="92" t="s">
        <v>2724</v>
      </c>
      <c r="B1984" s="91" t="s">
        <v>2725</v>
      </c>
      <c r="C1984" s="91">
        <v>17</v>
      </c>
      <c r="D1984" s="114">
        <v>0.006885762999677512</v>
      </c>
      <c r="E1984" s="114">
        <v>1.5322296423491624</v>
      </c>
      <c r="F1984" s="91" t="s">
        <v>2524</v>
      </c>
      <c r="G1984" s="91" t="b">
        <v>0</v>
      </c>
      <c r="H1984" s="91" t="b">
        <v>0</v>
      </c>
      <c r="I1984" s="91" t="b">
        <v>0</v>
      </c>
      <c r="J1984" s="91" t="b">
        <v>0</v>
      </c>
      <c r="K1984" s="91" t="b">
        <v>0</v>
      </c>
      <c r="L1984" s="91" t="b">
        <v>0</v>
      </c>
    </row>
    <row r="1985" spans="1:12" ht="15">
      <c r="A1985" s="92" t="s">
        <v>2725</v>
      </c>
      <c r="B1985" s="91" t="s">
        <v>2650</v>
      </c>
      <c r="C1985" s="91">
        <v>17</v>
      </c>
      <c r="D1985" s="114">
        <v>0.006885762999677512</v>
      </c>
      <c r="E1985" s="114">
        <v>1.5322296423491624</v>
      </c>
      <c r="F1985" s="91" t="s">
        <v>2524</v>
      </c>
      <c r="G1985" s="91" t="b">
        <v>0</v>
      </c>
      <c r="H1985" s="91" t="b">
        <v>0</v>
      </c>
      <c r="I1985" s="91" t="b">
        <v>0</v>
      </c>
      <c r="J1985" s="91" t="b">
        <v>0</v>
      </c>
      <c r="K1985" s="91" t="b">
        <v>0</v>
      </c>
      <c r="L1985" s="91" t="b">
        <v>0</v>
      </c>
    </row>
    <row r="1986" spans="1:12" ht="15">
      <c r="A1986" s="92" t="s">
        <v>2650</v>
      </c>
      <c r="B1986" s="91" t="s">
        <v>2693</v>
      </c>
      <c r="C1986" s="91">
        <v>17</v>
      </c>
      <c r="D1986" s="114">
        <v>0.006885762999677512</v>
      </c>
      <c r="E1986" s="114">
        <v>1.5322296423491624</v>
      </c>
      <c r="F1986" s="91" t="s">
        <v>2524</v>
      </c>
      <c r="G1986" s="91" t="b">
        <v>0</v>
      </c>
      <c r="H1986" s="91" t="b">
        <v>0</v>
      </c>
      <c r="I1986" s="91" t="b">
        <v>0</v>
      </c>
      <c r="J1986" s="91" t="b">
        <v>0</v>
      </c>
      <c r="K1986" s="91" t="b">
        <v>0</v>
      </c>
      <c r="L1986" s="91" t="b">
        <v>0</v>
      </c>
    </row>
    <row r="1987" spans="1:12" ht="15">
      <c r="A1987" s="92" t="s">
        <v>2693</v>
      </c>
      <c r="B1987" s="91" t="s">
        <v>2576</v>
      </c>
      <c r="C1987" s="91">
        <v>17</v>
      </c>
      <c r="D1987" s="114">
        <v>0.006885762999677512</v>
      </c>
      <c r="E1987" s="114">
        <v>1.461648568063455</v>
      </c>
      <c r="F1987" s="91" t="s">
        <v>2524</v>
      </c>
      <c r="G1987" s="91" t="b">
        <v>0</v>
      </c>
      <c r="H1987" s="91" t="b">
        <v>0</v>
      </c>
      <c r="I1987" s="91" t="b">
        <v>0</v>
      </c>
      <c r="J1987" s="91" t="b">
        <v>0</v>
      </c>
      <c r="K1987" s="91" t="b">
        <v>0</v>
      </c>
      <c r="L1987" s="91" t="b">
        <v>0</v>
      </c>
    </row>
    <row r="1988" spans="1:12" ht="15">
      <c r="A1988" s="92" t="s">
        <v>2572</v>
      </c>
      <c r="B1988" s="91" t="s">
        <v>2582</v>
      </c>
      <c r="C1988" s="91">
        <v>17</v>
      </c>
      <c r="D1988" s="114">
        <v>0.006885762999677512</v>
      </c>
      <c r="E1988" s="114">
        <v>1.2696718130705245</v>
      </c>
      <c r="F1988" s="91" t="s">
        <v>2524</v>
      </c>
      <c r="G1988" s="91" t="b">
        <v>0</v>
      </c>
      <c r="H1988" s="91" t="b">
        <v>0</v>
      </c>
      <c r="I1988" s="91" t="b">
        <v>0</v>
      </c>
      <c r="J1988" s="91" t="b">
        <v>0</v>
      </c>
      <c r="K1988" s="91" t="b">
        <v>0</v>
      </c>
      <c r="L1988" s="91" t="b">
        <v>0</v>
      </c>
    </row>
    <row r="1989" spans="1:12" ht="15">
      <c r="A1989" s="92" t="s">
        <v>2582</v>
      </c>
      <c r="B1989" s="91" t="s">
        <v>2726</v>
      </c>
      <c r="C1989" s="91">
        <v>17</v>
      </c>
      <c r="D1989" s="114">
        <v>0.006885762999677512</v>
      </c>
      <c r="E1989" s="114">
        <v>1.4009507277098434</v>
      </c>
      <c r="F1989" s="91" t="s">
        <v>2524</v>
      </c>
      <c r="G1989" s="91" t="b">
        <v>0</v>
      </c>
      <c r="H1989" s="91" t="b">
        <v>0</v>
      </c>
      <c r="I1989" s="91" t="b">
        <v>0</v>
      </c>
      <c r="J1989" s="91" t="b">
        <v>0</v>
      </c>
      <c r="K1989" s="91" t="b">
        <v>0</v>
      </c>
      <c r="L1989" s="91" t="b">
        <v>0</v>
      </c>
    </row>
    <row r="1990" spans="1:12" ht="15">
      <c r="A1990" s="92" t="s">
        <v>2616</v>
      </c>
      <c r="B1990" s="91" t="s">
        <v>2564</v>
      </c>
      <c r="C1990" s="91">
        <v>17</v>
      </c>
      <c r="D1990" s="114">
        <v>0.006885762999677512</v>
      </c>
      <c r="E1990" s="114">
        <v>1.2855573090077739</v>
      </c>
      <c r="F1990" s="91" t="s">
        <v>2524</v>
      </c>
      <c r="G1990" s="91" t="b">
        <v>0</v>
      </c>
      <c r="H1990" s="91" t="b">
        <v>0</v>
      </c>
      <c r="I1990" s="91" t="b">
        <v>0</v>
      </c>
      <c r="J1990" s="91" t="b">
        <v>0</v>
      </c>
      <c r="K1990" s="91" t="b">
        <v>0</v>
      </c>
      <c r="L1990" s="91" t="b">
        <v>0</v>
      </c>
    </row>
    <row r="1991" spans="1:12" ht="15">
      <c r="A1991" s="92" t="s">
        <v>2564</v>
      </c>
      <c r="B1991" s="91" t="s">
        <v>2727</v>
      </c>
      <c r="C1991" s="91">
        <v>17</v>
      </c>
      <c r="D1991" s="114">
        <v>0.006885762999677512</v>
      </c>
      <c r="E1991" s="114">
        <v>1.2855573090077739</v>
      </c>
      <c r="F1991" s="91" t="s">
        <v>2524</v>
      </c>
      <c r="G1991" s="91" t="b">
        <v>0</v>
      </c>
      <c r="H1991" s="91" t="b">
        <v>0</v>
      </c>
      <c r="I1991" s="91" t="b">
        <v>0</v>
      </c>
      <c r="J1991" s="91" t="b">
        <v>0</v>
      </c>
      <c r="K1991" s="91" t="b">
        <v>0</v>
      </c>
      <c r="L1991" s="91" t="b">
        <v>0</v>
      </c>
    </row>
    <row r="1992" spans="1:12" ht="15">
      <c r="A1992" s="92" t="s">
        <v>2951</v>
      </c>
      <c r="B1992" s="91" t="s">
        <v>2952</v>
      </c>
      <c r="C1992" s="91">
        <v>5</v>
      </c>
      <c r="D1992" s="114">
        <v>0.0063887623184207196</v>
      </c>
      <c r="E1992" s="114">
        <v>2.0637085593914173</v>
      </c>
      <c r="F1992" s="91" t="s">
        <v>2524</v>
      </c>
      <c r="G1992" s="91" t="b">
        <v>0</v>
      </c>
      <c r="H1992" s="91" t="b">
        <v>0</v>
      </c>
      <c r="I1992" s="91" t="b">
        <v>0</v>
      </c>
      <c r="J1992" s="91" t="b">
        <v>0</v>
      </c>
      <c r="K1992" s="91" t="b">
        <v>0</v>
      </c>
      <c r="L1992" s="91" t="b">
        <v>0</v>
      </c>
    </row>
    <row r="1993" spans="1:12" ht="15">
      <c r="A1993" s="92" t="s">
        <v>2952</v>
      </c>
      <c r="B1993" s="91" t="s">
        <v>2571</v>
      </c>
      <c r="C1993" s="91">
        <v>5</v>
      </c>
      <c r="D1993" s="114">
        <v>0.0063887623184207196</v>
      </c>
      <c r="E1993" s="114">
        <v>1.9175805237131793</v>
      </c>
      <c r="F1993" s="91" t="s">
        <v>2524</v>
      </c>
      <c r="G1993" s="91" t="b">
        <v>0</v>
      </c>
      <c r="H1993" s="91" t="b">
        <v>0</v>
      </c>
      <c r="I1993" s="91" t="b">
        <v>0</v>
      </c>
      <c r="J1993" s="91" t="b">
        <v>0</v>
      </c>
      <c r="K1993" s="91" t="b">
        <v>0</v>
      </c>
      <c r="L1993" s="91" t="b">
        <v>0</v>
      </c>
    </row>
    <row r="1994" spans="1:12" ht="15">
      <c r="A1994" s="92" t="s">
        <v>2571</v>
      </c>
      <c r="B1994" s="91" t="s">
        <v>2564</v>
      </c>
      <c r="C1994" s="91">
        <v>5</v>
      </c>
      <c r="D1994" s="114">
        <v>0.0063887623184207196</v>
      </c>
      <c r="E1994" s="114">
        <v>1.1394292733295357</v>
      </c>
      <c r="F1994" s="91" t="s">
        <v>2524</v>
      </c>
      <c r="G1994" s="91" t="b">
        <v>0</v>
      </c>
      <c r="H1994" s="91" t="b">
        <v>0</v>
      </c>
      <c r="I1994" s="91" t="b">
        <v>0</v>
      </c>
      <c r="J1994" s="91" t="b">
        <v>0</v>
      </c>
      <c r="K1994" s="91" t="b">
        <v>0</v>
      </c>
      <c r="L1994" s="91" t="b">
        <v>0</v>
      </c>
    </row>
    <row r="1995" spans="1:12" ht="15">
      <c r="A1995" s="92" t="s">
        <v>2564</v>
      </c>
      <c r="B1995" s="91" t="s">
        <v>2594</v>
      </c>
      <c r="C1995" s="91">
        <v>5</v>
      </c>
      <c r="D1995" s="114">
        <v>0.0063887623184207196</v>
      </c>
      <c r="E1995" s="114">
        <v>1.206376062960149</v>
      </c>
      <c r="F1995" s="91" t="s">
        <v>2524</v>
      </c>
      <c r="G1995" s="91" t="b">
        <v>0</v>
      </c>
      <c r="H1995" s="91" t="b">
        <v>0</v>
      </c>
      <c r="I1995" s="91" t="b">
        <v>0</v>
      </c>
      <c r="J1995" s="91" t="b">
        <v>0</v>
      </c>
      <c r="K1995" s="91" t="b">
        <v>0</v>
      </c>
      <c r="L1995" s="91" t="b">
        <v>0</v>
      </c>
    </row>
    <row r="1996" spans="1:12" ht="15">
      <c r="A1996" s="92" t="s">
        <v>2594</v>
      </c>
      <c r="B1996" s="91" t="s">
        <v>2719</v>
      </c>
      <c r="C1996" s="91">
        <v>5</v>
      </c>
      <c r="D1996" s="114">
        <v>0.0063887623184207196</v>
      </c>
      <c r="E1996" s="114">
        <v>1.9845273133437926</v>
      </c>
      <c r="F1996" s="91" t="s">
        <v>2524</v>
      </c>
      <c r="G1996" s="91" t="b">
        <v>0</v>
      </c>
      <c r="H1996" s="91" t="b">
        <v>0</v>
      </c>
      <c r="I1996" s="91" t="b">
        <v>0</v>
      </c>
      <c r="J1996" s="91" t="b">
        <v>0</v>
      </c>
      <c r="K1996" s="91" t="b">
        <v>0</v>
      </c>
      <c r="L1996" s="91" t="b">
        <v>0</v>
      </c>
    </row>
    <row r="1997" spans="1:12" ht="15">
      <c r="A1997" s="92" t="s">
        <v>2719</v>
      </c>
      <c r="B1997" s="91" t="s">
        <v>2653</v>
      </c>
      <c r="C1997" s="91">
        <v>5</v>
      </c>
      <c r="D1997" s="114">
        <v>0.0063887623184207196</v>
      </c>
      <c r="E1997" s="114">
        <v>2.0637085593914173</v>
      </c>
      <c r="F1997" s="91" t="s">
        <v>2524</v>
      </c>
      <c r="G1997" s="91" t="b">
        <v>0</v>
      </c>
      <c r="H1997" s="91" t="b">
        <v>0</v>
      </c>
      <c r="I1997" s="91" t="b">
        <v>0</v>
      </c>
      <c r="J1997" s="91" t="b">
        <v>0</v>
      </c>
      <c r="K1997" s="91" t="b">
        <v>0</v>
      </c>
      <c r="L1997" s="91" t="b">
        <v>0</v>
      </c>
    </row>
    <row r="1998" spans="1:12" ht="15">
      <c r="A1998" s="92" t="s">
        <v>2653</v>
      </c>
      <c r="B1998" s="91" t="s">
        <v>2665</v>
      </c>
      <c r="C1998" s="91">
        <v>5</v>
      </c>
      <c r="D1998" s="114">
        <v>0.0063887623184207196</v>
      </c>
      <c r="E1998" s="114">
        <v>2.0637085593914173</v>
      </c>
      <c r="F1998" s="91" t="s">
        <v>2524</v>
      </c>
      <c r="G1998" s="91" t="b">
        <v>0</v>
      </c>
      <c r="H1998" s="91" t="b">
        <v>0</v>
      </c>
      <c r="I1998" s="91" t="b">
        <v>0</v>
      </c>
      <c r="J1998" s="91" t="b">
        <v>0</v>
      </c>
      <c r="K1998" s="91" t="b">
        <v>0</v>
      </c>
      <c r="L1998" s="91" t="b">
        <v>0</v>
      </c>
    </row>
    <row r="1999" spans="1:12" ht="15">
      <c r="A1999" s="92" t="s">
        <v>2665</v>
      </c>
      <c r="B1999" s="91" t="s">
        <v>2590</v>
      </c>
      <c r="C1999" s="91">
        <v>5</v>
      </c>
      <c r="D1999" s="114">
        <v>0.0063887623184207196</v>
      </c>
      <c r="E1999" s="114">
        <v>2.0637085593914173</v>
      </c>
      <c r="F1999" s="91" t="s">
        <v>2524</v>
      </c>
      <c r="G1999" s="91" t="b">
        <v>0</v>
      </c>
      <c r="H1999" s="91" t="b">
        <v>0</v>
      </c>
      <c r="I1999" s="91" t="b">
        <v>0</v>
      </c>
      <c r="J1999" s="91" t="b">
        <v>0</v>
      </c>
      <c r="K1999" s="91" t="b">
        <v>0</v>
      </c>
      <c r="L1999" s="91" t="b">
        <v>0</v>
      </c>
    </row>
    <row r="2000" spans="1:12" ht="15">
      <c r="A2000" s="92" t="s">
        <v>2590</v>
      </c>
      <c r="B2000" s="91" t="s">
        <v>2953</v>
      </c>
      <c r="C2000" s="91">
        <v>5</v>
      </c>
      <c r="D2000" s="114">
        <v>0.0063887623184207196</v>
      </c>
      <c r="E2000" s="114">
        <v>2.0637085593914173</v>
      </c>
      <c r="F2000" s="91" t="s">
        <v>2524</v>
      </c>
      <c r="G2000" s="91" t="b">
        <v>0</v>
      </c>
      <c r="H2000" s="91" t="b">
        <v>0</v>
      </c>
      <c r="I2000" s="91" t="b">
        <v>0</v>
      </c>
      <c r="J2000" s="91" t="b">
        <v>0</v>
      </c>
      <c r="K2000" s="91" t="b">
        <v>0</v>
      </c>
      <c r="L2000" s="91" t="b">
        <v>0</v>
      </c>
    </row>
    <row r="2001" spans="1:12" ht="15">
      <c r="A2001" s="92" t="s">
        <v>2953</v>
      </c>
      <c r="B2001" s="91" t="s">
        <v>2591</v>
      </c>
      <c r="C2001" s="91">
        <v>5</v>
      </c>
      <c r="D2001" s="114">
        <v>0.0063887623184207196</v>
      </c>
      <c r="E2001" s="114">
        <v>2.0637085593914173</v>
      </c>
      <c r="F2001" s="91" t="s">
        <v>2524</v>
      </c>
      <c r="G2001" s="91" t="b">
        <v>0</v>
      </c>
      <c r="H2001" s="91" t="b">
        <v>0</v>
      </c>
      <c r="I2001" s="91" t="b">
        <v>0</v>
      </c>
      <c r="J2001" s="91" t="b">
        <v>0</v>
      </c>
      <c r="K2001" s="91" t="b">
        <v>0</v>
      </c>
      <c r="L2001" s="91" t="b">
        <v>0</v>
      </c>
    </row>
    <row r="2002" spans="1:12" ht="15">
      <c r="A2002" s="92" t="s">
        <v>2591</v>
      </c>
      <c r="B2002" s="91" t="s">
        <v>2582</v>
      </c>
      <c r="C2002" s="91">
        <v>5</v>
      </c>
      <c r="D2002" s="114">
        <v>0.0063887623184207196</v>
      </c>
      <c r="E2002" s="114">
        <v>1.4009507277098434</v>
      </c>
      <c r="F2002" s="91" t="s">
        <v>2524</v>
      </c>
      <c r="G2002" s="91" t="b">
        <v>0</v>
      </c>
      <c r="H2002" s="91" t="b">
        <v>0</v>
      </c>
      <c r="I2002" s="91" t="b">
        <v>0</v>
      </c>
      <c r="J2002" s="91" t="b">
        <v>0</v>
      </c>
      <c r="K2002" s="91" t="b">
        <v>0</v>
      </c>
      <c r="L2002" s="91" t="b">
        <v>0</v>
      </c>
    </row>
    <row r="2003" spans="1:12" ht="15">
      <c r="A2003" s="92" t="s">
        <v>2582</v>
      </c>
      <c r="B2003" s="91" t="s">
        <v>2578</v>
      </c>
      <c r="C2003" s="91">
        <v>5</v>
      </c>
      <c r="D2003" s="114">
        <v>0.0063887623184207196</v>
      </c>
      <c r="E2003" s="114">
        <v>0.9537926963676241</v>
      </c>
      <c r="F2003" s="91" t="s">
        <v>2524</v>
      </c>
      <c r="G2003" s="91" t="b">
        <v>0</v>
      </c>
      <c r="H2003" s="91" t="b">
        <v>0</v>
      </c>
      <c r="I2003" s="91" t="b">
        <v>0</v>
      </c>
      <c r="J2003" s="91" t="b">
        <v>0</v>
      </c>
      <c r="K2003" s="91" t="b">
        <v>0</v>
      </c>
      <c r="L2003" s="91" t="b">
        <v>0</v>
      </c>
    </row>
    <row r="2004" spans="1:12" ht="15">
      <c r="A2004" s="92" t="s">
        <v>2578</v>
      </c>
      <c r="B2004" s="91" t="s">
        <v>2954</v>
      </c>
      <c r="C2004" s="91">
        <v>5</v>
      </c>
      <c r="D2004" s="114">
        <v>0.0063887623184207196</v>
      </c>
      <c r="E2004" s="114">
        <v>1.616550528049198</v>
      </c>
      <c r="F2004" s="91" t="s">
        <v>2524</v>
      </c>
      <c r="G2004" s="91" t="b">
        <v>0</v>
      </c>
      <c r="H2004" s="91" t="b">
        <v>0</v>
      </c>
      <c r="I2004" s="91" t="b">
        <v>0</v>
      </c>
      <c r="J2004" s="91" t="b">
        <v>0</v>
      </c>
      <c r="K2004" s="91" t="b">
        <v>0</v>
      </c>
      <c r="L2004" s="91" t="b">
        <v>0</v>
      </c>
    </row>
    <row r="2005" spans="1:12" ht="15">
      <c r="A2005" s="92" t="s">
        <v>2954</v>
      </c>
      <c r="B2005" s="91" t="s">
        <v>2955</v>
      </c>
      <c r="C2005" s="91">
        <v>5</v>
      </c>
      <c r="D2005" s="114">
        <v>0.0063887623184207196</v>
      </c>
      <c r="E2005" s="114">
        <v>2.0637085593914173</v>
      </c>
      <c r="F2005" s="91" t="s">
        <v>2524</v>
      </c>
      <c r="G2005" s="91" t="b">
        <v>0</v>
      </c>
      <c r="H2005" s="91" t="b">
        <v>0</v>
      </c>
      <c r="I2005" s="91" t="b">
        <v>0</v>
      </c>
      <c r="J2005" s="91" t="b">
        <v>0</v>
      </c>
      <c r="K2005" s="91" t="b">
        <v>0</v>
      </c>
      <c r="L2005" s="91" t="b">
        <v>0</v>
      </c>
    </row>
    <row r="2006" spans="1:12" ht="15">
      <c r="A2006" s="92" t="s">
        <v>2955</v>
      </c>
      <c r="B2006" s="91" t="s">
        <v>2956</v>
      </c>
      <c r="C2006" s="91">
        <v>5</v>
      </c>
      <c r="D2006" s="114">
        <v>0.0063887623184207196</v>
      </c>
      <c r="E2006" s="114">
        <v>2.0637085593914173</v>
      </c>
      <c r="F2006" s="91" t="s">
        <v>2524</v>
      </c>
      <c r="G2006" s="91" t="b">
        <v>0</v>
      </c>
      <c r="H2006" s="91" t="b">
        <v>0</v>
      </c>
      <c r="I2006" s="91" t="b">
        <v>0</v>
      </c>
      <c r="J2006" s="91" t="b">
        <v>0</v>
      </c>
      <c r="K2006" s="91" t="b">
        <v>0</v>
      </c>
      <c r="L2006" s="91" t="b">
        <v>0</v>
      </c>
    </row>
    <row r="2007" spans="1:12" ht="15">
      <c r="A2007" s="92" t="s">
        <v>2956</v>
      </c>
      <c r="B2007" s="91" t="s">
        <v>2568</v>
      </c>
      <c r="C2007" s="91">
        <v>5</v>
      </c>
      <c r="D2007" s="114">
        <v>0.0063887623184207196</v>
      </c>
      <c r="E2007" s="114">
        <v>1.9175805237131793</v>
      </c>
      <c r="F2007" s="91" t="s">
        <v>2524</v>
      </c>
      <c r="G2007" s="91" t="b">
        <v>0</v>
      </c>
      <c r="H2007" s="91" t="b">
        <v>0</v>
      </c>
      <c r="I2007" s="91" t="b">
        <v>0</v>
      </c>
      <c r="J2007" s="91" t="b">
        <v>0</v>
      </c>
      <c r="K2007" s="91" t="b">
        <v>0</v>
      </c>
      <c r="L2007" s="91" t="b">
        <v>0</v>
      </c>
    </row>
    <row r="2008" spans="1:12" ht="15">
      <c r="A2008" s="92" t="s">
        <v>2568</v>
      </c>
      <c r="B2008" s="91" t="s">
        <v>2894</v>
      </c>
      <c r="C2008" s="91">
        <v>5</v>
      </c>
      <c r="D2008" s="114">
        <v>0.0063887623184207196</v>
      </c>
      <c r="E2008" s="114">
        <v>1.9175805237131793</v>
      </c>
      <c r="F2008" s="91" t="s">
        <v>2524</v>
      </c>
      <c r="G2008" s="91" t="b">
        <v>0</v>
      </c>
      <c r="H2008" s="91" t="b">
        <v>0</v>
      </c>
      <c r="I2008" s="91" t="b">
        <v>0</v>
      </c>
      <c r="J2008" s="91" t="b">
        <v>0</v>
      </c>
      <c r="K2008" s="91" t="b">
        <v>0</v>
      </c>
      <c r="L2008" s="91" t="b">
        <v>0</v>
      </c>
    </row>
    <row r="2009" spans="1:12" ht="15">
      <c r="A2009" s="92" t="s">
        <v>2894</v>
      </c>
      <c r="B2009" s="91" t="s">
        <v>2957</v>
      </c>
      <c r="C2009" s="91">
        <v>5</v>
      </c>
      <c r="D2009" s="114">
        <v>0.0063887623184207196</v>
      </c>
      <c r="E2009" s="114">
        <v>2.0637085593914173</v>
      </c>
      <c r="F2009" s="91" t="s">
        <v>2524</v>
      </c>
      <c r="G2009" s="91" t="b">
        <v>0</v>
      </c>
      <c r="H2009" s="91" t="b">
        <v>0</v>
      </c>
      <c r="I2009" s="91" t="b">
        <v>0</v>
      </c>
      <c r="J2009" s="91" t="b">
        <v>0</v>
      </c>
      <c r="K2009" s="91" t="b">
        <v>0</v>
      </c>
      <c r="L2009" s="91" t="b">
        <v>0</v>
      </c>
    </row>
    <row r="2010" spans="1:12" ht="15">
      <c r="A2010" s="92" t="s">
        <v>2957</v>
      </c>
      <c r="B2010" s="91" t="s">
        <v>2578</v>
      </c>
      <c r="C2010" s="91">
        <v>5</v>
      </c>
      <c r="D2010" s="114">
        <v>0.0063887623184207196</v>
      </c>
      <c r="E2010" s="114">
        <v>1.616550528049198</v>
      </c>
      <c r="F2010" s="91" t="s">
        <v>2524</v>
      </c>
      <c r="G2010" s="91" t="b">
        <v>0</v>
      </c>
      <c r="H2010" s="91" t="b">
        <v>0</v>
      </c>
      <c r="I2010" s="91" t="b">
        <v>0</v>
      </c>
      <c r="J2010" s="91" t="b">
        <v>0</v>
      </c>
      <c r="K2010" s="91" t="b">
        <v>0</v>
      </c>
      <c r="L2010" s="91" t="b">
        <v>0</v>
      </c>
    </row>
    <row r="2011" spans="1:12" ht="15">
      <c r="A2011" s="92" t="s">
        <v>2578</v>
      </c>
      <c r="B2011" s="91" t="s">
        <v>2569</v>
      </c>
      <c r="C2011" s="91">
        <v>5</v>
      </c>
      <c r="D2011" s="114">
        <v>0.0063887623184207196</v>
      </c>
      <c r="E2011" s="114">
        <v>0.8683625010429977</v>
      </c>
      <c r="F2011" s="91" t="s">
        <v>2524</v>
      </c>
      <c r="G2011" s="91" t="b">
        <v>0</v>
      </c>
      <c r="H2011" s="91" t="b">
        <v>0</v>
      </c>
      <c r="I2011" s="91" t="b">
        <v>0</v>
      </c>
      <c r="J2011" s="91" t="b">
        <v>0</v>
      </c>
      <c r="K2011" s="91" t="b">
        <v>0</v>
      </c>
      <c r="L2011" s="91" t="b">
        <v>0</v>
      </c>
    </row>
    <row r="2012" spans="1:12" ht="15">
      <c r="A2012" s="92" t="s">
        <v>2569</v>
      </c>
      <c r="B2012" s="91" t="s">
        <v>2958</v>
      </c>
      <c r="C2012" s="91">
        <v>5</v>
      </c>
      <c r="D2012" s="114">
        <v>0.0063887623184207196</v>
      </c>
      <c r="E2012" s="114">
        <v>1.315520532385217</v>
      </c>
      <c r="F2012" s="91" t="s">
        <v>2524</v>
      </c>
      <c r="G2012" s="91" t="b">
        <v>0</v>
      </c>
      <c r="H2012" s="91" t="b">
        <v>0</v>
      </c>
      <c r="I2012" s="91" t="b">
        <v>0</v>
      </c>
      <c r="J2012" s="91" t="b">
        <v>0</v>
      </c>
      <c r="K2012" s="91" t="b">
        <v>0</v>
      </c>
      <c r="L2012" s="91" t="b">
        <v>0</v>
      </c>
    </row>
    <row r="2013" spans="1:12" ht="15">
      <c r="A2013" s="92" t="s">
        <v>2958</v>
      </c>
      <c r="B2013" s="91" t="s">
        <v>2959</v>
      </c>
      <c r="C2013" s="91">
        <v>5</v>
      </c>
      <c r="D2013" s="114">
        <v>0.0063887623184207196</v>
      </c>
      <c r="E2013" s="114">
        <v>2.0637085593914173</v>
      </c>
      <c r="F2013" s="91" t="s">
        <v>2524</v>
      </c>
      <c r="G2013" s="91" t="b">
        <v>0</v>
      </c>
      <c r="H2013" s="91" t="b">
        <v>0</v>
      </c>
      <c r="I2013" s="91" t="b">
        <v>0</v>
      </c>
      <c r="J2013" s="91" t="b">
        <v>0</v>
      </c>
      <c r="K2013" s="91" t="b">
        <v>0</v>
      </c>
      <c r="L2013" s="91" t="b">
        <v>0</v>
      </c>
    </row>
    <row r="2014" spans="1:12" ht="15">
      <c r="A2014" s="92" t="s">
        <v>2959</v>
      </c>
      <c r="B2014" s="91" t="s">
        <v>2960</v>
      </c>
      <c r="C2014" s="91">
        <v>5</v>
      </c>
      <c r="D2014" s="114">
        <v>0.0063887623184207196</v>
      </c>
      <c r="E2014" s="114">
        <v>2.0637085593914173</v>
      </c>
      <c r="F2014" s="91" t="s">
        <v>2524</v>
      </c>
      <c r="G2014" s="91" t="b">
        <v>0</v>
      </c>
      <c r="H2014" s="91" t="b">
        <v>0</v>
      </c>
      <c r="I2014" s="91" t="b">
        <v>0</v>
      </c>
      <c r="J2014" s="91" t="b">
        <v>0</v>
      </c>
      <c r="K2014" s="91" t="b">
        <v>0</v>
      </c>
      <c r="L2014" s="91" t="b">
        <v>0</v>
      </c>
    </row>
    <row r="2015" spans="1:12" ht="15">
      <c r="A2015" s="92" t="s">
        <v>2960</v>
      </c>
      <c r="B2015" s="91" t="s">
        <v>2961</v>
      </c>
      <c r="C2015" s="91">
        <v>5</v>
      </c>
      <c r="D2015" s="114">
        <v>0.0063887623184207196</v>
      </c>
      <c r="E2015" s="114">
        <v>2.0637085593914173</v>
      </c>
      <c r="F2015" s="91" t="s">
        <v>2524</v>
      </c>
      <c r="G2015" s="91" t="b">
        <v>0</v>
      </c>
      <c r="H2015" s="91" t="b">
        <v>0</v>
      </c>
      <c r="I2015" s="91" t="b">
        <v>0</v>
      </c>
      <c r="J2015" s="91" t="b">
        <v>0</v>
      </c>
      <c r="K2015" s="91" t="b">
        <v>0</v>
      </c>
      <c r="L2015" s="91" t="b">
        <v>0</v>
      </c>
    </row>
    <row r="2016" spans="1:12" ht="15">
      <c r="A2016" s="92" t="s">
        <v>2961</v>
      </c>
      <c r="B2016" s="91" t="s">
        <v>2777</v>
      </c>
      <c r="C2016" s="91">
        <v>5</v>
      </c>
      <c r="D2016" s="114">
        <v>0.0063887623184207196</v>
      </c>
      <c r="E2016" s="114">
        <v>2.0637085593914173</v>
      </c>
      <c r="F2016" s="91" t="s">
        <v>2524</v>
      </c>
      <c r="G2016" s="91" t="b">
        <v>0</v>
      </c>
      <c r="H2016" s="91" t="b">
        <v>0</v>
      </c>
      <c r="I2016" s="91" t="b">
        <v>0</v>
      </c>
      <c r="J2016" s="91" t="b">
        <v>0</v>
      </c>
      <c r="K2016" s="91" t="b">
        <v>0</v>
      </c>
      <c r="L2016" s="91" t="b">
        <v>0</v>
      </c>
    </row>
    <row r="2017" spans="1:12" ht="15">
      <c r="A2017" s="92" t="s">
        <v>2777</v>
      </c>
      <c r="B2017" s="91" t="s">
        <v>2962</v>
      </c>
      <c r="C2017" s="91">
        <v>5</v>
      </c>
      <c r="D2017" s="114">
        <v>0.0063887623184207196</v>
      </c>
      <c r="E2017" s="114">
        <v>2.0637085593914173</v>
      </c>
      <c r="F2017" s="91" t="s">
        <v>2524</v>
      </c>
      <c r="G2017" s="91" t="b">
        <v>0</v>
      </c>
      <c r="H2017" s="91" t="b">
        <v>0</v>
      </c>
      <c r="I2017" s="91" t="b">
        <v>0</v>
      </c>
      <c r="J2017" s="91" t="b">
        <v>0</v>
      </c>
      <c r="K2017" s="91" t="b">
        <v>0</v>
      </c>
      <c r="L2017" s="91" t="b">
        <v>0</v>
      </c>
    </row>
    <row r="2018" spans="1:12" ht="15">
      <c r="A2018" s="92" t="s">
        <v>2962</v>
      </c>
      <c r="B2018" s="91" t="s">
        <v>2963</v>
      </c>
      <c r="C2018" s="91">
        <v>5</v>
      </c>
      <c r="D2018" s="114">
        <v>0.0063887623184207196</v>
      </c>
      <c r="E2018" s="114">
        <v>2.0637085593914173</v>
      </c>
      <c r="F2018" s="91" t="s">
        <v>2524</v>
      </c>
      <c r="G2018" s="91" t="b">
        <v>0</v>
      </c>
      <c r="H2018" s="91" t="b">
        <v>0</v>
      </c>
      <c r="I2018" s="91" t="b">
        <v>0</v>
      </c>
      <c r="J2018" s="91" t="b">
        <v>0</v>
      </c>
      <c r="K2018" s="91" t="b">
        <v>0</v>
      </c>
      <c r="L2018" s="91" t="b">
        <v>0</v>
      </c>
    </row>
    <row r="2019" spans="1:12" ht="15">
      <c r="A2019" s="92" t="s">
        <v>2726</v>
      </c>
      <c r="B2019" s="91" t="s">
        <v>2964</v>
      </c>
      <c r="C2019" s="91">
        <v>4</v>
      </c>
      <c r="D2019" s="114">
        <v>0.005747528823590805</v>
      </c>
      <c r="E2019" s="114">
        <v>1.5322296423491624</v>
      </c>
      <c r="F2019" s="91" t="s">
        <v>2524</v>
      </c>
      <c r="G2019" s="91" t="b">
        <v>0</v>
      </c>
      <c r="H2019" s="91" t="b">
        <v>0</v>
      </c>
      <c r="I2019" s="91" t="b">
        <v>0</v>
      </c>
      <c r="J2019" s="91" t="b">
        <v>0</v>
      </c>
      <c r="K2019" s="91" t="b">
        <v>0</v>
      </c>
      <c r="L2019" s="91" t="b">
        <v>0</v>
      </c>
    </row>
    <row r="2020" spans="1:12" ht="15">
      <c r="A2020" s="92" t="s">
        <v>2964</v>
      </c>
      <c r="B2020" s="91" t="s">
        <v>2616</v>
      </c>
      <c r="C2020" s="91">
        <v>4</v>
      </c>
      <c r="D2020" s="114">
        <v>0.005747528823590805</v>
      </c>
      <c r="E2020" s="114">
        <v>1.5322296423491624</v>
      </c>
      <c r="F2020" s="91" t="s">
        <v>2524</v>
      </c>
      <c r="G2020" s="91" t="b">
        <v>0</v>
      </c>
      <c r="H2020" s="91" t="b">
        <v>0</v>
      </c>
      <c r="I2020" s="91" t="b">
        <v>0</v>
      </c>
      <c r="J2020" s="91" t="b">
        <v>0</v>
      </c>
      <c r="K2020" s="91" t="b">
        <v>0</v>
      </c>
      <c r="L2020" s="91" t="b">
        <v>0</v>
      </c>
    </row>
    <row r="2021" spans="1:12" ht="15">
      <c r="A2021" s="92" t="s">
        <v>2726</v>
      </c>
      <c r="B2021" s="91" t="s">
        <v>3013</v>
      </c>
      <c r="C2021" s="91">
        <v>4</v>
      </c>
      <c r="D2021" s="114">
        <v>0.005747528823590805</v>
      </c>
      <c r="E2021" s="114">
        <v>1.5322296423491624</v>
      </c>
      <c r="F2021" s="91" t="s">
        <v>2524</v>
      </c>
      <c r="G2021" s="91" t="b">
        <v>0</v>
      </c>
      <c r="H2021" s="91" t="b">
        <v>0</v>
      </c>
      <c r="I2021" s="91" t="b">
        <v>0</v>
      </c>
      <c r="J2021" s="91" t="b">
        <v>0</v>
      </c>
      <c r="K2021" s="91" t="b">
        <v>0</v>
      </c>
      <c r="L2021" s="91" t="b">
        <v>0</v>
      </c>
    </row>
    <row r="2022" spans="1:12" ht="15">
      <c r="A2022" s="92" t="s">
        <v>3013</v>
      </c>
      <c r="B2022" s="91" t="s">
        <v>2616</v>
      </c>
      <c r="C2022" s="91">
        <v>4</v>
      </c>
      <c r="D2022" s="114">
        <v>0.005747528823590805</v>
      </c>
      <c r="E2022" s="114">
        <v>1.5322296423491624</v>
      </c>
      <c r="F2022" s="91" t="s">
        <v>2524</v>
      </c>
      <c r="G2022" s="91" t="b">
        <v>0</v>
      </c>
      <c r="H2022" s="91" t="b">
        <v>0</v>
      </c>
      <c r="I2022" s="91" t="b">
        <v>0</v>
      </c>
      <c r="J2022" s="91" t="b">
        <v>0</v>
      </c>
      <c r="K2022" s="91" t="b">
        <v>0</v>
      </c>
      <c r="L2022" s="91" t="b">
        <v>0</v>
      </c>
    </row>
    <row r="2023" spans="1:12" ht="15">
      <c r="A2023" s="92" t="s">
        <v>2990</v>
      </c>
      <c r="B2023" s="91" t="s">
        <v>2578</v>
      </c>
      <c r="C2023" s="91">
        <v>4</v>
      </c>
      <c r="D2023" s="114">
        <v>0.005747528823590805</v>
      </c>
      <c r="E2023" s="114">
        <v>1.616550528049198</v>
      </c>
      <c r="F2023" s="91" t="s">
        <v>2524</v>
      </c>
      <c r="G2023" s="91" t="b">
        <v>0</v>
      </c>
      <c r="H2023" s="91" t="b">
        <v>0</v>
      </c>
      <c r="I2023" s="91" t="b">
        <v>0</v>
      </c>
      <c r="J2023" s="91" t="b">
        <v>0</v>
      </c>
      <c r="K2023" s="91" t="b">
        <v>0</v>
      </c>
      <c r="L2023" s="91" t="b">
        <v>0</v>
      </c>
    </row>
    <row r="2024" spans="1:12" ht="15">
      <c r="A2024" s="92" t="s">
        <v>2578</v>
      </c>
      <c r="B2024" s="91" t="s">
        <v>2991</v>
      </c>
      <c r="C2024" s="91">
        <v>4</v>
      </c>
      <c r="D2024" s="114">
        <v>0.005747528823590805</v>
      </c>
      <c r="E2024" s="114">
        <v>1.616550528049198</v>
      </c>
      <c r="F2024" s="91" t="s">
        <v>2524</v>
      </c>
      <c r="G2024" s="91" t="b">
        <v>0</v>
      </c>
      <c r="H2024" s="91" t="b">
        <v>0</v>
      </c>
      <c r="I2024" s="91" t="b">
        <v>0</v>
      </c>
      <c r="J2024" s="91" t="b">
        <v>0</v>
      </c>
      <c r="K2024" s="91" t="b">
        <v>0</v>
      </c>
      <c r="L2024" s="91" t="b">
        <v>0</v>
      </c>
    </row>
    <row r="2025" spans="1:12" ht="15">
      <c r="A2025" s="92" t="s">
        <v>2991</v>
      </c>
      <c r="B2025" s="91" t="s">
        <v>2992</v>
      </c>
      <c r="C2025" s="91">
        <v>4</v>
      </c>
      <c r="D2025" s="114">
        <v>0.005747528823590805</v>
      </c>
      <c r="E2025" s="114">
        <v>2.160618572399474</v>
      </c>
      <c r="F2025" s="91" t="s">
        <v>2524</v>
      </c>
      <c r="G2025" s="91" t="b">
        <v>0</v>
      </c>
      <c r="H2025" s="91" t="b">
        <v>0</v>
      </c>
      <c r="I2025" s="91" t="b">
        <v>0</v>
      </c>
      <c r="J2025" s="91" t="b">
        <v>0</v>
      </c>
      <c r="K2025" s="91" t="b">
        <v>0</v>
      </c>
      <c r="L2025" s="91" t="b">
        <v>0</v>
      </c>
    </row>
    <row r="2026" spans="1:12" ht="15">
      <c r="A2026" s="92" t="s">
        <v>2992</v>
      </c>
      <c r="B2026" s="91" t="s">
        <v>2993</v>
      </c>
      <c r="C2026" s="91">
        <v>4</v>
      </c>
      <c r="D2026" s="114">
        <v>0.005747528823590805</v>
      </c>
      <c r="E2026" s="114">
        <v>2.160618572399474</v>
      </c>
      <c r="F2026" s="91" t="s">
        <v>2524</v>
      </c>
      <c r="G2026" s="91" t="b">
        <v>0</v>
      </c>
      <c r="H2026" s="91" t="b">
        <v>0</v>
      </c>
      <c r="I2026" s="91" t="b">
        <v>0</v>
      </c>
      <c r="J2026" s="91" t="b">
        <v>0</v>
      </c>
      <c r="K2026" s="91" t="b">
        <v>0</v>
      </c>
      <c r="L2026" s="91" t="b">
        <v>0</v>
      </c>
    </row>
    <row r="2027" spans="1:12" ht="15">
      <c r="A2027" s="92" t="s">
        <v>2993</v>
      </c>
      <c r="B2027" s="91" t="s">
        <v>2569</v>
      </c>
      <c r="C2027" s="91">
        <v>4</v>
      </c>
      <c r="D2027" s="114">
        <v>0.005747528823590805</v>
      </c>
      <c r="E2027" s="114">
        <v>1.315520532385217</v>
      </c>
      <c r="F2027" s="91" t="s">
        <v>2524</v>
      </c>
      <c r="G2027" s="91" t="b">
        <v>0</v>
      </c>
      <c r="H2027" s="91" t="b">
        <v>0</v>
      </c>
      <c r="I2027" s="91" t="b">
        <v>0</v>
      </c>
      <c r="J2027" s="91" t="b">
        <v>0</v>
      </c>
      <c r="K2027" s="91" t="b">
        <v>0</v>
      </c>
      <c r="L2027" s="91" t="b">
        <v>0</v>
      </c>
    </row>
    <row r="2028" spans="1:12" ht="15">
      <c r="A2028" s="92" t="s">
        <v>2572</v>
      </c>
      <c r="B2028" s="91" t="s">
        <v>2994</v>
      </c>
      <c r="C2028" s="91">
        <v>4</v>
      </c>
      <c r="D2028" s="114">
        <v>0.005747528823590805</v>
      </c>
      <c r="E2028" s="114">
        <v>1.4009507277098434</v>
      </c>
      <c r="F2028" s="91" t="s">
        <v>2524</v>
      </c>
      <c r="G2028" s="91" t="b">
        <v>0</v>
      </c>
      <c r="H2028" s="91" t="b">
        <v>0</v>
      </c>
      <c r="I2028" s="91" t="b">
        <v>0</v>
      </c>
      <c r="J2028" s="91" t="b">
        <v>0</v>
      </c>
      <c r="K2028" s="91" t="b">
        <v>0</v>
      </c>
      <c r="L2028" s="91" t="b">
        <v>0</v>
      </c>
    </row>
    <row r="2029" spans="1:12" ht="15">
      <c r="A2029" s="92" t="s">
        <v>2994</v>
      </c>
      <c r="B2029" s="91" t="s">
        <v>2995</v>
      </c>
      <c r="C2029" s="91">
        <v>4</v>
      </c>
      <c r="D2029" s="114">
        <v>0.005747528823590805</v>
      </c>
      <c r="E2029" s="114">
        <v>2.160618572399474</v>
      </c>
      <c r="F2029" s="91" t="s">
        <v>2524</v>
      </c>
      <c r="G2029" s="91" t="b">
        <v>0</v>
      </c>
      <c r="H2029" s="91" t="b">
        <v>0</v>
      </c>
      <c r="I2029" s="91" t="b">
        <v>0</v>
      </c>
      <c r="J2029" s="91" t="b">
        <v>0</v>
      </c>
      <c r="K2029" s="91" t="b">
        <v>0</v>
      </c>
      <c r="L2029" s="91" t="b">
        <v>0</v>
      </c>
    </row>
    <row r="2030" spans="1:12" ht="15">
      <c r="A2030" s="92" t="s">
        <v>2995</v>
      </c>
      <c r="B2030" s="91" t="s">
        <v>2846</v>
      </c>
      <c r="C2030" s="91">
        <v>4</v>
      </c>
      <c r="D2030" s="114">
        <v>0.005747528823590805</v>
      </c>
      <c r="E2030" s="114">
        <v>1.8595885767354927</v>
      </c>
      <c r="F2030" s="91" t="s">
        <v>2524</v>
      </c>
      <c r="G2030" s="91" t="b">
        <v>0</v>
      </c>
      <c r="H2030" s="91" t="b">
        <v>0</v>
      </c>
      <c r="I2030" s="91" t="b">
        <v>0</v>
      </c>
      <c r="J2030" s="91" t="b">
        <v>0</v>
      </c>
      <c r="K2030" s="91" t="b">
        <v>0</v>
      </c>
      <c r="L2030" s="91" t="b">
        <v>0</v>
      </c>
    </row>
    <row r="2031" spans="1:12" ht="15">
      <c r="A2031" s="92" t="s">
        <v>2846</v>
      </c>
      <c r="B2031" s="91" t="s">
        <v>2996</v>
      </c>
      <c r="C2031" s="91">
        <v>4</v>
      </c>
      <c r="D2031" s="114">
        <v>0.005747528823590805</v>
      </c>
      <c r="E2031" s="114">
        <v>1.8595885767354927</v>
      </c>
      <c r="F2031" s="91" t="s">
        <v>2524</v>
      </c>
      <c r="G2031" s="91" t="b">
        <v>0</v>
      </c>
      <c r="H2031" s="91" t="b">
        <v>0</v>
      </c>
      <c r="I2031" s="91" t="b">
        <v>0</v>
      </c>
      <c r="J2031" s="91" t="b">
        <v>0</v>
      </c>
      <c r="K2031" s="91" t="b">
        <v>0</v>
      </c>
      <c r="L2031" s="91" t="b">
        <v>0</v>
      </c>
    </row>
    <row r="2032" spans="1:12" ht="15">
      <c r="A2032" s="92" t="s">
        <v>2996</v>
      </c>
      <c r="B2032" s="91" t="s">
        <v>2997</v>
      </c>
      <c r="C2032" s="91">
        <v>4</v>
      </c>
      <c r="D2032" s="114">
        <v>0.005747528823590805</v>
      </c>
      <c r="E2032" s="114">
        <v>2.160618572399474</v>
      </c>
      <c r="F2032" s="91" t="s">
        <v>2524</v>
      </c>
      <c r="G2032" s="91" t="b">
        <v>0</v>
      </c>
      <c r="H2032" s="91" t="b">
        <v>0</v>
      </c>
      <c r="I2032" s="91" t="b">
        <v>0</v>
      </c>
      <c r="J2032" s="91" t="b">
        <v>0</v>
      </c>
      <c r="K2032" s="91" t="b">
        <v>0</v>
      </c>
      <c r="L2032" s="91" t="b">
        <v>0</v>
      </c>
    </row>
    <row r="2033" spans="1:12" ht="15">
      <c r="A2033" s="92" t="s">
        <v>2997</v>
      </c>
      <c r="B2033" s="91" t="s">
        <v>2998</v>
      </c>
      <c r="C2033" s="91">
        <v>4</v>
      </c>
      <c r="D2033" s="114">
        <v>0.005747528823590805</v>
      </c>
      <c r="E2033" s="114">
        <v>2.160618572399474</v>
      </c>
      <c r="F2033" s="91" t="s">
        <v>2524</v>
      </c>
      <c r="G2033" s="91" t="b">
        <v>0</v>
      </c>
      <c r="H2033" s="91" t="b">
        <v>0</v>
      </c>
      <c r="I2033" s="91" t="b">
        <v>0</v>
      </c>
      <c r="J2033" s="91" t="b">
        <v>0</v>
      </c>
      <c r="K2033" s="91" t="b">
        <v>0</v>
      </c>
      <c r="L2033" s="91" t="b">
        <v>0</v>
      </c>
    </row>
    <row r="2034" spans="1:12" ht="15">
      <c r="A2034" s="92" t="s">
        <v>2998</v>
      </c>
      <c r="B2034" s="91" t="s">
        <v>2999</v>
      </c>
      <c r="C2034" s="91">
        <v>4</v>
      </c>
      <c r="D2034" s="114">
        <v>0.005747528823590805</v>
      </c>
      <c r="E2034" s="114">
        <v>2.160618572399474</v>
      </c>
      <c r="F2034" s="91" t="s">
        <v>2524</v>
      </c>
      <c r="G2034" s="91" t="b">
        <v>0</v>
      </c>
      <c r="H2034" s="91" t="b">
        <v>0</v>
      </c>
      <c r="I2034" s="91" t="b">
        <v>0</v>
      </c>
      <c r="J2034" s="91" t="b">
        <v>0</v>
      </c>
      <c r="K2034" s="91" t="b">
        <v>0</v>
      </c>
      <c r="L2034" s="91" t="b">
        <v>0</v>
      </c>
    </row>
    <row r="2035" spans="1:12" ht="15">
      <c r="A2035" s="92" t="s">
        <v>2999</v>
      </c>
      <c r="B2035" s="91" t="s">
        <v>3000</v>
      </c>
      <c r="C2035" s="91">
        <v>4</v>
      </c>
      <c r="D2035" s="114">
        <v>0.005747528823590805</v>
      </c>
      <c r="E2035" s="114">
        <v>2.160618572399474</v>
      </c>
      <c r="F2035" s="91" t="s">
        <v>2524</v>
      </c>
      <c r="G2035" s="91" t="b">
        <v>0</v>
      </c>
      <c r="H2035" s="91" t="b">
        <v>0</v>
      </c>
      <c r="I2035" s="91" t="b">
        <v>0</v>
      </c>
      <c r="J2035" s="91" t="b">
        <v>0</v>
      </c>
      <c r="K2035" s="91" t="b">
        <v>0</v>
      </c>
      <c r="L2035" s="91" t="b">
        <v>0</v>
      </c>
    </row>
    <row r="2036" spans="1:12" ht="15">
      <c r="A2036" s="92" t="s">
        <v>3000</v>
      </c>
      <c r="B2036" s="91" t="s">
        <v>2934</v>
      </c>
      <c r="C2036" s="91">
        <v>4</v>
      </c>
      <c r="D2036" s="114">
        <v>0.005747528823590805</v>
      </c>
      <c r="E2036" s="114">
        <v>2.160618572399474</v>
      </c>
      <c r="F2036" s="91" t="s">
        <v>2524</v>
      </c>
      <c r="G2036" s="91" t="b">
        <v>0</v>
      </c>
      <c r="H2036" s="91" t="b">
        <v>0</v>
      </c>
      <c r="I2036" s="91" t="b">
        <v>0</v>
      </c>
      <c r="J2036" s="91" t="b">
        <v>0</v>
      </c>
      <c r="K2036" s="91" t="b">
        <v>0</v>
      </c>
      <c r="L2036" s="91" t="b">
        <v>0</v>
      </c>
    </row>
    <row r="2037" spans="1:12" ht="15">
      <c r="A2037" s="92" t="s">
        <v>2934</v>
      </c>
      <c r="B2037" s="91" t="s">
        <v>3001</v>
      </c>
      <c r="C2037" s="91">
        <v>4</v>
      </c>
      <c r="D2037" s="114">
        <v>0.005747528823590805</v>
      </c>
      <c r="E2037" s="114">
        <v>2.160618572399474</v>
      </c>
      <c r="F2037" s="91" t="s">
        <v>2524</v>
      </c>
      <c r="G2037" s="91" t="b">
        <v>0</v>
      </c>
      <c r="H2037" s="91" t="b">
        <v>0</v>
      </c>
      <c r="I2037" s="91" t="b">
        <v>0</v>
      </c>
      <c r="J2037" s="91" t="b">
        <v>0</v>
      </c>
      <c r="K2037" s="91" t="b">
        <v>0</v>
      </c>
      <c r="L2037" s="91" t="b">
        <v>0</v>
      </c>
    </row>
    <row r="2038" spans="1:12" ht="15">
      <c r="A2038" s="92" t="s">
        <v>3001</v>
      </c>
      <c r="B2038" s="91" t="s">
        <v>3002</v>
      </c>
      <c r="C2038" s="91">
        <v>4</v>
      </c>
      <c r="D2038" s="114">
        <v>0.005747528823590805</v>
      </c>
      <c r="E2038" s="114">
        <v>2.160618572399474</v>
      </c>
      <c r="F2038" s="91" t="s">
        <v>2524</v>
      </c>
      <c r="G2038" s="91" t="b">
        <v>0</v>
      </c>
      <c r="H2038" s="91" t="b">
        <v>0</v>
      </c>
      <c r="I2038" s="91" t="b">
        <v>0</v>
      </c>
      <c r="J2038" s="91" t="b">
        <v>0</v>
      </c>
      <c r="K2038" s="91" t="b">
        <v>0</v>
      </c>
      <c r="L2038" s="91" t="b">
        <v>0</v>
      </c>
    </row>
    <row r="2039" spans="1:12" ht="15">
      <c r="A2039" s="92" t="s">
        <v>3002</v>
      </c>
      <c r="B2039" s="91" t="s">
        <v>3003</v>
      </c>
      <c r="C2039" s="91">
        <v>4</v>
      </c>
      <c r="D2039" s="114">
        <v>0.005747528823590805</v>
      </c>
      <c r="E2039" s="114">
        <v>2.160618572399474</v>
      </c>
      <c r="F2039" s="91" t="s">
        <v>2524</v>
      </c>
      <c r="G2039" s="91" t="b">
        <v>0</v>
      </c>
      <c r="H2039" s="91" t="b">
        <v>0</v>
      </c>
      <c r="I2039" s="91" t="b">
        <v>0</v>
      </c>
      <c r="J2039" s="91" t="b">
        <v>0</v>
      </c>
      <c r="K2039" s="91" t="b">
        <v>0</v>
      </c>
      <c r="L2039" s="91" t="b">
        <v>0</v>
      </c>
    </row>
    <row r="2040" spans="1:12" ht="15">
      <c r="A2040" s="92" t="s">
        <v>3003</v>
      </c>
      <c r="B2040" s="91" t="s">
        <v>3004</v>
      </c>
      <c r="C2040" s="91">
        <v>4</v>
      </c>
      <c r="D2040" s="114">
        <v>0.005747528823590805</v>
      </c>
      <c r="E2040" s="114">
        <v>2.160618572399474</v>
      </c>
      <c r="F2040" s="91" t="s">
        <v>2524</v>
      </c>
      <c r="G2040" s="91" t="b">
        <v>0</v>
      </c>
      <c r="H2040" s="91" t="b">
        <v>0</v>
      </c>
      <c r="I2040" s="91" t="b">
        <v>0</v>
      </c>
      <c r="J2040" s="91" t="b">
        <v>0</v>
      </c>
      <c r="K2040" s="91" t="b">
        <v>0</v>
      </c>
      <c r="L2040" s="91" t="b">
        <v>0</v>
      </c>
    </row>
    <row r="2041" spans="1:12" ht="15">
      <c r="A2041" s="92" t="s">
        <v>3004</v>
      </c>
      <c r="B2041" s="91" t="s">
        <v>3005</v>
      </c>
      <c r="C2041" s="91">
        <v>4</v>
      </c>
      <c r="D2041" s="114">
        <v>0.005747528823590805</v>
      </c>
      <c r="E2041" s="114">
        <v>2.160618572399474</v>
      </c>
      <c r="F2041" s="91" t="s">
        <v>2524</v>
      </c>
      <c r="G2041" s="91" t="b">
        <v>0</v>
      </c>
      <c r="H2041" s="91" t="b">
        <v>0</v>
      </c>
      <c r="I2041" s="91" t="b">
        <v>0</v>
      </c>
      <c r="J2041" s="91" t="b">
        <v>0</v>
      </c>
      <c r="K2041" s="91" t="b">
        <v>0</v>
      </c>
      <c r="L2041" s="91" t="b">
        <v>0</v>
      </c>
    </row>
    <row r="2042" spans="1:12" ht="15">
      <c r="A2042" s="92" t="s">
        <v>3005</v>
      </c>
      <c r="B2042" s="91" t="s">
        <v>3006</v>
      </c>
      <c r="C2042" s="91">
        <v>4</v>
      </c>
      <c r="D2042" s="114">
        <v>0.005747528823590805</v>
      </c>
      <c r="E2042" s="114">
        <v>2.160618572399474</v>
      </c>
      <c r="F2042" s="91" t="s">
        <v>2524</v>
      </c>
      <c r="G2042" s="91" t="b">
        <v>0</v>
      </c>
      <c r="H2042" s="91" t="b">
        <v>0</v>
      </c>
      <c r="I2042" s="91" t="b">
        <v>0</v>
      </c>
      <c r="J2042" s="91" t="b">
        <v>0</v>
      </c>
      <c r="K2042" s="91" t="b">
        <v>0</v>
      </c>
      <c r="L2042" s="91" t="b">
        <v>0</v>
      </c>
    </row>
    <row r="2043" spans="1:12" ht="15">
      <c r="A2043" s="92" t="s">
        <v>3006</v>
      </c>
      <c r="B2043" s="91" t="s">
        <v>2846</v>
      </c>
      <c r="C2043" s="91">
        <v>4</v>
      </c>
      <c r="D2043" s="114">
        <v>0.005747528823590805</v>
      </c>
      <c r="E2043" s="114">
        <v>1.8595885767354927</v>
      </c>
      <c r="F2043" s="91" t="s">
        <v>2524</v>
      </c>
      <c r="G2043" s="91" t="b">
        <v>0</v>
      </c>
      <c r="H2043" s="91" t="b">
        <v>0</v>
      </c>
      <c r="I2043" s="91" t="b">
        <v>0</v>
      </c>
      <c r="J2043" s="91" t="b">
        <v>0</v>
      </c>
      <c r="K2043" s="91" t="b">
        <v>0</v>
      </c>
      <c r="L2043" s="91" t="b">
        <v>0</v>
      </c>
    </row>
    <row r="2044" spans="1:12" ht="15">
      <c r="A2044" s="92" t="s">
        <v>2846</v>
      </c>
      <c r="B2044" s="91" t="s">
        <v>3007</v>
      </c>
      <c r="C2044" s="91">
        <v>4</v>
      </c>
      <c r="D2044" s="114">
        <v>0.005747528823590805</v>
      </c>
      <c r="E2044" s="114">
        <v>1.8595885767354927</v>
      </c>
      <c r="F2044" s="91" t="s">
        <v>2524</v>
      </c>
      <c r="G2044" s="91" t="b">
        <v>0</v>
      </c>
      <c r="H2044" s="91" t="b">
        <v>0</v>
      </c>
      <c r="I2044" s="91" t="b">
        <v>0</v>
      </c>
      <c r="J2044" s="91" t="b">
        <v>0</v>
      </c>
      <c r="K2044" s="91" t="b">
        <v>0</v>
      </c>
      <c r="L2044" s="91" t="b">
        <v>0</v>
      </c>
    </row>
    <row r="2045" spans="1:12" ht="15">
      <c r="A2045" s="92" t="s">
        <v>3007</v>
      </c>
      <c r="B2045" s="91" t="s">
        <v>3008</v>
      </c>
      <c r="C2045" s="91">
        <v>4</v>
      </c>
      <c r="D2045" s="114">
        <v>0.005747528823590805</v>
      </c>
      <c r="E2045" s="114">
        <v>2.160618572399474</v>
      </c>
      <c r="F2045" s="91" t="s">
        <v>2524</v>
      </c>
      <c r="G2045" s="91" t="b">
        <v>0</v>
      </c>
      <c r="H2045" s="91" t="b">
        <v>0</v>
      </c>
      <c r="I2045" s="91" t="b">
        <v>0</v>
      </c>
      <c r="J2045" s="91" t="b">
        <v>0</v>
      </c>
      <c r="K2045" s="91" t="b">
        <v>0</v>
      </c>
      <c r="L2045" s="91" t="b">
        <v>0</v>
      </c>
    </row>
    <row r="2046" spans="1:12" ht="15">
      <c r="A2046" s="92" t="s">
        <v>3008</v>
      </c>
      <c r="B2046" s="91" t="s">
        <v>2564</v>
      </c>
      <c r="C2046" s="91">
        <v>4</v>
      </c>
      <c r="D2046" s="114">
        <v>0.005747528823590805</v>
      </c>
      <c r="E2046" s="114">
        <v>1.2855573090077739</v>
      </c>
      <c r="F2046" s="91" t="s">
        <v>2524</v>
      </c>
      <c r="G2046" s="91" t="b">
        <v>0</v>
      </c>
      <c r="H2046" s="91" t="b">
        <v>0</v>
      </c>
      <c r="I2046" s="91" t="b">
        <v>0</v>
      </c>
      <c r="J2046" s="91" t="b">
        <v>0</v>
      </c>
      <c r="K2046" s="91" t="b">
        <v>0</v>
      </c>
      <c r="L2046" s="91" t="b">
        <v>0</v>
      </c>
    </row>
    <row r="2047" spans="1:12" ht="15">
      <c r="A2047" s="92" t="s">
        <v>2564</v>
      </c>
      <c r="B2047" s="91" t="s">
        <v>2585</v>
      </c>
      <c r="C2047" s="91">
        <v>4</v>
      </c>
      <c r="D2047" s="114">
        <v>0.005747528823590805</v>
      </c>
      <c r="E2047" s="114">
        <v>1.1094660499520925</v>
      </c>
      <c r="F2047" s="91" t="s">
        <v>2524</v>
      </c>
      <c r="G2047" s="91" t="b">
        <v>0</v>
      </c>
      <c r="H2047" s="91" t="b">
        <v>0</v>
      </c>
      <c r="I2047" s="91" t="b">
        <v>0</v>
      </c>
      <c r="J2047" s="91" t="b">
        <v>0</v>
      </c>
      <c r="K2047" s="91" t="b">
        <v>0</v>
      </c>
      <c r="L2047" s="91" t="b">
        <v>0</v>
      </c>
    </row>
    <row r="2048" spans="1:12" ht="15">
      <c r="A2048" s="92" t="s">
        <v>2585</v>
      </c>
      <c r="B2048" s="91" t="s">
        <v>3009</v>
      </c>
      <c r="C2048" s="91">
        <v>4</v>
      </c>
      <c r="D2048" s="114">
        <v>0.005747528823590805</v>
      </c>
      <c r="E2048" s="114">
        <v>1.9845273133437926</v>
      </c>
      <c r="F2048" s="91" t="s">
        <v>2524</v>
      </c>
      <c r="G2048" s="91" t="b">
        <v>0</v>
      </c>
      <c r="H2048" s="91" t="b">
        <v>0</v>
      </c>
      <c r="I2048" s="91" t="b">
        <v>0</v>
      </c>
      <c r="J2048" s="91" t="b">
        <v>0</v>
      </c>
      <c r="K2048" s="91" t="b">
        <v>0</v>
      </c>
      <c r="L2048" s="91" t="b">
        <v>0</v>
      </c>
    </row>
    <row r="2049" spans="1:12" ht="15">
      <c r="A2049" s="92" t="s">
        <v>3009</v>
      </c>
      <c r="B2049" s="91" t="s">
        <v>2643</v>
      </c>
      <c r="C2049" s="91">
        <v>4</v>
      </c>
      <c r="D2049" s="114">
        <v>0.005747528823590805</v>
      </c>
      <c r="E2049" s="114">
        <v>2.160618572399474</v>
      </c>
      <c r="F2049" s="91" t="s">
        <v>2524</v>
      </c>
      <c r="G2049" s="91" t="b">
        <v>0</v>
      </c>
      <c r="H2049" s="91" t="b">
        <v>0</v>
      </c>
      <c r="I2049" s="91" t="b">
        <v>0</v>
      </c>
      <c r="J2049" s="91" t="b">
        <v>0</v>
      </c>
      <c r="K2049" s="91" t="b">
        <v>0</v>
      </c>
      <c r="L2049" s="91" t="b">
        <v>0</v>
      </c>
    </row>
    <row r="2050" spans="1:12" ht="15">
      <c r="A2050" s="92" t="s">
        <v>2643</v>
      </c>
      <c r="B2050" s="91" t="s">
        <v>3010</v>
      </c>
      <c r="C2050" s="91">
        <v>4</v>
      </c>
      <c r="D2050" s="114">
        <v>0.005747528823590805</v>
      </c>
      <c r="E2050" s="114">
        <v>2.160618572399474</v>
      </c>
      <c r="F2050" s="91" t="s">
        <v>2524</v>
      </c>
      <c r="G2050" s="91" t="b">
        <v>0</v>
      </c>
      <c r="H2050" s="91" t="b">
        <v>0</v>
      </c>
      <c r="I2050" s="91" t="b">
        <v>0</v>
      </c>
      <c r="J2050" s="91" t="b">
        <v>0</v>
      </c>
      <c r="K2050" s="91" t="b">
        <v>0</v>
      </c>
      <c r="L2050" s="91" t="b">
        <v>0</v>
      </c>
    </row>
    <row r="2051" spans="1:12" ht="15">
      <c r="A2051" s="92" t="s">
        <v>3010</v>
      </c>
      <c r="B2051" s="91" t="s">
        <v>3011</v>
      </c>
      <c r="C2051" s="91">
        <v>4</v>
      </c>
      <c r="D2051" s="114">
        <v>0.005747528823590805</v>
      </c>
      <c r="E2051" s="114">
        <v>2.160618572399474</v>
      </c>
      <c r="F2051" s="91" t="s">
        <v>2524</v>
      </c>
      <c r="G2051" s="91" t="b">
        <v>0</v>
      </c>
      <c r="H2051" s="91" t="b">
        <v>0</v>
      </c>
      <c r="I2051" s="91" t="b">
        <v>0</v>
      </c>
      <c r="J2051" s="91" t="b">
        <v>0</v>
      </c>
      <c r="K2051" s="91" t="b">
        <v>0</v>
      </c>
      <c r="L2051" s="91" t="b">
        <v>0</v>
      </c>
    </row>
    <row r="2052" spans="1:12" ht="15">
      <c r="A2052" s="92" t="s">
        <v>3011</v>
      </c>
      <c r="B2052" s="91" t="s">
        <v>3012</v>
      </c>
      <c r="C2052" s="91">
        <v>4</v>
      </c>
      <c r="D2052" s="114">
        <v>0.005747528823590805</v>
      </c>
      <c r="E2052" s="114">
        <v>2.160618572399474</v>
      </c>
      <c r="F2052" s="91" t="s">
        <v>2524</v>
      </c>
      <c r="G2052" s="91" t="b">
        <v>0</v>
      </c>
      <c r="H2052" s="91" t="b">
        <v>0</v>
      </c>
      <c r="I2052" s="91" t="b">
        <v>0</v>
      </c>
      <c r="J2052" s="91" t="b">
        <v>0</v>
      </c>
      <c r="K2052" s="91" t="b">
        <v>0</v>
      </c>
      <c r="L2052" s="91" t="b">
        <v>0</v>
      </c>
    </row>
    <row r="2053" spans="1:12" ht="15">
      <c r="A2053" s="92" t="s">
        <v>3012</v>
      </c>
      <c r="B2053" s="91" t="s">
        <v>2749</v>
      </c>
      <c r="C2053" s="91">
        <v>4</v>
      </c>
      <c r="D2053" s="114">
        <v>0.005747528823590805</v>
      </c>
      <c r="E2053" s="114">
        <v>2.160618572399474</v>
      </c>
      <c r="F2053" s="91" t="s">
        <v>2524</v>
      </c>
      <c r="G2053" s="91" t="b">
        <v>0</v>
      </c>
      <c r="H2053" s="91" t="b">
        <v>0</v>
      </c>
      <c r="I2053" s="91" t="b">
        <v>0</v>
      </c>
      <c r="J2053" s="91" t="b">
        <v>0</v>
      </c>
      <c r="K2053" s="91" t="b">
        <v>0</v>
      </c>
      <c r="L2053" s="91" t="b">
        <v>0</v>
      </c>
    </row>
    <row r="2054" spans="1:12" ht="15">
      <c r="A2054" s="92" t="s">
        <v>2564</v>
      </c>
      <c r="B2054" s="91" t="s">
        <v>2574</v>
      </c>
      <c r="C2054" s="91">
        <v>3</v>
      </c>
      <c r="D2054" s="114">
        <v>0.0049261083743842365</v>
      </c>
      <c r="E2054" s="114">
        <v>1.2855573090077739</v>
      </c>
      <c r="F2054" s="91" t="s">
        <v>2524</v>
      </c>
      <c r="G2054" s="91" t="b">
        <v>0</v>
      </c>
      <c r="H2054" s="91" t="b">
        <v>0</v>
      </c>
      <c r="I2054" s="91" t="b">
        <v>0</v>
      </c>
      <c r="J2054" s="91" t="b">
        <v>0</v>
      </c>
      <c r="K2054" s="91" t="b">
        <v>0</v>
      </c>
      <c r="L2054" s="91" t="b">
        <v>0</v>
      </c>
    </row>
    <row r="2055" spans="1:12" ht="15">
      <c r="A2055" s="92" t="s">
        <v>2726</v>
      </c>
      <c r="B2055" s="91" t="s">
        <v>3074</v>
      </c>
      <c r="C2055" s="91">
        <v>2</v>
      </c>
      <c r="D2055" s="114">
        <v>0.003862368666849528</v>
      </c>
      <c r="E2055" s="114">
        <v>1.5322296423491624</v>
      </c>
      <c r="F2055" s="91" t="s">
        <v>2524</v>
      </c>
      <c r="G2055" s="91" t="b">
        <v>0</v>
      </c>
      <c r="H2055" s="91" t="b">
        <v>0</v>
      </c>
      <c r="I2055" s="91" t="b">
        <v>0</v>
      </c>
      <c r="J2055" s="91" t="b">
        <v>0</v>
      </c>
      <c r="K2055" s="91" t="b">
        <v>0</v>
      </c>
      <c r="L2055" s="91" t="b">
        <v>0</v>
      </c>
    </row>
    <row r="2056" spans="1:12" ht="15">
      <c r="A2056" s="92" t="s">
        <v>3074</v>
      </c>
      <c r="B2056" s="91" t="s">
        <v>2616</v>
      </c>
      <c r="C2056" s="91">
        <v>2</v>
      </c>
      <c r="D2056" s="114">
        <v>0.003862368666849528</v>
      </c>
      <c r="E2056" s="114">
        <v>1.5322296423491624</v>
      </c>
      <c r="F2056" s="91" t="s">
        <v>2524</v>
      </c>
      <c r="G2056" s="91" t="b">
        <v>0</v>
      </c>
      <c r="H2056" s="91" t="b">
        <v>0</v>
      </c>
      <c r="I2056" s="91" t="b">
        <v>0</v>
      </c>
      <c r="J2056" s="91" t="b">
        <v>0</v>
      </c>
      <c r="K2056" s="91" t="b">
        <v>0</v>
      </c>
      <c r="L2056" s="91" t="b">
        <v>0</v>
      </c>
    </row>
    <row r="2057" spans="1:12" ht="15">
      <c r="A2057" s="92" t="s">
        <v>2581</v>
      </c>
      <c r="B2057" s="91" t="s">
        <v>2586</v>
      </c>
      <c r="C2057" s="91">
        <v>2</v>
      </c>
      <c r="D2057" s="114">
        <v>0.003862368666849528</v>
      </c>
      <c r="E2057" s="114">
        <v>2.4616485680634552</v>
      </c>
      <c r="F2057" s="91" t="s">
        <v>2524</v>
      </c>
      <c r="G2057" s="91" t="b">
        <v>0</v>
      </c>
      <c r="H2057" s="91" t="b">
        <v>0</v>
      </c>
      <c r="I2057" s="91" t="b">
        <v>0</v>
      </c>
      <c r="J2057" s="91" t="b">
        <v>0</v>
      </c>
      <c r="K2057" s="91" t="b">
        <v>0</v>
      </c>
      <c r="L2057" s="91" t="b">
        <v>0</v>
      </c>
    </row>
    <row r="2058" spans="1:12" ht="15">
      <c r="A2058" s="92" t="s">
        <v>2586</v>
      </c>
      <c r="B2058" s="91" t="s">
        <v>2595</v>
      </c>
      <c r="C2058" s="91">
        <v>2</v>
      </c>
      <c r="D2058" s="114">
        <v>0.003862368666849528</v>
      </c>
      <c r="E2058" s="114">
        <v>2.4616485680634552</v>
      </c>
      <c r="F2058" s="91" t="s">
        <v>2524</v>
      </c>
      <c r="G2058" s="91" t="b">
        <v>0</v>
      </c>
      <c r="H2058" s="91" t="b">
        <v>0</v>
      </c>
      <c r="I2058" s="91" t="b">
        <v>0</v>
      </c>
      <c r="J2058" s="91" t="b">
        <v>0</v>
      </c>
      <c r="K2058" s="91" t="b">
        <v>0</v>
      </c>
      <c r="L2058" s="91" t="b">
        <v>0</v>
      </c>
    </row>
    <row r="2059" spans="1:12" ht="15">
      <c r="A2059" s="92" t="s">
        <v>2595</v>
      </c>
      <c r="B2059" s="91" t="s">
        <v>2568</v>
      </c>
      <c r="C2059" s="91">
        <v>2</v>
      </c>
      <c r="D2059" s="114">
        <v>0.003862368666849528</v>
      </c>
      <c r="E2059" s="114">
        <v>1.9175805237131793</v>
      </c>
      <c r="F2059" s="91" t="s">
        <v>2524</v>
      </c>
      <c r="G2059" s="91" t="b">
        <v>0</v>
      </c>
      <c r="H2059" s="91" t="b">
        <v>0</v>
      </c>
      <c r="I2059" s="91" t="b">
        <v>0</v>
      </c>
      <c r="J2059" s="91" t="b">
        <v>0</v>
      </c>
      <c r="K2059" s="91" t="b">
        <v>0</v>
      </c>
      <c r="L2059" s="91" t="b">
        <v>0</v>
      </c>
    </row>
    <row r="2060" spans="1:12" ht="15">
      <c r="A2060" s="92" t="s">
        <v>2568</v>
      </c>
      <c r="B2060" s="91" t="s">
        <v>2592</v>
      </c>
      <c r="C2060" s="91">
        <v>2</v>
      </c>
      <c r="D2060" s="114">
        <v>0.003862368666849528</v>
      </c>
      <c r="E2060" s="114">
        <v>1.9175805237131793</v>
      </c>
      <c r="F2060" s="91" t="s">
        <v>2524</v>
      </c>
      <c r="G2060" s="91" t="b">
        <v>0</v>
      </c>
      <c r="H2060" s="91" t="b">
        <v>0</v>
      </c>
      <c r="I2060" s="91" t="b">
        <v>0</v>
      </c>
      <c r="J2060" s="91" t="b">
        <v>0</v>
      </c>
      <c r="K2060" s="91" t="b">
        <v>0</v>
      </c>
      <c r="L2060" s="91" t="b">
        <v>0</v>
      </c>
    </row>
    <row r="2061" spans="1:12" ht="15">
      <c r="A2061" s="92" t="s">
        <v>2592</v>
      </c>
      <c r="B2061" s="91" t="s">
        <v>2567</v>
      </c>
      <c r="C2061" s="91">
        <v>2</v>
      </c>
      <c r="D2061" s="114">
        <v>0.003862368666849528</v>
      </c>
      <c r="E2061" s="114">
        <v>2.285557309007774</v>
      </c>
      <c r="F2061" s="91" t="s">
        <v>2524</v>
      </c>
      <c r="G2061" s="91" t="b">
        <v>0</v>
      </c>
      <c r="H2061" s="91" t="b">
        <v>0</v>
      </c>
      <c r="I2061" s="91" t="b">
        <v>0</v>
      </c>
      <c r="J2061" s="91" t="b">
        <v>0</v>
      </c>
      <c r="K2061" s="91" t="b">
        <v>0</v>
      </c>
      <c r="L2061" s="91" t="b">
        <v>0</v>
      </c>
    </row>
    <row r="2062" spans="1:12" ht="15">
      <c r="A2062" s="92" t="s">
        <v>2567</v>
      </c>
      <c r="B2062" s="91" t="s">
        <v>2576</v>
      </c>
      <c r="C2062" s="91">
        <v>2</v>
      </c>
      <c r="D2062" s="114">
        <v>0.003862368666849528</v>
      </c>
      <c r="E2062" s="114">
        <v>1.2855573090077739</v>
      </c>
      <c r="F2062" s="91" t="s">
        <v>2524</v>
      </c>
      <c r="G2062" s="91" t="b">
        <v>0</v>
      </c>
      <c r="H2062" s="91" t="b">
        <v>0</v>
      </c>
      <c r="I2062" s="91" t="b">
        <v>0</v>
      </c>
      <c r="J2062" s="91" t="b">
        <v>0</v>
      </c>
      <c r="K2062" s="91" t="b">
        <v>0</v>
      </c>
      <c r="L2062" s="91" t="b">
        <v>0</v>
      </c>
    </row>
    <row r="2063" spans="1:12" ht="15">
      <c r="A2063" s="92" t="s">
        <v>2576</v>
      </c>
      <c r="B2063" s="91" t="s">
        <v>2596</v>
      </c>
      <c r="C2063" s="91">
        <v>2</v>
      </c>
      <c r="D2063" s="114">
        <v>0.003862368666849528</v>
      </c>
      <c r="E2063" s="114">
        <v>1.461648568063455</v>
      </c>
      <c r="F2063" s="91" t="s">
        <v>2524</v>
      </c>
      <c r="G2063" s="91" t="b">
        <v>0</v>
      </c>
      <c r="H2063" s="91" t="b">
        <v>0</v>
      </c>
      <c r="I2063" s="91" t="b">
        <v>0</v>
      </c>
      <c r="J2063" s="91" t="b">
        <v>0</v>
      </c>
      <c r="K2063" s="91" t="b">
        <v>0</v>
      </c>
      <c r="L2063" s="91" t="b">
        <v>0</v>
      </c>
    </row>
    <row r="2064" spans="1:12" ht="15">
      <c r="A2064" s="92" t="s">
        <v>2596</v>
      </c>
      <c r="B2064" s="91" t="s">
        <v>2597</v>
      </c>
      <c r="C2064" s="91">
        <v>2</v>
      </c>
      <c r="D2064" s="114">
        <v>0.003862368666849528</v>
      </c>
      <c r="E2064" s="114">
        <v>2.4616485680634552</v>
      </c>
      <c r="F2064" s="91" t="s">
        <v>2524</v>
      </c>
      <c r="G2064" s="91" t="b">
        <v>0</v>
      </c>
      <c r="H2064" s="91" t="b">
        <v>0</v>
      </c>
      <c r="I2064" s="91" t="b">
        <v>0</v>
      </c>
      <c r="J2064" s="91" t="b">
        <v>0</v>
      </c>
      <c r="K2064" s="91" t="b">
        <v>0</v>
      </c>
      <c r="L2064" s="91" t="b">
        <v>0</v>
      </c>
    </row>
    <row r="2065" spans="1:12" ht="15">
      <c r="A2065" s="92" t="s">
        <v>2597</v>
      </c>
      <c r="B2065" s="91" t="s">
        <v>2598</v>
      </c>
      <c r="C2065" s="91">
        <v>2</v>
      </c>
      <c r="D2065" s="114">
        <v>0.003862368666849528</v>
      </c>
      <c r="E2065" s="114">
        <v>2.4616485680634552</v>
      </c>
      <c r="F2065" s="91" t="s">
        <v>2524</v>
      </c>
      <c r="G2065" s="91" t="b">
        <v>0</v>
      </c>
      <c r="H2065" s="91" t="b">
        <v>0</v>
      </c>
      <c r="I2065" s="91" t="b">
        <v>0</v>
      </c>
      <c r="J2065" s="91" t="b">
        <v>0</v>
      </c>
      <c r="K2065" s="91" t="b">
        <v>0</v>
      </c>
      <c r="L2065" s="91" t="b">
        <v>0</v>
      </c>
    </row>
    <row r="2066" spans="1:12" ht="15">
      <c r="A2066" s="92" t="s">
        <v>2598</v>
      </c>
      <c r="B2066" s="91" t="s">
        <v>2599</v>
      </c>
      <c r="C2066" s="91">
        <v>2</v>
      </c>
      <c r="D2066" s="114">
        <v>0.003862368666849528</v>
      </c>
      <c r="E2066" s="114">
        <v>2.4616485680634552</v>
      </c>
      <c r="F2066" s="91" t="s">
        <v>2524</v>
      </c>
      <c r="G2066" s="91" t="b">
        <v>0</v>
      </c>
      <c r="H2066" s="91" t="b">
        <v>0</v>
      </c>
      <c r="I2066" s="91" t="b">
        <v>0</v>
      </c>
      <c r="J2066" s="91" t="b">
        <v>0</v>
      </c>
      <c r="K2066" s="91" t="b">
        <v>0</v>
      </c>
      <c r="L2066" s="91" t="b">
        <v>0</v>
      </c>
    </row>
    <row r="2067" spans="1:12" ht="15">
      <c r="A2067" s="92" t="s">
        <v>2599</v>
      </c>
      <c r="B2067" s="91" t="s">
        <v>2600</v>
      </c>
      <c r="C2067" s="91">
        <v>2</v>
      </c>
      <c r="D2067" s="114">
        <v>0.003862368666849528</v>
      </c>
      <c r="E2067" s="114">
        <v>2.4616485680634552</v>
      </c>
      <c r="F2067" s="91" t="s">
        <v>2524</v>
      </c>
      <c r="G2067" s="91" t="b">
        <v>0</v>
      </c>
      <c r="H2067" s="91" t="b">
        <v>0</v>
      </c>
      <c r="I2067" s="91" t="b">
        <v>0</v>
      </c>
      <c r="J2067" s="91" t="b">
        <v>0</v>
      </c>
      <c r="K2067" s="91" t="b">
        <v>0</v>
      </c>
      <c r="L2067" s="91" t="b">
        <v>0</v>
      </c>
    </row>
    <row r="2068" spans="1:12" ht="15">
      <c r="A2068" s="92" t="s">
        <v>2600</v>
      </c>
      <c r="B2068" s="91" t="s">
        <v>2601</v>
      </c>
      <c r="C2068" s="91">
        <v>2</v>
      </c>
      <c r="D2068" s="114">
        <v>0.003862368666849528</v>
      </c>
      <c r="E2068" s="114">
        <v>2.4616485680634552</v>
      </c>
      <c r="F2068" s="91" t="s">
        <v>2524</v>
      </c>
      <c r="G2068" s="91" t="b">
        <v>0</v>
      </c>
      <c r="H2068" s="91" t="b">
        <v>0</v>
      </c>
      <c r="I2068" s="91" t="b">
        <v>0</v>
      </c>
      <c r="J2068" s="91" t="b">
        <v>0</v>
      </c>
      <c r="K2068" s="91" t="b">
        <v>0</v>
      </c>
      <c r="L2068" s="91" t="b">
        <v>0</v>
      </c>
    </row>
    <row r="2069" spans="1:12" ht="15">
      <c r="A2069" s="92" t="s">
        <v>2601</v>
      </c>
      <c r="B2069" s="91" t="s">
        <v>2565</v>
      </c>
      <c r="C2069" s="91">
        <v>2</v>
      </c>
      <c r="D2069" s="114">
        <v>0.003862368666849528</v>
      </c>
      <c r="E2069" s="114">
        <v>2.160618572399474</v>
      </c>
      <c r="F2069" s="91" t="s">
        <v>2524</v>
      </c>
      <c r="G2069" s="91" t="b">
        <v>0</v>
      </c>
      <c r="H2069" s="91" t="b">
        <v>0</v>
      </c>
      <c r="I2069" s="91" t="b">
        <v>0</v>
      </c>
      <c r="J2069" s="91" t="b">
        <v>0</v>
      </c>
      <c r="K2069" s="91" t="b">
        <v>0</v>
      </c>
      <c r="L2069" s="91" t="b">
        <v>0</v>
      </c>
    </row>
    <row r="2070" spans="1:12" ht="15">
      <c r="A2070" s="92" t="s">
        <v>2565</v>
      </c>
      <c r="B2070" s="91" t="s">
        <v>2564</v>
      </c>
      <c r="C2070" s="91">
        <v>2</v>
      </c>
      <c r="D2070" s="114">
        <v>0.003862368666849528</v>
      </c>
      <c r="E2070" s="114">
        <v>0.9845273133437926</v>
      </c>
      <c r="F2070" s="91" t="s">
        <v>2524</v>
      </c>
      <c r="G2070" s="91" t="b">
        <v>0</v>
      </c>
      <c r="H2070" s="91" t="b">
        <v>0</v>
      </c>
      <c r="I2070" s="91" t="b">
        <v>0</v>
      </c>
      <c r="J2070" s="91" t="b">
        <v>0</v>
      </c>
      <c r="K2070" s="91" t="b">
        <v>0</v>
      </c>
      <c r="L2070" s="91" t="b">
        <v>0</v>
      </c>
    </row>
    <row r="2071" spans="1:12" ht="15">
      <c r="A2071" s="92" t="s">
        <v>2574</v>
      </c>
      <c r="B2071" s="91" t="s">
        <v>2585</v>
      </c>
      <c r="C2071" s="91">
        <v>2</v>
      </c>
      <c r="D2071" s="114">
        <v>0.003862368666849528</v>
      </c>
      <c r="E2071" s="114">
        <v>1.8084360542881113</v>
      </c>
      <c r="F2071" s="91" t="s">
        <v>2524</v>
      </c>
      <c r="G2071" s="91" t="b">
        <v>0</v>
      </c>
      <c r="H2071" s="91" t="b">
        <v>0</v>
      </c>
      <c r="I2071" s="91" t="b">
        <v>0</v>
      </c>
      <c r="J2071" s="91" t="b">
        <v>0</v>
      </c>
      <c r="K2071" s="91" t="b">
        <v>0</v>
      </c>
      <c r="L2071" s="91" t="b">
        <v>0</v>
      </c>
    </row>
    <row r="2072" spans="1:12" ht="15">
      <c r="A2072" s="92" t="s">
        <v>2585</v>
      </c>
      <c r="B2072" s="91" t="s">
        <v>2566</v>
      </c>
      <c r="C2072" s="91">
        <v>2</v>
      </c>
      <c r="D2072" s="114">
        <v>0.003862368666849528</v>
      </c>
      <c r="E2072" s="114">
        <v>1.9845273133437926</v>
      </c>
      <c r="F2072" s="91" t="s">
        <v>2524</v>
      </c>
      <c r="G2072" s="91" t="b">
        <v>0</v>
      </c>
      <c r="H2072" s="91" t="b">
        <v>0</v>
      </c>
      <c r="I2072" s="91" t="b">
        <v>0</v>
      </c>
      <c r="J2072" s="91" t="b">
        <v>0</v>
      </c>
      <c r="K2072" s="91" t="b">
        <v>0</v>
      </c>
      <c r="L2072" s="91" t="b">
        <v>0</v>
      </c>
    </row>
    <row r="2073" spans="1:12" ht="15">
      <c r="A2073" s="92" t="s">
        <v>2566</v>
      </c>
      <c r="B2073" s="91" t="s">
        <v>2584</v>
      </c>
      <c r="C2073" s="91">
        <v>2</v>
      </c>
      <c r="D2073" s="114">
        <v>0.003862368666849528</v>
      </c>
      <c r="E2073" s="114">
        <v>2.4616485680634552</v>
      </c>
      <c r="F2073" s="91" t="s">
        <v>2524</v>
      </c>
      <c r="G2073" s="91" t="b">
        <v>0</v>
      </c>
      <c r="H2073" s="91" t="b">
        <v>0</v>
      </c>
      <c r="I2073" s="91" t="b">
        <v>0</v>
      </c>
      <c r="J2073" s="91" t="b">
        <v>0</v>
      </c>
      <c r="K2073" s="91" t="b">
        <v>0</v>
      </c>
      <c r="L2073" s="91" t="b">
        <v>0</v>
      </c>
    </row>
    <row r="2074" spans="1:12" ht="15">
      <c r="A2074" s="92" t="s">
        <v>2584</v>
      </c>
      <c r="B2074" s="91" t="s">
        <v>2575</v>
      </c>
      <c r="C2074" s="91">
        <v>2</v>
      </c>
      <c r="D2074" s="114">
        <v>0.003862368666849528</v>
      </c>
      <c r="E2074" s="114">
        <v>2.4616485680634552</v>
      </c>
      <c r="F2074" s="91" t="s">
        <v>2524</v>
      </c>
      <c r="G2074" s="91" t="b">
        <v>0</v>
      </c>
      <c r="H2074" s="91" t="b">
        <v>0</v>
      </c>
      <c r="I2074" s="91" t="b">
        <v>0</v>
      </c>
      <c r="J2074" s="91" t="b">
        <v>0</v>
      </c>
      <c r="K2074" s="91" t="b">
        <v>0</v>
      </c>
      <c r="L2074" s="91" t="b">
        <v>0</v>
      </c>
    </row>
    <row r="2075" spans="1:12" ht="15">
      <c r="A2075" s="92" t="s">
        <v>2575</v>
      </c>
      <c r="B2075" s="91" t="s">
        <v>2570</v>
      </c>
      <c r="C2075" s="91">
        <v>2</v>
      </c>
      <c r="D2075" s="114">
        <v>0.003862368666849528</v>
      </c>
      <c r="E2075" s="114">
        <v>2.4616485680634552</v>
      </c>
      <c r="F2075" s="91" t="s">
        <v>2524</v>
      </c>
      <c r="G2075" s="91" t="b">
        <v>0</v>
      </c>
      <c r="H2075" s="91" t="b">
        <v>0</v>
      </c>
      <c r="I2075" s="91" t="b">
        <v>0</v>
      </c>
      <c r="J2075" s="91" t="b">
        <v>0</v>
      </c>
      <c r="K2075" s="91" t="b">
        <v>0</v>
      </c>
      <c r="L2075" s="91" t="b">
        <v>0</v>
      </c>
    </row>
    <row r="2076" spans="1:12" ht="15">
      <c r="A2076" s="92" t="s">
        <v>2570</v>
      </c>
      <c r="B2076" s="91" t="s">
        <v>2602</v>
      </c>
      <c r="C2076" s="91">
        <v>2</v>
      </c>
      <c r="D2076" s="114">
        <v>0.003862368666849528</v>
      </c>
      <c r="E2076" s="114">
        <v>2.4616485680634552</v>
      </c>
      <c r="F2076" s="91" t="s">
        <v>2524</v>
      </c>
      <c r="G2076" s="91" t="b">
        <v>0</v>
      </c>
      <c r="H2076" s="91" t="b">
        <v>0</v>
      </c>
      <c r="I2076" s="91" t="b">
        <v>0</v>
      </c>
      <c r="J2076" s="91" t="b">
        <v>0</v>
      </c>
      <c r="K2076" s="91" t="b">
        <v>0</v>
      </c>
      <c r="L2076" s="91" t="b">
        <v>0</v>
      </c>
    </row>
    <row r="2077" spans="1:12" ht="15">
      <c r="A2077" s="92" t="s">
        <v>2602</v>
      </c>
      <c r="B2077" s="91" t="s">
        <v>2603</v>
      </c>
      <c r="C2077" s="91">
        <v>2</v>
      </c>
      <c r="D2077" s="114">
        <v>0.003862368666849528</v>
      </c>
      <c r="E2077" s="114">
        <v>2.4616485680634552</v>
      </c>
      <c r="F2077" s="91" t="s">
        <v>2524</v>
      </c>
      <c r="G2077" s="91" t="b">
        <v>0</v>
      </c>
      <c r="H2077" s="91" t="b">
        <v>0</v>
      </c>
      <c r="I2077" s="91" t="b">
        <v>0</v>
      </c>
      <c r="J2077" s="91" t="b">
        <v>0</v>
      </c>
      <c r="K2077" s="91" t="b">
        <v>0</v>
      </c>
      <c r="L2077" s="91" t="b">
        <v>0</v>
      </c>
    </row>
    <row r="2078" spans="1:12" ht="15">
      <c r="A2078" s="92" t="s">
        <v>2603</v>
      </c>
      <c r="B2078" s="91" t="s">
        <v>2604</v>
      </c>
      <c r="C2078" s="91">
        <v>2</v>
      </c>
      <c r="D2078" s="114">
        <v>0.003862368666849528</v>
      </c>
      <c r="E2078" s="114">
        <v>2.4616485680634552</v>
      </c>
      <c r="F2078" s="91" t="s">
        <v>2524</v>
      </c>
      <c r="G2078" s="91" t="b">
        <v>0</v>
      </c>
      <c r="H2078" s="91" t="b">
        <v>0</v>
      </c>
      <c r="I2078" s="91" t="b">
        <v>0</v>
      </c>
      <c r="J2078" s="91" t="b">
        <v>0</v>
      </c>
      <c r="K2078" s="91" t="b">
        <v>0</v>
      </c>
      <c r="L2078" s="91" t="b">
        <v>0</v>
      </c>
    </row>
    <row r="2079" spans="1:12" ht="15">
      <c r="A2079" s="92" t="s">
        <v>2604</v>
      </c>
      <c r="B2079" s="91" t="s">
        <v>2587</v>
      </c>
      <c r="C2079" s="91">
        <v>2</v>
      </c>
      <c r="D2079" s="114">
        <v>0.003862368666849528</v>
      </c>
      <c r="E2079" s="114">
        <v>2.4616485680634552</v>
      </c>
      <c r="F2079" s="91" t="s">
        <v>2524</v>
      </c>
      <c r="G2079" s="91" t="b">
        <v>0</v>
      </c>
      <c r="H2079" s="91" t="b">
        <v>0</v>
      </c>
      <c r="I2079" s="91" t="b">
        <v>0</v>
      </c>
      <c r="J2079" s="91" t="b">
        <v>0</v>
      </c>
      <c r="K2079" s="91" t="b">
        <v>0</v>
      </c>
      <c r="L2079" s="91" t="b">
        <v>0</v>
      </c>
    </row>
    <row r="2080" spans="1:12" ht="15">
      <c r="A2080" s="92" t="s">
        <v>2587</v>
      </c>
      <c r="B2080" s="91" t="s">
        <v>2593</v>
      </c>
      <c r="C2080" s="91">
        <v>2</v>
      </c>
      <c r="D2080" s="114">
        <v>0.003862368666849528</v>
      </c>
      <c r="E2080" s="114">
        <v>2.4616485680634552</v>
      </c>
      <c r="F2080" s="91" t="s">
        <v>2524</v>
      </c>
      <c r="G2080" s="91" t="b">
        <v>0</v>
      </c>
      <c r="H2080" s="91" t="b">
        <v>0</v>
      </c>
      <c r="I2080" s="91" t="b">
        <v>0</v>
      </c>
      <c r="J2080" s="91" t="b">
        <v>0</v>
      </c>
      <c r="K2080" s="91" t="b">
        <v>0</v>
      </c>
      <c r="L2080" s="91" t="b">
        <v>0</v>
      </c>
    </row>
    <row r="2081" spans="1:12" ht="15">
      <c r="A2081" s="92" t="s">
        <v>2593</v>
      </c>
      <c r="B2081" s="91" t="s">
        <v>2605</v>
      </c>
      <c r="C2081" s="91">
        <v>2</v>
      </c>
      <c r="D2081" s="114">
        <v>0.003862368666849528</v>
      </c>
      <c r="E2081" s="114">
        <v>2.4616485680634552</v>
      </c>
      <c r="F2081" s="91" t="s">
        <v>2524</v>
      </c>
      <c r="G2081" s="91" t="b">
        <v>0</v>
      </c>
      <c r="H2081" s="91" t="b">
        <v>0</v>
      </c>
      <c r="I2081" s="91" t="b">
        <v>0</v>
      </c>
      <c r="J2081" s="91" t="b">
        <v>0</v>
      </c>
      <c r="K2081" s="91" t="b">
        <v>0</v>
      </c>
      <c r="L2081" s="91" t="b">
        <v>0</v>
      </c>
    </row>
    <row r="2082" spans="1:12" ht="15">
      <c r="A2082" s="92" t="s">
        <v>2605</v>
      </c>
      <c r="B2082" s="91" t="s">
        <v>2606</v>
      </c>
      <c r="C2082" s="91">
        <v>2</v>
      </c>
      <c r="D2082" s="114">
        <v>0.003862368666849528</v>
      </c>
      <c r="E2082" s="114">
        <v>2.4616485680634552</v>
      </c>
      <c r="F2082" s="91" t="s">
        <v>2524</v>
      </c>
      <c r="G2082" s="91" t="b">
        <v>0</v>
      </c>
      <c r="H2082" s="91" t="b">
        <v>0</v>
      </c>
      <c r="I2082" s="91" t="b">
        <v>0</v>
      </c>
      <c r="J2082" s="91" t="b">
        <v>0</v>
      </c>
      <c r="K2082" s="91" t="b">
        <v>0</v>
      </c>
      <c r="L2082" s="91" t="b">
        <v>0</v>
      </c>
    </row>
    <row r="2083" spans="1:12" ht="15">
      <c r="A2083" s="92" t="s">
        <v>2726</v>
      </c>
      <c r="B2083" s="91" t="s">
        <v>3075</v>
      </c>
      <c r="C2083" s="91">
        <v>2</v>
      </c>
      <c r="D2083" s="114">
        <v>0.003862368666849528</v>
      </c>
      <c r="E2083" s="114">
        <v>1.5322296423491624</v>
      </c>
      <c r="F2083" s="91" t="s">
        <v>2524</v>
      </c>
      <c r="G2083" s="91" t="b">
        <v>0</v>
      </c>
      <c r="H2083" s="91" t="b">
        <v>0</v>
      </c>
      <c r="I2083" s="91" t="b">
        <v>0</v>
      </c>
      <c r="J2083" s="91" t="b">
        <v>0</v>
      </c>
      <c r="K2083" s="91" t="b">
        <v>0</v>
      </c>
      <c r="L2083" s="91" t="b">
        <v>0</v>
      </c>
    </row>
    <row r="2084" spans="1:12" ht="15">
      <c r="A2084" s="92" t="s">
        <v>3075</v>
      </c>
      <c r="B2084" s="91" t="s">
        <v>2616</v>
      </c>
      <c r="C2084" s="91">
        <v>2</v>
      </c>
      <c r="D2084" s="114">
        <v>0.003862368666849528</v>
      </c>
      <c r="E2084" s="114">
        <v>1.5322296423491624</v>
      </c>
      <c r="F2084" s="91" t="s">
        <v>2524</v>
      </c>
      <c r="G2084" s="91" t="b">
        <v>0</v>
      </c>
      <c r="H2084" s="91" t="b">
        <v>0</v>
      </c>
      <c r="I2084" s="91" t="b">
        <v>0</v>
      </c>
      <c r="J2084" s="91" t="b">
        <v>0</v>
      </c>
      <c r="K2084" s="91" t="b">
        <v>0</v>
      </c>
      <c r="L2084" s="91" t="b">
        <v>0</v>
      </c>
    </row>
    <row r="2085" spans="1:12" ht="15">
      <c r="A2085" s="92" t="s">
        <v>2581</v>
      </c>
      <c r="B2085" s="91" t="s">
        <v>2586</v>
      </c>
      <c r="C2085" s="91">
        <v>13</v>
      </c>
      <c r="D2085" s="114">
        <v>0.0031277857407268584</v>
      </c>
      <c r="E2085" s="114">
        <v>1.7095308768634643</v>
      </c>
      <c r="F2085" s="91" t="s">
        <v>2525</v>
      </c>
      <c r="G2085" s="91" t="b">
        <v>0</v>
      </c>
      <c r="H2085" s="91" t="b">
        <v>0</v>
      </c>
      <c r="I2085" s="91" t="b">
        <v>0</v>
      </c>
      <c r="J2085" s="91" t="b">
        <v>0</v>
      </c>
      <c r="K2085" s="91" t="b">
        <v>0</v>
      </c>
      <c r="L2085" s="91" t="b">
        <v>0</v>
      </c>
    </row>
    <row r="2086" spans="1:12" ht="15">
      <c r="A2086" s="92" t="s">
        <v>2569</v>
      </c>
      <c r="B2086" s="91" t="s">
        <v>2572</v>
      </c>
      <c r="C2086" s="91">
        <v>13</v>
      </c>
      <c r="D2086" s="114">
        <v>0.0031277857407268584</v>
      </c>
      <c r="E2086" s="114">
        <v>1.7095308768634643</v>
      </c>
      <c r="F2086" s="91" t="s">
        <v>2525</v>
      </c>
      <c r="G2086" s="91" t="b">
        <v>0</v>
      </c>
      <c r="H2086" s="91" t="b">
        <v>0</v>
      </c>
      <c r="I2086" s="91" t="b">
        <v>0</v>
      </c>
      <c r="J2086" s="91" t="b">
        <v>0</v>
      </c>
      <c r="K2086" s="91" t="b">
        <v>0</v>
      </c>
      <c r="L2086" s="91" t="b">
        <v>0</v>
      </c>
    </row>
    <row r="2087" spans="1:12" ht="15">
      <c r="A2087" s="92" t="s">
        <v>2564</v>
      </c>
      <c r="B2087" s="91" t="s">
        <v>2566</v>
      </c>
      <c r="C2087" s="91">
        <v>13</v>
      </c>
      <c r="D2087" s="114">
        <v>0.0031277857407268584</v>
      </c>
      <c r="E2087" s="114">
        <v>1.4033914754210028</v>
      </c>
      <c r="F2087" s="91" t="s">
        <v>2525</v>
      </c>
      <c r="G2087" s="91" t="b">
        <v>0</v>
      </c>
      <c r="H2087" s="91" t="b">
        <v>0</v>
      </c>
      <c r="I2087" s="91" t="b">
        <v>0</v>
      </c>
      <c r="J2087" s="91" t="b">
        <v>0</v>
      </c>
      <c r="K2087" s="91" t="b">
        <v>0</v>
      </c>
      <c r="L2087" s="91" t="b">
        <v>0</v>
      </c>
    </row>
    <row r="2088" spans="1:12" ht="15">
      <c r="A2088" s="92" t="s">
        <v>2660</v>
      </c>
      <c r="B2088" s="91" t="s">
        <v>2581</v>
      </c>
      <c r="C2088" s="91">
        <v>12</v>
      </c>
      <c r="D2088" s="114">
        <v>0.0034961580421349627</v>
      </c>
      <c r="E2088" s="114">
        <v>1.7095308768634643</v>
      </c>
      <c r="F2088" s="91" t="s">
        <v>2525</v>
      </c>
      <c r="G2088" s="91" t="b">
        <v>0</v>
      </c>
      <c r="H2088" s="91" t="b">
        <v>0</v>
      </c>
      <c r="I2088" s="91" t="b">
        <v>0</v>
      </c>
      <c r="J2088" s="91" t="b">
        <v>0</v>
      </c>
      <c r="K2088" s="91" t="b">
        <v>0</v>
      </c>
      <c r="L2088" s="91" t="b">
        <v>0</v>
      </c>
    </row>
    <row r="2089" spans="1:12" ht="15">
      <c r="A2089" s="92" t="s">
        <v>2586</v>
      </c>
      <c r="B2089" s="91" t="s">
        <v>2670</v>
      </c>
      <c r="C2089" s="91">
        <v>12</v>
      </c>
      <c r="D2089" s="114">
        <v>0.0034961580421349627</v>
      </c>
      <c r="E2089" s="114">
        <v>1.7095308768634643</v>
      </c>
      <c r="F2089" s="91" t="s">
        <v>2525</v>
      </c>
      <c r="G2089" s="91" t="b">
        <v>0</v>
      </c>
      <c r="H2089" s="91" t="b">
        <v>0</v>
      </c>
      <c r="I2089" s="91" t="b">
        <v>0</v>
      </c>
      <c r="J2089" s="91" t="b">
        <v>0</v>
      </c>
      <c r="K2089" s="91" t="b">
        <v>0</v>
      </c>
      <c r="L2089" s="91" t="b">
        <v>0</v>
      </c>
    </row>
    <row r="2090" spans="1:12" ht="15">
      <c r="A2090" s="92" t="s">
        <v>2670</v>
      </c>
      <c r="B2090" s="91" t="s">
        <v>2655</v>
      </c>
      <c r="C2090" s="91">
        <v>12</v>
      </c>
      <c r="D2090" s="114">
        <v>0.0034961580421349627</v>
      </c>
      <c r="E2090" s="114">
        <v>1.7442929831226763</v>
      </c>
      <c r="F2090" s="91" t="s">
        <v>2525</v>
      </c>
      <c r="G2090" s="91" t="b">
        <v>0</v>
      </c>
      <c r="H2090" s="91" t="b">
        <v>0</v>
      </c>
      <c r="I2090" s="91" t="b">
        <v>0</v>
      </c>
      <c r="J2090" s="91" t="b">
        <v>0</v>
      </c>
      <c r="K2090" s="91" t="b">
        <v>0</v>
      </c>
      <c r="L2090" s="91" t="b">
        <v>0</v>
      </c>
    </row>
    <row r="2091" spans="1:12" ht="15">
      <c r="A2091" s="92" t="s">
        <v>2655</v>
      </c>
      <c r="B2091" s="91" t="s">
        <v>2580</v>
      </c>
      <c r="C2091" s="91">
        <v>12</v>
      </c>
      <c r="D2091" s="114">
        <v>0.0034961580421349627</v>
      </c>
      <c r="E2091" s="114">
        <v>1.3763161978280818</v>
      </c>
      <c r="F2091" s="91" t="s">
        <v>2525</v>
      </c>
      <c r="G2091" s="91" t="b">
        <v>0</v>
      </c>
      <c r="H2091" s="91" t="b">
        <v>0</v>
      </c>
      <c r="I2091" s="91" t="b">
        <v>0</v>
      </c>
      <c r="J2091" s="91" t="b">
        <v>0</v>
      </c>
      <c r="K2091" s="91" t="b">
        <v>0</v>
      </c>
      <c r="L2091" s="91" t="b">
        <v>0</v>
      </c>
    </row>
    <row r="2092" spans="1:12" ht="15">
      <c r="A2092" s="92" t="s">
        <v>2580</v>
      </c>
      <c r="B2092" s="91" t="s">
        <v>2661</v>
      </c>
      <c r="C2092" s="91">
        <v>12</v>
      </c>
      <c r="D2092" s="114">
        <v>0.0034961580421349627</v>
      </c>
      <c r="E2092" s="114">
        <v>1.3763161978280818</v>
      </c>
      <c r="F2092" s="91" t="s">
        <v>2525</v>
      </c>
      <c r="G2092" s="91" t="b">
        <v>0</v>
      </c>
      <c r="H2092" s="91" t="b">
        <v>0</v>
      </c>
      <c r="I2092" s="91" t="b">
        <v>0</v>
      </c>
      <c r="J2092" s="91" t="b">
        <v>0</v>
      </c>
      <c r="K2092" s="91" t="b">
        <v>0</v>
      </c>
      <c r="L2092" s="91" t="b">
        <v>0</v>
      </c>
    </row>
    <row r="2093" spans="1:12" ht="15">
      <c r="A2093" s="92" t="s">
        <v>2661</v>
      </c>
      <c r="B2093" s="91" t="s">
        <v>2656</v>
      </c>
      <c r="C2093" s="91">
        <v>12</v>
      </c>
      <c r="D2093" s="114">
        <v>0.0034961580421349627</v>
      </c>
      <c r="E2093" s="114">
        <v>1.7442929831226763</v>
      </c>
      <c r="F2093" s="91" t="s">
        <v>2525</v>
      </c>
      <c r="G2093" s="91" t="b">
        <v>0</v>
      </c>
      <c r="H2093" s="91" t="b">
        <v>0</v>
      </c>
      <c r="I2093" s="91" t="b">
        <v>0</v>
      </c>
      <c r="J2093" s="91" t="b">
        <v>0</v>
      </c>
      <c r="K2093" s="91" t="b">
        <v>0</v>
      </c>
      <c r="L2093" s="91" t="b">
        <v>0</v>
      </c>
    </row>
    <row r="2094" spans="1:12" ht="15">
      <c r="A2094" s="92" t="s">
        <v>2656</v>
      </c>
      <c r="B2094" s="91" t="s">
        <v>586</v>
      </c>
      <c r="C2094" s="91">
        <v>12</v>
      </c>
      <c r="D2094" s="114">
        <v>0.0034961580421349627</v>
      </c>
      <c r="E2094" s="114">
        <v>1.7442929831226763</v>
      </c>
      <c r="F2094" s="91" t="s">
        <v>2525</v>
      </c>
      <c r="G2094" s="91" t="b">
        <v>0</v>
      </c>
      <c r="H2094" s="91" t="b">
        <v>0</v>
      </c>
      <c r="I2094" s="91" t="b">
        <v>0</v>
      </c>
      <c r="J2094" s="91" t="b">
        <v>0</v>
      </c>
      <c r="K2094" s="91" t="b">
        <v>0</v>
      </c>
      <c r="L2094" s="91" t="b">
        <v>0</v>
      </c>
    </row>
    <row r="2095" spans="1:12" ht="15">
      <c r="A2095" s="92" t="s">
        <v>586</v>
      </c>
      <c r="B2095" s="91" t="s">
        <v>2700</v>
      </c>
      <c r="C2095" s="91">
        <v>12</v>
      </c>
      <c r="D2095" s="114">
        <v>0.0034961580421349627</v>
      </c>
      <c r="E2095" s="114">
        <v>1.7442929831226763</v>
      </c>
      <c r="F2095" s="91" t="s">
        <v>2525</v>
      </c>
      <c r="G2095" s="91" t="b">
        <v>0</v>
      </c>
      <c r="H2095" s="91" t="b">
        <v>0</v>
      </c>
      <c r="I2095" s="91" t="b">
        <v>0</v>
      </c>
      <c r="J2095" s="91" t="b">
        <v>0</v>
      </c>
      <c r="K2095" s="91" t="b">
        <v>0</v>
      </c>
      <c r="L2095" s="91" t="b">
        <v>0</v>
      </c>
    </row>
    <row r="2096" spans="1:12" ht="15">
      <c r="A2096" s="92" t="s">
        <v>2700</v>
      </c>
      <c r="B2096" s="91" t="s">
        <v>2657</v>
      </c>
      <c r="C2096" s="91">
        <v>12</v>
      </c>
      <c r="D2096" s="114">
        <v>0.0034961580421349627</v>
      </c>
      <c r="E2096" s="114">
        <v>1.7442929831226763</v>
      </c>
      <c r="F2096" s="91" t="s">
        <v>2525</v>
      </c>
      <c r="G2096" s="91" t="b">
        <v>0</v>
      </c>
      <c r="H2096" s="91" t="b">
        <v>0</v>
      </c>
      <c r="I2096" s="91" t="b">
        <v>0</v>
      </c>
      <c r="J2096" s="91" t="b">
        <v>0</v>
      </c>
      <c r="K2096" s="91" t="b">
        <v>0</v>
      </c>
      <c r="L2096" s="91" t="b">
        <v>0</v>
      </c>
    </row>
    <row r="2097" spans="1:12" ht="15">
      <c r="A2097" s="92" t="s">
        <v>2657</v>
      </c>
      <c r="B2097" s="91" t="s">
        <v>2576</v>
      </c>
      <c r="C2097" s="91">
        <v>12</v>
      </c>
      <c r="D2097" s="114">
        <v>0.0034961580421349627</v>
      </c>
      <c r="E2097" s="114">
        <v>1.7095308768634643</v>
      </c>
      <c r="F2097" s="91" t="s">
        <v>2525</v>
      </c>
      <c r="G2097" s="91" t="b">
        <v>0</v>
      </c>
      <c r="H2097" s="91" t="b">
        <v>0</v>
      </c>
      <c r="I2097" s="91" t="b">
        <v>0</v>
      </c>
      <c r="J2097" s="91" t="b">
        <v>0</v>
      </c>
      <c r="K2097" s="91" t="b">
        <v>0</v>
      </c>
      <c r="L2097" s="91" t="b">
        <v>0</v>
      </c>
    </row>
    <row r="2098" spans="1:12" ht="15">
      <c r="A2098" s="92" t="s">
        <v>2576</v>
      </c>
      <c r="B2098" s="91" t="s">
        <v>2569</v>
      </c>
      <c r="C2098" s="91">
        <v>12</v>
      </c>
      <c r="D2098" s="114">
        <v>0.0034961580421349627</v>
      </c>
      <c r="E2098" s="114">
        <v>1.6747687706042524</v>
      </c>
      <c r="F2098" s="91" t="s">
        <v>2525</v>
      </c>
      <c r="G2098" s="91" t="b">
        <v>0</v>
      </c>
      <c r="H2098" s="91" t="b">
        <v>0</v>
      </c>
      <c r="I2098" s="91" t="b">
        <v>0</v>
      </c>
      <c r="J2098" s="91" t="b">
        <v>0</v>
      </c>
      <c r="K2098" s="91" t="b">
        <v>0</v>
      </c>
      <c r="L2098" s="91" t="b">
        <v>0</v>
      </c>
    </row>
    <row r="2099" spans="1:12" ht="15">
      <c r="A2099" s="92" t="s">
        <v>2572</v>
      </c>
      <c r="B2099" s="91" t="s">
        <v>2629</v>
      </c>
      <c r="C2099" s="91">
        <v>12</v>
      </c>
      <c r="D2099" s="114">
        <v>0.0034961580421349627</v>
      </c>
      <c r="E2099" s="114">
        <v>1.7095308768634643</v>
      </c>
      <c r="F2099" s="91" t="s">
        <v>2525</v>
      </c>
      <c r="G2099" s="91" t="b">
        <v>0</v>
      </c>
      <c r="H2099" s="91" t="b">
        <v>0</v>
      </c>
      <c r="I2099" s="91" t="b">
        <v>0</v>
      </c>
      <c r="J2099" s="91" t="b">
        <v>0</v>
      </c>
      <c r="K2099" s="91" t="b">
        <v>0</v>
      </c>
      <c r="L2099" s="91" t="b">
        <v>0</v>
      </c>
    </row>
    <row r="2100" spans="1:12" ht="15">
      <c r="A2100" s="92" t="s">
        <v>2629</v>
      </c>
      <c r="B2100" s="91" t="s">
        <v>2701</v>
      </c>
      <c r="C2100" s="91">
        <v>12</v>
      </c>
      <c r="D2100" s="114">
        <v>0.0034961580421349627</v>
      </c>
      <c r="E2100" s="114">
        <v>1.7442929831226763</v>
      </c>
      <c r="F2100" s="91" t="s">
        <v>2525</v>
      </c>
      <c r="G2100" s="91" t="b">
        <v>0</v>
      </c>
      <c r="H2100" s="91" t="b">
        <v>0</v>
      </c>
      <c r="I2100" s="91" t="b">
        <v>0</v>
      </c>
      <c r="J2100" s="91" t="b">
        <v>0</v>
      </c>
      <c r="K2100" s="91" t="b">
        <v>0</v>
      </c>
      <c r="L2100" s="91" t="b">
        <v>0</v>
      </c>
    </row>
    <row r="2101" spans="1:12" ht="15">
      <c r="A2101" s="92" t="s">
        <v>2701</v>
      </c>
      <c r="B2101" s="91" t="s">
        <v>2702</v>
      </c>
      <c r="C2101" s="91">
        <v>12</v>
      </c>
      <c r="D2101" s="114">
        <v>0.0034961580421349627</v>
      </c>
      <c r="E2101" s="114">
        <v>1.7442929831226763</v>
      </c>
      <c r="F2101" s="91" t="s">
        <v>2525</v>
      </c>
      <c r="G2101" s="91" t="b">
        <v>0</v>
      </c>
      <c r="H2101" s="91" t="b">
        <v>0</v>
      </c>
      <c r="I2101" s="91" t="b">
        <v>0</v>
      </c>
      <c r="J2101" s="91" t="b">
        <v>0</v>
      </c>
      <c r="K2101" s="91" t="b">
        <v>0</v>
      </c>
      <c r="L2101" s="91" t="b">
        <v>0</v>
      </c>
    </row>
    <row r="2102" spans="1:12" ht="15">
      <c r="A2102" s="92" t="s">
        <v>2702</v>
      </c>
      <c r="B2102" s="91" t="s">
        <v>2652</v>
      </c>
      <c r="C2102" s="91">
        <v>12</v>
      </c>
      <c r="D2102" s="114">
        <v>0.0034961580421349627</v>
      </c>
      <c r="E2102" s="114">
        <v>1.7442929831226763</v>
      </c>
      <c r="F2102" s="91" t="s">
        <v>2525</v>
      </c>
      <c r="G2102" s="91" t="b">
        <v>0</v>
      </c>
      <c r="H2102" s="91" t="b">
        <v>0</v>
      </c>
      <c r="I2102" s="91" t="b">
        <v>0</v>
      </c>
      <c r="J2102" s="91" t="b">
        <v>0</v>
      </c>
      <c r="K2102" s="91" t="b">
        <v>0</v>
      </c>
      <c r="L2102" s="91" t="b">
        <v>0</v>
      </c>
    </row>
    <row r="2103" spans="1:12" ht="15">
      <c r="A2103" s="92" t="s">
        <v>2652</v>
      </c>
      <c r="B2103" s="91" t="s">
        <v>2703</v>
      </c>
      <c r="C2103" s="91">
        <v>12</v>
      </c>
      <c r="D2103" s="114">
        <v>0.0034961580421349627</v>
      </c>
      <c r="E2103" s="114">
        <v>1.7442929831226763</v>
      </c>
      <c r="F2103" s="91" t="s">
        <v>2525</v>
      </c>
      <c r="G2103" s="91" t="b">
        <v>0</v>
      </c>
      <c r="H2103" s="91" t="b">
        <v>0</v>
      </c>
      <c r="I2103" s="91" t="b">
        <v>0</v>
      </c>
      <c r="J2103" s="91" t="b">
        <v>0</v>
      </c>
      <c r="K2103" s="91" t="b">
        <v>0</v>
      </c>
      <c r="L2103" s="91" t="b">
        <v>0</v>
      </c>
    </row>
    <row r="2104" spans="1:12" ht="15">
      <c r="A2104" s="92" t="s">
        <v>2703</v>
      </c>
      <c r="B2104" s="91" t="s">
        <v>2704</v>
      </c>
      <c r="C2104" s="91">
        <v>12</v>
      </c>
      <c r="D2104" s="114">
        <v>0.0034961580421349627</v>
      </c>
      <c r="E2104" s="114">
        <v>1.7442929831226763</v>
      </c>
      <c r="F2104" s="91" t="s">
        <v>2525</v>
      </c>
      <c r="G2104" s="91" t="b">
        <v>0</v>
      </c>
      <c r="H2104" s="91" t="b">
        <v>0</v>
      </c>
      <c r="I2104" s="91" t="b">
        <v>0</v>
      </c>
      <c r="J2104" s="91" t="b">
        <v>0</v>
      </c>
      <c r="K2104" s="91" t="b">
        <v>0</v>
      </c>
      <c r="L2104" s="91" t="b">
        <v>0</v>
      </c>
    </row>
    <row r="2105" spans="1:12" ht="15">
      <c r="A2105" s="92" t="s">
        <v>2704</v>
      </c>
      <c r="B2105" s="91" t="s">
        <v>2577</v>
      </c>
      <c r="C2105" s="91">
        <v>12</v>
      </c>
      <c r="D2105" s="114">
        <v>0.0034961580421349627</v>
      </c>
      <c r="E2105" s="114">
        <v>1.408500881199483</v>
      </c>
      <c r="F2105" s="91" t="s">
        <v>2525</v>
      </c>
      <c r="G2105" s="91" t="b">
        <v>0</v>
      </c>
      <c r="H2105" s="91" t="b">
        <v>0</v>
      </c>
      <c r="I2105" s="91" t="b">
        <v>0</v>
      </c>
      <c r="J2105" s="91" t="b">
        <v>0</v>
      </c>
      <c r="K2105" s="91" t="b">
        <v>0</v>
      </c>
      <c r="L2105" s="91" t="b">
        <v>0</v>
      </c>
    </row>
    <row r="2106" spans="1:12" ht="15">
      <c r="A2106" s="92" t="s">
        <v>2577</v>
      </c>
      <c r="B2106" s="91" t="s">
        <v>2630</v>
      </c>
      <c r="C2106" s="91">
        <v>12</v>
      </c>
      <c r="D2106" s="114">
        <v>0.0034961580421349627</v>
      </c>
      <c r="E2106" s="114">
        <v>1.3737387749402712</v>
      </c>
      <c r="F2106" s="91" t="s">
        <v>2525</v>
      </c>
      <c r="G2106" s="91" t="b">
        <v>0</v>
      </c>
      <c r="H2106" s="91" t="b">
        <v>0</v>
      </c>
      <c r="I2106" s="91" t="b">
        <v>0</v>
      </c>
      <c r="J2106" s="91" t="b">
        <v>0</v>
      </c>
      <c r="K2106" s="91" t="b">
        <v>0</v>
      </c>
      <c r="L2106" s="91" t="b">
        <v>0</v>
      </c>
    </row>
    <row r="2107" spans="1:12" ht="15">
      <c r="A2107" s="92" t="s">
        <v>2630</v>
      </c>
      <c r="B2107" s="91" t="s">
        <v>2695</v>
      </c>
      <c r="C2107" s="91">
        <v>12</v>
      </c>
      <c r="D2107" s="114">
        <v>0.0034961580421349627</v>
      </c>
      <c r="E2107" s="114">
        <v>1.7095308768634643</v>
      </c>
      <c r="F2107" s="91" t="s">
        <v>2525</v>
      </c>
      <c r="G2107" s="91" t="b">
        <v>0</v>
      </c>
      <c r="H2107" s="91" t="b">
        <v>0</v>
      </c>
      <c r="I2107" s="91" t="b">
        <v>0</v>
      </c>
      <c r="J2107" s="91" t="b">
        <v>0</v>
      </c>
      <c r="K2107" s="91" t="b">
        <v>0</v>
      </c>
      <c r="L2107" s="91" t="b">
        <v>0</v>
      </c>
    </row>
    <row r="2108" spans="1:12" ht="15">
      <c r="A2108" s="92" t="s">
        <v>2695</v>
      </c>
      <c r="B2108" s="91" t="s">
        <v>2705</v>
      </c>
      <c r="C2108" s="91">
        <v>12</v>
      </c>
      <c r="D2108" s="114">
        <v>0.0034961580421349627</v>
      </c>
      <c r="E2108" s="114">
        <v>1.7442929831226763</v>
      </c>
      <c r="F2108" s="91" t="s">
        <v>2525</v>
      </c>
      <c r="G2108" s="91" t="b">
        <v>0</v>
      </c>
      <c r="H2108" s="91" t="b">
        <v>0</v>
      </c>
      <c r="I2108" s="91" t="b">
        <v>0</v>
      </c>
      <c r="J2108" s="91" t="b">
        <v>0</v>
      </c>
      <c r="K2108" s="91" t="b">
        <v>0</v>
      </c>
      <c r="L2108" s="91" t="b">
        <v>0</v>
      </c>
    </row>
    <row r="2109" spans="1:12" ht="15">
      <c r="A2109" s="92" t="s">
        <v>2705</v>
      </c>
      <c r="B2109" s="91" t="s">
        <v>2671</v>
      </c>
      <c r="C2109" s="91">
        <v>12</v>
      </c>
      <c r="D2109" s="114">
        <v>0.0034961580421349627</v>
      </c>
      <c r="E2109" s="114">
        <v>1.7442929831226763</v>
      </c>
      <c r="F2109" s="91" t="s">
        <v>2525</v>
      </c>
      <c r="G2109" s="91" t="b">
        <v>0</v>
      </c>
      <c r="H2109" s="91" t="b">
        <v>0</v>
      </c>
      <c r="I2109" s="91" t="b">
        <v>0</v>
      </c>
      <c r="J2109" s="91" t="b">
        <v>0</v>
      </c>
      <c r="K2109" s="91" t="b">
        <v>0</v>
      </c>
      <c r="L2109" s="91" t="b">
        <v>0</v>
      </c>
    </row>
    <row r="2110" spans="1:12" ht="15">
      <c r="A2110" s="92" t="s">
        <v>2671</v>
      </c>
      <c r="B2110" s="91" t="s">
        <v>2634</v>
      </c>
      <c r="C2110" s="91">
        <v>12</v>
      </c>
      <c r="D2110" s="114">
        <v>0.0034961580421349627</v>
      </c>
      <c r="E2110" s="114">
        <v>1.7442929831226763</v>
      </c>
      <c r="F2110" s="91" t="s">
        <v>2525</v>
      </c>
      <c r="G2110" s="91" t="b">
        <v>0</v>
      </c>
      <c r="H2110" s="91" t="b">
        <v>0</v>
      </c>
      <c r="I2110" s="91" t="b">
        <v>0</v>
      </c>
      <c r="J2110" s="91" t="b">
        <v>0</v>
      </c>
      <c r="K2110" s="91" t="b">
        <v>0</v>
      </c>
      <c r="L2110" s="91" t="b">
        <v>0</v>
      </c>
    </row>
    <row r="2111" spans="1:12" ht="15">
      <c r="A2111" s="92" t="s">
        <v>2634</v>
      </c>
      <c r="B2111" s="91" t="s">
        <v>2706</v>
      </c>
      <c r="C2111" s="91">
        <v>12</v>
      </c>
      <c r="D2111" s="114">
        <v>0.0034961580421349627</v>
      </c>
      <c r="E2111" s="114">
        <v>1.7442929831226763</v>
      </c>
      <c r="F2111" s="91" t="s">
        <v>2525</v>
      </c>
      <c r="G2111" s="91" t="b">
        <v>0</v>
      </c>
      <c r="H2111" s="91" t="b">
        <v>0</v>
      </c>
      <c r="I2111" s="91" t="b">
        <v>0</v>
      </c>
      <c r="J2111" s="91" t="b">
        <v>0</v>
      </c>
      <c r="K2111" s="91" t="b">
        <v>0</v>
      </c>
      <c r="L2111" s="91" t="b">
        <v>0</v>
      </c>
    </row>
    <row r="2112" spans="1:12" ht="15">
      <c r="A2112" s="92" t="s">
        <v>2706</v>
      </c>
      <c r="B2112" s="91" t="s">
        <v>2580</v>
      </c>
      <c r="C2112" s="91">
        <v>12</v>
      </c>
      <c r="D2112" s="114">
        <v>0.0034961580421349627</v>
      </c>
      <c r="E2112" s="114">
        <v>1.3763161978280818</v>
      </c>
      <c r="F2112" s="91" t="s">
        <v>2525</v>
      </c>
      <c r="G2112" s="91" t="b">
        <v>0</v>
      </c>
      <c r="H2112" s="91" t="b">
        <v>0</v>
      </c>
      <c r="I2112" s="91" t="b">
        <v>0</v>
      </c>
      <c r="J2112" s="91" t="b">
        <v>0</v>
      </c>
      <c r="K2112" s="91" t="b">
        <v>0</v>
      </c>
      <c r="L2112" s="91" t="b">
        <v>0</v>
      </c>
    </row>
    <row r="2113" spans="1:12" ht="15">
      <c r="A2113" s="92" t="s">
        <v>2580</v>
      </c>
      <c r="B2113" s="91" t="s">
        <v>2707</v>
      </c>
      <c r="C2113" s="91">
        <v>12</v>
      </c>
      <c r="D2113" s="114">
        <v>0.0034961580421349627</v>
      </c>
      <c r="E2113" s="114">
        <v>1.3763161978280818</v>
      </c>
      <c r="F2113" s="91" t="s">
        <v>2525</v>
      </c>
      <c r="G2113" s="91" t="b">
        <v>0</v>
      </c>
      <c r="H2113" s="91" t="b">
        <v>0</v>
      </c>
      <c r="I2113" s="91" t="b">
        <v>0</v>
      </c>
      <c r="J2113" s="91" t="b">
        <v>0</v>
      </c>
      <c r="K2113" s="91" t="b">
        <v>0</v>
      </c>
      <c r="L2113" s="91" t="b">
        <v>0</v>
      </c>
    </row>
    <row r="2114" spans="1:12" ht="15">
      <c r="A2114" s="92" t="s">
        <v>2707</v>
      </c>
      <c r="B2114" s="91" t="s">
        <v>2568</v>
      </c>
      <c r="C2114" s="91">
        <v>12</v>
      </c>
      <c r="D2114" s="114">
        <v>0.0034961580421349627</v>
      </c>
      <c r="E2114" s="114">
        <v>1.3610762312713451</v>
      </c>
      <c r="F2114" s="91" t="s">
        <v>2525</v>
      </c>
      <c r="G2114" s="91" t="b">
        <v>0</v>
      </c>
      <c r="H2114" s="91" t="b">
        <v>0</v>
      </c>
      <c r="I2114" s="91" t="b">
        <v>0</v>
      </c>
      <c r="J2114" s="91" t="b">
        <v>0</v>
      </c>
      <c r="K2114" s="91" t="b">
        <v>0</v>
      </c>
      <c r="L2114" s="91" t="b">
        <v>0</v>
      </c>
    </row>
    <row r="2115" spans="1:12" ht="15">
      <c r="A2115" s="92" t="s">
        <v>2568</v>
      </c>
      <c r="B2115" s="91" t="s">
        <v>2662</v>
      </c>
      <c r="C2115" s="91">
        <v>12</v>
      </c>
      <c r="D2115" s="114">
        <v>0.0034961580421349627</v>
      </c>
      <c r="E2115" s="114">
        <v>1.3610762312713451</v>
      </c>
      <c r="F2115" s="91" t="s">
        <v>2525</v>
      </c>
      <c r="G2115" s="91" t="b">
        <v>0</v>
      </c>
      <c r="H2115" s="91" t="b">
        <v>0</v>
      </c>
      <c r="I2115" s="91" t="b">
        <v>0</v>
      </c>
      <c r="J2115" s="91" t="b">
        <v>0</v>
      </c>
      <c r="K2115" s="91" t="b">
        <v>0</v>
      </c>
      <c r="L2115" s="91" t="b">
        <v>0</v>
      </c>
    </row>
    <row r="2116" spans="1:12" ht="15">
      <c r="A2116" s="92" t="s">
        <v>2662</v>
      </c>
      <c r="B2116" s="91" t="s">
        <v>2577</v>
      </c>
      <c r="C2116" s="91">
        <v>12</v>
      </c>
      <c r="D2116" s="114">
        <v>0.0034961580421349627</v>
      </c>
      <c r="E2116" s="114">
        <v>1.408500881199483</v>
      </c>
      <c r="F2116" s="91" t="s">
        <v>2525</v>
      </c>
      <c r="G2116" s="91" t="b">
        <v>0</v>
      </c>
      <c r="H2116" s="91" t="b">
        <v>0</v>
      </c>
      <c r="I2116" s="91" t="b">
        <v>0</v>
      </c>
      <c r="J2116" s="91" t="b">
        <v>0</v>
      </c>
      <c r="K2116" s="91" t="b">
        <v>0</v>
      </c>
      <c r="L2116" s="91" t="b">
        <v>0</v>
      </c>
    </row>
    <row r="2117" spans="1:12" ht="15">
      <c r="A2117" s="92" t="s">
        <v>2577</v>
      </c>
      <c r="B2117" s="91" t="s">
        <v>2708</v>
      </c>
      <c r="C2117" s="91">
        <v>12</v>
      </c>
      <c r="D2117" s="114">
        <v>0.0034961580421349627</v>
      </c>
      <c r="E2117" s="114">
        <v>1.408500881199483</v>
      </c>
      <c r="F2117" s="91" t="s">
        <v>2525</v>
      </c>
      <c r="G2117" s="91" t="b">
        <v>0</v>
      </c>
      <c r="H2117" s="91" t="b">
        <v>0</v>
      </c>
      <c r="I2117" s="91" t="b">
        <v>0</v>
      </c>
      <c r="J2117" s="91" t="b">
        <v>0</v>
      </c>
      <c r="K2117" s="91" t="b">
        <v>0</v>
      </c>
      <c r="L2117" s="91" t="b">
        <v>0</v>
      </c>
    </row>
    <row r="2118" spans="1:12" ht="15">
      <c r="A2118" s="92" t="s">
        <v>2708</v>
      </c>
      <c r="B2118" s="91" t="s">
        <v>2568</v>
      </c>
      <c r="C2118" s="91">
        <v>12</v>
      </c>
      <c r="D2118" s="114">
        <v>0.0034961580421349627</v>
      </c>
      <c r="E2118" s="114">
        <v>1.3610762312713451</v>
      </c>
      <c r="F2118" s="91" t="s">
        <v>2525</v>
      </c>
      <c r="G2118" s="91" t="b">
        <v>0</v>
      </c>
      <c r="H2118" s="91" t="b">
        <v>0</v>
      </c>
      <c r="I2118" s="91" t="b">
        <v>0</v>
      </c>
      <c r="J2118" s="91" t="b">
        <v>0</v>
      </c>
      <c r="K2118" s="91" t="b">
        <v>0</v>
      </c>
      <c r="L2118" s="91" t="b">
        <v>0</v>
      </c>
    </row>
    <row r="2119" spans="1:12" ht="15">
      <c r="A2119" s="92" t="s">
        <v>2568</v>
      </c>
      <c r="B2119" s="91" t="s">
        <v>2709</v>
      </c>
      <c r="C2119" s="91">
        <v>12</v>
      </c>
      <c r="D2119" s="114">
        <v>0.0034961580421349627</v>
      </c>
      <c r="E2119" s="114">
        <v>1.3610762312713451</v>
      </c>
      <c r="F2119" s="91" t="s">
        <v>2525</v>
      </c>
      <c r="G2119" s="91" t="b">
        <v>0</v>
      </c>
      <c r="H2119" s="91" t="b">
        <v>0</v>
      </c>
      <c r="I2119" s="91" t="b">
        <v>0</v>
      </c>
      <c r="J2119" s="91" t="b">
        <v>0</v>
      </c>
      <c r="K2119" s="91" t="b">
        <v>0</v>
      </c>
      <c r="L2119" s="91" t="b">
        <v>0</v>
      </c>
    </row>
    <row r="2120" spans="1:12" ht="15">
      <c r="A2120" s="92" t="s">
        <v>2709</v>
      </c>
      <c r="B2120" s="91" t="s">
        <v>2680</v>
      </c>
      <c r="C2120" s="91">
        <v>12</v>
      </c>
      <c r="D2120" s="114">
        <v>0.0034961580421349627</v>
      </c>
      <c r="E2120" s="114">
        <v>1.7442929831226763</v>
      </c>
      <c r="F2120" s="91" t="s">
        <v>2525</v>
      </c>
      <c r="G2120" s="91" t="b">
        <v>0</v>
      </c>
      <c r="H2120" s="91" t="b">
        <v>0</v>
      </c>
      <c r="I2120" s="91" t="b">
        <v>0</v>
      </c>
      <c r="J2120" s="91" t="b">
        <v>0</v>
      </c>
      <c r="K2120" s="91" t="b">
        <v>0</v>
      </c>
      <c r="L2120" s="91" t="b">
        <v>0</v>
      </c>
    </row>
    <row r="2121" spans="1:12" ht="15">
      <c r="A2121" s="92" t="s">
        <v>2680</v>
      </c>
      <c r="B2121" s="91" t="s">
        <v>2578</v>
      </c>
      <c r="C2121" s="91">
        <v>12</v>
      </c>
      <c r="D2121" s="114">
        <v>0.0034961580421349627</v>
      </c>
      <c r="E2121" s="114">
        <v>1.7095308768634643</v>
      </c>
      <c r="F2121" s="91" t="s">
        <v>2525</v>
      </c>
      <c r="G2121" s="91" t="b">
        <v>0</v>
      </c>
      <c r="H2121" s="91" t="b">
        <v>0</v>
      </c>
      <c r="I2121" s="91" t="b">
        <v>0</v>
      </c>
      <c r="J2121" s="91" t="b">
        <v>0</v>
      </c>
      <c r="K2121" s="91" t="b">
        <v>0</v>
      </c>
      <c r="L2121" s="91" t="b">
        <v>0</v>
      </c>
    </row>
    <row r="2122" spans="1:12" ht="15">
      <c r="A2122" s="92" t="s">
        <v>2578</v>
      </c>
      <c r="B2122" s="91" t="s">
        <v>2710</v>
      </c>
      <c r="C2122" s="91">
        <v>12</v>
      </c>
      <c r="D2122" s="114">
        <v>0.0034961580421349627</v>
      </c>
      <c r="E2122" s="114">
        <v>1.7095308768634643</v>
      </c>
      <c r="F2122" s="91" t="s">
        <v>2525</v>
      </c>
      <c r="G2122" s="91" t="b">
        <v>0</v>
      </c>
      <c r="H2122" s="91" t="b">
        <v>0</v>
      </c>
      <c r="I2122" s="91" t="b">
        <v>0</v>
      </c>
      <c r="J2122" s="91" t="b">
        <v>0</v>
      </c>
      <c r="K2122" s="91" t="b">
        <v>0</v>
      </c>
      <c r="L2122" s="91" t="b">
        <v>0</v>
      </c>
    </row>
    <row r="2123" spans="1:12" ht="15">
      <c r="A2123" s="92" t="s">
        <v>2710</v>
      </c>
      <c r="B2123" s="91" t="s">
        <v>2570</v>
      </c>
      <c r="C2123" s="91">
        <v>12</v>
      </c>
      <c r="D2123" s="114">
        <v>0.0034961580421349627</v>
      </c>
      <c r="E2123" s="114">
        <v>1.568201724066995</v>
      </c>
      <c r="F2123" s="91" t="s">
        <v>2525</v>
      </c>
      <c r="G2123" s="91" t="b">
        <v>0</v>
      </c>
      <c r="H2123" s="91" t="b">
        <v>0</v>
      </c>
      <c r="I2123" s="91" t="b">
        <v>0</v>
      </c>
      <c r="J2123" s="91" t="b">
        <v>0</v>
      </c>
      <c r="K2123" s="91" t="b">
        <v>0</v>
      </c>
      <c r="L2123" s="91" t="b">
        <v>0</v>
      </c>
    </row>
    <row r="2124" spans="1:12" ht="15">
      <c r="A2124" s="92" t="s">
        <v>2570</v>
      </c>
      <c r="B2124" s="91" t="s">
        <v>2564</v>
      </c>
      <c r="C2124" s="91">
        <v>12</v>
      </c>
      <c r="D2124" s="114">
        <v>0.0034961580421349627</v>
      </c>
      <c r="E2124" s="114">
        <v>1.3686293691617908</v>
      </c>
      <c r="F2124" s="91" t="s">
        <v>2525</v>
      </c>
      <c r="G2124" s="91" t="b">
        <v>0</v>
      </c>
      <c r="H2124" s="91" t="b">
        <v>0</v>
      </c>
      <c r="I2124" s="91" t="b">
        <v>0</v>
      </c>
      <c r="J2124" s="91" t="b">
        <v>0</v>
      </c>
      <c r="K2124" s="91" t="b">
        <v>0</v>
      </c>
      <c r="L2124" s="91" t="b">
        <v>0</v>
      </c>
    </row>
    <row r="2125" spans="1:12" ht="15">
      <c r="A2125" s="92" t="s">
        <v>2566</v>
      </c>
      <c r="B2125" s="91" t="s">
        <v>2711</v>
      </c>
      <c r="C2125" s="91">
        <v>12</v>
      </c>
      <c r="D2125" s="114">
        <v>0.0034961580421349627</v>
      </c>
      <c r="E2125" s="114">
        <v>1.5930253077920271</v>
      </c>
      <c r="F2125" s="91" t="s">
        <v>2525</v>
      </c>
      <c r="G2125" s="91" t="b">
        <v>0</v>
      </c>
      <c r="H2125" s="91" t="b">
        <v>0</v>
      </c>
      <c r="I2125" s="91" t="b">
        <v>0</v>
      </c>
      <c r="J2125" s="91" t="b">
        <v>0</v>
      </c>
      <c r="K2125" s="91" t="b">
        <v>0</v>
      </c>
      <c r="L2125" s="91" t="b">
        <v>0</v>
      </c>
    </row>
    <row r="2126" spans="1:12" ht="15">
      <c r="A2126" s="92" t="s">
        <v>2619</v>
      </c>
      <c r="B2126" s="91" t="s">
        <v>2579</v>
      </c>
      <c r="C2126" s="91">
        <v>4</v>
      </c>
      <c r="D2126" s="114">
        <v>0.003951495530656155</v>
      </c>
      <c r="E2126" s="114">
        <v>2.1245042248342823</v>
      </c>
      <c r="F2126" s="91" t="s">
        <v>2525</v>
      </c>
      <c r="G2126" s="91" t="b">
        <v>0</v>
      </c>
      <c r="H2126" s="91" t="b">
        <v>0</v>
      </c>
      <c r="I2126" s="91" t="b">
        <v>0</v>
      </c>
      <c r="J2126" s="91" t="b">
        <v>0</v>
      </c>
      <c r="K2126" s="91" t="b">
        <v>0</v>
      </c>
      <c r="L2126" s="91" t="b">
        <v>0</v>
      </c>
    </row>
    <row r="2127" spans="1:12" ht="15">
      <c r="A2127" s="92" t="s">
        <v>2579</v>
      </c>
      <c r="B2127" s="91" t="s">
        <v>2564</v>
      </c>
      <c r="C2127" s="91">
        <v>4</v>
      </c>
      <c r="D2127" s="114">
        <v>0.003951495530656155</v>
      </c>
      <c r="E2127" s="114">
        <v>1.4478106152094157</v>
      </c>
      <c r="F2127" s="91" t="s">
        <v>2525</v>
      </c>
      <c r="G2127" s="91" t="b">
        <v>0</v>
      </c>
      <c r="H2127" s="91" t="b">
        <v>0</v>
      </c>
      <c r="I2127" s="91" t="b">
        <v>0</v>
      </c>
      <c r="J2127" s="91" t="b">
        <v>0</v>
      </c>
      <c r="K2127" s="91" t="b">
        <v>0</v>
      </c>
      <c r="L2127" s="91" t="b">
        <v>0</v>
      </c>
    </row>
    <row r="2128" spans="1:12" ht="15">
      <c r="A2128" s="92" t="s">
        <v>2564</v>
      </c>
      <c r="B2128" s="91" t="s">
        <v>2570</v>
      </c>
      <c r="C2128" s="91">
        <v>4</v>
      </c>
      <c r="D2128" s="114">
        <v>0.003951495530656155</v>
      </c>
      <c r="E2128" s="114">
        <v>0.8915081144421284</v>
      </c>
      <c r="F2128" s="91" t="s">
        <v>2525</v>
      </c>
      <c r="G2128" s="91" t="b">
        <v>0</v>
      </c>
      <c r="H2128" s="91" t="b">
        <v>0</v>
      </c>
      <c r="I2128" s="91" t="b">
        <v>0</v>
      </c>
      <c r="J2128" s="91" t="b">
        <v>0</v>
      </c>
      <c r="K2128" s="91" t="b">
        <v>0</v>
      </c>
      <c r="L2128" s="91" t="b">
        <v>0</v>
      </c>
    </row>
    <row r="2129" spans="1:12" ht="15">
      <c r="A2129" s="92" t="s">
        <v>2570</v>
      </c>
      <c r="B2129" s="91" t="s">
        <v>2749</v>
      </c>
      <c r="C2129" s="91">
        <v>4</v>
      </c>
      <c r="D2129" s="114">
        <v>0.003951495530656155</v>
      </c>
      <c r="E2129" s="114">
        <v>1.568201724066995</v>
      </c>
      <c r="F2129" s="91" t="s">
        <v>2525</v>
      </c>
      <c r="G2129" s="91" t="b">
        <v>0</v>
      </c>
      <c r="H2129" s="91" t="b">
        <v>0</v>
      </c>
      <c r="I2129" s="91" t="b">
        <v>0</v>
      </c>
      <c r="J2129" s="91" t="b">
        <v>0</v>
      </c>
      <c r="K2129" s="91" t="b">
        <v>0</v>
      </c>
      <c r="L2129" s="91" t="b">
        <v>0</v>
      </c>
    </row>
    <row r="2130" spans="1:12" ht="15">
      <c r="A2130" s="92" t="s">
        <v>2847</v>
      </c>
      <c r="B2130" s="91" t="s">
        <v>2565</v>
      </c>
      <c r="C2130" s="91">
        <v>4</v>
      </c>
      <c r="D2130" s="114">
        <v>0.003951495530656155</v>
      </c>
      <c r="E2130" s="114">
        <v>1.9783761891560443</v>
      </c>
      <c r="F2130" s="91" t="s">
        <v>2525</v>
      </c>
      <c r="G2130" s="91" t="b">
        <v>0</v>
      </c>
      <c r="H2130" s="91" t="b">
        <v>0</v>
      </c>
      <c r="I2130" s="91" t="b">
        <v>0</v>
      </c>
      <c r="J2130" s="91" t="b">
        <v>0</v>
      </c>
      <c r="K2130" s="91" t="b">
        <v>0</v>
      </c>
      <c r="L2130" s="91" t="b">
        <v>0</v>
      </c>
    </row>
    <row r="2131" spans="1:12" ht="15">
      <c r="A2131" s="92" t="s">
        <v>2589</v>
      </c>
      <c r="B2131" s="91" t="s">
        <v>3015</v>
      </c>
      <c r="C2131" s="91">
        <v>3</v>
      </c>
      <c r="D2131" s="114">
        <v>0.0035107985966416053</v>
      </c>
      <c r="E2131" s="114">
        <v>1.9783761891560443</v>
      </c>
      <c r="F2131" s="91" t="s">
        <v>2525</v>
      </c>
      <c r="G2131" s="91" t="b">
        <v>0</v>
      </c>
      <c r="H2131" s="91" t="b">
        <v>0</v>
      </c>
      <c r="I2131" s="91" t="b">
        <v>0</v>
      </c>
      <c r="J2131" s="91" t="b">
        <v>0</v>
      </c>
      <c r="K2131" s="91" t="b">
        <v>0</v>
      </c>
      <c r="L2131" s="91" t="b">
        <v>0</v>
      </c>
    </row>
    <row r="2132" spans="1:12" ht="15">
      <c r="A2132" s="92" t="s">
        <v>3015</v>
      </c>
      <c r="B2132" s="91" t="s">
        <v>2580</v>
      </c>
      <c r="C2132" s="91">
        <v>3</v>
      </c>
      <c r="D2132" s="114">
        <v>0.0035107985966416053</v>
      </c>
      <c r="E2132" s="114">
        <v>1.3763161978280818</v>
      </c>
      <c r="F2132" s="91" t="s">
        <v>2525</v>
      </c>
      <c r="G2132" s="91" t="b">
        <v>0</v>
      </c>
      <c r="H2132" s="91" t="b">
        <v>0</v>
      </c>
      <c r="I2132" s="91" t="b">
        <v>0</v>
      </c>
      <c r="J2132" s="91" t="b">
        <v>0</v>
      </c>
      <c r="K2132" s="91" t="b">
        <v>0</v>
      </c>
      <c r="L2132" s="91" t="b">
        <v>0</v>
      </c>
    </row>
    <row r="2133" spans="1:12" ht="15">
      <c r="A2133" s="92" t="s">
        <v>2580</v>
      </c>
      <c r="B2133" s="91" t="s">
        <v>2589</v>
      </c>
      <c r="C2133" s="91">
        <v>3</v>
      </c>
      <c r="D2133" s="114">
        <v>0.0035107985966416053</v>
      </c>
      <c r="E2133" s="114">
        <v>1.2513774612197819</v>
      </c>
      <c r="F2133" s="91" t="s">
        <v>2525</v>
      </c>
      <c r="G2133" s="91" t="b">
        <v>0</v>
      </c>
      <c r="H2133" s="91" t="b">
        <v>0</v>
      </c>
      <c r="I2133" s="91" t="b">
        <v>0</v>
      </c>
      <c r="J2133" s="91" t="b">
        <v>0</v>
      </c>
      <c r="K2133" s="91" t="b">
        <v>0</v>
      </c>
      <c r="L2133" s="91" t="b">
        <v>0</v>
      </c>
    </row>
    <row r="2134" spans="1:12" ht="15">
      <c r="A2134" s="92" t="s">
        <v>2589</v>
      </c>
      <c r="B2134" s="91" t="s">
        <v>3016</v>
      </c>
      <c r="C2134" s="91">
        <v>3</v>
      </c>
      <c r="D2134" s="114">
        <v>0.0035107985966416053</v>
      </c>
      <c r="E2134" s="114">
        <v>1.9783761891560443</v>
      </c>
      <c r="F2134" s="91" t="s">
        <v>2525</v>
      </c>
      <c r="G2134" s="91" t="b">
        <v>0</v>
      </c>
      <c r="H2134" s="91" t="b">
        <v>0</v>
      </c>
      <c r="I2134" s="91" t="b">
        <v>0</v>
      </c>
      <c r="J2134" s="91" t="b">
        <v>0</v>
      </c>
      <c r="K2134" s="91" t="b">
        <v>0</v>
      </c>
      <c r="L2134" s="91" t="b">
        <v>0</v>
      </c>
    </row>
    <row r="2135" spans="1:12" ht="15">
      <c r="A2135" s="92" t="s">
        <v>3016</v>
      </c>
      <c r="B2135" s="91" t="s">
        <v>3017</v>
      </c>
      <c r="C2135" s="91">
        <v>3</v>
      </c>
      <c r="D2135" s="114">
        <v>0.0035107985966416053</v>
      </c>
      <c r="E2135" s="114">
        <v>2.346352974450639</v>
      </c>
      <c r="F2135" s="91" t="s">
        <v>2525</v>
      </c>
      <c r="G2135" s="91" t="b">
        <v>0</v>
      </c>
      <c r="H2135" s="91" t="b">
        <v>0</v>
      </c>
      <c r="I2135" s="91" t="b">
        <v>0</v>
      </c>
      <c r="J2135" s="91" t="b">
        <v>0</v>
      </c>
      <c r="K2135" s="91" t="b">
        <v>0</v>
      </c>
      <c r="L2135" s="91" t="b">
        <v>0</v>
      </c>
    </row>
    <row r="2136" spans="1:12" ht="15">
      <c r="A2136" s="92" t="s">
        <v>3017</v>
      </c>
      <c r="B2136" s="91" t="s">
        <v>2694</v>
      </c>
      <c r="C2136" s="91">
        <v>3</v>
      </c>
      <c r="D2136" s="114">
        <v>0.0035107985966416053</v>
      </c>
      <c r="E2136" s="114">
        <v>2.346352974450639</v>
      </c>
      <c r="F2136" s="91" t="s">
        <v>2525</v>
      </c>
      <c r="G2136" s="91" t="b">
        <v>0</v>
      </c>
      <c r="H2136" s="91" t="b">
        <v>0</v>
      </c>
      <c r="I2136" s="91" t="b">
        <v>0</v>
      </c>
      <c r="J2136" s="91" t="b">
        <v>0</v>
      </c>
      <c r="K2136" s="91" t="b">
        <v>0</v>
      </c>
      <c r="L2136" s="91" t="b">
        <v>0</v>
      </c>
    </row>
    <row r="2137" spans="1:12" ht="15">
      <c r="A2137" s="92" t="s">
        <v>2694</v>
      </c>
      <c r="B2137" s="91" t="s">
        <v>2636</v>
      </c>
      <c r="C2137" s="91">
        <v>3</v>
      </c>
      <c r="D2137" s="114">
        <v>0.0035107985966416053</v>
      </c>
      <c r="E2137" s="114">
        <v>2.346352974450639</v>
      </c>
      <c r="F2137" s="91" t="s">
        <v>2525</v>
      </c>
      <c r="G2137" s="91" t="b">
        <v>0</v>
      </c>
      <c r="H2137" s="91" t="b">
        <v>0</v>
      </c>
      <c r="I2137" s="91" t="b">
        <v>0</v>
      </c>
      <c r="J2137" s="91" t="b">
        <v>0</v>
      </c>
      <c r="K2137" s="91" t="b">
        <v>0</v>
      </c>
      <c r="L2137" s="91" t="b">
        <v>0</v>
      </c>
    </row>
    <row r="2138" spans="1:12" ht="15">
      <c r="A2138" s="92" t="s">
        <v>2636</v>
      </c>
      <c r="B2138" s="91" t="s">
        <v>2753</v>
      </c>
      <c r="C2138" s="91">
        <v>3</v>
      </c>
      <c r="D2138" s="114">
        <v>0.0035107985966416053</v>
      </c>
      <c r="E2138" s="114">
        <v>2.346352974450639</v>
      </c>
      <c r="F2138" s="91" t="s">
        <v>2525</v>
      </c>
      <c r="G2138" s="91" t="b">
        <v>0</v>
      </c>
      <c r="H2138" s="91" t="b">
        <v>0</v>
      </c>
      <c r="I2138" s="91" t="b">
        <v>0</v>
      </c>
      <c r="J2138" s="91" t="b">
        <v>0</v>
      </c>
      <c r="K2138" s="91" t="b">
        <v>0</v>
      </c>
      <c r="L2138" s="91" t="b">
        <v>0</v>
      </c>
    </row>
    <row r="2139" spans="1:12" ht="15">
      <c r="A2139" s="92" t="s">
        <v>2753</v>
      </c>
      <c r="B2139" s="91" t="s">
        <v>3018</v>
      </c>
      <c r="C2139" s="91">
        <v>3</v>
      </c>
      <c r="D2139" s="114">
        <v>0.0035107985966416053</v>
      </c>
      <c r="E2139" s="114">
        <v>2.346352974450639</v>
      </c>
      <c r="F2139" s="91" t="s">
        <v>2525</v>
      </c>
      <c r="G2139" s="91" t="b">
        <v>0</v>
      </c>
      <c r="H2139" s="91" t="b">
        <v>0</v>
      </c>
      <c r="I2139" s="91" t="b">
        <v>0</v>
      </c>
      <c r="J2139" s="91" t="b">
        <v>0</v>
      </c>
      <c r="K2139" s="91" t="b">
        <v>0</v>
      </c>
      <c r="L2139" s="91" t="b">
        <v>0</v>
      </c>
    </row>
    <row r="2140" spans="1:12" ht="15">
      <c r="A2140" s="92" t="s">
        <v>3018</v>
      </c>
      <c r="B2140" s="91" t="s">
        <v>2568</v>
      </c>
      <c r="C2140" s="91">
        <v>3</v>
      </c>
      <c r="D2140" s="114">
        <v>0.0035107985966416053</v>
      </c>
      <c r="E2140" s="114">
        <v>1.3610762312713451</v>
      </c>
      <c r="F2140" s="91" t="s">
        <v>2525</v>
      </c>
      <c r="G2140" s="91" t="b">
        <v>0</v>
      </c>
      <c r="H2140" s="91" t="b">
        <v>0</v>
      </c>
      <c r="I2140" s="91" t="b">
        <v>0</v>
      </c>
      <c r="J2140" s="91" t="b">
        <v>0</v>
      </c>
      <c r="K2140" s="91" t="b">
        <v>0</v>
      </c>
      <c r="L2140" s="91" t="b">
        <v>0</v>
      </c>
    </row>
    <row r="2141" spans="1:12" ht="15">
      <c r="A2141" s="92" t="s">
        <v>2568</v>
      </c>
      <c r="B2141" s="91" t="s">
        <v>2665</v>
      </c>
      <c r="C2141" s="91">
        <v>3</v>
      </c>
      <c r="D2141" s="114">
        <v>0.0035107985966416053</v>
      </c>
      <c r="E2141" s="114">
        <v>1.3610762312713451</v>
      </c>
      <c r="F2141" s="91" t="s">
        <v>2525</v>
      </c>
      <c r="G2141" s="91" t="b">
        <v>0</v>
      </c>
      <c r="H2141" s="91" t="b">
        <v>0</v>
      </c>
      <c r="I2141" s="91" t="b">
        <v>0</v>
      </c>
      <c r="J2141" s="91" t="b">
        <v>0</v>
      </c>
      <c r="K2141" s="91" t="b">
        <v>0</v>
      </c>
      <c r="L2141" s="91" t="b">
        <v>0</v>
      </c>
    </row>
    <row r="2142" spans="1:12" ht="15">
      <c r="A2142" s="92" t="s">
        <v>2665</v>
      </c>
      <c r="B2142" s="91" t="s">
        <v>2619</v>
      </c>
      <c r="C2142" s="91">
        <v>3</v>
      </c>
      <c r="D2142" s="114">
        <v>0.0035107985966416053</v>
      </c>
      <c r="E2142" s="114">
        <v>2.2214142378423385</v>
      </c>
      <c r="F2142" s="91" t="s">
        <v>2525</v>
      </c>
      <c r="G2142" s="91" t="b">
        <v>0</v>
      </c>
      <c r="H2142" s="91" t="b">
        <v>0</v>
      </c>
      <c r="I2142" s="91" t="b">
        <v>0</v>
      </c>
      <c r="J2142" s="91" t="b">
        <v>0</v>
      </c>
      <c r="K2142" s="91" t="b">
        <v>0</v>
      </c>
      <c r="L2142" s="91" t="b">
        <v>0</v>
      </c>
    </row>
    <row r="2143" spans="1:12" ht="15">
      <c r="A2143" s="92" t="s">
        <v>2749</v>
      </c>
      <c r="B2143" s="91" t="s">
        <v>2571</v>
      </c>
      <c r="C2143" s="91">
        <v>3</v>
      </c>
      <c r="D2143" s="114">
        <v>0.0035107985966416053</v>
      </c>
      <c r="E2143" s="114">
        <v>1.9203842421783575</v>
      </c>
      <c r="F2143" s="91" t="s">
        <v>2525</v>
      </c>
      <c r="G2143" s="91" t="b">
        <v>0</v>
      </c>
      <c r="H2143" s="91" t="b">
        <v>0</v>
      </c>
      <c r="I2143" s="91" t="b">
        <v>0</v>
      </c>
      <c r="J2143" s="91" t="b">
        <v>0</v>
      </c>
      <c r="K2143" s="91" t="b">
        <v>0</v>
      </c>
      <c r="L2143" s="91" t="b">
        <v>0</v>
      </c>
    </row>
    <row r="2144" spans="1:12" ht="15">
      <c r="A2144" s="92" t="s">
        <v>2571</v>
      </c>
      <c r="B2144" s="91" t="s">
        <v>2847</v>
      </c>
      <c r="C2144" s="91">
        <v>3</v>
      </c>
      <c r="D2144" s="114">
        <v>0.0035107985966416053</v>
      </c>
      <c r="E2144" s="114">
        <v>1.9203842421783575</v>
      </c>
      <c r="F2144" s="91" t="s">
        <v>2525</v>
      </c>
      <c r="G2144" s="91" t="b">
        <v>0</v>
      </c>
      <c r="H2144" s="91" t="b">
        <v>0</v>
      </c>
      <c r="I2144" s="91" t="b">
        <v>0</v>
      </c>
      <c r="J2144" s="91" t="b">
        <v>0</v>
      </c>
      <c r="K2144" s="91" t="b">
        <v>0</v>
      </c>
      <c r="L2144" s="91" t="b">
        <v>0</v>
      </c>
    </row>
    <row r="2145" spans="1:12" ht="15">
      <c r="A2145" s="92" t="s">
        <v>2565</v>
      </c>
      <c r="B2145" s="91" t="s">
        <v>2616</v>
      </c>
      <c r="C2145" s="91">
        <v>3</v>
      </c>
      <c r="D2145" s="114">
        <v>0.0035107985966416053</v>
      </c>
      <c r="E2145" s="114">
        <v>1.8534374525477444</v>
      </c>
      <c r="F2145" s="91" t="s">
        <v>2525</v>
      </c>
      <c r="G2145" s="91" t="b">
        <v>0</v>
      </c>
      <c r="H2145" s="91" t="b">
        <v>0</v>
      </c>
      <c r="I2145" s="91" t="b">
        <v>0</v>
      </c>
      <c r="J2145" s="91" t="b">
        <v>0</v>
      </c>
      <c r="K2145" s="91" t="b">
        <v>0</v>
      </c>
      <c r="L2145" s="91" t="b">
        <v>0</v>
      </c>
    </row>
    <row r="2146" spans="1:12" ht="15">
      <c r="A2146" s="92" t="s">
        <v>2616</v>
      </c>
      <c r="B2146" s="91" t="s">
        <v>2573</v>
      </c>
      <c r="C2146" s="91">
        <v>3</v>
      </c>
      <c r="D2146" s="114">
        <v>0.0035107985966416053</v>
      </c>
      <c r="E2146" s="114">
        <v>2.1245042248342823</v>
      </c>
      <c r="F2146" s="91" t="s">
        <v>2525</v>
      </c>
      <c r="G2146" s="91" t="b">
        <v>0</v>
      </c>
      <c r="H2146" s="91" t="b">
        <v>0</v>
      </c>
      <c r="I2146" s="91" t="b">
        <v>0</v>
      </c>
      <c r="J2146" s="91" t="b">
        <v>0</v>
      </c>
      <c r="K2146" s="91" t="b">
        <v>0</v>
      </c>
      <c r="L2146" s="91" t="b">
        <v>0</v>
      </c>
    </row>
    <row r="2147" spans="1:12" ht="15">
      <c r="A2147" s="92" t="s">
        <v>2573</v>
      </c>
      <c r="B2147" s="91" t="s">
        <v>2646</v>
      </c>
      <c r="C2147" s="91">
        <v>3</v>
      </c>
      <c r="D2147" s="114">
        <v>0.0035107985966416053</v>
      </c>
      <c r="E2147" s="114">
        <v>2.2214142378423385</v>
      </c>
      <c r="F2147" s="91" t="s">
        <v>2525</v>
      </c>
      <c r="G2147" s="91" t="b">
        <v>0</v>
      </c>
      <c r="H2147" s="91" t="b">
        <v>0</v>
      </c>
      <c r="I2147" s="91" t="b">
        <v>0</v>
      </c>
      <c r="J2147" s="91" t="b">
        <v>0</v>
      </c>
      <c r="K2147" s="91" t="b">
        <v>0</v>
      </c>
      <c r="L2147" s="91" t="b">
        <v>0</v>
      </c>
    </row>
    <row r="2148" spans="1:12" ht="15">
      <c r="A2148" s="92" t="s">
        <v>2646</v>
      </c>
      <c r="B2148" s="91" t="s">
        <v>2566</v>
      </c>
      <c r="C2148" s="91">
        <v>3</v>
      </c>
      <c r="D2148" s="114">
        <v>0.0035107985966416053</v>
      </c>
      <c r="E2148" s="114">
        <v>1.443262987458695</v>
      </c>
      <c r="F2148" s="91" t="s">
        <v>2525</v>
      </c>
      <c r="G2148" s="91" t="b">
        <v>0</v>
      </c>
      <c r="H2148" s="91" t="b">
        <v>0</v>
      </c>
      <c r="I2148" s="91" t="b">
        <v>0</v>
      </c>
      <c r="J2148" s="91" t="b">
        <v>0</v>
      </c>
      <c r="K2148" s="91" t="b">
        <v>0</v>
      </c>
      <c r="L2148" s="91" t="b">
        <v>0</v>
      </c>
    </row>
    <row r="2149" spans="1:12" ht="15">
      <c r="A2149" s="92" t="s">
        <v>2566</v>
      </c>
      <c r="B2149" s="91" t="s">
        <v>3019</v>
      </c>
      <c r="C2149" s="91">
        <v>3</v>
      </c>
      <c r="D2149" s="114">
        <v>0.0035107985966416053</v>
      </c>
      <c r="E2149" s="114">
        <v>1.5930253077920271</v>
      </c>
      <c r="F2149" s="91" t="s">
        <v>2525</v>
      </c>
      <c r="G2149" s="91" t="b">
        <v>0</v>
      </c>
      <c r="H2149" s="91" t="b">
        <v>0</v>
      </c>
      <c r="I2149" s="91" t="b">
        <v>0</v>
      </c>
      <c r="J2149" s="91" t="b">
        <v>0</v>
      </c>
      <c r="K2149" s="91" t="b">
        <v>0</v>
      </c>
      <c r="L2149" s="91" t="b">
        <v>0</v>
      </c>
    </row>
    <row r="2150" spans="1:12" ht="15">
      <c r="A2150" s="92" t="s">
        <v>3019</v>
      </c>
      <c r="B2150" s="91" t="s">
        <v>2965</v>
      </c>
      <c r="C2150" s="91">
        <v>3</v>
      </c>
      <c r="D2150" s="114">
        <v>0.0035107985966416053</v>
      </c>
      <c r="E2150" s="114">
        <v>2.2214142378423385</v>
      </c>
      <c r="F2150" s="91" t="s">
        <v>2525</v>
      </c>
      <c r="G2150" s="91" t="b">
        <v>0</v>
      </c>
      <c r="H2150" s="91" t="b">
        <v>0</v>
      </c>
      <c r="I2150" s="91" t="b">
        <v>0</v>
      </c>
      <c r="J2150" s="91" t="b">
        <v>0</v>
      </c>
      <c r="K2150" s="91" t="b">
        <v>0</v>
      </c>
      <c r="L2150" s="91" t="b">
        <v>0</v>
      </c>
    </row>
    <row r="2151" spans="1:12" ht="15">
      <c r="A2151" s="92" t="s">
        <v>2569</v>
      </c>
      <c r="B2151" s="91" t="s">
        <v>2572</v>
      </c>
      <c r="C2151" s="91">
        <v>8</v>
      </c>
      <c r="D2151" s="114">
        <v>0.005574629549332985</v>
      </c>
      <c r="E2151" s="114">
        <v>1.5777006454685176</v>
      </c>
      <c r="F2151" s="91" t="s">
        <v>2526</v>
      </c>
      <c r="G2151" s="91" t="b">
        <v>0</v>
      </c>
      <c r="H2151" s="91" t="b">
        <v>0</v>
      </c>
      <c r="I2151" s="91" t="b">
        <v>0</v>
      </c>
      <c r="J2151" s="91" t="b">
        <v>0</v>
      </c>
      <c r="K2151" s="91" t="b">
        <v>0</v>
      </c>
      <c r="L2151" s="91" t="b">
        <v>0</v>
      </c>
    </row>
    <row r="2152" spans="1:12" ht="15">
      <c r="A2152" s="92" t="s">
        <v>2565</v>
      </c>
      <c r="B2152" s="91" t="s">
        <v>2622</v>
      </c>
      <c r="C2152" s="91">
        <v>7</v>
      </c>
      <c r="D2152" s="114">
        <v>0.005817485181693693</v>
      </c>
      <c r="E2152" s="114">
        <v>1.5399120845791179</v>
      </c>
      <c r="F2152" s="91" t="s">
        <v>2526</v>
      </c>
      <c r="G2152" s="91" t="b">
        <v>0</v>
      </c>
      <c r="H2152" s="91" t="b">
        <v>0</v>
      </c>
      <c r="I2152" s="91" t="b">
        <v>0</v>
      </c>
      <c r="J2152" s="91" t="b">
        <v>0</v>
      </c>
      <c r="K2152" s="91" t="b">
        <v>0</v>
      </c>
      <c r="L2152" s="91" t="b">
        <v>0</v>
      </c>
    </row>
    <row r="2153" spans="1:12" ht="15">
      <c r="A2153" s="92" t="s">
        <v>2564</v>
      </c>
      <c r="B2153" s="91" t="s">
        <v>2574</v>
      </c>
      <c r="C2153" s="91">
        <v>7</v>
      </c>
      <c r="D2153" s="114">
        <v>0.005817485181693693</v>
      </c>
      <c r="E2153" s="114">
        <v>1.414973347970818</v>
      </c>
      <c r="F2153" s="91" t="s">
        <v>2526</v>
      </c>
      <c r="G2153" s="91" t="b">
        <v>0</v>
      </c>
      <c r="H2153" s="91" t="b">
        <v>0</v>
      </c>
      <c r="I2153" s="91" t="b">
        <v>0</v>
      </c>
      <c r="J2153" s="91" t="b">
        <v>0</v>
      </c>
      <c r="K2153" s="91" t="b">
        <v>0</v>
      </c>
      <c r="L2153" s="91" t="b">
        <v>0</v>
      </c>
    </row>
    <row r="2154" spans="1:12" ht="15">
      <c r="A2154" s="92" t="s">
        <v>2571</v>
      </c>
      <c r="B2154" s="91" t="s">
        <v>2565</v>
      </c>
      <c r="C2154" s="91">
        <v>6</v>
      </c>
      <c r="D2154" s="114">
        <v>0.005916232392670571</v>
      </c>
      <c r="E2154" s="114">
        <v>1.2388820889151366</v>
      </c>
      <c r="F2154" s="91" t="s">
        <v>2526</v>
      </c>
      <c r="G2154" s="91" t="b">
        <v>0</v>
      </c>
      <c r="H2154" s="91" t="b">
        <v>0</v>
      </c>
      <c r="I2154" s="91" t="b">
        <v>0</v>
      </c>
      <c r="J2154" s="91" t="b">
        <v>0</v>
      </c>
      <c r="K2154" s="91" t="b">
        <v>0</v>
      </c>
      <c r="L2154" s="91" t="b">
        <v>0</v>
      </c>
    </row>
    <row r="2155" spans="1:12" ht="15">
      <c r="A2155" s="92" t="s">
        <v>2566</v>
      </c>
      <c r="B2155" s="91" t="s">
        <v>2584</v>
      </c>
      <c r="C2155" s="91">
        <v>6</v>
      </c>
      <c r="D2155" s="114">
        <v>0.005916232392670571</v>
      </c>
      <c r="E2155" s="114">
        <v>1.7739952906124858</v>
      </c>
      <c r="F2155" s="91" t="s">
        <v>2526</v>
      </c>
      <c r="G2155" s="91" t="b">
        <v>0</v>
      </c>
      <c r="H2155" s="91" t="b">
        <v>0</v>
      </c>
      <c r="I2155" s="91" t="b">
        <v>0</v>
      </c>
      <c r="J2155" s="91" t="b">
        <v>0</v>
      </c>
      <c r="K2155" s="91" t="b">
        <v>0</v>
      </c>
      <c r="L2155" s="91" t="b">
        <v>0</v>
      </c>
    </row>
    <row r="2156" spans="1:12" ht="15">
      <c r="A2156" s="92" t="s">
        <v>2579</v>
      </c>
      <c r="B2156" s="91" t="s">
        <v>2575</v>
      </c>
      <c r="C2156" s="91">
        <v>6</v>
      </c>
      <c r="D2156" s="114">
        <v>0.005916232392670571</v>
      </c>
      <c r="E2156" s="114">
        <v>1.5399120845791179</v>
      </c>
      <c r="F2156" s="91" t="s">
        <v>2526</v>
      </c>
      <c r="G2156" s="91" t="b">
        <v>0</v>
      </c>
      <c r="H2156" s="91" t="b">
        <v>0</v>
      </c>
      <c r="I2156" s="91" t="b">
        <v>0</v>
      </c>
      <c r="J2156" s="91" t="b">
        <v>0</v>
      </c>
      <c r="K2156" s="91" t="b">
        <v>0</v>
      </c>
      <c r="L2156" s="91" t="b">
        <v>0</v>
      </c>
    </row>
    <row r="2157" spans="1:12" ht="15">
      <c r="A2157" s="92" t="s">
        <v>2573</v>
      </c>
      <c r="B2157" s="91" t="s">
        <v>2594</v>
      </c>
      <c r="C2157" s="91">
        <v>6</v>
      </c>
      <c r="D2157" s="114">
        <v>0.005916232392670571</v>
      </c>
      <c r="E2157" s="114">
        <v>1.2097238601739233</v>
      </c>
      <c r="F2157" s="91" t="s">
        <v>2526</v>
      </c>
      <c r="G2157" s="91" t="b">
        <v>0</v>
      </c>
      <c r="H2157" s="91" t="b">
        <v>0</v>
      </c>
      <c r="I2157" s="91" t="b">
        <v>0</v>
      </c>
      <c r="J2157" s="91" t="b">
        <v>0</v>
      </c>
      <c r="K2157" s="91" t="b">
        <v>0</v>
      </c>
      <c r="L2157" s="91" t="b">
        <v>0</v>
      </c>
    </row>
    <row r="2158" spans="1:12" ht="15">
      <c r="A2158" s="92" t="s">
        <v>2588</v>
      </c>
      <c r="B2158" s="91" t="s">
        <v>2615</v>
      </c>
      <c r="C2158" s="91">
        <v>5</v>
      </c>
      <c r="D2158" s="114">
        <v>0.005846643267591505</v>
      </c>
      <c r="E2158" s="114">
        <v>1.5399120845791179</v>
      </c>
      <c r="F2158" s="91" t="s">
        <v>2526</v>
      </c>
      <c r="G2158" s="91" t="b">
        <v>0</v>
      </c>
      <c r="H2158" s="91" t="b">
        <v>0</v>
      </c>
      <c r="I2158" s="91" t="b">
        <v>0</v>
      </c>
      <c r="J2158" s="91" t="b">
        <v>0</v>
      </c>
      <c r="K2158" s="91" t="b">
        <v>0</v>
      </c>
      <c r="L2158" s="91" t="b">
        <v>0</v>
      </c>
    </row>
    <row r="2159" spans="1:12" ht="15">
      <c r="A2159" s="92" t="s">
        <v>2608</v>
      </c>
      <c r="B2159" s="91" t="s">
        <v>2623</v>
      </c>
      <c r="C2159" s="91">
        <v>5</v>
      </c>
      <c r="D2159" s="114">
        <v>0.005846643267591505</v>
      </c>
      <c r="E2159" s="114">
        <v>1.920123326290724</v>
      </c>
      <c r="F2159" s="91" t="s">
        <v>2526</v>
      </c>
      <c r="G2159" s="91" t="b">
        <v>0</v>
      </c>
      <c r="H2159" s="91" t="b">
        <v>0</v>
      </c>
      <c r="I2159" s="91" t="b">
        <v>0</v>
      </c>
      <c r="J2159" s="91" t="b">
        <v>0</v>
      </c>
      <c r="K2159" s="91" t="b">
        <v>0</v>
      </c>
      <c r="L2159" s="91" t="b">
        <v>0</v>
      </c>
    </row>
    <row r="2160" spans="1:12" ht="15">
      <c r="A2160" s="92" t="s">
        <v>2623</v>
      </c>
      <c r="B2160" s="91" t="s">
        <v>2579</v>
      </c>
      <c r="C2160" s="91">
        <v>5</v>
      </c>
      <c r="D2160" s="114">
        <v>0.005846643267591505</v>
      </c>
      <c r="E2160" s="114">
        <v>1.5399120845791179</v>
      </c>
      <c r="F2160" s="91" t="s">
        <v>2526</v>
      </c>
      <c r="G2160" s="91" t="b">
        <v>0</v>
      </c>
      <c r="H2160" s="91" t="b">
        <v>0</v>
      </c>
      <c r="I2160" s="91" t="b">
        <v>0</v>
      </c>
      <c r="J2160" s="91" t="b">
        <v>0</v>
      </c>
      <c r="K2160" s="91" t="b">
        <v>0</v>
      </c>
      <c r="L2160" s="91" t="b">
        <v>0</v>
      </c>
    </row>
    <row r="2161" spans="1:12" ht="15">
      <c r="A2161" s="92" t="s">
        <v>2565</v>
      </c>
      <c r="B2161" s="91" t="s">
        <v>2624</v>
      </c>
      <c r="C2161" s="91">
        <v>5</v>
      </c>
      <c r="D2161" s="114">
        <v>0.005846643267591505</v>
      </c>
      <c r="E2161" s="114">
        <v>1.5399120845791179</v>
      </c>
      <c r="F2161" s="91" t="s">
        <v>2526</v>
      </c>
      <c r="G2161" s="91" t="b">
        <v>0</v>
      </c>
      <c r="H2161" s="91" t="b">
        <v>0</v>
      </c>
      <c r="I2161" s="91" t="b">
        <v>0</v>
      </c>
      <c r="J2161" s="91" t="b">
        <v>0</v>
      </c>
      <c r="K2161" s="91" t="b">
        <v>0</v>
      </c>
      <c r="L2161" s="91" t="b">
        <v>0</v>
      </c>
    </row>
    <row r="2162" spans="1:12" ht="15">
      <c r="A2162" s="92" t="s">
        <v>2624</v>
      </c>
      <c r="B2162" s="91" t="s">
        <v>2625</v>
      </c>
      <c r="C2162" s="91">
        <v>5</v>
      </c>
      <c r="D2162" s="114">
        <v>0.005846643267591505</v>
      </c>
      <c r="E2162" s="114">
        <v>1.920123326290724</v>
      </c>
      <c r="F2162" s="91" t="s">
        <v>2526</v>
      </c>
      <c r="G2162" s="91" t="b">
        <v>0</v>
      </c>
      <c r="H2162" s="91" t="b">
        <v>0</v>
      </c>
      <c r="I2162" s="91" t="b">
        <v>0</v>
      </c>
      <c r="J2162" s="91" t="b">
        <v>0</v>
      </c>
      <c r="K2162" s="91" t="b">
        <v>0</v>
      </c>
      <c r="L2162" s="91" t="b">
        <v>0</v>
      </c>
    </row>
    <row r="2163" spans="1:12" ht="15">
      <c r="A2163" s="92" t="s">
        <v>2625</v>
      </c>
      <c r="B2163" s="91" t="s">
        <v>2626</v>
      </c>
      <c r="C2163" s="91">
        <v>5</v>
      </c>
      <c r="D2163" s="114">
        <v>0.005846643267591505</v>
      </c>
      <c r="E2163" s="114">
        <v>1.920123326290724</v>
      </c>
      <c r="F2163" s="91" t="s">
        <v>2526</v>
      </c>
      <c r="G2163" s="91" t="b">
        <v>0</v>
      </c>
      <c r="H2163" s="91" t="b">
        <v>0</v>
      </c>
      <c r="I2163" s="91" t="b">
        <v>0</v>
      </c>
      <c r="J2163" s="91" t="b">
        <v>0</v>
      </c>
      <c r="K2163" s="91" t="b">
        <v>0</v>
      </c>
      <c r="L2163" s="91" t="b">
        <v>0</v>
      </c>
    </row>
    <row r="2164" spans="1:12" ht="15">
      <c r="A2164" s="92" t="s">
        <v>2626</v>
      </c>
      <c r="B2164" s="91" t="s">
        <v>2627</v>
      </c>
      <c r="C2164" s="91">
        <v>5</v>
      </c>
      <c r="D2164" s="114">
        <v>0.005846643267591505</v>
      </c>
      <c r="E2164" s="114">
        <v>1.920123326290724</v>
      </c>
      <c r="F2164" s="91" t="s">
        <v>2526</v>
      </c>
      <c r="G2164" s="91" t="b">
        <v>0</v>
      </c>
      <c r="H2164" s="91" t="b">
        <v>0</v>
      </c>
      <c r="I2164" s="91" t="b">
        <v>0</v>
      </c>
      <c r="J2164" s="91" t="b">
        <v>0</v>
      </c>
      <c r="K2164" s="91" t="b">
        <v>0</v>
      </c>
      <c r="L2164" s="91" t="b">
        <v>0</v>
      </c>
    </row>
    <row r="2165" spans="1:12" ht="15">
      <c r="A2165" s="92" t="s">
        <v>2609</v>
      </c>
      <c r="B2165" s="91" t="s">
        <v>2588</v>
      </c>
      <c r="C2165" s="91">
        <v>5</v>
      </c>
      <c r="D2165" s="114">
        <v>0.005846643267591505</v>
      </c>
      <c r="E2165" s="114">
        <v>1.335792101923193</v>
      </c>
      <c r="F2165" s="91" t="s">
        <v>2526</v>
      </c>
      <c r="G2165" s="91" t="b">
        <v>0</v>
      </c>
      <c r="H2165" s="91" t="b">
        <v>0</v>
      </c>
      <c r="I2165" s="91" t="b">
        <v>0</v>
      </c>
      <c r="J2165" s="91" t="b">
        <v>0</v>
      </c>
      <c r="K2165" s="91" t="b">
        <v>0</v>
      </c>
      <c r="L2165" s="91" t="b">
        <v>0</v>
      </c>
    </row>
    <row r="2166" spans="1:12" ht="15">
      <c r="A2166" s="92" t="s">
        <v>2588</v>
      </c>
      <c r="B2166" s="91" t="s">
        <v>2619</v>
      </c>
      <c r="C2166" s="91">
        <v>5</v>
      </c>
      <c r="D2166" s="114">
        <v>0.005846643267591505</v>
      </c>
      <c r="E2166" s="114">
        <v>1.5399120845791179</v>
      </c>
      <c r="F2166" s="91" t="s">
        <v>2526</v>
      </c>
      <c r="G2166" s="91" t="b">
        <v>0</v>
      </c>
      <c r="H2166" s="91" t="b">
        <v>0</v>
      </c>
      <c r="I2166" s="91" t="b">
        <v>0</v>
      </c>
      <c r="J2166" s="91" t="b">
        <v>0</v>
      </c>
      <c r="K2166" s="91" t="b">
        <v>0</v>
      </c>
      <c r="L2166" s="91" t="b">
        <v>0</v>
      </c>
    </row>
    <row r="2167" spans="1:12" ht="15">
      <c r="A2167" s="92" t="s">
        <v>2621</v>
      </c>
      <c r="B2167" s="91" t="s">
        <v>2564</v>
      </c>
      <c r="C2167" s="91">
        <v>5</v>
      </c>
      <c r="D2167" s="114">
        <v>0.005846643267591505</v>
      </c>
      <c r="E2167" s="114">
        <v>1.414973347970818</v>
      </c>
      <c r="F2167" s="91" t="s">
        <v>2526</v>
      </c>
      <c r="G2167" s="91" t="b">
        <v>0</v>
      </c>
      <c r="H2167" s="91" t="b">
        <v>0</v>
      </c>
      <c r="I2167" s="91" t="b">
        <v>0</v>
      </c>
      <c r="J2167" s="91" t="b">
        <v>0</v>
      </c>
      <c r="K2167" s="91" t="b">
        <v>0</v>
      </c>
      <c r="L2167" s="91" t="b">
        <v>0</v>
      </c>
    </row>
    <row r="2168" spans="1:12" ht="15">
      <c r="A2168" s="92" t="s">
        <v>2564</v>
      </c>
      <c r="B2168" s="91" t="s">
        <v>2618</v>
      </c>
      <c r="C2168" s="91">
        <v>5</v>
      </c>
      <c r="D2168" s="114">
        <v>0.005846643267591505</v>
      </c>
      <c r="E2168" s="114">
        <v>1.159700842867512</v>
      </c>
      <c r="F2168" s="91" t="s">
        <v>2526</v>
      </c>
      <c r="G2168" s="91" t="b">
        <v>0</v>
      </c>
      <c r="H2168" s="91" t="b">
        <v>0</v>
      </c>
      <c r="I2168" s="91" t="b">
        <v>0</v>
      </c>
      <c r="J2168" s="91" t="b">
        <v>0</v>
      </c>
      <c r="K2168" s="91" t="b">
        <v>0</v>
      </c>
      <c r="L2168" s="91" t="b">
        <v>0</v>
      </c>
    </row>
    <row r="2169" spans="1:12" ht="15">
      <c r="A2169" s="92" t="s">
        <v>2578</v>
      </c>
      <c r="B2169" s="91" t="s">
        <v>2949</v>
      </c>
      <c r="C2169" s="91">
        <v>4</v>
      </c>
      <c r="D2169" s="114">
        <v>0.005574629549332985</v>
      </c>
      <c r="E2169" s="114">
        <v>1.6648508211874178</v>
      </c>
      <c r="F2169" s="91" t="s">
        <v>2526</v>
      </c>
      <c r="G2169" s="91" t="b">
        <v>0</v>
      </c>
      <c r="H2169" s="91" t="b">
        <v>0</v>
      </c>
      <c r="I2169" s="91" t="b">
        <v>0</v>
      </c>
      <c r="J2169" s="91" t="b">
        <v>0</v>
      </c>
      <c r="K2169" s="91" t="b">
        <v>0</v>
      </c>
      <c r="L2169" s="91" t="b">
        <v>0</v>
      </c>
    </row>
    <row r="2170" spans="1:12" ht="15">
      <c r="A2170" s="92" t="s">
        <v>2949</v>
      </c>
      <c r="B2170" s="91" t="s">
        <v>2580</v>
      </c>
      <c r="C2170" s="91">
        <v>4</v>
      </c>
      <c r="D2170" s="114">
        <v>0.005574629549332985</v>
      </c>
      <c r="E2170" s="114">
        <v>1.8409420802430991</v>
      </c>
      <c r="F2170" s="91" t="s">
        <v>2526</v>
      </c>
      <c r="G2170" s="91" t="b">
        <v>0</v>
      </c>
      <c r="H2170" s="91" t="b">
        <v>0</v>
      </c>
      <c r="I2170" s="91" t="b">
        <v>0</v>
      </c>
      <c r="J2170" s="91" t="b">
        <v>0</v>
      </c>
      <c r="K2170" s="91" t="b">
        <v>0</v>
      </c>
      <c r="L2170" s="91" t="b">
        <v>0</v>
      </c>
    </row>
    <row r="2171" spans="1:12" ht="15">
      <c r="A2171" s="92" t="s">
        <v>2580</v>
      </c>
      <c r="B2171" s="91" t="s">
        <v>2768</v>
      </c>
      <c r="C2171" s="91">
        <v>4</v>
      </c>
      <c r="D2171" s="114">
        <v>0.005574629549332985</v>
      </c>
      <c r="E2171" s="114">
        <v>1.5399120845791179</v>
      </c>
      <c r="F2171" s="91" t="s">
        <v>2526</v>
      </c>
      <c r="G2171" s="91" t="b">
        <v>0</v>
      </c>
      <c r="H2171" s="91" t="b">
        <v>0</v>
      </c>
      <c r="I2171" s="91" t="b">
        <v>0</v>
      </c>
      <c r="J2171" s="91" t="b">
        <v>0</v>
      </c>
      <c r="K2171" s="91" t="b">
        <v>0</v>
      </c>
      <c r="L2171" s="91" t="b">
        <v>0</v>
      </c>
    </row>
    <row r="2172" spans="1:12" ht="15">
      <c r="A2172" s="92" t="s">
        <v>2768</v>
      </c>
      <c r="B2172" s="91" t="s">
        <v>2568</v>
      </c>
      <c r="C2172" s="91">
        <v>4</v>
      </c>
      <c r="D2172" s="114">
        <v>0.005574629549332985</v>
      </c>
      <c r="E2172" s="114">
        <v>1.414973347970818</v>
      </c>
      <c r="F2172" s="91" t="s">
        <v>2526</v>
      </c>
      <c r="G2172" s="91" t="b">
        <v>0</v>
      </c>
      <c r="H2172" s="91" t="b">
        <v>0</v>
      </c>
      <c r="I2172" s="91" t="b">
        <v>0</v>
      </c>
      <c r="J2172" s="91" t="b">
        <v>0</v>
      </c>
      <c r="K2172" s="91" t="b">
        <v>0</v>
      </c>
      <c r="L2172" s="91" t="b">
        <v>0</v>
      </c>
    </row>
    <row r="2173" spans="1:12" ht="15">
      <c r="A2173" s="92" t="s">
        <v>2568</v>
      </c>
      <c r="B2173" s="91" t="s">
        <v>2768</v>
      </c>
      <c r="C2173" s="91">
        <v>4</v>
      </c>
      <c r="D2173" s="114">
        <v>0.005574629549332985</v>
      </c>
      <c r="E2173" s="114">
        <v>1.414973347970818</v>
      </c>
      <c r="F2173" s="91" t="s">
        <v>2526</v>
      </c>
      <c r="G2173" s="91" t="b">
        <v>0</v>
      </c>
      <c r="H2173" s="91" t="b">
        <v>0</v>
      </c>
      <c r="I2173" s="91" t="b">
        <v>0</v>
      </c>
      <c r="J2173" s="91" t="b">
        <v>0</v>
      </c>
      <c r="K2173" s="91" t="b">
        <v>0</v>
      </c>
      <c r="L2173" s="91" t="b">
        <v>0</v>
      </c>
    </row>
    <row r="2174" spans="1:12" ht="15">
      <c r="A2174" s="92" t="s">
        <v>2768</v>
      </c>
      <c r="B2174" s="91" t="s">
        <v>2871</v>
      </c>
      <c r="C2174" s="91">
        <v>4</v>
      </c>
      <c r="D2174" s="114">
        <v>0.005574629549332985</v>
      </c>
      <c r="E2174" s="114">
        <v>1.7160033436347992</v>
      </c>
      <c r="F2174" s="91" t="s">
        <v>2526</v>
      </c>
      <c r="G2174" s="91" t="b">
        <v>0</v>
      </c>
      <c r="H2174" s="91" t="b">
        <v>0</v>
      </c>
      <c r="I2174" s="91" t="b">
        <v>0</v>
      </c>
      <c r="J2174" s="91" t="b">
        <v>0</v>
      </c>
      <c r="K2174" s="91" t="b">
        <v>0</v>
      </c>
      <c r="L2174" s="91" t="b">
        <v>0</v>
      </c>
    </row>
    <row r="2175" spans="1:12" ht="15">
      <c r="A2175" s="92" t="s">
        <v>2871</v>
      </c>
      <c r="B2175" s="91" t="s">
        <v>2872</v>
      </c>
      <c r="C2175" s="91">
        <v>4</v>
      </c>
      <c r="D2175" s="114">
        <v>0.005574629549332985</v>
      </c>
      <c r="E2175" s="114">
        <v>2.0170333392987803</v>
      </c>
      <c r="F2175" s="91" t="s">
        <v>2526</v>
      </c>
      <c r="G2175" s="91" t="b">
        <v>0</v>
      </c>
      <c r="H2175" s="91" t="b">
        <v>0</v>
      </c>
      <c r="I2175" s="91" t="b">
        <v>0</v>
      </c>
      <c r="J2175" s="91" t="b">
        <v>0</v>
      </c>
      <c r="K2175" s="91" t="b">
        <v>0</v>
      </c>
      <c r="L2175" s="91" t="b">
        <v>0</v>
      </c>
    </row>
    <row r="2176" spans="1:12" ht="15">
      <c r="A2176" s="92" t="s">
        <v>2872</v>
      </c>
      <c r="B2176" s="91" t="s">
        <v>2950</v>
      </c>
      <c r="C2176" s="91">
        <v>4</v>
      </c>
      <c r="D2176" s="114">
        <v>0.005574629549332985</v>
      </c>
      <c r="E2176" s="114">
        <v>2.0170333392987803</v>
      </c>
      <c r="F2176" s="91" t="s">
        <v>2526</v>
      </c>
      <c r="G2176" s="91" t="b">
        <v>0</v>
      </c>
      <c r="H2176" s="91" t="b">
        <v>0</v>
      </c>
      <c r="I2176" s="91" t="b">
        <v>0</v>
      </c>
      <c r="J2176" s="91" t="b">
        <v>0</v>
      </c>
      <c r="K2176" s="91" t="b">
        <v>0</v>
      </c>
      <c r="L2176" s="91" t="b">
        <v>0</v>
      </c>
    </row>
    <row r="2177" spans="1:12" ht="15">
      <c r="A2177" s="92" t="s">
        <v>2950</v>
      </c>
      <c r="B2177" s="91" t="s">
        <v>2571</v>
      </c>
      <c r="C2177" s="91">
        <v>4</v>
      </c>
      <c r="D2177" s="114">
        <v>0.005574629549332985</v>
      </c>
      <c r="E2177" s="114">
        <v>1.5399120845791179</v>
      </c>
      <c r="F2177" s="91" t="s">
        <v>2526</v>
      </c>
      <c r="G2177" s="91" t="b">
        <v>0</v>
      </c>
      <c r="H2177" s="91" t="b">
        <v>0</v>
      </c>
      <c r="I2177" s="91" t="b">
        <v>0</v>
      </c>
      <c r="J2177" s="91" t="b">
        <v>0</v>
      </c>
      <c r="K2177" s="91" t="b">
        <v>0</v>
      </c>
      <c r="L2177" s="91" t="b">
        <v>0</v>
      </c>
    </row>
    <row r="2178" spans="1:12" ht="15">
      <c r="A2178" s="92" t="s">
        <v>2622</v>
      </c>
      <c r="B2178" s="91" t="s">
        <v>2567</v>
      </c>
      <c r="C2178" s="91">
        <v>4</v>
      </c>
      <c r="D2178" s="114">
        <v>0.005574629549332985</v>
      </c>
      <c r="E2178" s="114">
        <v>1.4729652949485046</v>
      </c>
      <c r="F2178" s="91" t="s">
        <v>2526</v>
      </c>
      <c r="G2178" s="91" t="b">
        <v>0</v>
      </c>
      <c r="H2178" s="91" t="b">
        <v>0</v>
      </c>
      <c r="I2178" s="91" t="b">
        <v>0</v>
      </c>
      <c r="J2178" s="91" t="b">
        <v>0</v>
      </c>
      <c r="K2178" s="91" t="b">
        <v>0</v>
      </c>
      <c r="L2178" s="91" t="b">
        <v>0</v>
      </c>
    </row>
    <row r="2179" spans="1:12" ht="15">
      <c r="A2179" s="92" t="s">
        <v>2567</v>
      </c>
      <c r="B2179" s="91" t="s">
        <v>2564</v>
      </c>
      <c r="C2179" s="91">
        <v>4</v>
      </c>
      <c r="D2179" s="114">
        <v>0.005574629549332985</v>
      </c>
      <c r="E2179" s="114">
        <v>1.2388820889151366</v>
      </c>
      <c r="F2179" s="91" t="s">
        <v>2526</v>
      </c>
      <c r="G2179" s="91" t="b">
        <v>0</v>
      </c>
      <c r="H2179" s="91" t="b">
        <v>0</v>
      </c>
      <c r="I2179" s="91" t="b">
        <v>0</v>
      </c>
      <c r="J2179" s="91" t="b">
        <v>0</v>
      </c>
      <c r="K2179" s="91" t="b">
        <v>0</v>
      </c>
      <c r="L2179" s="91" t="b">
        <v>0</v>
      </c>
    </row>
    <row r="2180" spans="1:12" ht="15">
      <c r="A2180" s="92" t="s">
        <v>2574</v>
      </c>
      <c r="B2180" s="91" t="s">
        <v>2566</v>
      </c>
      <c r="C2180" s="91">
        <v>4</v>
      </c>
      <c r="D2180" s="114">
        <v>0.005574629549332985</v>
      </c>
      <c r="E2180" s="114">
        <v>1.5309572419261914</v>
      </c>
      <c r="F2180" s="91" t="s">
        <v>2526</v>
      </c>
      <c r="G2180" s="91" t="b">
        <v>0</v>
      </c>
      <c r="H2180" s="91" t="b">
        <v>0</v>
      </c>
      <c r="I2180" s="91" t="b">
        <v>0</v>
      </c>
      <c r="J2180" s="91" t="b">
        <v>0</v>
      </c>
      <c r="K2180" s="91" t="b">
        <v>0</v>
      </c>
      <c r="L2180" s="91" t="b">
        <v>0</v>
      </c>
    </row>
    <row r="2181" spans="1:12" ht="15">
      <c r="A2181" s="92" t="s">
        <v>2584</v>
      </c>
      <c r="B2181" s="91" t="s">
        <v>2588</v>
      </c>
      <c r="C2181" s="91">
        <v>4</v>
      </c>
      <c r="D2181" s="114">
        <v>0.005574629549332985</v>
      </c>
      <c r="E2181" s="114">
        <v>1.3638208255234365</v>
      </c>
      <c r="F2181" s="91" t="s">
        <v>2526</v>
      </c>
      <c r="G2181" s="91" t="b">
        <v>0</v>
      </c>
      <c r="H2181" s="91" t="b">
        <v>0</v>
      </c>
      <c r="I2181" s="91" t="b">
        <v>0</v>
      </c>
      <c r="J2181" s="91" t="b">
        <v>0</v>
      </c>
      <c r="K2181" s="91" t="b">
        <v>0</v>
      </c>
      <c r="L2181" s="91" t="b">
        <v>0</v>
      </c>
    </row>
    <row r="2182" spans="1:12" ht="15">
      <c r="A2182" s="92" t="s">
        <v>2615</v>
      </c>
      <c r="B2182" s="91" t="s">
        <v>2579</v>
      </c>
      <c r="C2182" s="91">
        <v>4</v>
      </c>
      <c r="D2182" s="114">
        <v>0.005574629549332985</v>
      </c>
      <c r="E2182" s="114">
        <v>1.4430020715710614</v>
      </c>
      <c r="F2182" s="91" t="s">
        <v>2526</v>
      </c>
      <c r="G2182" s="91" t="b">
        <v>0</v>
      </c>
      <c r="H2182" s="91" t="b">
        <v>0</v>
      </c>
      <c r="I2182" s="91" t="b">
        <v>0</v>
      </c>
      <c r="J2182" s="91" t="b">
        <v>0</v>
      </c>
      <c r="K2182" s="91" t="b">
        <v>0</v>
      </c>
      <c r="L2182" s="91" t="b">
        <v>0</v>
      </c>
    </row>
    <row r="2183" spans="1:12" ht="15">
      <c r="A2183" s="92" t="s">
        <v>2575</v>
      </c>
      <c r="B2183" s="91" t="s">
        <v>2612</v>
      </c>
      <c r="C2183" s="91">
        <v>4</v>
      </c>
      <c r="D2183" s="114">
        <v>0.005574629549332985</v>
      </c>
      <c r="E2183" s="114">
        <v>1.8409420802430991</v>
      </c>
      <c r="F2183" s="91" t="s">
        <v>2526</v>
      </c>
      <c r="G2183" s="91" t="b">
        <v>0</v>
      </c>
      <c r="H2183" s="91" t="b">
        <v>0</v>
      </c>
      <c r="I2183" s="91" t="b">
        <v>0</v>
      </c>
      <c r="J2183" s="91" t="b">
        <v>0</v>
      </c>
      <c r="K2183" s="91" t="b">
        <v>0</v>
      </c>
      <c r="L2183" s="91" t="b">
        <v>0</v>
      </c>
    </row>
    <row r="2184" spans="1:12" ht="15">
      <c r="A2184" s="92" t="s">
        <v>2612</v>
      </c>
      <c r="B2184" s="91" t="s">
        <v>2570</v>
      </c>
      <c r="C2184" s="91">
        <v>4</v>
      </c>
      <c r="D2184" s="114">
        <v>0.005574629549332985</v>
      </c>
      <c r="E2184" s="114">
        <v>1.920123326290724</v>
      </c>
      <c r="F2184" s="91" t="s">
        <v>2526</v>
      </c>
      <c r="G2184" s="91" t="b">
        <v>0</v>
      </c>
      <c r="H2184" s="91" t="b">
        <v>0</v>
      </c>
      <c r="I2184" s="91" t="b">
        <v>0</v>
      </c>
      <c r="J2184" s="91" t="b">
        <v>0</v>
      </c>
      <c r="K2184" s="91" t="b">
        <v>0</v>
      </c>
      <c r="L2184" s="91" t="b">
        <v>0</v>
      </c>
    </row>
    <row r="2185" spans="1:12" ht="15">
      <c r="A2185" s="92" t="s">
        <v>2570</v>
      </c>
      <c r="B2185" s="91" t="s">
        <v>2618</v>
      </c>
      <c r="C2185" s="91">
        <v>4</v>
      </c>
      <c r="D2185" s="114">
        <v>0.005574629549332985</v>
      </c>
      <c r="E2185" s="114">
        <v>1.5679408081793613</v>
      </c>
      <c r="F2185" s="91" t="s">
        <v>2526</v>
      </c>
      <c r="G2185" s="91" t="b">
        <v>0</v>
      </c>
      <c r="H2185" s="91" t="b">
        <v>0</v>
      </c>
      <c r="I2185" s="91" t="b">
        <v>0</v>
      </c>
      <c r="J2185" s="91" t="b">
        <v>0</v>
      </c>
      <c r="K2185" s="91" t="b">
        <v>0</v>
      </c>
      <c r="L2185" s="91" t="b">
        <v>0</v>
      </c>
    </row>
    <row r="2186" spans="1:12" ht="15">
      <c r="A2186" s="92" t="s">
        <v>2618</v>
      </c>
      <c r="B2186" s="91" t="s">
        <v>2594</v>
      </c>
      <c r="C2186" s="91">
        <v>4</v>
      </c>
      <c r="D2186" s="114">
        <v>0.005574629549332985</v>
      </c>
      <c r="E2186" s="114">
        <v>1.2766706498045366</v>
      </c>
      <c r="F2186" s="91" t="s">
        <v>2526</v>
      </c>
      <c r="G2186" s="91" t="b">
        <v>0</v>
      </c>
      <c r="H2186" s="91" t="b">
        <v>0</v>
      </c>
      <c r="I2186" s="91" t="b">
        <v>0</v>
      </c>
      <c r="J2186" s="91" t="b">
        <v>0</v>
      </c>
      <c r="K2186" s="91" t="b">
        <v>0</v>
      </c>
      <c r="L2186" s="91" t="b">
        <v>0</v>
      </c>
    </row>
    <row r="2187" spans="1:12" ht="15">
      <c r="A2187" s="92" t="s">
        <v>2571</v>
      </c>
      <c r="B2187" s="91" t="s">
        <v>2573</v>
      </c>
      <c r="C2187" s="91">
        <v>4</v>
      </c>
      <c r="D2187" s="114">
        <v>0.005574629549332985</v>
      </c>
      <c r="E2187" s="114">
        <v>0.9958440402288423</v>
      </c>
      <c r="F2187" s="91" t="s">
        <v>2526</v>
      </c>
      <c r="G2187" s="91" t="b">
        <v>0</v>
      </c>
      <c r="H2187" s="91" t="b">
        <v>0</v>
      </c>
      <c r="I2187" s="91" t="b">
        <v>0</v>
      </c>
      <c r="J2187" s="91" t="b">
        <v>0</v>
      </c>
      <c r="K2187" s="91" t="b">
        <v>0</v>
      </c>
      <c r="L2187" s="91" t="b">
        <v>0</v>
      </c>
    </row>
    <row r="2188" spans="1:12" ht="15">
      <c r="A2188" s="92" t="s">
        <v>2579</v>
      </c>
      <c r="B2188" s="91" t="s">
        <v>2565</v>
      </c>
      <c r="C2188" s="91">
        <v>4</v>
      </c>
      <c r="D2188" s="114">
        <v>0.005574629549332985</v>
      </c>
      <c r="E2188" s="114">
        <v>1.0627908298594555</v>
      </c>
      <c r="F2188" s="91" t="s">
        <v>2526</v>
      </c>
      <c r="G2188" s="91" t="b">
        <v>0</v>
      </c>
      <c r="H2188" s="91" t="b">
        <v>0</v>
      </c>
      <c r="I2188" s="91" t="b">
        <v>0</v>
      </c>
      <c r="J2188" s="91" t="b">
        <v>0</v>
      </c>
      <c r="K2188" s="91" t="b">
        <v>0</v>
      </c>
      <c r="L2188" s="91" t="b">
        <v>0</v>
      </c>
    </row>
    <row r="2189" spans="1:12" ht="15">
      <c r="A2189" s="92" t="s">
        <v>2627</v>
      </c>
      <c r="B2189" s="91" t="s">
        <v>2609</v>
      </c>
      <c r="C2189" s="91">
        <v>4</v>
      </c>
      <c r="D2189" s="114">
        <v>0.005574629549332985</v>
      </c>
      <c r="E2189" s="114">
        <v>1.5679408081793613</v>
      </c>
      <c r="F2189" s="91" t="s">
        <v>2526</v>
      </c>
      <c r="G2189" s="91" t="b">
        <v>0</v>
      </c>
      <c r="H2189" s="91" t="b">
        <v>0</v>
      </c>
      <c r="I2189" s="91" t="b">
        <v>0</v>
      </c>
      <c r="J2189" s="91" t="b">
        <v>0</v>
      </c>
      <c r="K2189" s="91" t="b">
        <v>0</v>
      </c>
      <c r="L2189" s="91" t="b">
        <v>0</v>
      </c>
    </row>
    <row r="2190" spans="1:12" ht="15">
      <c r="A2190" s="92" t="s">
        <v>2619</v>
      </c>
      <c r="B2190" s="91" t="s">
        <v>2628</v>
      </c>
      <c r="C2190" s="91">
        <v>4</v>
      </c>
      <c r="D2190" s="114">
        <v>0.005574629549332985</v>
      </c>
      <c r="E2190" s="114">
        <v>1.8232133132826676</v>
      </c>
      <c r="F2190" s="91" t="s">
        <v>2526</v>
      </c>
      <c r="G2190" s="91" t="b">
        <v>0</v>
      </c>
      <c r="H2190" s="91" t="b">
        <v>0</v>
      </c>
      <c r="I2190" s="91" t="b">
        <v>0</v>
      </c>
      <c r="J2190" s="91" t="b">
        <v>0</v>
      </c>
      <c r="K2190" s="91" t="b">
        <v>0</v>
      </c>
      <c r="L2190" s="91" t="b">
        <v>0</v>
      </c>
    </row>
    <row r="2191" spans="1:12" ht="15">
      <c r="A2191" s="92" t="s">
        <v>2628</v>
      </c>
      <c r="B2191" s="91" t="s">
        <v>2621</v>
      </c>
      <c r="C2191" s="91">
        <v>4</v>
      </c>
      <c r="D2191" s="114">
        <v>0.005574629549332985</v>
      </c>
      <c r="E2191" s="114">
        <v>1.920123326290724</v>
      </c>
      <c r="F2191" s="91" t="s">
        <v>2526</v>
      </c>
      <c r="G2191" s="91" t="b">
        <v>0</v>
      </c>
      <c r="H2191" s="91" t="b">
        <v>0</v>
      </c>
      <c r="I2191" s="91" t="b">
        <v>0</v>
      </c>
      <c r="J2191" s="91" t="b">
        <v>0</v>
      </c>
      <c r="K2191" s="91" t="b">
        <v>0</v>
      </c>
      <c r="L2191" s="91" t="b">
        <v>0</v>
      </c>
    </row>
    <row r="2192" spans="1:12" ht="15">
      <c r="A2192" s="92" t="s">
        <v>2618</v>
      </c>
      <c r="B2192" s="91" t="s">
        <v>2633</v>
      </c>
      <c r="C2192" s="91">
        <v>4</v>
      </c>
      <c r="D2192" s="114">
        <v>0.005574629549332985</v>
      </c>
      <c r="E2192" s="114">
        <v>1.7160033436347992</v>
      </c>
      <c r="F2192" s="91" t="s">
        <v>2526</v>
      </c>
      <c r="G2192" s="91" t="b">
        <v>0</v>
      </c>
      <c r="H2192" s="91" t="b">
        <v>0</v>
      </c>
      <c r="I2192" s="91" t="b">
        <v>0</v>
      </c>
      <c r="J2192" s="91" t="b">
        <v>0</v>
      </c>
      <c r="K2192" s="91" t="b">
        <v>0</v>
      </c>
      <c r="L2192" s="91" t="b">
        <v>0</v>
      </c>
    </row>
    <row r="2193" spans="1:12" ht="15">
      <c r="A2193" s="92" t="s">
        <v>2574</v>
      </c>
      <c r="B2193" s="91" t="s">
        <v>2609</v>
      </c>
      <c r="C2193" s="91">
        <v>3</v>
      </c>
      <c r="D2193" s="114">
        <v>0.005048602277335155</v>
      </c>
      <c r="E2193" s="114">
        <v>1.2968740358928235</v>
      </c>
      <c r="F2193" s="91" t="s">
        <v>2526</v>
      </c>
      <c r="G2193" s="91" t="b">
        <v>0</v>
      </c>
      <c r="H2193" s="91" t="b">
        <v>0</v>
      </c>
      <c r="I2193" s="91" t="b">
        <v>0</v>
      </c>
      <c r="J2193" s="91" t="b">
        <v>0</v>
      </c>
      <c r="K2193" s="91" t="b">
        <v>0</v>
      </c>
      <c r="L2193" s="91" t="b">
        <v>0</v>
      </c>
    </row>
    <row r="2194" spans="1:12" ht="15">
      <c r="A2194" s="92" t="s">
        <v>3027</v>
      </c>
      <c r="B2194" s="91" t="s">
        <v>2984</v>
      </c>
      <c r="C2194" s="91">
        <v>3</v>
      </c>
      <c r="D2194" s="114">
        <v>0.005048602277335155</v>
      </c>
      <c r="E2194" s="114">
        <v>2.14197207590708</v>
      </c>
      <c r="F2194" s="91" t="s">
        <v>2526</v>
      </c>
      <c r="G2194" s="91" t="b">
        <v>0</v>
      </c>
      <c r="H2194" s="91" t="b">
        <v>0</v>
      </c>
      <c r="I2194" s="91" t="b">
        <v>0</v>
      </c>
      <c r="J2194" s="91" t="b">
        <v>0</v>
      </c>
      <c r="K2194" s="91" t="b">
        <v>0</v>
      </c>
      <c r="L2194" s="91" t="b">
        <v>0</v>
      </c>
    </row>
    <row r="2195" spans="1:12" ht="15">
      <c r="A2195" s="92" t="s">
        <v>2984</v>
      </c>
      <c r="B2195" s="91" t="s">
        <v>2985</v>
      </c>
      <c r="C2195" s="91">
        <v>3</v>
      </c>
      <c r="D2195" s="114">
        <v>0.005048602277335155</v>
      </c>
      <c r="E2195" s="114">
        <v>2.14197207590708</v>
      </c>
      <c r="F2195" s="91" t="s">
        <v>2526</v>
      </c>
      <c r="G2195" s="91" t="b">
        <v>0</v>
      </c>
      <c r="H2195" s="91" t="b">
        <v>0</v>
      </c>
      <c r="I2195" s="91" t="b">
        <v>0</v>
      </c>
      <c r="J2195" s="91" t="b">
        <v>0</v>
      </c>
      <c r="K2195" s="91" t="b">
        <v>0</v>
      </c>
      <c r="L2195" s="91" t="b">
        <v>0</v>
      </c>
    </row>
    <row r="2196" spans="1:12" ht="15">
      <c r="A2196" s="92" t="s">
        <v>2985</v>
      </c>
      <c r="B2196" s="91" t="s">
        <v>2743</v>
      </c>
      <c r="C2196" s="91">
        <v>3</v>
      </c>
      <c r="D2196" s="114">
        <v>0.005048602277335155</v>
      </c>
      <c r="E2196" s="114">
        <v>2.0170333392987803</v>
      </c>
      <c r="F2196" s="91" t="s">
        <v>2526</v>
      </c>
      <c r="G2196" s="91" t="b">
        <v>0</v>
      </c>
      <c r="H2196" s="91" t="b">
        <v>0</v>
      </c>
      <c r="I2196" s="91" t="b">
        <v>0</v>
      </c>
      <c r="J2196" s="91" t="b">
        <v>0</v>
      </c>
      <c r="K2196" s="91" t="b">
        <v>0</v>
      </c>
      <c r="L2196" s="91" t="b">
        <v>0</v>
      </c>
    </row>
    <row r="2197" spans="1:12" ht="15">
      <c r="A2197" s="92" t="s">
        <v>2743</v>
      </c>
      <c r="B2197" s="91" t="s">
        <v>2578</v>
      </c>
      <c r="C2197" s="91">
        <v>3</v>
      </c>
      <c r="D2197" s="114">
        <v>0.005048602277335155</v>
      </c>
      <c r="E2197" s="114">
        <v>1.795184589682424</v>
      </c>
      <c r="F2197" s="91" t="s">
        <v>2526</v>
      </c>
      <c r="G2197" s="91" t="b">
        <v>0</v>
      </c>
      <c r="H2197" s="91" t="b">
        <v>0</v>
      </c>
      <c r="I2197" s="91" t="b">
        <v>0</v>
      </c>
      <c r="J2197" s="91" t="b">
        <v>0</v>
      </c>
      <c r="K2197" s="91" t="b">
        <v>0</v>
      </c>
      <c r="L2197" s="91" t="b">
        <v>0</v>
      </c>
    </row>
    <row r="2198" spans="1:12" ht="15">
      <c r="A2198" s="92" t="s">
        <v>2578</v>
      </c>
      <c r="B2198" s="91" t="s">
        <v>2986</v>
      </c>
      <c r="C2198" s="91">
        <v>3</v>
      </c>
      <c r="D2198" s="114">
        <v>0.005048602277335155</v>
      </c>
      <c r="E2198" s="114">
        <v>1.6648508211874178</v>
      </c>
      <c r="F2198" s="91" t="s">
        <v>2526</v>
      </c>
      <c r="G2198" s="91" t="b">
        <v>0</v>
      </c>
      <c r="H2198" s="91" t="b">
        <v>0</v>
      </c>
      <c r="I2198" s="91" t="b">
        <v>0</v>
      </c>
      <c r="J2198" s="91" t="b">
        <v>0</v>
      </c>
      <c r="K2198" s="91" t="b">
        <v>0</v>
      </c>
      <c r="L2198" s="91" t="b">
        <v>0</v>
      </c>
    </row>
    <row r="2199" spans="1:12" ht="15">
      <c r="A2199" s="92" t="s">
        <v>2986</v>
      </c>
      <c r="B2199" s="91" t="s">
        <v>2568</v>
      </c>
      <c r="C2199" s="91">
        <v>3</v>
      </c>
      <c r="D2199" s="114">
        <v>0.005048602277335155</v>
      </c>
      <c r="E2199" s="114">
        <v>1.7160033436347992</v>
      </c>
      <c r="F2199" s="91" t="s">
        <v>2526</v>
      </c>
      <c r="G2199" s="91" t="b">
        <v>0</v>
      </c>
      <c r="H2199" s="91" t="b">
        <v>0</v>
      </c>
      <c r="I2199" s="91" t="b">
        <v>0</v>
      </c>
      <c r="J2199" s="91" t="b">
        <v>0</v>
      </c>
      <c r="K2199" s="91" t="b">
        <v>0</v>
      </c>
      <c r="L2199" s="91" t="b">
        <v>0</v>
      </c>
    </row>
    <row r="2200" spans="1:12" ht="15">
      <c r="A2200" s="92" t="s">
        <v>2568</v>
      </c>
      <c r="B2200" s="91" t="s">
        <v>2569</v>
      </c>
      <c r="C2200" s="91">
        <v>3</v>
      </c>
      <c r="D2200" s="114">
        <v>0.005048602277335155</v>
      </c>
      <c r="E2200" s="114">
        <v>1.1931245983544616</v>
      </c>
      <c r="F2200" s="91" t="s">
        <v>2526</v>
      </c>
      <c r="G2200" s="91" t="b">
        <v>0</v>
      </c>
      <c r="H2200" s="91" t="b">
        <v>0</v>
      </c>
      <c r="I2200" s="91" t="b">
        <v>0</v>
      </c>
      <c r="J2200" s="91" t="b">
        <v>0</v>
      </c>
      <c r="K2200" s="91" t="b">
        <v>0</v>
      </c>
      <c r="L2200" s="91" t="b">
        <v>0</v>
      </c>
    </row>
    <row r="2201" spans="1:12" ht="15">
      <c r="A2201" s="92" t="s">
        <v>2572</v>
      </c>
      <c r="B2201" s="91" t="s">
        <v>2729</v>
      </c>
      <c r="C2201" s="91">
        <v>3</v>
      </c>
      <c r="D2201" s="114">
        <v>0.005048602277335155</v>
      </c>
      <c r="E2201" s="114">
        <v>1.7160033436347992</v>
      </c>
      <c r="F2201" s="91" t="s">
        <v>2526</v>
      </c>
      <c r="G2201" s="91" t="b">
        <v>0</v>
      </c>
      <c r="H2201" s="91" t="b">
        <v>0</v>
      </c>
      <c r="I2201" s="91" t="b">
        <v>0</v>
      </c>
      <c r="J2201" s="91" t="b">
        <v>0</v>
      </c>
      <c r="K2201" s="91" t="b">
        <v>0</v>
      </c>
      <c r="L2201" s="91" t="b">
        <v>0</v>
      </c>
    </row>
    <row r="2202" spans="1:12" ht="15">
      <c r="A2202" s="92" t="s">
        <v>2729</v>
      </c>
      <c r="B2202" s="91" t="s">
        <v>2776</v>
      </c>
      <c r="C2202" s="91">
        <v>3</v>
      </c>
      <c r="D2202" s="114">
        <v>0.005048602277335155</v>
      </c>
      <c r="E2202" s="114">
        <v>2.14197207590708</v>
      </c>
      <c r="F2202" s="91" t="s">
        <v>2526</v>
      </c>
      <c r="G2202" s="91" t="b">
        <v>0</v>
      </c>
      <c r="H2202" s="91" t="b">
        <v>0</v>
      </c>
      <c r="I2202" s="91" t="b">
        <v>0</v>
      </c>
      <c r="J2202" s="91" t="b">
        <v>0</v>
      </c>
      <c r="K2202" s="91" t="b">
        <v>0</v>
      </c>
      <c r="L2202" s="91" t="b">
        <v>0</v>
      </c>
    </row>
    <row r="2203" spans="1:12" ht="15">
      <c r="A2203" s="92" t="s">
        <v>2776</v>
      </c>
      <c r="B2203" s="91" t="s">
        <v>2987</v>
      </c>
      <c r="C2203" s="91">
        <v>3</v>
      </c>
      <c r="D2203" s="114">
        <v>0.005048602277335155</v>
      </c>
      <c r="E2203" s="114">
        <v>2.14197207590708</v>
      </c>
      <c r="F2203" s="91" t="s">
        <v>2526</v>
      </c>
      <c r="G2203" s="91" t="b">
        <v>0</v>
      </c>
      <c r="H2203" s="91" t="b">
        <v>0</v>
      </c>
      <c r="I2203" s="91" t="b">
        <v>0</v>
      </c>
      <c r="J2203" s="91" t="b">
        <v>0</v>
      </c>
      <c r="K2203" s="91" t="b">
        <v>0</v>
      </c>
      <c r="L2203" s="91" t="b">
        <v>0</v>
      </c>
    </row>
    <row r="2204" spans="1:12" ht="15">
      <c r="A2204" s="92" t="s">
        <v>2987</v>
      </c>
      <c r="B2204" s="91" t="s">
        <v>2564</v>
      </c>
      <c r="C2204" s="91">
        <v>3</v>
      </c>
      <c r="D2204" s="114">
        <v>0.005048602277335155</v>
      </c>
      <c r="E2204" s="114">
        <v>1.414973347970818</v>
      </c>
      <c r="F2204" s="91" t="s">
        <v>2526</v>
      </c>
      <c r="G2204" s="91" t="b">
        <v>0</v>
      </c>
      <c r="H2204" s="91" t="b">
        <v>0</v>
      </c>
      <c r="I2204" s="91" t="b">
        <v>0</v>
      </c>
      <c r="J2204" s="91" t="b">
        <v>0</v>
      </c>
      <c r="K2204" s="91" t="b">
        <v>0</v>
      </c>
      <c r="L2204" s="91" t="b">
        <v>0</v>
      </c>
    </row>
    <row r="2205" spans="1:12" ht="15">
      <c r="A2205" s="92" t="s">
        <v>2564</v>
      </c>
      <c r="B2205" s="91" t="s">
        <v>2988</v>
      </c>
      <c r="C2205" s="91">
        <v>3</v>
      </c>
      <c r="D2205" s="114">
        <v>0.005048602277335155</v>
      </c>
      <c r="E2205" s="114">
        <v>1.414973347970818</v>
      </c>
      <c r="F2205" s="91" t="s">
        <v>2526</v>
      </c>
      <c r="G2205" s="91" t="b">
        <v>0</v>
      </c>
      <c r="H2205" s="91" t="b">
        <v>0</v>
      </c>
      <c r="I2205" s="91" t="b">
        <v>0</v>
      </c>
      <c r="J2205" s="91" t="b">
        <v>0</v>
      </c>
      <c r="K2205" s="91" t="b">
        <v>0</v>
      </c>
      <c r="L2205" s="91" t="b">
        <v>0</v>
      </c>
    </row>
    <row r="2206" spans="1:12" ht="15">
      <c r="A2206" s="92" t="s">
        <v>2988</v>
      </c>
      <c r="B2206" s="91" t="s">
        <v>2617</v>
      </c>
      <c r="C2206" s="91">
        <v>3</v>
      </c>
      <c r="D2206" s="114">
        <v>0.005048602277335155</v>
      </c>
      <c r="E2206" s="114">
        <v>2.14197207590708</v>
      </c>
      <c r="F2206" s="91" t="s">
        <v>2526</v>
      </c>
      <c r="G2206" s="91" t="b">
        <v>0</v>
      </c>
      <c r="H2206" s="91" t="b">
        <v>0</v>
      </c>
      <c r="I2206" s="91" t="b">
        <v>0</v>
      </c>
      <c r="J2206" s="91" t="b">
        <v>0</v>
      </c>
      <c r="K2206" s="91" t="b">
        <v>0</v>
      </c>
      <c r="L2206" s="91" t="b">
        <v>0</v>
      </c>
    </row>
    <row r="2207" spans="1:12" ht="15">
      <c r="A2207" s="92" t="s">
        <v>2617</v>
      </c>
      <c r="B2207" s="91" t="s">
        <v>2573</v>
      </c>
      <c r="C2207" s="91">
        <v>3</v>
      </c>
      <c r="D2207" s="114">
        <v>0.005048602277335155</v>
      </c>
      <c r="E2207" s="114">
        <v>1.4729652949485048</v>
      </c>
      <c r="F2207" s="91" t="s">
        <v>2526</v>
      </c>
      <c r="G2207" s="91" t="b">
        <v>0</v>
      </c>
      <c r="H2207" s="91" t="b">
        <v>0</v>
      </c>
      <c r="I2207" s="91" t="b">
        <v>0</v>
      </c>
      <c r="J2207" s="91" t="b">
        <v>0</v>
      </c>
      <c r="K2207" s="91" t="b">
        <v>0</v>
      </c>
      <c r="L2207" s="91" t="b">
        <v>0</v>
      </c>
    </row>
    <row r="2208" spans="1:12" ht="15">
      <c r="A2208" s="92" t="s">
        <v>2573</v>
      </c>
      <c r="B2208" s="91" t="s">
        <v>2935</v>
      </c>
      <c r="C2208" s="91">
        <v>3</v>
      </c>
      <c r="D2208" s="114">
        <v>0.005048602277335155</v>
      </c>
      <c r="E2208" s="114">
        <v>1.4729652949485048</v>
      </c>
      <c r="F2208" s="91" t="s">
        <v>2526</v>
      </c>
      <c r="G2208" s="91" t="b">
        <v>0</v>
      </c>
      <c r="H2208" s="91" t="b">
        <v>0</v>
      </c>
      <c r="I2208" s="91" t="b">
        <v>0</v>
      </c>
      <c r="J2208" s="91" t="b">
        <v>0</v>
      </c>
      <c r="K2208" s="91" t="b">
        <v>0</v>
      </c>
      <c r="L2208" s="91" t="b">
        <v>0</v>
      </c>
    </row>
    <row r="2209" spans="1:12" ht="15">
      <c r="A2209" s="92" t="s">
        <v>2935</v>
      </c>
      <c r="B2209" s="91" t="s">
        <v>2652</v>
      </c>
      <c r="C2209" s="91">
        <v>3</v>
      </c>
      <c r="D2209" s="114">
        <v>0.005048602277335155</v>
      </c>
      <c r="E2209" s="114">
        <v>2.14197207590708</v>
      </c>
      <c r="F2209" s="91" t="s">
        <v>2526</v>
      </c>
      <c r="G2209" s="91" t="b">
        <v>0</v>
      </c>
      <c r="H2209" s="91" t="b">
        <v>0</v>
      </c>
      <c r="I2209" s="91" t="b">
        <v>0</v>
      </c>
      <c r="J2209" s="91" t="b">
        <v>0</v>
      </c>
      <c r="K2209" s="91" t="b">
        <v>0</v>
      </c>
      <c r="L2209" s="91" t="b">
        <v>0</v>
      </c>
    </row>
    <row r="2210" spans="1:12" ht="15">
      <c r="A2210" s="92" t="s">
        <v>2652</v>
      </c>
      <c r="B2210" s="91" t="s">
        <v>2777</v>
      </c>
      <c r="C2210" s="91">
        <v>3</v>
      </c>
      <c r="D2210" s="114">
        <v>0.005048602277335155</v>
      </c>
      <c r="E2210" s="114">
        <v>2.14197207590708</v>
      </c>
      <c r="F2210" s="91" t="s">
        <v>2526</v>
      </c>
      <c r="G2210" s="91" t="b">
        <v>0</v>
      </c>
      <c r="H2210" s="91" t="b">
        <v>0</v>
      </c>
      <c r="I2210" s="91" t="b">
        <v>0</v>
      </c>
      <c r="J2210" s="91" t="b">
        <v>0</v>
      </c>
      <c r="K2210" s="91" t="b">
        <v>0</v>
      </c>
      <c r="L2210" s="91" t="b">
        <v>0</v>
      </c>
    </row>
    <row r="2211" spans="1:12" ht="15">
      <c r="A2211" s="92" t="s">
        <v>2654</v>
      </c>
      <c r="B2211" s="91" t="s">
        <v>2591</v>
      </c>
      <c r="C2211" s="91">
        <v>3</v>
      </c>
      <c r="D2211" s="114">
        <v>0.005048602277335155</v>
      </c>
      <c r="E2211" s="114">
        <v>2.0170333392987803</v>
      </c>
      <c r="F2211" s="91" t="s">
        <v>2526</v>
      </c>
      <c r="G2211" s="91" t="b">
        <v>0</v>
      </c>
      <c r="H2211" s="91" t="b">
        <v>0</v>
      </c>
      <c r="I2211" s="91" t="b">
        <v>0</v>
      </c>
      <c r="J2211" s="91" t="b">
        <v>0</v>
      </c>
      <c r="K2211" s="91" t="b">
        <v>0</v>
      </c>
      <c r="L2211" s="91" t="b">
        <v>0</v>
      </c>
    </row>
    <row r="2212" spans="1:12" ht="15">
      <c r="A2212" s="92" t="s">
        <v>2591</v>
      </c>
      <c r="B2212" s="91" t="s">
        <v>2648</v>
      </c>
      <c r="C2212" s="91">
        <v>3</v>
      </c>
      <c r="D2212" s="114">
        <v>0.005048602277335155</v>
      </c>
      <c r="E2212" s="114">
        <v>2.0170333392987803</v>
      </c>
      <c r="F2212" s="91" t="s">
        <v>2526</v>
      </c>
      <c r="G2212" s="91" t="b">
        <v>0</v>
      </c>
      <c r="H2212" s="91" t="b">
        <v>0</v>
      </c>
      <c r="I2212" s="91" t="b">
        <v>0</v>
      </c>
      <c r="J2212" s="91" t="b">
        <v>0</v>
      </c>
      <c r="K2212" s="91" t="b">
        <v>0</v>
      </c>
      <c r="L2212" s="91" t="b">
        <v>0</v>
      </c>
    </row>
    <row r="2213" spans="1:12" ht="15">
      <c r="A2213" s="92" t="s">
        <v>2648</v>
      </c>
      <c r="B2213" s="91" t="s">
        <v>2722</v>
      </c>
      <c r="C2213" s="91">
        <v>3</v>
      </c>
      <c r="D2213" s="114">
        <v>0.005048602277335155</v>
      </c>
      <c r="E2213" s="114">
        <v>2.14197207590708</v>
      </c>
      <c r="F2213" s="91" t="s">
        <v>2526</v>
      </c>
      <c r="G2213" s="91" t="b">
        <v>0</v>
      </c>
      <c r="H2213" s="91" t="b">
        <v>0</v>
      </c>
      <c r="I2213" s="91" t="b">
        <v>0</v>
      </c>
      <c r="J2213" s="91" t="b">
        <v>0</v>
      </c>
      <c r="K2213" s="91" t="b">
        <v>0</v>
      </c>
      <c r="L2213" s="91" t="b">
        <v>0</v>
      </c>
    </row>
    <row r="2214" spans="1:12" ht="15">
      <c r="A2214" s="92" t="s">
        <v>2722</v>
      </c>
      <c r="B2214" s="91" t="s">
        <v>2582</v>
      </c>
      <c r="C2214" s="91">
        <v>3</v>
      </c>
      <c r="D2214" s="114">
        <v>0.005048602277335155</v>
      </c>
      <c r="E2214" s="114">
        <v>2.14197207590708</v>
      </c>
      <c r="F2214" s="91" t="s">
        <v>2526</v>
      </c>
      <c r="G2214" s="91" t="b">
        <v>0</v>
      </c>
      <c r="H2214" s="91" t="b">
        <v>0</v>
      </c>
      <c r="I2214" s="91" t="b">
        <v>0</v>
      </c>
      <c r="J2214" s="91" t="b">
        <v>0</v>
      </c>
      <c r="K2214" s="91" t="b">
        <v>0</v>
      </c>
      <c r="L2214" s="91" t="b">
        <v>0</v>
      </c>
    </row>
    <row r="2215" spans="1:12" ht="15">
      <c r="A2215" s="92" t="s">
        <v>2582</v>
      </c>
      <c r="B2215" s="91" t="s">
        <v>2589</v>
      </c>
      <c r="C2215" s="91">
        <v>3</v>
      </c>
      <c r="D2215" s="114">
        <v>0.005048602277335155</v>
      </c>
      <c r="E2215" s="114">
        <v>2.14197207590708</v>
      </c>
      <c r="F2215" s="91" t="s">
        <v>2526</v>
      </c>
      <c r="G2215" s="91" t="b">
        <v>0</v>
      </c>
      <c r="H2215" s="91" t="b">
        <v>0</v>
      </c>
      <c r="I2215" s="91" t="b">
        <v>0</v>
      </c>
      <c r="J2215" s="91" t="b">
        <v>0</v>
      </c>
      <c r="K2215" s="91" t="b">
        <v>0</v>
      </c>
      <c r="L2215" s="91" t="b">
        <v>0</v>
      </c>
    </row>
    <row r="2216" spans="1:12" ht="15">
      <c r="A2216" s="92" t="s">
        <v>2589</v>
      </c>
      <c r="B2216" s="91" t="s">
        <v>2637</v>
      </c>
      <c r="C2216" s="91">
        <v>3</v>
      </c>
      <c r="D2216" s="114">
        <v>0.005048602277335155</v>
      </c>
      <c r="E2216" s="114">
        <v>2.0170333392987803</v>
      </c>
      <c r="F2216" s="91" t="s">
        <v>2526</v>
      </c>
      <c r="G2216" s="91" t="b">
        <v>0</v>
      </c>
      <c r="H2216" s="91" t="b">
        <v>0</v>
      </c>
      <c r="I2216" s="91" t="b">
        <v>0</v>
      </c>
      <c r="J2216" s="91" t="b">
        <v>0</v>
      </c>
      <c r="K2216" s="91" t="b">
        <v>0</v>
      </c>
      <c r="L2216" s="91" t="b">
        <v>0</v>
      </c>
    </row>
    <row r="2217" spans="1:12" ht="15">
      <c r="A2217" s="92" t="s">
        <v>2637</v>
      </c>
      <c r="B2217" s="91" t="s">
        <v>2569</v>
      </c>
      <c r="C2217" s="91">
        <v>3</v>
      </c>
      <c r="D2217" s="114">
        <v>0.005048602277335155</v>
      </c>
      <c r="E2217" s="114">
        <v>1.6190933306267428</v>
      </c>
      <c r="F2217" s="91" t="s">
        <v>2526</v>
      </c>
      <c r="G2217" s="91" t="b">
        <v>0</v>
      </c>
      <c r="H2217" s="91" t="b">
        <v>0</v>
      </c>
      <c r="I2217" s="91" t="b">
        <v>0</v>
      </c>
      <c r="J2217" s="91" t="b">
        <v>0</v>
      </c>
      <c r="K2217" s="91" t="b">
        <v>0</v>
      </c>
      <c r="L2217" s="91" t="b">
        <v>0</v>
      </c>
    </row>
    <row r="2218" spans="1:12" ht="15">
      <c r="A2218" s="92" t="s">
        <v>2569</v>
      </c>
      <c r="B2218" s="91" t="s">
        <v>2723</v>
      </c>
      <c r="C2218" s="91">
        <v>3</v>
      </c>
      <c r="D2218" s="114">
        <v>0.005048602277335155</v>
      </c>
      <c r="E2218" s="114">
        <v>1.5777006454685176</v>
      </c>
      <c r="F2218" s="91" t="s">
        <v>2526</v>
      </c>
      <c r="G2218" s="91" t="b">
        <v>0</v>
      </c>
      <c r="H2218" s="91" t="b">
        <v>0</v>
      </c>
      <c r="I2218" s="91" t="b">
        <v>0</v>
      </c>
      <c r="J2218" s="91" t="b">
        <v>0</v>
      </c>
      <c r="K2218" s="91" t="b">
        <v>0</v>
      </c>
      <c r="L2218" s="91" t="b">
        <v>0</v>
      </c>
    </row>
    <row r="2219" spans="1:12" ht="15">
      <c r="A2219" s="92" t="s">
        <v>2723</v>
      </c>
      <c r="B2219" s="91" t="s">
        <v>2571</v>
      </c>
      <c r="C2219" s="91">
        <v>3</v>
      </c>
      <c r="D2219" s="114">
        <v>0.005048602277335155</v>
      </c>
      <c r="E2219" s="114">
        <v>1.5399120845791179</v>
      </c>
      <c r="F2219" s="91" t="s">
        <v>2526</v>
      </c>
      <c r="G2219" s="91" t="b">
        <v>0</v>
      </c>
      <c r="H2219" s="91" t="b">
        <v>0</v>
      </c>
      <c r="I2219" s="91" t="b">
        <v>0</v>
      </c>
      <c r="J2219" s="91" t="b">
        <v>0</v>
      </c>
      <c r="K2219" s="91" t="b">
        <v>0</v>
      </c>
      <c r="L2219" s="91" t="b">
        <v>0</v>
      </c>
    </row>
    <row r="2220" spans="1:12" ht="15">
      <c r="A2220" s="92" t="s">
        <v>2594</v>
      </c>
      <c r="B2220" s="91" t="s">
        <v>2608</v>
      </c>
      <c r="C2220" s="91">
        <v>3</v>
      </c>
      <c r="D2220" s="114">
        <v>0.005048602277335155</v>
      </c>
      <c r="E2220" s="114">
        <v>1.3558518958521613</v>
      </c>
      <c r="F2220" s="91" t="s">
        <v>2526</v>
      </c>
      <c r="G2220" s="91" t="b">
        <v>0</v>
      </c>
      <c r="H2220" s="91" t="b">
        <v>0</v>
      </c>
      <c r="I2220" s="91" t="b">
        <v>0</v>
      </c>
      <c r="J2220" s="91" t="b">
        <v>0</v>
      </c>
      <c r="K2220" s="91" t="b">
        <v>0</v>
      </c>
      <c r="L2220" s="91" t="b">
        <v>0</v>
      </c>
    </row>
    <row r="2221" spans="1:12" ht="15">
      <c r="A2221" s="92" t="s">
        <v>2594</v>
      </c>
      <c r="B2221" s="91" t="s">
        <v>2573</v>
      </c>
      <c r="C2221" s="91">
        <v>2</v>
      </c>
      <c r="D2221" s="114">
        <v>0.004180972161999738</v>
      </c>
      <c r="E2221" s="114">
        <v>0.7326026054542609</v>
      </c>
      <c r="F2221" s="91" t="s">
        <v>2526</v>
      </c>
      <c r="G2221" s="91" t="b">
        <v>0</v>
      </c>
      <c r="H2221" s="91" t="b">
        <v>0</v>
      </c>
      <c r="I2221" s="91" t="b">
        <v>0</v>
      </c>
      <c r="J2221" s="91" t="b">
        <v>0</v>
      </c>
      <c r="K2221" s="91" t="b">
        <v>0</v>
      </c>
      <c r="L2221" s="91" t="b">
        <v>0</v>
      </c>
    </row>
    <row r="2222" spans="1:12" ht="15">
      <c r="A2222" s="92" t="s">
        <v>2573</v>
      </c>
      <c r="B2222" s="91" t="s">
        <v>2583</v>
      </c>
      <c r="C2222" s="91">
        <v>2</v>
      </c>
      <c r="D2222" s="114">
        <v>0.004180972161999738</v>
      </c>
      <c r="E2222" s="114">
        <v>1.075025286276467</v>
      </c>
      <c r="F2222" s="91" t="s">
        <v>2526</v>
      </c>
      <c r="G2222" s="91" t="b">
        <v>0</v>
      </c>
      <c r="H2222" s="91" t="b">
        <v>0</v>
      </c>
      <c r="I2222" s="91" t="b">
        <v>0</v>
      </c>
      <c r="J2222" s="91" t="b">
        <v>0</v>
      </c>
      <c r="K2222" s="91" t="b">
        <v>0</v>
      </c>
      <c r="L2222" s="91" t="b">
        <v>0</v>
      </c>
    </row>
    <row r="2223" spans="1:12" ht="15">
      <c r="A2223" s="92" t="s">
        <v>2578</v>
      </c>
      <c r="B2223" s="91" t="s">
        <v>2610</v>
      </c>
      <c r="C2223" s="91">
        <v>2</v>
      </c>
      <c r="D2223" s="114">
        <v>0.004180972161999738</v>
      </c>
      <c r="E2223" s="114">
        <v>1.6648508211874178</v>
      </c>
      <c r="F2223" s="91" t="s">
        <v>2526</v>
      </c>
      <c r="G2223" s="91" t="b">
        <v>0</v>
      </c>
      <c r="H2223" s="91" t="b">
        <v>0</v>
      </c>
      <c r="I2223" s="91" t="b">
        <v>0</v>
      </c>
      <c r="J2223" s="91" t="b">
        <v>0</v>
      </c>
      <c r="K2223" s="91" t="b">
        <v>0</v>
      </c>
      <c r="L2223" s="91" t="b">
        <v>0</v>
      </c>
    </row>
    <row r="2224" spans="1:12" ht="15">
      <c r="A2224" s="92" t="s">
        <v>2610</v>
      </c>
      <c r="B2224" s="91" t="s">
        <v>2936</v>
      </c>
      <c r="C2224" s="91">
        <v>2</v>
      </c>
      <c r="D2224" s="114">
        <v>0.004180972161999738</v>
      </c>
      <c r="E2224" s="114">
        <v>2.3180633349627615</v>
      </c>
      <c r="F2224" s="91" t="s">
        <v>2526</v>
      </c>
      <c r="G2224" s="91" t="b">
        <v>0</v>
      </c>
      <c r="H2224" s="91" t="b">
        <v>0</v>
      </c>
      <c r="I2224" s="91" t="b">
        <v>0</v>
      </c>
      <c r="J2224" s="91" t="b">
        <v>0</v>
      </c>
      <c r="K2224" s="91" t="b">
        <v>0</v>
      </c>
      <c r="L2224" s="91" t="b">
        <v>0</v>
      </c>
    </row>
    <row r="2225" spans="1:12" ht="15">
      <c r="A2225" s="92" t="s">
        <v>2936</v>
      </c>
      <c r="B2225" s="91" t="s">
        <v>2937</v>
      </c>
      <c r="C2225" s="91">
        <v>2</v>
      </c>
      <c r="D2225" s="114">
        <v>0.004180972161999738</v>
      </c>
      <c r="E2225" s="114">
        <v>2.3180633349627615</v>
      </c>
      <c r="F2225" s="91" t="s">
        <v>2526</v>
      </c>
      <c r="G2225" s="91" t="b">
        <v>0</v>
      </c>
      <c r="H2225" s="91" t="b">
        <v>0</v>
      </c>
      <c r="I2225" s="91" t="b">
        <v>0</v>
      </c>
      <c r="J2225" s="91" t="b">
        <v>0</v>
      </c>
      <c r="K2225" s="91" t="b">
        <v>0</v>
      </c>
      <c r="L2225" s="91" t="b">
        <v>0</v>
      </c>
    </row>
    <row r="2226" spans="1:12" ht="15">
      <c r="A2226" s="92" t="s">
        <v>2937</v>
      </c>
      <c r="B2226" s="91" t="s">
        <v>2576</v>
      </c>
      <c r="C2226" s="91">
        <v>2</v>
      </c>
      <c r="D2226" s="114">
        <v>0.004180972161999738</v>
      </c>
      <c r="E2226" s="114">
        <v>2.14197207590708</v>
      </c>
      <c r="F2226" s="91" t="s">
        <v>2526</v>
      </c>
      <c r="G2226" s="91" t="b">
        <v>0</v>
      </c>
      <c r="H2226" s="91" t="b">
        <v>0</v>
      </c>
      <c r="I2226" s="91" t="b">
        <v>0</v>
      </c>
      <c r="J2226" s="91" t="b">
        <v>0</v>
      </c>
      <c r="K2226" s="91" t="b">
        <v>0</v>
      </c>
      <c r="L2226" s="91" t="b">
        <v>0</v>
      </c>
    </row>
    <row r="2227" spans="1:12" ht="15">
      <c r="A2227" s="92" t="s">
        <v>2576</v>
      </c>
      <c r="B2227" s="91" t="s">
        <v>2938</v>
      </c>
      <c r="C2227" s="91">
        <v>2</v>
      </c>
      <c r="D2227" s="114">
        <v>0.004180972161999738</v>
      </c>
      <c r="E2227" s="114">
        <v>2.14197207590708</v>
      </c>
      <c r="F2227" s="91" t="s">
        <v>2526</v>
      </c>
      <c r="G2227" s="91" t="b">
        <v>0</v>
      </c>
      <c r="H2227" s="91" t="b">
        <v>0</v>
      </c>
      <c r="I2227" s="91" t="b">
        <v>0</v>
      </c>
      <c r="J2227" s="91" t="b">
        <v>0</v>
      </c>
      <c r="K2227" s="91" t="b">
        <v>0</v>
      </c>
      <c r="L2227" s="91" t="b">
        <v>0</v>
      </c>
    </row>
    <row r="2228" spans="1:12" ht="15">
      <c r="A2228" s="92" t="s">
        <v>2938</v>
      </c>
      <c r="B2228" s="91" t="s">
        <v>2569</v>
      </c>
      <c r="C2228" s="91">
        <v>2</v>
      </c>
      <c r="D2228" s="114">
        <v>0.004180972161999738</v>
      </c>
      <c r="E2228" s="114">
        <v>1.6190933306267428</v>
      </c>
      <c r="F2228" s="91" t="s">
        <v>2526</v>
      </c>
      <c r="G2228" s="91" t="b">
        <v>0</v>
      </c>
      <c r="H2228" s="91" t="b">
        <v>0</v>
      </c>
      <c r="I2228" s="91" t="b">
        <v>0</v>
      </c>
      <c r="J2228" s="91" t="b">
        <v>0</v>
      </c>
      <c r="K2228" s="91" t="b">
        <v>0</v>
      </c>
      <c r="L2228" s="91" t="b">
        <v>0</v>
      </c>
    </row>
    <row r="2229" spans="1:12" ht="15">
      <c r="A2229" s="92" t="s">
        <v>2572</v>
      </c>
      <c r="B2229" s="91" t="s">
        <v>2939</v>
      </c>
      <c r="C2229" s="91">
        <v>2</v>
      </c>
      <c r="D2229" s="114">
        <v>0.004180972161999738</v>
      </c>
      <c r="E2229" s="114">
        <v>1.7160033436347992</v>
      </c>
      <c r="F2229" s="91" t="s">
        <v>2526</v>
      </c>
      <c r="G2229" s="91" t="b">
        <v>0</v>
      </c>
      <c r="H2229" s="91" t="b">
        <v>0</v>
      </c>
      <c r="I2229" s="91" t="b">
        <v>0</v>
      </c>
      <c r="J2229" s="91" t="b">
        <v>0</v>
      </c>
      <c r="K2229" s="91" t="b">
        <v>0</v>
      </c>
      <c r="L2229" s="91" t="b">
        <v>0</v>
      </c>
    </row>
    <row r="2230" spans="1:12" ht="15">
      <c r="A2230" s="92" t="s">
        <v>2939</v>
      </c>
      <c r="B2230" s="91" t="s">
        <v>2580</v>
      </c>
      <c r="C2230" s="91">
        <v>2</v>
      </c>
      <c r="D2230" s="114">
        <v>0.004180972161999738</v>
      </c>
      <c r="E2230" s="114">
        <v>1.8409420802430991</v>
      </c>
      <c r="F2230" s="91" t="s">
        <v>2526</v>
      </c>
      <c r="G2230" s="91" t="b">
        <v>0</v>
      </c>
      <c r="H2230" s="91" t="b">
        <v>0</v>
      </c>
      <c r="I2230" s="91" t="b">
        <v>0</v>
      </c>
      <c r="J2230" s="91" t="b">
        <v>0</v>
      </c>
      <c r="K2230" s="91" t="b">
        <v>0</v>
      </c>
      <c r="L2230" s="91" t="b">
        <v>0</v>
      </c>
    </row>
    <row r="2231" spans="1:12" ht="15">
      <c r="A2231" s="92" t="s">
        <v>2580</v>
      </c>
      <c r="B2231" s="91" t="s">
        <v>2848</v>
      </c>
      <c r="C2231" s="91">
        <v>2</v>
      </c>
      <c r="D2231" s="114">
        <v>0.004180972161999738</v>
      </c>
      <c r="E2231" s="114">
        <v>1.8409420802430991</v>
      </c>
      <c r="F2231" s="91" t="s">
        <v>2526</v>
      </c>
      <c r="G2231" s="91" t="b">
        <v>0</v>
      </c>
      <c r="H2231" s="91" t="b">
        <v>0</v>
      </c>
      <c r="I2231" s="91" t="b">
        <v>0</v>
      </c>
      <c r="J2231" s="91" t="b">
        <v>0</v>
      </c>
      <c r="K2231" s="91" t="b">
        <v>0</v>
      </c>
      <c r="L2231" s="91" t="b">
        <v>0</v>
      </c>
    </row>
    <row r="2232" spans="1:12" ht="15">
      <c r="A2232" s="92" t="s">
        <v>2848</v>
      </c>
      <c r="B2232" s="91" t="s">
        <v>2849</v>
      </c>
      <c r="C2232" s="91">
        <v>2</v>
      </c>
      <c r="D2232" s="114">
        <v>0.004180972161999738</v>
      </c>
      <c r="E2232" s="114">
        <v>2.3180633349627615</v>
      </c>
      <c r="F2232" s="91" t="s">
        <v>2526</v>
      </c>
      <c r="G2232" s="91" t="b">
        <v>0</v>
      </c>
      <c r="H2232" s="91" t="b">
        <v>0</v>
      </c>
      <c r="I2232" s="91" t="b">
        <v>0</v>
      </c>
      <c r="J2232" s="91" t="b">
        <v>0</v>
      </c>
      <c r="K2232" s="91" t="b">
        <v>0</v>
      </c>
      <c r="L2232" s="91" t="b">
        <v>0</v>
      </c>
    </row>
    <row r="2233" spans="1:12" ht="15">
      <c r="A2233" s="92" t="s">
        <v>2849</v>
      </c>
      <c r="B2233" s="91" t="s">
        <v>2850</v>
      </c>
      <c r="C2233" s="91">
        <v>2</v>
      </c>
      <c r="D2233" s="114">
        <v>0.004180972161999738</v>
      </c>
      <c r="E2233" s="114">
        <v>2.3180633349627615</v>
      </c>
      <c r="F2233" s="91" t="s">
        <v>2526</v>
      </c>
      <c r="G2233" s="91" t="b">
        <v>0</v>
      </c>
      <c r="H2233" s="91" t="b">
        <v>0</v>
      </c>
      <c r="I2233" s="91" t="b">
        <v>0</v>
      </c>
      <c r="J2233" s="91" t="b">
        <v>0</v>
      </c>
      <c r="K2233" s="91" t="b">
        <v>0</v>
      </c>
      <c r="L2233" s="91" t="b">
        <v>0</v>
      </c>
    </row>
    <row r="2234" spans="1:12" ht="15">
      <c r="A2234" s="92" t="s">
        <v>2850</v>
      </c>
      <c r="B2234" s="91" t="s">
        <v>2940</v>
      </c>
      <c r="C2234" s="91">
        <v>2</v>
      </c>
      <c r="D2234" s="114">
        <v>0.004180972161999738</v>
      </c>
      <c r="E2234" s="114">
        <v>2.3180633349627615</v>
      </c>
      <c r="F2234" s="91" t="s">
        <v>2526</v>
      </c>
      <c r="G2234" s="91" t="b">
        <v>0</v>
      </c>
      <c r="H2234" s="91" t="b">
        <v>0</v>
      </c>
      <c r="I2234" s="91" t="b">
        <v>0</v>
      </c>
      <c r="J2234" s="91" t="b">
        <v>0</v>
      </c>
      <c r="K2234" s="91" t="b">
        <v>0</v>
      </c>
      <c r="L2234" s="91" t="b">
        <v>0</v>
      </c>
    </row>
    <row r="2235" spans="1:12" ht="15">
      <c r="A2235" s="92" t="s">
        <v>2940</v>
      </c>
      <c r="B2235" s="91" t="s">
        <v>2571</v>
      </c>
      <c r="C2235" s="91">
        <v>2</v>
      </c>
      <c r="D2235" s="114">
        <v>0.004180972161999738</v>
      </c>
      <c r="E2235" s="114">
        <v>1.5399120845791179</v>
      </c>
      <c r="F2235" s="91" t="s">
        <v>2526</v>
      </c>
      <c r="G2235" s="91" t="b">
        <v>0</v>
      </c>
      <c r="H2235" s="91" t="b">
        <v>0</v>
      </c>
      <c r="I2235" s="91" t="b">
        <v>0</v>
      </c>
      <c r="J2235" s="91" t="b">
        <v>0</v>
      </c>
      <c r="K2235" s="91" t="b">
        <v>0</v>
      </c>
      <c r="L2235" s="91" t="b">
        <v>0</v>
      </c>
    </row>
    <row r="2236" spans="1:12" ht="15">
      <c r="A2236" s="92" t="s">
        <v>2622</v>
      </c>
      <c r="B2236" s="91" t="s">
        <v>2564</v>
      </c>
      <c r="C2236" s="91">
        <v>2</v>
      </c>
      <c r="D2236" s="114">
        <v>0.004180972161999738</v>
      </c>
      <c r="E2236" s="114">
        <v>0.8709053036205423</v>
      </c>
      <c r="F2236" s="91" t="s">
        <v>2526</v>
      </c>
      <c r="G2236" s="91" t="b">
        <v>0</v>
      </c>
      <c r="H2236" s="91" t="b">
        <v>0</v>
      </c>
      <c r="I2236" s="91" t="b">
        <v>0</v>
      </c>
      <c r="J2236" s="91" t="b">
        <v>0</v>
      </c>
      <c r="K2236" s="91" t="b">
        <v>0</v>
      </c>
      <c r="L2236" s="91" t="b">
        <v>0</v>
      </c>
    </row>
    <row r="2237" spans="1:12" ht="15">
      <c r="A2237" s="92" t="s">
        <v>2609</v>
      </c>
      <c r="B2237" s="91" t="s">
        <v>2585</v>
      </c>
      <c r="C2237" s="91">
        <v>2</v>
      </c>
      <c r="D2237" s="114">
        <v>0.004180972161999738</v>
      </c>
      <c r="E2237" s="114">
        <v>1.7160033436347992</v>
      </c>
      <c r="F2237" s="91" t="s">
        <v>2526</v>
      </c>
      <c r="G2237" s="91" t="b">
        <v>0</v>
      </c>
      <c r="H2237" s="91" t="b">
        <v>0</v>
      </c>
      <c r="I2237" s="91" t="b">
        <v>0</v>
      </c>
      <c r="J2237" s="91" t="b">
        <v>0</v>
      </c>
      <c r="K2237" s="91" t="b">
        <v>0</v>
      </c>
      <c r="L2237" s="91" t="b">
        <v>0</v>
      </c>
    </row>
    <row r="2238" spans="1:12" ht="15">
      <c r="A2238" s="92" t="s">
        <v>2585</v>
      </c>
      <c r="B2238" s="91" t="s">
        <v>2566</v>
      </c>
      <c r="C2238" s="91">
        <v>2</v>
      </c>
      <c r="D2238" s="114">
        <v>0.004180972161999738</v>
      </c>
      <c r="E2238" s="114">
        <v>1.7739952906124858</v>
      </c>
      <c r="F2238" s="91" t="s">
        <v>2526</v>
      </c>
      <c r="G2238" s="91" t="b">
        <v>0</v>
      </c>
      <c r="H2238" s="91" t="b">
        <v>0</v>
      </c>
      <c r="I2238" s="91" t="b">
        <v>0</v>
      </c>
      <c r="J2238" s="91" t="b">
        <v>0</v>
      </c>
      <c r="K2238" s="91" t="b">
        <v>0</v>
      </c>
      <c r="L2238" s="91" t="b">
        <v>0</v>
      </c>
    </row>
    <row r="2239" spans="1:12" ht="15">
      <c r="A2239" s="92" t="s">
        <v>2584</v>
      </c>
      <c r="B2239" s="91" t="s">
        <v>2770</v>
      </c>
      <c r="C2239" s="91">
        <v>2</v>
      </c>
      <c r="D2239" s="114">
        <v>0.004180972161999738</v>
      </c>
      <c r="E2239" s="114">
        <v>1.8409420802430991</v>
      </c>
      <c r="F2239" s="91" t="s">
        <v>2526</v>
      </c>
      <c r="G2239" s="91" t="b">
        <v>0</v>
      </c>
      <c r="H2239" s="91" t="b">
        <v>0</v>
      </c>
      <c r="I2239" s="91" t="b">
        <v>0</v>
      </c>
      <c r="J2239" s="91" t="b">
        <v>0</v>
      </c>
      <c r="K2239" s="91" t="b">
        <v>0</v>
      </c>
      <c r="L2239" s="91" t="b">
        <v>0</v>
      </c>
    </row>
    <row r="2240" spans="1:12" ht="15">
      <c r="A2240" s="92" t="s">
        <v>2770</v>
      </c>
      <c r="B2240" s="91" t="s">
        <v>2588</v>
      </c>
      <c r="C2240" s="91">
        <v>2</v>
      </c>
      <c r="D2240" s="114">
        <v>0.004180972161999738</v>
      </c>
      <c r="E2240" s="114">
        <v>1.5399120845791179</v>
      </c>
      <c r="F2240" s="91" t="s">
        <v>2526</v>
      </c>
      <c r="G2240" s="91" t="b">
        <v>0</v>
      </c>
      <c r="H2240" s="91" t="b">
        <v>0</v>
      </c>
      <c r="I2240" s="91" t="b">
        <v>0</v>
      </c>
      <c r="J2240" s="91" t="b">
        <v>0</v>
      </c>
      <c r="K2240" s="91" t="b">
        <v>0</v>
      </c>
      <c r="L2240" s="91" t="b">
        <v>0</v>
      </c>
    </row>
    <row r="2241" spans="1:12" ht="15">
      <c r="A2241" s="92" t="s">
        <v>2588</v>
      </c>
      <c r="B2241" s="91" t="s">
        <v>2579</v>
      </c>
      <c r="C2241" s="91">
        <v>2</v>
      </c>
      <c r="D2241" s="114">
        <v>0.004180972161999738</v>
      </c>
      <c r="E2241" s="114">
        <v>0.7617608341954742</v>
      </c>
      <c r="F2241" s="91" t="s">
        <v>2526</v>
      </c>
      <c r="G2241" s="91" t="b">
        <v>0</v>
      </c>
      <c r="H2241" s="91" t="b">
        <v>0</v>
      </c>
      <c r="I2241" s="91" t="b">
        <v>0</v>
      </c>
      <c r="J2241" s="91" t="b">
        <v>0</v>
      </c>
      <c r="K2241" s="91" t="b">
        <v>0</v>
      </c>
      <c r="L2241" s="91" t="b">
        <v>0</v>
      </c>
    </row>
    <row r="2242" spans="1:12" ht="15">
      <c r="A2242" s="92" t="s">
        <v>2575</v>
      </c>
      <c r="B2242" s="91" t="s">
        <v>2573</v>
      </c>
      <c r="C2242" s="91">
        <v>2</v>
      </c>
      <c r="D2242" s="114">
        <v>0.004180972161999738</v>
      </c>
      <c r="E2242" s="114">
        <v>0.9958440402288423</v>
      </c>
      <c r="F2242" s="91" t="s">
        <v>2526</v>
      </c>
      <c r="G2242" s="91" t="b">
        <v>0</v>
      </c>
      <c r="H2242" s="91" t="b">
        <v>0</v>
      </c>
      <c r="I2242" s="91" t="b">
        <v>0</v>
      </c>
      <c r="J2242" s="91" t="b">
        <v>0</v>
      </c>
      <c r="K2242" s="91" t="b">
        <v>0</v>
      </c>
      <c r="L2242" s="91" t="b">
        <v>0</v>
      </c>
    </row>
    <row r="2243" spans="1:12" ht="15">
      <c r="A2243" s="92" t="s">
        <v>2594</v>
      </c>
      <c r="B2243" s="91" t="s">
        <v>2567</v>
      </c>
      <c r="C2243" s="91">
        <v>2</v>
      </c>
      <c r="D2243" s="114">
        <v>0.004180972161999738</v>
      </c>
      <c r="E2243" s="114">
        <v>0.9756406541405553</v>
      </c>
      <c r="F2243" s="91" t="s">
        <v>2526</v>
      </c>
      <c r="G2243" s="91" t="b">
        <v>0</v>
      </c>
      <c r="H2243" s="91" t="b">
        <v>0</v>
      </c>
      <c r="I2243" s="91" t="b">
        <v>0</v>
      </c>
      <c r="J2243" s="91" t="b">
        <v>0</v>
      </c>
      <c r="K2243" s="91" t="b">
        <v>0</v>
      </c>
      <c r="L2243" s="91" t="b">
        <v>0</v>
      </c>
    </row>
    <row r="2244" spans="1:12" ht="15">
      <c r="A2244" s="92" t="s">
        <v>2779</v>
      </c>
      <c r="B2244" s="91" t="s">
        <v>394</v>
      </c>
      <c r="C2244" s="91">
        <v>2</v>
      </c>
      <c r="D2244" s="114">
        <v>0.004180972161999738</v>
      </c>
      <c r="E2244" s="114">
        <v>2.0170333392987803</v>
      </c>
      <c r="F2244" s="91" t="s">
        <v>2526</v>
      </c>
      <c r="G2244" s="91" t="b">
        <v>0</v>
      </c>
      <c r="H2244" s="91" t="b">
        <v>0</v>
      </c>
      <c r="I2244" s="91" t="b">
        <v>0</v>
      </c>
      <c r="J2244" s="91" t="b">
        <v>0</v>
      </c>
      <c r="K2244" s="91" t="b">
        <v>0</v>
      </c>
      <c r="L2244" s="91" t="b">
        <v>0</v>
      </c>
    </row>
    <row r="2245" spans="1:12" ht="15">
      <c r="A2245" s="92" t="s">
        <v>394</v>
      </c>
      <c r="B2245" s="91" t="s">
        <v>2779</v>
      </c>
      <c r="C2245" s="91">
        <v>2</v>
      </c>
      <c r="D2245" s="114">
        <v>0.004180972161999738</v>
      </c>
      <c r="E2245" s="114">
        <v>2.3180633349627615</v>
      </c>
      <c r="F2245" s="91" t="s">
        <v>2526</v>
      </c>
      <c r="G2245" s="91" t="b">
        <v>0</v>
      </c>
      <c r="H2245" s="91" t="b">
        <v>0</v>
      </c>
      <c r="I2245" s="91" t="b">
        <v>0</v>
      </c>
      <c r="J2245" s="91" t="b">
        <v>0</v>
      </c>
      <c r="K2245" s="91" t="b">
        <v>0</v>
      </c>
      <c r="L2245" s="91" t="b">
        <v>0</v>
      </c>
    </row>
    <row r="2246" spans="1:12" ht="15">
      <c r="A2246" s="92" t="s">
        <v>2779</v>
      </c>
      <c r="B2246" s="91" t="s">
        <v>415</v>
      </c>
      <c r="C2246" s="91">
        <v>2</v>
      </c>
      <c r="D2246" s="114">
        <v>0.004180972161999738</v>
      </c>
      <c r="E2246" s="114">
        <v>2.0170333392987803</v>
      </c>
      <c r="F2246" s="91" t="s">
        <v>2526</v>
      </c>
      <c r="G2246" s="91" t="b">
        <v>0</v>
      </c>
      <c r="H2246" s="91" t="b">
        <v>0</v>
      </c>
      <c r="I2246" s="91" t="b">
        <v>0</v>
      </c>
      <c r="J2246" s="91" t="b">
        <v>0</v>
      </c>
      <c r="K2246" s="91" t="b">
        <v>0</v>
      </c>
      <c r="L2246" s="91" t="b">
        <v>0</v>
      </c>
    </row>
    <row r="2247" spans="1:12" ht="15">
      <c r="A2247" s="92" t="s">
        <v>415</v>
      </c>
      <c r="B2247" s="91" t="s">
        <v>2578</v>
      </c>
      <c r="C2247" s="91">
        <v>2</v>
      </c>
      <c r="D2247" s="114">
        <v>0.004180972161999738</v>
      </c>
      <c r="E2247" s="114">
        <v>1.920123326290724</v>
      </c>
      <c r="F2247" s="91" t="s">
        <v>2526</v>
      </c>
      <c r="G2247" s="91" t="b">
        <v>0</v>
      </c>
      <c r="H2247" s="91" t="b">
        <v>0</v>
      </c>
      <c r="I2247" s="91" t="b">
        <v>0</v>
      </c>
      <c r="J2247" s="91" t="b">
        <v>0</v>
      </c>
      <c r="K2247" s="91" t="b">
        <v>0</v>
      </c>
      <c r="L2247" s="91" t="b">
        <v>0</v>
      </c>
    </row>
    <row r="2248" spans="1:12" ht="15">
      <c r="A2248" s="92" t="s">
        <v>2594</v>
      </c>
      <c r="B2248" s="91" t="s">
        <v>3023</v>
      </c>
      <c r="C2248" s="91">
        <v>2</v>
      </c>
      <c r="D2248" s="114">
        <v>0.004180972161999738</v>
      </c>
      <c r="E2248" s="114">
        <v>1.5777006454685176</v>
      </c>
      <c r="F2248" s="91" t="s">
        <v>2526</v>
      </c>
      <c r="G2248" s="91" t="b">
        <v>0</v>
      </c>
      <c r="H2248" s="91" t="b">
        <v>0</v>
      </c>
      <c r="I2248" s="91" t="b">
        <v>0</v>
      </c>
      <c r="J2248" s="91" t="b">
        <v>0</v>
      </c>
      <c r="K2248" s="91" t="b">
        <v>0</v>
      </c>
      <c r="L2248" s="91" t="b">
        <v>0</v>
      </c>
    </row>
    <row r="2249" spans="1:12" ht="15">
      <c r="A2249" s="92" t="s">
        <v>2594</v>
      </c>
      <c r="B2249" s="91" t="s">
        <v>2583</v>
      </c>
      <c r="C2249" s="91">
        <v>2</v>
      </c>
      <c r="D2249" s="114">
        <v>0.004180972161999738</v>
      </c>
      <c r="E2249" s="114">
        <v>1.1797606367964801</v>
      </c>
      <c r="F2249" s="91" t="s">
        <v>2526</v>
      </c>
      <c r="G2249" s="91" t="b">
        <v>0</v>
      </c>
      <c r="H2249" s="91" t="b">
        <v>0</v>
      </c>
      <c r="I2249" s="91" t="b">
        <v>0</v>
      </c>
      <c r="J2249" s="91" t="b">
        <v>0</v>
      </c>
      <c r="K2249" s="91" t="b">
        <v>0</v>
      </c>
      <c r="L2249" s="91" t="b">
        <v>0</v>
      </c>
    </row>
    <row r="2250" spans="1:12" ht="15">
      <c r="A2250" s="92" t="s">
        <v>2860</v>
      </c>
      <c r="B2250" s="91" t="s">
        <v>2861</v>
      </c>
      <c r="C2250" s="91">
        <v>4</v>
      </c>
      <c r="D2250" s="114">
        <v>0</v>
      </c>
      <c r="E2250" s="114">
        <v>1.5185139398778875</v>
      </c>
      <c r="F2250" s="91" t="s">
        <v>2527</v>
      </c>
      <c r="G2250" s="91" t="b">
        <v>0</v>
      </c>
      <c r="H2250" s="91" t="b">
        <v>0</v>
      </c>
      <c r="I2250" s="91" t="b">
        <v>0</v>
      </c>
      <c r="J2250" s="91" t="b">
        <v>0</v>
      </c>
      <c r="K2250" s="91" t="b">
        <v>0</v>
      </c>
      <c r="L2250" s="91" t="b">
        <v>0</v>
      </c>
    </row>
    <row r="2251" spans="1:12" ht="15">
      <c r="A2251" s="92" t="s">
        <v>2861</v>
      </c>
      <c r="B2251" s="91" t="s">
        <v>2582</v>
      </c>
      <c r="C2251" s="91">
        <v>4</v>
      </c>
      <c r="D2251" s="114">
        <v>0</v>
      </c>
      <c r="E2251" s="114">
        <v>1.2174839442139063</v>
      </c>
      <c r="F2251" s="91" t="s">
        <v>2527</v>
      </c>
      <c r="G2251" s="91" t="b">
        <v>0</v>
      </c>
      <c r="H2251" s="91" t="b">
        <v>0</v>
      </c>
      <c r="I2251" s="91" t="b">
        <v>0</v>
      </c>
      <c r="J2251" s="91" t="b">
        <v>0</v>
      </c>
      <c r="K2251" s="91" t="b">
        <v>0</v>
      </c>
      <c r="L2251" s="91" t="b">
        <v>0</v>
      </c>
    </row>
    <row r="2252" spans="1:12" ht="15">
      <c r="A2252" s="92" t="s">
        <v>2582</v>
      </c>
      <c r="B2252" s="91" t="s">
        <v>2862</v>
      </c>
      <c r="C2252" s="91">
        <v>4</v>
      </c>
      <c r="D2252" s="114">
        <v>0</v>
      </c>
      <c r="E2252" s="114">
        <v>1.2174839442139063</v>
      </c>
      <c r="F2252" s="91" t="s">
        <v>2527</v>
      </c>
      <c r="G2252" s="91" t="b">
        <v>0</v>
      </c>
      <c r="H2252" s="91" t="b">
        <v>0</v>
      </c>
      <c r="I2252" s="91" t="b">
        <v>0</v>
      </c>
      <c r="J2252" s="91" t="b">
        <v>0</v>
      </c>
      <c r="K2252" s="91" t="b">
        <v>0</v>
      </c>
      <c r="L2252" s="91" t="b">
        <v>0</v>
      </c>
    </row>
    <row r="2253" spans="1:12" ht="15">
      <c r="A2253" s="92" t="s">
        <v>2862</v>
      </c>
      <c r="B2253" s="91" t="s">
        <v>2736</v>
      </c>
      <c r="C2253" s="91">
        <v>4</v>
      </c>
      <c r="D2253" s="114">
        <v>0</v>
      </c>
      <c r="E2253" s="114">
        <v>1.5185139398778875</v>
      </c>
      <c r="F2253" s="91" t="s">
        <v>2527</v>
      </c>
      <c r="G2253" s="91" t="b">
        <v>0</v>
      </c>
      <c r="H2253" s="91" t="b">
        <v>0</v>
      </c>
      <c r="I2253" s="91" t="b">
        <v>0</v>
      </c>
      <c r="J2253" s="91" t="b">
        <v>0</v>
      </c>
      <c r="K2253" s="91" t="b">
        <v>0</v>
      </c>
      <c r="L2253" s="91" t="b">
        <v>0</v>
      </c>
    </row>
    <row r="2254" spans="1:12" ht="15">
      <c r="A2254" s="92" t="s">
        <v>2736</v>
      </c>
      <c r="B2254" s="91" t="s">
        <v>2587</v>
      </c>
      <c r="C2254" s="91">
        <v>4</v>
      </c>
      <c r="D2254" s="114">
        <v>0</v>
      </c>
      <c r="E2254" s="114">
        <v>1.5185139398778875</v>
      </c>
      <c r="F2254" s="91" t="s">
        <v>2527</v>
      </c>
      <c r="G2254" s="91" t="b">
        <v>0</v>
      </c>
      <c r="H2254" s="91" t="b">
        <v>0</v>
      </c>
      <c r="I2254" s="91" t="b">
        <v>0</v>
      </c>
      <c r="J2254" s="91" t="b">
        <v>0</v>
      </c>
      <c r="K2254" s="91" t="b">
        <v>0</v>
      </c>
      <c r="L2254" s="91" t="b">
        <v>0</v>
      </c>
    </row>
    <row r="2255" spans="1:12" ht="15">
      <c r="A2255" s="92" t="s">
        <v>2587</v>
      </c>
      <c r="B2255" s="91" t="s">
        <v>2719</v>
      </c>
      <c r="C2255" s="91">
        <v>4</v>
      </c>
      <c r="D2255" s="114">
        <v>0</v>
      </c>
      <c r="E2255" s="114">
        <v>1.5185139398778875</v>
      </c>
      <c r="F2255" s="91" t="s">
        <v>2527</v>
      </c>
      <c r="G2255" s="91" t="b">
        <v>0</v>
      </c>
      <c r="H2255" s="91" t="b">
        <v>0</v>
      </c>
      <c r="I2255" s="91" t="b">
        <v>0</v>
      </c>
      <c r="J2255" s="91" t="b">
        <v>0</v>
      </c>
      <c r="K2255" s="91" t="b">
        <v>0</v>
      </c>
      <c r="L2255" s="91" t="b">
        <v>0</v>
      </c>
    </row>
    <row r="2256" spans="1:12" ht="15">
      <c r="A2256" s="92" t="s">
        <v>2719</v>
      </c>
      <c r="B2256" s="91" t="s">
        <v>2648</v>
      </c>
      <c r="C2256" s="91">
        <v>4</v>
      </c>
      <c r="D2256" s="114">
        <v>0</v>
      </c>
      <c r="E2256" s="114">
        <v>1.5185139398778875</v>
      </c>
      <c r="F2256" s="91" t="s">
        <v>2527</v>
      </c>
      <c r="G2256" s="91" t="b">
        <v>0</v>
      </c>
      <c r="H2256" s="91" t="b">
        <v>0</v>
      </c>
      <c r="I2256" s="91" t="b">
        <v>0</v>
      </c>
      <c r="J2256" s="91" t="b">
        <v>0</v>
      </c>
      <c r="K2256" s="91" t="b">
        <v>0</v>
      </c>
      <c r="L2256" s="91" t="b">
        <v>0</v>
      </c>
    </row>
    <row r="2257" spans="1:12" ht="15">
      <c r="A2257" s="92" t="s">
        <v>2648</v>
      </c>
      <c r="B2257" s="91" t="s">
        <v>2831</v>
      </c>
      <c r="C2257" s="91">
        <v>4</v>
      </c>
      <c r="D2257" s="114">
        <v>0</v>
      </c>
      <c r="E2257" s="114">
        <v>1.5185139398778875</v>
      </c>
      <c r="F2257" s="91" t="s">
        <v>2527</v>
      </c>
      <c r="G2257" s="91" t="b">
        <v>0</v>
      </c>
      <c r="H2257" s="91" t="b">
        <v>0</v>
      </c>
      <c r="I2257" s="91" t="b">
        <v>0</v>
      </c>
      <c r="J2257" s="91" t="b">
        <v>0</v>
      </c>
      <c r="K2257" s="91" t="b">
        <v>0</v>
      </c>
      <c r="L2257" s="91" t="b">
        <v>0</v>
      </c>
    </row>
    <row r="2258" spans="1:12" ht="15">
      <c r="A2258" s="92" t="s">
        <v>2831</v>
      </c>
      <c r="B2258" s="91" t="s">
        <v>2636</v>
      </c>
      <c r="C2258" s="91">
        <v>4</v>
      </c>
      <c r="D2258" s="114">
        <v>0</v>
      </c>
      <c r="E2258" s="114">
        <v>1.5185139398778875</v>
      </c>
      <c r="F2258" s="91" t="s">
        <v>2527</v>
      </c>
      <c r="G2258" s="91" t="b">
        <v>0</v>
      </c>
      <c r="H2258" s="91" t="b">
        <v>0</v>
      </c>
      <c r="I2258" s="91" t="b">
        <v>0</v>
      </c>
      <c r="J2258" s="91" t="b">
        <v>0</v>
      </c>
      <c r="K2258" s="91" t="b">
        <v>0</v>
      </c>
      <c r="L2258" s="91" t="b">
        <v>0</v>
      </c>
    </row>
    <row r="2259" spans="1:12" ht="15">
      <c r="A2259" s="92" t="s">
        <v>2636</v>
      </c>
      <c r="B2259" s="91" t="s">
        <v>2863</v>
      </c>
      <c r="C2259" s="91">
        <v>4</v>
      </c>
      <c r="D2259" s="114">
        <v>0</v>
      </c>
      <c r="E2259" s="114">
        <v>1.5185139398778875</v>
      </c>
      <c r="F2259" s="91" t="s">
        <v>2527</v>
      </c>
      <c r="G2259" s="91" t="b">
        <v>0</v>
      </c>
      <c r="H2259" s="91" t="b">
        <v>0</v>
      </c>
      <c r="I2259" s="91" t="b">
        <v>0</v>
      </c>
      <c r="J2259" s="91" t="b">
        <v>0</v>
      </c>
      <c r="K2259" s="91" t="b">
        <v>0</v>
      </c>
      <c r="L2259" s="91" t="b">
        <v>0</v>
      </c>
    </row>
    <row r="2260" spans="1:12" ht="15">
      <c r="A2260" s="92" t="s">
        <v>2863</v>
      </c>
      <c r="B2260" s="91" t="s">
        <v>2607</v>
      </c>
      <c r="C2260" s="91">
        <v>4</v>
      </c>
      <c r="D2260" s="114">
        <v>0</v>
      </c>
      <c r="E2260" s="114">
        <v>1.5185139398778875</v>
      </c>
      <c r="F2260" s="91" t="s">
        <v>2527</v>
      </c>
      <c r="G2260" s="91" t="b">
        <v>0</v>
      </c>
      <c r="H2260" s="91" t="b">
        <v>0</v>
      </c>
      <c r="I2260" s="91" t="b">
        <v>0</v>
      </c>
      <c r="J2260" s="91" t="b">
        <v>0</v>
      </c>
      <c r="K2260" s="91" t="b">
        <v>0</v>
      </c>
      <c r="L2260" s="91" t="b">
        <v>0</v>
      </c>
    </row>
    <row r="2261" spans="1:12" ht="15">
      <c r="A2261" s="92" t="s">
        <v>2607</v>
      </c>
      <c r="B2261" s="91" t="s">
        <v>2832</v>
      </c>
      <c r="C2261" s="91">
        <v>4</v>
      </c>
      <c r="D2261" s="114">
        <v>0</v>
      </c>
      <c r="E2261" s="114">
        <v>1.5185139398778875</v>
      </c>
      <c r="F2261" s="91" t="s">
        <v>2527</v>
      </c>
      <c r="G2261" s="91" t="b">
        <v>0</v>
      </c>
      <c r="H2261" s="91" t="b">
        <v>0</v>
      </c>
      <c r="I2261" s="91" t="b">
        <v>0</v>
      </c>
      <c r="J2261" s="91" t="b">
        <v>0</v>
      </c>
      <c r="K2261" s="91" t="b">
        <v>0</v>
      </c>
      <c r="L2261" s="91" t="b">
        <v>0</v>
      </c>
    </row>
    <row r="2262" spans="1:12" ht="15">
      <c r="A2262" s="92" t="s">
        <v>2832</v>
      </c>
      <c r="B2262" s="91" t="s">
        <v>2582</v>
      </c>
      <c r="C2262" s="91">
        <v>4</v>
      </c>
      <c r="D2262" s="114">
        <v>0</v>
      </c>
      <c r="E2262" s="114">
        <v>1.2174839442139063</v>
      </c>
      <c r="F2262" s="91" t="s">
        <v>2527</v>
      </c>
      <c r="G2262" s="91" t="b">
        <v>0</v>
      </c>
      <c r="H2262" s="91" t="b">
        <v>0</v>
      </c>
      <c r="I2262" s="91" t="b">
        <v>0</v>
      </c>
      <c r="J2262" s="91" t="b">
        <v>0</v>
      </c>
      <c r="K2262" s="91" t="b">
        <v>0</v>
      </c>
      <c r="L2262" s="91" t="b">
        <v>0</v>
      </c>
    </row>
    <row r="2263" spans="1:12" ht="15">
      <c r="A2263" s="92" t="s">
        <v>2582</v>
      </c>
      <c r="B2263" s="91" t="s">
        <v>2864</v>
      </c>
      <c r="C2263" s="91">
        <v>4</v>
      </c>
      <c r="D2263" s="114">
        <v>0</v>
      </c>
      <c r="E2263" s="114">
        <v>1.2174839442139063</v>
      </c>
      <c r="F2263" s="91" t="s">
        <v>2527</v>
      </c>
      <c r="G2263" s="91" t="b">
        <v>0</v>
      </c>
      <c r="H2263" s="91" t="b">
        <v>0</v>
      </c>
      <c r="I2263" s="91" t="b">
        <v>0</v>
      </c>
      <c r="J2263" s="91" t="b">
        <v>0</v>
      </c>
      <c r="K2263" s="91" t="b">
        <v>0</v>
      </c>
      <c r="L2263" s="91" t="b">
        <v>0</v>
      </c>
    </row>
    <row r="2264" spans="1:12" ht="15">
      <c r="A2264" s="92" t="s">
        <v>2864</v>
      </c>
      <c r="B2264" s="91" t="s">
        <v>2720</v>
      </c>
      <c r="C2264" s="91">
        <v>4</v>
      </c>
      <c r="D2264" s="114">
        <v>0</v>
      </c>
      <c r="E2264" s="114">
        <v>1.2174839442139063</v>
      </c>
      <c r="F2264" s="91" t="s">
        <v>2527</v>
      </c>
      <c r="G2264" s="91" t="b">
        <v>0</v>
      </c>
      <c r="H2264" s="91" t="b">
        <v>0</v>
      </c>
      <c r="I2264" s="91" t="b">
        <v>0</v>
      </c>
      <c r="J2264" s="91" t="b">
        <v>0</v>
      </c>
      <c r="K2264" s="91" t="b">
        <v>0</v>
      </c>
      <c r="L2264" s="91" t="b">
        <v>0</v>
      </c>
    </row>
    <row r="2265" spans="1:12" ht="15">
      <c r="A2265" s="92" t="s">
        <v>2720</v>
      </c>
      <c r="B2265" s="91" t="s">
        <v>2865</v>
      </c>
      <c r="C2265" s="91">
        <v>4</v>
      </c>
      <c r="D2265" s="114">
        <v>0</v>
      </c>
      <c r="E2265" s="114">
        <v>1.2174839442139063</v>
      </c>
      <c r="F2265" s="91" t="s">
        <v>2527</v>
      </c>
      <c r="G2265" s="91" t="b">
        <v>0</v>
      </c>
      <c r="H2265" s="91" t="b">
        <v>0</v>
      </c>
      <c r="I2265" s="91" t="b">
        <v>0</v>
      </c>
      <c r="J2265" s="91" t="b">
        <v>0</v>
      </c>
      <c r="K2265" s="91" t="b">
        <v>0</v>
      </c>
      <c r="L2265" s="91" t="b">
        <v>0</v>
      </c>
    </row>
    <row r="2266" spans="1:12" ht="15">
      <c r="A2266" s="92" t="s">
        <v>2865</v>
      </c>
      <c r="B2266" s="91" t="s">
        <v>2752</v>
      </c>
      <c r="C2266" s="91">
        <v>4</v>
      </c>
      <c r="D2266" s="114">
        <v>0</v>
      </c>
      <c r="E2266" s="114">
        <v>1.5185139398778875</v>
      </c>
      <c r="F2266" s="91" t="s">
        <v>2527</v>
      </c>
      <c r="G2266" s="91" t="b">
        <v>0</v>
      </c>
      <c r="H2266" s="91" t="b">
        <v>0</v>
      </c>
      <c r="I2266" s="91" t="b">
        <v>0</v>
      </c>
      <c r="J2266" s="91" t="b">
        <v>0</v>
      </c>
      <c r="K2266" s="91" t="b">
        <v>0</v>
      </c>
      <c r="L2266" s="91" t="b">
        <v>0</v>
      </c>
    </row>
    <row r="2267" spans="1:12" ht="15">
      <c r="A2267" s="92" t="s">
        <v>2752</v>
      </c>
      <c r="B2267" s="91" t="s">
        <v>2581</v>
      </c>
      <c r="C2267" s="91">
        <v>4</v>
      </c>
      <c r="D2267" s="114">
        <v>0</v>
      </c>
      <c r="E2267" s="114">
        <v>1.5185139398778875</v>
      </c>
      <c r="F2267" s="91" t="s">
        <v>2527</v>
      </c>
      <c r="G2267" s="91" t="b">
        <v>0</v>
      </c>
      <c r="H2267" s="91" t="b">
        <v>0</v>
      </c>
      <c r="I2267" s="91" t="b">
        <v>0</v>
      </c>
      <c r="J2267" s="91" t="b">
        <v>0</v>
      </c>
      <c r="K2267" s="91" t="b">
        <v>0</v>
      </c>
      <c r="L2267" s="91" t="b">
        <v>0</v>
      </c>
    </row>
    <row r="2268" spans="1:12" ht="15">
      <c r="A2268" s="92" t="s">
        <v>2581</v>
      </c>
      <c r="B2268" s="91" t="s">
        <v>2737</v>
      </c>
      <c r="C2268" s="91">
        <v>4</v>
      </c>
      <c r="D2268" s="114">
        <v>0</v>
      </c>
      <c r="E2268" s="114">
        <v>1.5185139398778875</v>
      </c>
      <c r="F2268" s="91" t="s">
        <v>2527</v>
      </c>
      <c r="G2268" s="91" t="b">
        <v>0</v>
      </c>
      <c r="H2268" s="91" t="b">
        <v>0</v>
      </c>
      <c r="I2268" s="91" t="b">
        <v>0</v>
      </c>
      <c r="J2268" s="91" t="b">
        <v>0</v>
      </c>
      <c r="K2268" s="91" t="b">
        <v>0</v>
      </c>
      <c r="L2268" s="91" t="b">
        <v>0</v>
      </c>
    </row>
    <row r="2269" spans="1:12" ht="15">
      <c r="A2269" s="92" t="s">
        <v>2737</v>
      </c>
      <c r="B2269" s="91" t="s">
        <v>2798</v>
      </c>
      <c r="C2269" s="91">
        <v>4</v>
      </c>
      <c r="D2269" s="114">
        <v>0</v>
      </c>
      <c r="E2269" s="114">
        <v>1.5185139398778875</v>
      </c>
      <c r="F2269" s="91" t="s">
        <v>2527</v>
      </c>
      <c r="G2269" s="91" t="b">
        <v>0</v>
      </c>
      <c r="H2269" s="91" t="b">
        <v>0</v>
      </c>
      <c r="I2269" s="91" t="b">
        <v>0</v>
      </c>
      <c r="J2269" s="91" t="b">
        <v>0</v>
      </c>
      <c r="K2269" s="91" t="b">
        <v>0</v>
      </c>
      <c r="L2269" s="91" t="b">
        <v>0</v>
      </c>
    </row>
    <row r="2270" spans="1:12" ht="15">
      <c r="A2270" s="92" t="s">
        <v>2798</v>
      </c>
      <c r="B2270" s="91" t="s">
        <v>2866</v>
      </c>
      <c r="C2270" s="91">
        <v>4</v>
      </c>
      <c r="D2270" s="114">
        <v>0</v>
      </c>
      <c r="E2270" s="114">
        <v>1.5185139398778875</v>
      </c>
      <c r="F2270" s="91" t="s">
        <v>2527</v>
      </c>
      <c r="G2270" s="91" t="b">
        <v>0</v>
      </c>
      <c r="H2270" s="91" t="b">
        <v>0</v>
      </c>
      <c r="I2270" s="91" t="b">
        <v>0</v>
      </c>
      <c r="J2270" s="91" t="b">
        <v>0</v>
      </c>
      <c r="K2270" s="91" t="b">
        <v>0</v>
      </c>
      <c r="L2270" s="91" t="b">
        <v>0</v>
      </c>
    </row>
    <row r="2271" spans="1:12" ht="15">
      <c r="A2271" s="92" t="s">
        <v>2866</v>
      </c>
      <c r="B2271" s="91" t="s">
        <v>2720</v>
      </c>
      <c r="C2271" s="91">
        <v>4</v>
      </c>
      <c r="D2271" s="114">
        <v>0</v>
      </c>
      <c r="E2271" s="114">
        <v>1.2174839442139063</v>
      </c>
      <c r="F2271" s="91" t="s">
        <v>2527</v>
      </c>
      <c r="G2271" s="91" t="b">
        <v>0</v>
      </c>
      <c r="H2271" s="91" t="b">
        <v>0</v>
      </c>
      <c r="I2271" s="91" t="b">
        <v>0</v>
      </c>
      <c r="J2271" s="91" t="b">
        <v>0</v>
      </c>
      <c r="K2271" s="91" t="b">
        <v>0</v>
      </c>
      <c r="L2271" s="91" t="b">
        <v>0</v>
      </c>
    </row>
    <row r="2272" spans="1:12" ht="15">
      <c r="A2272" s="92" t="s">
        <v>2720</v>
      </c>
      <c r="B2272" s="91" t="s">
        <v>2610</v>
      </c>
      <c r="C2272" s="91">
        <v>4</v>
      </c>
      <c r="D2272" s="114">
        <v>0</v>
      </c>
      <c r="E2272" s="114">
        <v>1.2174839442139063</v>
      </c>
      <c r="F2272" s="91" t="s">
        <v>2527</v>
      </c>
      <c r="G2272" s="91" t="b">
        <v>0</v>
      </c>
      <c r="H2272" s="91" t="b">
        <v>0</v>
      </c>
      <c r="I2272" s="91" t="b">
        <v>0</v>
      </c>
      <c r="J2272" s="91" t="b">
        <v>0</v>
      </c>
      <c r="K2272" s="91" t="b">
        <v>0</v>
      </c>
      <c r="L2272" s="91" t="b">
        <v>0</v>
      </c>
    </row>
    <row r="2273" spans="1:12" ht="15">
      <c r="A2273" s="92" t="s">
        <v>2610</v>
      </c>
      <c r="B2273" s="91" t="s">
        <v>2867</v>
      </c>
      <c r="C2273" s="91">
        <v>4</v>
      </c>
      <c r="D2273" s="114">
        <v>0</v>
      </c>
      <c r="E2273" s="114">
        <v>1.5185139398778875</v>
      </c>
      <c r="F2273" s="91" t="s">
        <v>2527</v>
      </c>
      <c r="G2273" s="91" t="b">
        <v>0</v>
      </c>
      <c r="H2273" s="91" t="b">
        <v>0</v>
      </c>
      <c r="I2273" s="91" t="b">
        <v>0</v>
      </c>
      <c r="J2273" s="91" t="b">
        <v>0</v>
      </c>
      <c r="K2273" s="91" t="b">
        <v>0</v>
      </c>
      <c r="L2273" s="91" t="b">
        <v>0</v>
      </c>
    </row>
    <row r="2274" spans="1:12" ht="15">
      <c r="A2274" s="92" t="s">
        <v>2867</v>
      </c>
      <c r="B2274" s="91" t="s">
        <v>2744</v>
      </c>
      <c r="C2274" s="91">
        <v>4</v>
      </c>
      <c r="D2274" s="114">
        <v>0</v>
      </c>
      <c r="E2274" s="114">
        <v>1.5185139398778875</v>
      </c>
      <c r="F2274" s="91" t="s">
        <v>2527</v>
      </c>
      <c r="G2274" s="91" t="b">
        <v>0</v>
      </c>
      <c r="H2274" s="91" t="b">
        <v>0</v>
      </c>
      <c r="I2274" s="91" t="b">
        <v>0</v>
      </c>
      <c r="J2274" s="91" t="b">
        <v>0</v>
      </c>
      <c r="K2274" s="91" t="b">
        <v>0</v>
      </c>
      <c r="L2274" s="91" t="b">
        <v>0</v>
      </c>
    </row>
    <row r="2275" spans="1:12" ht="15">
      <c r="A2275" s="92" t="s">
        <v>2744</v>
      </c>
      <c r="B2275" s="91" t="s">
        <v>2868</v>
      </c>
      <c r="C2275" s="91">
        <v>4</v>
      </c>
      <c r="D2275" s="114">
        <v>0</v>
      </c>
      <c r="E2275" s="114">
        <v>1.5185139398778875</v>
      </c>
      <c r="F2275" s="91" t="s">
        <v>2527</v>
      </c>
      <c r="G2275" s="91" t="b">
        <v>0</v>
      </c>
      <c r="H2275" s="91" t="b">
        <v>0</v>
      </c>
      <c r="I2275" s="91" t="b">
        <v>0</v>
      </c>
      <c r="J2275" s="91" t="b">
        <v>0</v>
      </c>
      <c r="K2275" s="91" t="b">
        <v>0</v>
      </c>
      <c r="L2275" s="91" t="b">
        <v>0</v>
      </c>
    </row>
    <row r="2276" spans="1:12" ht="15">
      <c r="A2276" s="92" t="s">
        <v>2868</v>
      </c>
      <c r="B2276" s="91" t="s">
        <v>2869</v>
      </c>
      <c r="C2276" s="91">
        <v>4</v>
      </c>
      <c r="D2276" s="114">
        <v>0</v>
      </c>
      <c r="E2276" s="114">
        <v>1.5185139398778875</v>
      </c>
      <c r="F2276" s="91" t="s">
        <v>2527</v>
      </c>
      <c r="G2276" s="91" t="b">
        <v>0</v>
      </c>
      <c r="H2276" s="91" t="b">
        <v>0</v>
      </c>
      <c r="I2276" s="91" t="b">
        <v>0</v>
      </c>
      <c r="J2276" s="91" t="b">
        <v>0</v>
      </c>
      <c r="K2276" s="91" t="b">
        <v>0</v>
      </c>
      <c r="L2276" s="91" t="b">
        <v>0</v>
      </c>
    </row>
    <row r="2277" spans="1:12" ht="15">
      <c r="A2277" s="92" t="s">
        <v>2869</v>
      </c>
      <c r="B2277" s="91" t="s">
        <v>2870</v>
      </c>
      <c r="C2277" s="91">
        <v>4</v>
      </c>
      <c r="D2277" s="114">
        <v>0</v>
      </c>
      <c r="E2277" s="114">
        <v>1.5185139398778875</v>
      </c>
      <c r="F2277" s="91" t="s">
        <v>2527</v>
      </c>
      <c r="G2277" s="91" t="b">
        <v>0</v>
      </c>
      <c r="H2277" s="91" t="b">
        <v>0</v>
      </c>
      <c r="I2277" s="91" t="b">
        <v>0</v>
      </c>
      <c r="J2277" s="91" t="b">
        <v>0</v>
      </c>
      <c r="K2277" s="91" t="b">
        <v>0</v>
      </c>
      <c r="L2277" s="91" t="b">
        <v>0</v>
      </c>
    </row>
    <row r="2278" spans="1:12" ht="15">
      <c r="A2278" s="92" t="s">
        <v>2870</v>
      </c>
      <c r="B2278" s="91" t="s">
        <v>2564</v>
      </c>
      <c r="C2278" s="91">
        <v>4</v>
      </c>
      <c r="D2278" s="114">
        <v>0</v>
      </c>
      <c r="E2278" s="114">
        <v>1.5185139398778875</v>
      </c>
      <c r="F2278" s="91" t="s">
        <v>2527</v>
      </c>
      <c r="G2278" s="91" t="b">
        <v>0</v>
      </c>
      <c r="H2278" s="91" t="b">
        <v>0</v>
      </c>
      <c r="I2278" s="91" t="b">
        <v>0</v>
      </c>
      <c r="J2278" s="91" t="b">
        <v>0</v>
      </c>
      <c r="K2278" s="91" t="b">
        <v>0</v>
      </c>
      <c r="L2278" s="91" t="b">
        <v>0</v>
      </c>
    </row>
    <row r="2279" spans="1:12" ht="15">
      <c r="A2279" s="92" t="s">
        <v>2564</v>
      </c>
      <c r="B2279" s="91" t="s">
        <v>2745</v>
      </c>
      <c r="C2279" s="91">
        <v>4</v>
      </c>
      <c r="D2279" s="114">
        <v>0</v>
      </c>
      <c r="E2279" s="114">
        <v>1.5185139398778875</v>
      </c>
      <c r="F2279" s="91" t="s">
        <v>2527</v>
      </c>
      <c r="G2279" s="91" t="b">
        <v>0</v>
      </c>
      <c r="H2279" s="91" t="b">
        <v>0</v>
      </c>
      <c r="I2279" s="91" t="b">
        <v>0</v>
      </c>
      <c r="J2279" s="91" t="b">
        <v>0</v>
      </c>
      <c r="K2279" s="91" t="b">
        <v>0</v>
      </c>
      <c r="L2279" s="91" t="b">
        <v>0</v>
      </c>
    </row>
    <row r="2280" spans="1:12" ht="15">
      <c r="A2280" s="92" t="s">
        <v>2745</v>
      </c>
      <c r="B2280" s="91" t="s">
        <v>2566</v>
      </c>
      <c r="C2280" s="91">
        <v>4</v>
      </c>
      <c r="D2280" s="114">
        <v>0</v>
      </c>
      <c r="E2280" s="114">
        <v>1.5185139398778875</v>
      </c>
      <c r="F2280" s="91" t="s">
        <v>2527</v>
      </c>
      <c r="G2280" s="91" t="b">
        <v>0</v>
      </c>
      <c r="H2280" s="91" t="b">
        <v>0</v>
      </c>
      <c r="I2280" s="91" t="b">
        <v>0</v>
      </c>
      <c r="J2280" s="91" t="b">
        <v>0</v>
      </c>
      <c r="K2280" s="91" t="b">
        <v>0</v>
      </c>
      <c r="L2280" s="91" t="b">
        <v>0</v>
      </c>
    </row>
    <row r="2281" spans="1:12" ht="15">
      <c r="A2281" s="92" t="s">
        <v>2566</v>
      </c>
      <c r="B2281" s="91" t="s">
        <v>2746</v>
      </c>
      <c r="C2281" s="91">
        <v>4</v>
      </c>
      <c r="D2281" s="114">
        <v>0</v>
      </c>
      <c r="E2281" s="114">
        <v>1.5185139398778875</v>
      </c>
      <c r="F2281" s="91" t="s">
        <v>2527</v>
      </c>
      <c r="G2281" s="91" t="b">
        <v>0</v>
      </c>
      <c r="H2281" s="91" t="b">
        <v>0</v>
      </c>
      <c r="I2281" s="91" t="b">
        <v>0</v>
      </c>
      <c r="J2281" s="91" t="b">
        <v>0</v>
      </c>
      <c r="K2281" s="91" t="b">
        <v>0</v>
      </c>
      <c r="L2281" s="91" t="b">
        <v>0</v>
      </c>
    </row>
    <row r="2282" spans="1:12" ht="15">
      <c r="A2282" s="92" t="s">
        <v>2746</v>
      </c>
      <c r="B2282" s="91" t="s">
        <v>2728</v>
      </c>
      <c r="C2282" s="91">
        <v>4</v>
      </c>
      <c r="D2282" s="114">
        <v>0</v>
      </c>
      <c r="E2282" s="114">
        <v>1.5185139398778875</v>
      </c>
      <c r="F2282" s="91" t="s">
        <v>2527</v>
      </c>
      <c r="G2282" s="91" t="b">
        <v>0</v>
      </c>
      <c r="H2282" s="91" t="b">
        <v>0</v>
      </c>
      <c r="I2282" s="91" t="b">
        <v>0</v>
      </c>
      <c r="J2282" s="91" t="b">
        <v>0</v>
      </c>
      <c r="K2282" s="91" t="b">
        <v>0</v>
      </c>
      <c r="L2282" s="91" t="b">
        <v>0</v>
      </c>
    </row>
    <row r="2283" spans="1:12" ht="15">
      <c r="A2283" s="92" t="s">
        <v>2670</v>
      </c>
      <c r="B2283" s="91" t="s">
        <v>2969</v>
      </c>
      <c r="C2283" s="91">
        <v>3</v>
      </c>
      <c r="D2283" s="114">
        <v>0.002974731824007141</v>
      </c>
      <c r="E2283" s="114">
        <v>1.6092385759550858</v>
      </c>
      <c r="F2283" s="91" t="s">
        <v>2528</v>
      </c>
      <c r="G2283" s="91" t="b">
        <v>0</v>
      </c>
      <c r="H2283" s="91" t="b">
        <v>0</v>
      </c>
      <c r="I2283" s="91" t="b">
        <v>0</v>
      </c>
      <c r="J2283" s="91" t="b">
        <v>0</v>
      </c>
      <c r="K2283" s="91" t="b">
        <v>0</v>
      </c>
      <c r="L2283" s="91" t="b">
        <v>0</v>
      </c>
    </row>
    <row r="2284" spans="1:12" ht="15">
      <c r="A2284" s="92" t="s">
        <v>2969</v>
      </c>
      <c r="B2284" s="91" t="s">
        <v>2750</v>
      </c>
      <c r="C2284" s="91">
        <v>3</v>
      </c>
      <c r="D2284" s="114">
        <v>0.002974731824007141</v>
      </c>
      <c r="E2284" s="114">
        <v>1.6092385759550858</v>
      </c>
      <c r="F2284" s="91" t="s">
        <v>2528</v>
      </c>
      <c r="G2284" s="91" t="b">
        <v>0</v>
      </c>
      <c r="H2284" s="91" t="b">
        <v>0</v>
      </c>
      <c r="I2284" s="91" t="b">
        <v>0</v>
      </c>
      <c r="J2284" s="91" t="b">
        <v>0</v>
      </c>
      <c r="K2284" s="91" t="b">
        <v>0</v>
      </c>
      <c r="L2284" s="91" t="b">
        <v>0</v>
      </c>
    </row>
    <row r="2285" spans="1:12" ht="15">
      <c r="A2285" s="92" t="s">
        <v>2750</v>
      </c>
      <c r="B2285" s="91" t="s">
        <v>2933</v>
      </c>
      <c r="C2285" s="91">
        <v>3</v>
      </c>
      <c r="D2285" s="114">
        <v>0.002974731824007141</v>
      </c>
      <c r="E2285" s="114">
        <v>1.6092385759550858</v>
      </c>
      <c r="F2285" s="91" t="s">
        <v>2528</v>
      </c>
      <c r="G2285" s="91" t="b">
        <v>0</v>
      </c>
      <c r="H2285" s="91" t="b">
        <v>0</v>
      </c>
      <c r="I2285" s="91" t="b">
        <v>0</v>
      </c>
      <c r="J2285" s="91" t="b">
        <v>0</v>
      </c>
      <c r="K2285" s="91" t="b">
        <v>0</v>
      </c>
      <c r="L2285" s="91" t="b">
        <v>0</v>
      </c>
    </row>
    <row r="2286" spans="1:12" ht="15">
      <c r="A2286" s="92" t="s">
        <v>2933</v>
      </c>
      <c r="B2286" s="91" t="s">
        <v>2716</v>
      </c>
      <c r="C2286" s="91">
        <v>3</v>
      </c>
      <c r="D2286" s="114">
        <v>0.002974731824007141</v>
      </c>
      <c r="E2286" s="114">
        <v>1.6092385759550858</v>
      </c>
      <c r="F2286" s="91" t="s">
        <v>2528</v>
      </c>
      <c r="G2286" s="91" t="b">
        <v>0</v>
      </c>
      <c r="H2286" s="91" t="b">
        <v>0</v>
      </c>
      <c r="I2286" s="91" t="b">
        <v>0</v>
      </c>
      <c r="J2286" s="91" t="b">
        <v>0</v>
      </c>
      <c r="K2286" s="91" t="b">
        <v>0</v>
      </c>
      <c r="L2286" s="91" t="b">
        <v>0</v>
      </c>
    </row>
    <row r="2287" spans="1:12" ht="15">
      <c r="A2287" s="92" t="s">
        <v>2716</v>
      </c>
      <c r="B2287" s="91" t="s">
        <v>2733</v>
      </c>
      <c r="C2287" s="91">
        <v>3</v>
      </c>
      <c r="D2287" s="114">
        <v>0.002974731824007141</v>
      </c>
      <c r="E2287" s="114">
        <v>1.6092385759550858</v>
      </c>
      <c r="F2287" s="91" t="s">
        <v>2528</v>
      </c>
      <c r="G2287" s="91" t="b">
        <v>0</v>
      </c>
      <c r="H2287" s="91" t="b">
        <v>0</v>
      </c>
      <c r="I2287" s="91" t="b">
        <v>0</v>
      </c>
      <c r="J2287" s="91" t="b">
        <v>0</v>
      </c>
      <c r="K2287" s="91" t="b">
        <v>0</v>
      </c>
      <c r="L2287" s="91" t="b">
        <v>0</v>
      </c>
    </row>
    <row r="2288" spans="1:12" ht="15">
      <c r="A2288" s="92" t="s">
        <v>2733</v>
      </c>
      <c r="B2288" s="91" t="s">
        <v>2569</v>
      </c>
      <c r="C2288" s="91">
        <v>3</v>
      </c>
      <c r="D2288" s="114">
        <v>0.002974731824007141</v>
      </c>
      <c r="E2288" s="114">
        <v>1.6092385759550858</v>
      </c>
      <c r="F2288" s="91" t="s">
        <v>2528</v>
      </c>
      <c r="G2288" s="91" t="b">
        <v>0</v>
      </c>
      <c r="H2288" s="91" t="b">
        <v>0</v>
      </c>
      <c r="I2288" s="91" t="b">
        <v>0</v>
      </c>
      <c r="J2288" s="91" t="b">
        <v>0</v>
      </c>
      <c r="K2288" s="91" t="b">
        <v>0</v>
      </c>
      <c r="L2288" s="91" t="b">
        <v>0</v>
      </c>
    </row>
    <row r="2289" spans="1:12" ht="15">
      <c r="A2289" s="92" t="s">
        <v>2569</v>
      </c>
      <c r="B2289" s="91" t="s">
        <v>2572</v>
      </c>
      <c r="C2289" s="91">
        <v>3</v>
      </c>
      <c r="D2289" s="114">
        <v>0.002974731824007141</v>
      </c>
      <c r="E2289" s="114">
        <v>1.6092385759550858</v>
      </c>
      <c r="F2289" s="91" t="s">
        <v>2528</v>
      </c>
      <c r="G2289" s="91" t="b">
        <v>0</v>
      </c>
      <c r="H2289" s="91" t="b">
        <v>0</v>
      </c>
      <c r="I2289" s="91" t="b">
        <v>0</v>
      </c>
      <c r="J2289" s="91" t="b">
        <v>0</v>
      </c>
      <c r="K2289" s="91" t="b">
        <v>0</v>
      </c>
      <c r="L2289" s="91" t="b">
        <v>0</v>
      </c>
    </row>
    <row r="2290" spans="1:12" ht="15">
      <c r="A2290" s="92" t="s">
        <v>2572</v>
      </c>
      <c r="B2290" s="91" t="s">
        <v>2672</v>
      </c>
      <c r="C2290" s="91">
        <v>3</v>
      </c>
      <c r="D2290" s="114">
        <v>0.002974731824007141</v>
      </c>
      <c r="E2290" s="114">
        <v>1.6092385759550858</v>
      </c>
      <c r="F2290" s="91" t="s">
        <v>2528</v>
      </c>
      <c r="G2290" s="91" t="b">
        <v>0</v>
      </c>
      <c r="H2290" s="91" t="b">
        <v>0</v>
      </c>
      <c r="I2290" s="91" t="b">
        <v>0</v>
      </c>
      <c r="J2290" s="91" t="b">
        <v>0</v>
      </c>
      <c r="K2290" s="91" t="b">
        <v>0</v>
      </c>
      <c r="L2290" s="91" t="b">
        <v>0</v>
      </c>
    </row>
    <row r="2291" spans="1:12" ht="15">
      <c r="A2291" s="92" t="s">
        <v>2672</v>
      </c>
      <c r="B2291" s="91" t="s">
        <v>3030</v>
      </c>
      <c r="C2291" s="91">
        <v>3</v>
      </c>
      <c r="D2291" s="114">
        <v>0.002974731824007141</v>
      </c>
      <c r="E2291" s="114">
        <v>1.6092385759550858</v>
      </c>
      <c r="F2291" s="91" t="s">
        <v>2528</v>
      </c>
      <c r="G2291" s="91" t="b">
        <v>0</v>
      </c>
      <c r="H2291" s="91" t="b">
        <v>0</v>
      </c>
      <c r="I2291" s="91" t="b">
        <v>0</v>
      </c>
      <c r="J2291" s="91" t="b">
        <v>0</v>
      </c>
      <c r="K2291" s="91" t="b">
        <v>0</v>
      </c>
      <c r="L2291" s="91" t="b">
        <v>0</v>
      </c>
    </row>
    <row r="2292" spans="1:12" ht="15">
      <c r="A2292" s="92" t="s">
        <v>3030</v>
      </c>
      <c r="B2292" s="91" t="s">
        <v>3031</v>
      </c>
      <c r="C2292" s="91">
        <v>3</v>
      </c>
      <c r="D2292" s="114">
        <v>0.002974731824007141</v>
      </c>
      <c r="E2292" s="114">
        <v>1.6092385759550858</v>
      </c>
      <c r="F2292" s="91" t="s">
        <v>2528</v>
      </c>
      <c r="G2292" s="91" t="b">
        <v>0</v>
      </c>
      <c r="H2292" s="91" t="b">
        <v>0</v>
      </c>
      <c r="I2292" s="91" t="b">
        <v>0</v>
      </c>
      <c r="J2292" s="91" t="b">
        <v>0</v>
      </c>
      <c r="K2292" s="91" t="b">
        <v>0</v>
      </c>
      <c r="L2292" s="91" t="b">
        <v>0</v>
      </c>
    </row>
    <row r="2293" spans="1:12" ht="15">
      <c r="A2293" s="92" t="s">
        <v>3031</v>
      </c>
      <c r="B2293" s="91" t="s">
        <v>2580</v>
      </c>
      <c r="C2293" s="91">
        <v>3</v>
      </c>
      <c r="D2293" s="114">
        <v>0.002974731824007141</v>
      </c>
      <c r="E2293" s="114">
        <v>1.6092385759550858</v>
      </c>
      <c r="F2293" s="91" t="s">
        <v>2528</v>
      </c>
      <c r="G2293" s="91" t="b">
        <v>0</v>
      </c>
      <c r="H2293" s="91" t="b">
        <v>0</v>
      </c>
      <c r="I2293" s="91" t="b">
        <v>0</v>
      </c>
      <c r="J2293" s="91" t="b">
        <v>0</v>
      </c>
      <c r="K2293" s="91" t="b">
        <v>0</v>
      </c>
      <c r="L2293" s="91" t="b">
        <v>0</v>
      </c>
    </row>
    <row r="2294" spans="1:12" ht="15">
      <c r="A2294" s="92" t="s">
        <v>2580</v>
      </c>
      <c r="B2294" s="91" t="s">
        <v>3032</v>
      </c>
      <c r="C2294" s="91">
        <v>3</v>
      </c>
      <c r="D2294" s="114">
        <v>0.002974731824007141</v>
      </c>
      <c r="E2294" s="114">
        <v>1.6092385759550858</v>
      </c>
      <c r="F2294" s="91" t="s">
        <v>2528</v>
      </c>
      <c r="G2294" s="91" t="b">
        <v>0</v>
      </c>
      <c r="H2294" s="91" t="b">
        <v>0</v>
      </c>
      <c r="I2294" s="91" t="b">
        <v>0</v>
      </c>
      <c r="J2294" s="91" t="b">
        <v>0</v>
      </c>
      <c r="K2294" s="91" t="b">
        <v>0</v>
      </c>
      <c r="L2294" s="91" t="b">
        <v>0</v>
      </c>
    </row>
    <row r="2295" spans="1:12" ht="15">
      <c r="A2295" s="92" t="s">
        <v>3032</v>
      </c>
      <c r="B2295" s="91" t="s">
        <v>2647</v>
      </c>
      <c r="C2295" s="91">
        <v>3</v>
      </c>
      <c r="D2295" s="114">
        <v>0.002974731824007141</v>
      </c>
      <c r="E2295" s="114">
        <v>1.6092385759550858</v>
      </c>
      <c r="F2295" s="91" t="s">
        <v>2528</v>
      </c>
      <c r="G2295" s="91" t="b">
        <v>0</v>
      </c>
      <c r="H2295" s="91" t="b">
        <v>0</v>
      </c>
      <c r="I2295" s="91" t="b">
        <v>0</v>
      </c>
      <c r="J2295" s="91" t="b">
        <v>0</v>
      </c>
      <c r="K2295" s="91" t="b">
        <v>0</v>
      </c>
      <c r="L2295" s="91" t="b">
        <v>0</v>
      </c>
    </row>
    <row r="2296" spans="1:12" ht="15">
      <c r="A2296" s="92" t="s">
        <v>2647</v>
      </c>
      <c r="B2296" s="91" t="s">
        <v>3033</v>
      </c>
      <c r="C2296" s="91">
        <v>3</v>
      </c>
      <c r="D2296" s="114">
        <v>0.002974731824007141</v>
      </c>
      <c r="E2296" s="114">
        <v>1.6092385759550858</v>
      </c>
      <c r="F2296" s="91" t="s">
        <v>2528</v>
      </c>
      <c r="G2296" s="91" t="b">
        <v>0</v>
      </c>
      <c r="H2296" s="91" t="b">
        <v>0</v>
      </c>
      <c r="I2296" s="91" t="b">
        <v>0</v>
      </c>
      <c r="J2296" s="91" t="b">
        <v>0</v>
      </c>
      <c r="K2296" s="91" t="b">
        <v>0</v>
      </c>
      <c r="L2296" s="91" t="b">
        <v>0</v>
      </c>
    </row>
    <row r="2297" spans="1:12" ht="15">
      <c r="A2297" s="92" t="s">
        <v>3033</v>
      </c>
      <c r="B2297" s="91" t="s">
        <v>2737</v>
      </c>
      <c r="C2297" s="91">
        <v>3</v>
      </c>
      <c r="D2297" s="114">
        <v>0.002974731824007141</v>
      </c>
      <c r="E2297" s="114">
        <v>1.6092385759550858</v>
      </c>
      <c r="F2297" s="91" t="s">
        <v>2528</v>
      </c>
      <c r="G2297" s="91" t="b">
        <v>0</v>
      </c>
      <c r="H2297" s="91" t="b">
        <v>0</v>
      </c>
      <c r="I2297" s="91" t="b">
        <v>0</v>
      </c>
      <c r="J2297" s="91" t="b">
        <v>0</v>
      </c>
      <c r="K2297" s="91" t="b">
        <v>0</v>
      </c>
      <c r="L2297" s="91" t="b">
        <v>0</v>
      </c>
    </row>
    <row r="2298" spans="1:12" ht="15">
      <c r="A2298" s="92" t="s">
        <v>2737</v>
      </c>
      <c r="B2298" s="91" t="s">
        <v>2590</v>
      </c>
      <c r="C2298" s="91">
        <v>3</v>
      </c>
      <c r="D2298" s="114">
        <v>0.002974731824007141</v>
      </c>
      <c r="E2298" s="114">
        <v>1.6092385759550858</v>
      </c>
      <c r="F2298" s="91" t="s">
        <v>2528</v>
      </c>
      <c r="G2298" s="91" t="b">
        <v>0</v>
      </c>
      <c r="H2298" s="91" t="b">
        <v>0</v>
      </c>
      <c r="I2298" s="91" t="b">
        <v>0</v>
      </c>
      <c r="J2298" s="91" t="b">
        <v>0</v>
      </c>
      <c r="K2298" s="91" t="b">
        <v>0</v>
      </c>
      <c r="L2298" s="91" t="b">
        <v>0</v>
      </c>
    </row>
    <row r="2299" spans="1:12" ht="15">
      <c r="A2299" s="92" t="s">
        <v>2590</v>
      </c>
      <c r="B2299" s="91" t="s">
        <v>2799</v>
      </c>
      <c r="C2299" s="91">
        <v>3</v>
      </c>
      <c r="D2299" s="114">
        <v>0.002974731824007141</v>
      </c>
      <c r="E2299" s="114">
        <v>1.6092385759550858</v>
      </c>
      <c r="F2299" s="91" t="s">
        <v>2528</v>
      </c>
      <c r="G2299" s="91" t="b">
        <v>0</v>
      </c>
      <c r="H2299" s="91" t="b">
        <v>0</v>
      </c>
      <c r="I2299" s="91" t="b">
        <v>0</v>
      </c>
      <c r="J2299" s="91" t="b">
        <v>0</v>
      </c>
      <c r="K2299" s="91" t="b">
        <v>0</v>
      </c>
      <c r="L2299" s="91" t="b">
        <v>0</v>
      </c>
    </row>
    <row r="2300" spans="1:12" ht="15">
      <c r="A2300" s="92" t="s">
        <v>2799</v>
      </c>
      <c r="B2300" s="91" t="s">
        <v>2650</v>
      </c>
      <c r="C2300" s="91">
        <v>3</v>
      </c>
      <c r="D2300" s="114">
        <v>0.002974731824007141</v>
      </c>
      <c r="E2300" s="114">
        <v>1.6092385759550858</v>
      </c>
      <c r="F2300" s="91" t="s">
        <v>2528</v>
      </c>
      <c r="G2300" s="91" t="b">
        <v>0</v>
      </c>
      <c r="H2300" s="91" t="b">
        <v>0</v>
      </c>
      <c r="I2300" s="91" t="b">
        <v>0</v>
      </c>
      <c r="J2300" s="91" t="b">
        <v>0</v>
      </c>
      <c r="K2300" s="91" t="b">
        <v>0</v>
      </c>
      <c r="L2300" s="91" t="b">
        <v>0</v>
      </c>
    </row>
    <row r="2301" spans="1:12" ht="15">
      <c r="A2301" s="92" t="s">
        <v>2650</v>
      </c>
      <c r="B2301" s="91" t="s">
        <v>3034</v>
      </c>
      <c r="C2301" s="91">
        <v>3</v>
      </c>
      <c r="D2301" s="114">
        <v>0.002974731824007141</v>
      </c>
      <c r="E2301" s="114">
        <v>1.6092385759550858</v>
      </c>
      <c r="F2301" s="91" t="s">
        <v>2528</v>
      </c>
      <c r="G2301" s="91" t="b">
        <v>0</v>
      </c>
      <c r="H2301" s="91" t="b">
        <v>0</v>
      </c>
      <c r="I2301" s="91" t="b">
        <v>0</v>
      </c>
      <c r="J2301" s="91" t="b">
        <v>0</v>
      </c>
      <c r="K2301" s="91" t="b">
        <v>0</v>
      </c>
      <c r="L2301" s="91" t="b">
        <v>0</v>
      </c>
    </row>
    <row r="2302" spans="1:12" ht="15">
      <c r="A2302" s="92" t="s">
        <v>3034</v>
      </c>
      <c r="B2302" s="91" t="s">
        <v>2693</v>
      </c>
      <c r="C2302" s="91">
        <v>3</v>
      </c>
      <c r="D2302" s="114">
        <v>0.002974731824007141</v>
      </c>
      <c r="E2302" s="114">
        <v>1.6092385759550858</v>
      </c>
      <c r="F2302" s="91" t="s">
        <v>2528</v>
      </c>
      <c r="G2302" s="91" t="b">
        <v>0</v>
      </c>
      <c r="H2302" s="91" t="b">
        <v>0</v>
      </c>
      <c r="I2302" s="91" t="b">
        <v>0</v>
      </c>
      <c r="J2302" s="91" t="b">
        <v>0</v>
      </c>
      <c r="K2302" s="91" t="b">
        <v>0</v>
      </c>
      <c r="L2302" s="91" t="b">
        <v>0</v>
      </c>
    </row>
    <row r="2303" spans="1:12" ht="15">
      <c r="A2303" s="92" t="s">
        <v>2693</v>
      </c>
      <c r="B2303" s="91" t="s">
        <v>2568</v>
      </c>
      <c r="C2303" s="91">
        <v>3</v>
      </c>
      <c r="D2303" s="114">
        <v>0.002974731824007141</v>
      </c>
      <c r="E2303" s="114">
        <v>1.4842998393467859</v>
      </c>
      <c r="F2303" s="91" t="s">
        <v>2528</v>
      </c>
      <c r="G2303" s="91" t="b">
        <v>0</v>
      </c>
      <c r="H2303" s="91" t="b">
        <v>0</v>
      </c>
      <c r="I2303" s="91" t="b">
        <v>0</v>
      </c>
      <c r="J2303" s="91" t="b">
        <v>0</v>
      </c>
      <c r="K2303" s="91" t="b">
        <v>0</v>
      </c>
      <c r="L2303" s="91" t="b">
        <v>0</v>
      </c>
    </row>
    <row r="2304" spans="1:12" ht="15">
      <c r="A2304" s="92" t="s">
        <v>2568</v>
      </c>
      <c r="B2304" s="91" t="s">
        <v>3035</v>
      </c>
      <c r="C2304" s="91">
        <v>3</v>
      </c>
      <c r="D2304" s="114">
        <v>0.002974731824007141</v>
      </c>
      <c r="E2304" s="114">
        <v>1.4842998393467859</v>
      </c>
      <c r="F2304" s="91" t="s">
        <v>2528</v>
      </c>
      <c r="G2304" s="91" t="b">
        <v>0</v>
      </c>
      <c r="H2304" s="91" t="b">
        <v>0</v>
      </c>
      <c r="I2304" s="91" t="b">
        <v>0</v>
      </c>
      <c r="J2304" s="91" t="b">
        <v>0</v>
      </c>
      <c r="K2304" s="91" t="b">
        <v>0</v>
      </c>
      <c r="L2304" s="91" t="b">
        <v>0</v>
      </c>
    </row>
    <row r="2305" spans="1:12" ht="15">
      <c r="A2305" s="92" t="s">
        <v>3035</v>
      </c>
      <c r="B2305" s="91" t="s">
        <v>2589</v>
      </c>
      <c r="C2305" s="91">
        <v>3</v>
      </c>
      <c r="D2305" s="114">
        <v>0.002974731824007141</v>
      </c>
      <c r="E2305" s="114">
        <v>1.6092385759550858</v>
      </c>
      <c r="F2305" s="91" t="s">
        <v>2528</v>
      </c>
      <c r="G2305" s="91" t="b">
        <v>0</v>
      </c>
      <c r="H2305" s="91" t="b">
        <v>0</v>
      </c>
      <c r="I2305" s="91" t="b">
        <v>0</v>
      </c>
      <c r="J2305" s="91" t="b">
        <v>0</v>
      </c>
      <c r="K2305" s="91" t="b">
        <v>0</v>
      </c>
      <c r="L2305" s="91" t="b">
        <v>0</v>
      </c>
    </row>
    <row r="2306" spans="1:12" ht="15">
      <c r="A2306" s="92" t="s">
        <v>2589</v>
      </c>
      <c r="B2306" s="91" t="s">
        <v>3036</v>
      </c>
      <c r="C2306" s="91">
        <v>3</v>
      </c>
      <c r="D2306" s="114">
        <v>0.002974731824007141</v>
      </c>
      <c r="E2306" s="114">
        <v>1.6092385759550858</v>
      </c>
      <c r="F2306" s="91" t="s">
        <v>2528</v>
      </c>
      <c r="G2306" s="91" t="b">
        <v>0</v>
      </c>
      <c r="H2306" s="91" t="b">
        <v>0</v>
      </c>
      <c r="I2306" s="91" t="b">
        <v>0</v>
      </c>
      <c r="J2306" s="91" t="b">
        <v>0</v>
      </c>
      <c r="K2306" s="91" t="b">
        <v>0</v>
      </c>
      <c r="L2306" s="91" t="b">
        <v>0</v>
      </c>
    </row>
    <row r="2307" spans="1:12" ht="15">
      <c r="A2307" s="92" t="s">
        <v>3036</v>
      </c>
      <c r="B2307" s="91" t="s">
        <v>3037</v>
      </c>
      <c r="C2307" s="91">
        <v>3</v>
      </c>
      <c r="D2307" s="114">
        <v>0.002974731824007141</v>
      </c>
      <c r="E2307" s="114">
        <v>1.6092385759550858</v>
      </c>
      <c r="F2307" s="91" t="s">
        <v>2528</v>
      </c>
      <c r="G2307" s="91" t="b">
        <v>0</v>
      </c>
      <c r="H2307" s="91" t="b">
        <v>0</v>
      </c>
      <c r="I2307" s="91" t="b">
        <v>0</v>
      </c>
      <c r="J2307" s="91" t="b">
        <v>0</v>
      </c>
      <c r="K2307" s="91" t="b">
        <v>0</v>
      </c>
      <c r="L2307" s="91" t="b">
        <v>0</v>
      </c>
    </row>
    <row r="2308" spans="1:12" ht="15">
      <c r="A2308" s="92" t="s">
        <v>3037</v>
      </c>
      <c r="B2308" s="91" t="s">
        <v>2616</v>
      </c>
      <c r="C2308" s="91">
        <v>3</v>
      </c>
      <c r="D2308" s="114">
        <v>0.002974731824007141</v>
      </c>
      <c r="E2308" s="114">
        <v>1.6092385759550858</v>
      </c>
      <c r="F2308" s="91" t="s">
        <v>2528</v>
      </c>
      <c r="G2308" s="91" t="b">
        <v>0</v>
      </c>
      <c r="H2308" s="91" t="b">
        <v>0</v>
      </c>
      <c r="I2308" s="91" t="b">
        <v>0</v>
      </c>
      <c r="J2308" s="91" t="b">
        <v>0</v>
      </c>
      <c r="K2308" s="91" t="b">
        <v>0</v>
      </c>
      <c r="L2308" s="91" t="b">
        <v>0</v>
      </c>
    </row>
    <row r="2309" spans="1:12" ht="15">
      <c r="A2309" s="92" t="s">
        <v>2616</v>
      </c>
      <c r="B2309" s="91" t="s">
        <v>2564</v>
      </c>
      <c r="C2309" s="91">
        <v>3</v>
      </c>
      <c r="D2309" s="114">
        <v>0.002974731824007141</v>
      </c>
      <c r="E2309" s="114">
        <v>1.4842998393467859</v>
      </c>
      <c r="F2309" s="91" t="s">
        <v>2528</v>
      </c>
      <c r="G2309" s="91" t="b">
        <v>0</v>
      </c>
      <c r="H2309" s="91" t="b">
        <v>0</v>
      </c>
      <c r="I2309" s="91" t="b">
        <v>0</v>
      </c>
      <c r="J2309" s="91" t="b">
        <v>0</v>
      </c>
      <c r="K2309" s="91" t="b">
        <v>0</v>
      </c>
      <c r="L2309" s="91" t="b">
        <v>0</v>
      </c>
    </row>
    <row r="2310" spans="1:12" ht="15">
      <c r="A2310" s="92" t="s">
        <v>2564</v>
      </c>
      <c r="B2310" s="91" t="s">
        <v>3038</v>
      </c>
      <c r="C2310" s="91">
        <v>3</v>
      </c>
      <c r="D2310" s="114">
        <v>0.002974731824007141</v>
      </c>
      <c r="E2310" s="114">
        <v>1.4842998393467859</v>
      </c>
      <c r="F2310" s="91" t="s">
        <v>2528</v>
      </c>
      <c r="G2310" s="91" t="b">
        <v>0</v>
      </c>
      <c r="H2310" s="91" t="b">
        <v>0</v>
      </c>
      <c r="I2310" s="91" t="b">
        <v>0</v>
      </c>
      <c r="J2310" s="91" t="b">
        <v>0</v>
      </c>
      <c r="K2310" s="91" t="b">
        <v>0</v>
      </c>
      <c r="L2310" s="91" t="b">
        <v>0</v>
      </c>
    </row>
    <row r="2311" spans="1:12" ht="15">
      <c r="A2311" s="92" t="s">
        <v>3038</v>
      </c>
      <c r="B2311" s="91" t="s">
        <v>3039</v>
      </c>
      <c r="C2311" s="91">
        <v>3</v>
      </c>
      <c r="D2311" s="114">
        <v>0.002974731824007141</v>
      </c>
      <c r="E2311" s="114">
        <v>1.6092385759550858</v>
      </c>
      <c r="F2311" s="91" t="s">
        <v>2528</v>
      </c>
      <c r="G2311" s="91" t="b">
        <v>0</v>
      </c>
      <c r="H2311" s="91" t="b">
        <v>0</v>
      </c>
      <c r="I2311" s="91" t="b">
        <v>0</v>
      </c>
      <c r="J2311" s="91" t="b">
        <v>0</v>
      </c>
      <c r="K2311" s="91" t="b">
        <v>0</v>
      </c>
      <c r="L2311" s="91" t="b">
        <v>0</v>
      </c>
    </row>
    <row r="2312" spans="1:12" ht="15">
      <c r="A2312" s="92" t="s">
        <v>3039</v>
      </c>
      <c r="B2312" s="91" t="s">
        <v>2766</v>
      </c>
      <c r="C2312" s="91">
        <v>3</v>
      </c>
      <c r="D2312" s="114">
        <v>0.002974731824007141</v>
      </c>
      <c r="E2312" s="114">
        <v>1.6092385759550858</v>
      </c>
      <c r="F2312" s="91" t="s">
        <v>2528</v>
      </c>
      <c r="G2312" s="91" t="b">
        <v>0</v>
      </c>
      <c r="H2312" s="91" t="b">
        <v>0</v>
      </c>
      <c r="I2312" s="91" t="b">
        <v>0</v>
      </c>
      <c r="J2312" s="91" t="b">
        <v>0</v>
      </c>
      <c r="K2312" s="91" t="b">
        <v>0</v>
      </c>
      <c r="L2312" s="91" t="b">
        <v>0</v>
      </c>
    </row>
    <row r="2313" spans="1:12" ht="15">
      <c r="A2313" s="92" t="s">
        <v>2766</v>
      </c>
      <c r="B2313" s="91" t="s">
        <v>2893</v>
      </c>
      <c r="C2313" s="91">
        <v>3</v>
      </c>
      <c r="D2313" s="114">
        <v>0.002974731824007141</v>
      </c>
      <c r="E2313" s="114">
        <v>1.6092385759550858</v>
      </c>
      <c r="F2313" s="91" t="s">
        <v>2528</v>
      </c>
      <c r="G2313" s="91" t="b">
        <v>0</v>
      </c>
      <c r="H2313" s="91" t="b">
        <v>0</v>
      </c>
      <c r="I2313" s="91" t="b">
        <v>0</v>
      </c>
      <c r="J2313" s="91" t="b">
        <v>0</v>
      </c>
      <c r="K2313" s="91" t="b">
        <v>0</v>
      </c>
      <c r="L2313" s="91" t="b">
        <v>0</v>
      </c>
    </row>
    <row r="2314" spans="1:12" ht="15">
      <c r="A2314" s="92" t="s">
        <v>3041</v>
      </c>
      <c r="B2314" s="91" t="s">
        <v>3042</v>
      </c>
      <c r="C2314" s="91">
        <v>3</v>
      </c>
      <c r="D2314" s="114">
        <v>0.004570929388108534</v>
      </c>
      <c r="E2314" s="114">
        <v>1.414973347970818</v>
      </c>
      <c r="F2314" s="91" t="s">
        <v>2529</v>
      </c>
      <c r="G2314" s="91" t="b">
        <v>0</v>
      </c>
      <c r="H2314" s="91" t="b">
        <v>0</v>
      </c>
      <c r="I2314" s="91" t="b">
        <v>0</v>
      </c>
      <c r="J2314" s="91" t="b">
        <v>0</v>
      </c>
      <c r="K2314" s="91" t="b">
        <v>0</v>
      </c>
      <c r="L2314" s="91" t="b">
        <v>0</v>
      </c>
    </row>
    <row r="2315" spans="1:12" ht="15">
      <c r="A2315" s="92" t="s">
        <v>3042</v>
      </c>
      <c r="B2315" s="91" t="s">
        <v>3043</v>
      </c>
      <c r="C2315" s="91">
        <v>3</v>
      </c>
      <c r="D2315" s="114">
        <v>0.004570929388108534</v>
      </c>
      <c r="E2315" s="114">
        <v>1.414973347970818</v>
      </c>
      <c r="F2315" s="91" t="s">
        <v>2529</v>
      </c>
      <c r="G2315" s="91" t="b">
        <v>0</v>
      </c>
      <c r="H2315" s="91" t="b">
        <v>0</v>
      </c>
      <c r="I2315" s="91" t="b">
        <v>0</v>
      </c>
      <c r="J2315" s="91" t="b">
        <v>0</v>
      </c>
      <c r="K2315" s="91" t="b">
        <v>0</v>
      </c>
      <c r="L2315" s="91" t="b">
        <v>0</v>
      </c>
    </row>
    <row r="2316" spans="1:12" ht="15">
      <c r="A2316" s="92" t="s">
        <v>3043</v>
      </c>
      <c r="B2316" s="91" t="s">
        <v>2734</v>
      </c>
      <c r="C2316" s="91">
        <v>3</v>
      </c>
      <c r="D2316" s="114">
        <v>0.004570929388108534</v>
      </c>
      <c r="E2316" s="114">
        <v>1.414973347970818</v>
      </c>
      <c r="F2316" s="91" t="s">
        <v>2529</v>
      </c>
      <c r="G2316" s="91" t="b">
        <v>0</v>
      </c>
      <c r="H2316" s="91" t="b">
        <v>0</v>
      </c>
      <c r="I2316" s="91" t="b">
        <v>0</v>
      </c>
      <c r="J2316" s="91" t="b">
        <v>0</v>
      </c>
      <c r="K2316" s="91" t="b">
        <v>0</v>
      </c>
      <c r="L2316" s="91" t="b">
        <v>0</v>
      </c>
    </row>
    <row r="2317" spans="1:12" ht="15">
      <c r="A2317" s="92" t="s">
        <v>2734</v>
      </c>
      <c r="B2317" s="91" t="s">
        <v>2720</v>
      </c>
      <c r="C2317" s="91">
        <v>3</v>
      </c>
      <c r="D2317" s="114">
        <v>0.004570929388108534</v>
      </c>
      <c r="E2317" s="114">
        <v>1.414973347970818</v>
      </c>
      <c r="F2317" s="91" t="s">
        <v>2529</v>
      </c>
      <c r="G2317" s="91" t="b">
        <v>0</v>
      </c>
      <c r="H2317" s="91" t="b">
        <v>0</v>
      </c>
      <c r="I2317" s="91" t="b">
        <v>0</v>
      </c>
      <c r="J2317" s="91" t="b">
        <v>0</v>
      </c>
      <c r="K2317" s="91" t="b">
        <v>0</v>
      </c>
      <c r="L2317" s="91" t="b">
        <v>0</v>
      </c>
    </row>
    <row r="2318" spans="1:12" ht="15">
      <c r="A2318" s="92" t="s">
        <v>2720</v>
      </c>
      <c r="B2318" s="91" t="s">
        <v>2874</v>
      </c>
      <c r="C2318" s="91">
        <v>3</v>
      </c>
      <c r="D2318" s="114">
        <v>0.004570929388108534</v>
      </c>
      <c r="E2318" s="114">
        <v>1.414973347970818</v>
      </c>
      <c r="F2318" s="91" t="s">
        <v>2529</v>
      </c>
      <c r="G2318" s="91" t="b">
        <v>0</v>
      </c>
      <c r="H2318" s="91" t="b">
        <v>0</v>
      </c>
      <c r="I2318" s="91" t="b">
        <v>0</v>
      </c>
      <c r="J2318" s="91" t="b">
        <v>0</v>
      </c>
      <c r="K2318" s="91" t="b">
        <v>0</v>
      </c>
      <c r="L2318" s="91" t="b">
        <v>0</v>
      </c>
    </row>
    <row r="2319" spans="1:12" ht="15">
      <c r="A2319" s="92" t="s">
        <v>2874</v>
      </c>
      <c r="B2319" s="91" t="s">
        <v>3044</v>
      </c>
      <c r="C2319" s="91">
        <v>3</v>
      </c>
      <c r="D2319" s="114">
        <v>0.004570929388108534</v>
      </c>
      <c r="E2319" s="114">
        <v>1.414973347970818</v>
      </c>
      <c r="F2319" s="91" t="s">
        <v>2529</v>
      </c>
      <c r="G2319" s="91" t="b">
        <v>0</v>
      </c>
      <c r="H2319" s="91" t="b">
        <v>0</v>
      </c>
      <c r="I2319" s="91" t="b">
        <v>0</v>
      </c>
      <c r="J2319" s="91" t="b">
        <v>0</v>
      </c>
      <c r="K2319" s="91" t="b">
        <v>0</v>
      </c>
      <c r="L2319" s="91" t="b">
        <v>0</v>
      </c>
    </row>
    <row r="2320" spans="1:12" ht="15">
      <c r="A2320" s="92" t="s">
        <v>3044</v>
      </c>
      <c r="B2320" s="91" t="s">
        <v>2564</v>
      </c>
      <c r="C2320" s="91">
        <v>3</v>
      </c>
      <c r="D2320" s="114">
        <v>0.004570929388108534</v>
      </c>
      <c r="E2320" s="114">
        <v>1.290034611362518</v>
      </c>
      <c r="F2320" s="91" t="s">
        <v>2529</v>
      </c>
      <c r="G2320" s="91" t="b">
        <v>0</v>
      </c>
      <c r="H2320" s="91" t="b">
        <v>0</v>
      </c>
      <c r="I2320" s="91" t="b">
        <v>0</v>
      </c>
      <c r="J2320" s="91" t="b">
        <v>0</v>
      </c>
      <c r="K2320" s="91" t="b">
        <v>0</v>
      </c>
      <c r="L2320" s="91" t="b">
        <v>0</v>
      </c>
    </row>
    <row r="2321" spans="1:12" ht="15">
      <c r="A2321" s="92" t="s">
        <v>2564</v>
      </c>
      <c r="B2321" s="91" t="s">
        <v>3045</v>
      </c>
      <c r="C2321" s="91">
        <v>3</v>
      </c>
      <c r="D2321" s="114">
        <v>0.004570929388108534</v>
      </c>
      <c r="E2321" s="114">
        <v>1.290034611362518</v>
      </c>
      <c r="F2321" s="91" t="s">
        <v>2529</v>
      </c>
      <c r="G2321" s="91" t="b">
        <v>0</v>
      </c>
      <c r="H2321" s="91" t="b">
        <v>0</v>
      </c>
      <c r="I2321" s="91" t="b">
        <v>0</v>
      </c>
      <c r="J2321" s="91" t="b">
        <v>0</v>
      </c>
      <c r="K2321" s="91" t="b">
        <v>0</v>
      </c>
      <c r="L2321" s="91" t="b">
        <v>0</v>
      </c>
    </row>
    <row r="2322" spans="1:12" ht="15">
      <c r="A2322" s="92" t="s">
        <v>3045</v>
      </c>
      <c r="B2322" s="91" t="s">
        <v>2903</v>
      </c>
      <c r="C2322" s="91">
        <v>3</v>
      </c>
      <c r="D2322" s="114">
        <v>0.004570929388108534</v>
      </c>
      <c r="E2322" s="114">
        <v>1.414973347970818</v>
      </c>
      <c r="F2322" s="91" t="s">
        <v>2529</v>
      </c>
      <c r="G2322" s="91" t="b">
        <v>0</v>
      </c>
      <c r="H2322" s="91" t="b">
        <v>0</v>
      </c>
      <c r="I2322" s="91" t="b">
        <v>0</v>
      </c>
      <c r="J2322" s="91" t="b">
        <v>0</v>
      </c>
      <c r="K2322" s="91" t="b">
        <v>0</v>
      </c>
      <c r="L2322" s="91" t="b">
        <v>0</v>
      </c>
    </row>
    <row r="2323" spans="1:12" ht="15">
      <c r="A2323" s="92" t="s">
        <v>2903</v>
      </c>
      <c r="B2323" s="91" t="s">
        <v>2571</v>
      </c>
      <c r="C2323" s="91">
        <v>3</v>
      </c>
      <c r="D2323" s="114">
        <v>0.004570929388108534</v>
      </c>
      <c r="E2323" s="114">
        <v>1.414973347970818</v>
      </c>
      <c r="F2323" s="91" t="s">
        <v>2529</v>
      </c>
      <c r="G2323" s="91" t="b">
        <v>0</v>
      </c>
      <c r="H2323" s="91" t="b">
        <v>0</v>
      </c>
      <c r="I2323" s="91" t="b">
        <v>0</v>
      </c>
      <c r="J2323" s="91" t="b">
        <v>0</v>
      </c>
      <c r="K2323" s="91" t="b">
        <v>0</v>
      </c>
      <c r="L2323" s="91" t="b">
        <v>0</v>
      </c>
    </row>
    <row r="2324" spans="1:12" ht="15">
      <c r="A2324" s="92" t="s">
        <v>2571</v>
      </c>
      <c r="B2324" s="91" t="s">
        <v>2617</v>
      </c>
      <c r="C2324" s="91">
        <v>3</v>
      </c>
      <c r="D2324" s="114">
        <v>0.004570929388108534</v>
      </c>
      <c r="E2324" s="114">
        <v>1.414973347970818</v>
      </c>
      <c r="F2324" s="91" t="s">
        <v>2529</v>
      </c>
      <c r="G2324" s="91" t="b">
        <v>0</v>
      </c>
      <c r="H2324" s="91" t="b">
        <v>0</v>
      </c>
      <c r="I2324" s="91" t="b">
        <v>0</v>
      </c>
      <c r="J2324" s="91" t="b">
        <v>0</v>
      </c>
      <c r="K2324" s="91" t="b">
        <v>0</v>
      </c>
      <c r="L2324" s="91" t="b">
        <v>0</v>
      </c>
    </row>
    <row r="2325" spans="1:12" ht="15">
      <c r="A2325" s="92" t="s">
        <v>2617</v>
      </c>
      <c r="B2325" s="91" t="s">
        <v>2567</v>
      </c>
      <c r="C2325" s="91">
        <v>3</v>
      </c>
      <c r="D2325" s="114">
        <v>0.004570929388108534</v>
      </c>
      <c r="E2325" s="114">
        <v>1.290034611362518</v>
      </c>
      <c r="F2325" s="91" t="s">
        <v>2529</v>
      </c>
      <c r="G2325" s="91" t="b">
        <v>0</v>
      </c>
      <c r="H2325" s="91" t="b">
        <v>0</v>
      </c>
      <c r="I2325" s="91" t="b">
        <v>0</v>
      </c>
      <c r="J2325" s="91" t="b">
        <v>0</v>
      </c>
      <c r="K2325" s="91" t="b">
        <v>0</v>
      </c>
      <c r="L2325" s="91" t="b">
        <v>0</v>
      </c>
    </row>
    <row r="2326" spans="1:12" ht="15">
      <c r="A2326" s="92" t="s">
        <v>2567</v>
      </c>
      <c r="B2326" s="91" t="s">
        <v>2616</v>
      </c>
      <c r="C2326" s="91">
        <v>3</v>
      </c>
      <c r="D2326" s="114">
        <v>0.004570929388108534</v>
      </c>
      <c r="E2326" s="114">
        <v>1.290034611362518</v>
      </c>
      <c r="F2326" s="91" t="s">
        <v>2529</v>
      </c>
      <c r="G2326" s="91" t="b">
        <v>0</v>
      </c>
      <c r="H2326" s="91" t="b">
        <v>0</v>
      </c>
      <c r="I2326" s="91" t="b">
        <v>0</v>
      </c>
      <c r="J2326" s="91" t="b">
        <v>0</v>
      </c>
      <c r="K2326" s="91" t="b">
        <v>0</v>
      </c>
      <c r="L2326" s="91" t="b">
        <v>0</v>
      </c>
    </row>
    <row r="2327" spans="1:12" ht="15">
      <c r="A2327" s="92" t="s">
        <v>2616</v>
      </c>
      <c r="B2327" s="91" t="s">
        <v>2587</v>
      </c>
      <c r="C2327" s="91">
        <v>3</v>
      </c>
      <c r="D2327" s="114">
        <v>0.004570929388108534</v>
      </c>
      <c r="E2327" s="114">
        <v>1.414973347970818</v>
      </c>
      <c r="F2327" s="91" t="s">
        <v>2529</v>
      </c>
      <c r="G2327" s="91" t="b">
        <v>0</v>
      </c>
      <c r="H2327" s="91" t="b">
        <v>0</v>
      </c>
      <c r="I2327" s="91" t="b">
        <v>0</v>
      </c>
      <c r="J2327" s="91" t="b">
        <v>0</v>
      </c>
      <c r="K2327" s="91" t="b">
        <v>0</v>
      </c>
      <c r="L2327" s="91" t="b">
        <v>0</v>
      </c>
    </row>
    <row r="2328" spans="1:12" ht="15">
      <c r="A2328" s="92" t="s">
        <v>3060</v>
      </c>
      <c r="B2328" s="91" t="s">
        <v>2801</v>
      </c>
      <c r="C2328" s="91">
        <v>3</v>
      </c>
      <c r="D2328" s="114">
        <v>0</v>
      </c>
      <c r="E2328" s="114">
        <v>1.3617278360175928</v>
      </c>
      <c r="F2328" s="91" t="s">
        <v>2530</v>
      </c>
      <c r="G2328" s="91" t="b">
        <v>0</v>
      </c>
      <c r="H2328" s="91" t="b">
        <v>0</v>
      </c>
      <c r="I2328" s="91" t="b">
        <v>0</v>
      </c>
      <c r="J2328" s="91" t="b">
        <v>0</v>
      </c>
      <c r="K2328" s="91" t="b">
        <v>0</v>
      </c>
      <c r="L2328" s="91" t="b">
        <v>0</v>
      </c>
    </row>
    <row r="2329" spans="1:12" ht="15">
      <c r="A2329" s="92" t="s">
        <v>2801</v>
      </c>
      <c r="B2329" s="91" t="s">
        <v>3061</v>
      </c>
      <c r="C2329" s="91">
        <v>3</v>
      </c>
      <c r="D2329" s="114">
        <v>0</v>
      </c>
      <c r="E2329" s="114">
        <v>1.3617278360175928</v>
      </c>
      <c r="F2329" s="91" t="s">
        <v>2530</v>
      </c>
      <c r="G2329" s="91" t="b">
        <v>0</v>
      </c>
      <c r="H2329" s="91" t="b">
        <v>0</v>
      </c>
      <c r="I2329" s="91" t="b">
        <v>0</v>
      </c>
      <c r="J2329" s="91" t="b">
        <v>0</v>
      </c>
      <c r="K2329" s="91" t="b">
        <v>0</v>
      </c>
      <c r="L2329" s="91" t="b">
        <v>0</v>
      </c>
    </row>
    <row r="2330" spans="1:12" ht="15">
      <c r="A2330" s="92" t="s">
        <v>3061</v>
      </c>
      <c r="B2330" s="91" t="s">
        <v>2847</v>
      </c>
      <c r="C2330" s="91">
        <v>3</v>
      </c>
      <c r="D2330" s="114">
        <v>0</v>
      </c>
      <c r="E2330" s="114">
        <v>1.3617278360175928</v>
      </c>
      <c r="F2330" s="91" t="s">
        <v>2530</v>
      </c>
      <c r="G2330" s="91" t="b">
        <v>0</v>
      </c>
      <c r="H2330" s="91" t="b">
        <v>0</v>
      </c>
      <c r="I2330" s="91" t="b">
        <v>0</v>
      </c>
      <c r="J2330" s="91" t="b">
        <v>0</v>
      </c>
      <c r="K2330" s="91" t="b">
        <v>0</v>
      </c>
      <c r="L2330" s="91" t="b">
        <v>0</v>
      </c>
    </row>
    <row r="2331" spans="1:12" ht="15">
      <c r="A2331" s="92" t="s">
        <v>2847</v>
      </c>
      <c r="B2331" s="91" t="s">
        <v>2613</v>
      </c>
      <c r="C2331" s="91">
        <v>3</v>
      </c>
      <c r="D2331" s="114">
        <v>0</v>
      </c>
      <c r="E2331" s="114">
        <v>1.3617278360175928</v>
      </c>
      <c r="F2331" s="91" t="s">
        <v>2530</v>
      </c>
      <c r="G2331" s="91" t="b">
        <v>0</v>
      </c>
      <c r="H2331" s="91" t="b">
        <v>0</v>
      </c>
      <c r="I2331" s="91" t="b">
        <v>0</v>
      </c>
      <c r="J2331" s="91" t="b">
        <v>0</v>
      </c>
      <c r="K2331" s="91" t="b">
        <v>0</v>
      </c>
      <c r="L2331" s="91" t="b">
        <v>0</v>
      </c>
    </row>
    <row r="2332" spans="1:12" ht="15">
      <c r="A2332" s="92" t="s">
        <v>2613</v>
      </c>
      <c r="B2332" s="91" t="s">
        <v>3062</v>
      </c>
      <c r="C2332" s="91">
        <v>3</v>
      </c>
      <c r="D2332" s="114">
        <v>0</v>
      </c>
      <c r="E2332" s="114">
        <v>1.3617278360175928</v>
      </c>
      <c r="F2332" s="91" t="s">
        <v>2530</v>
      </c>
      <c r="G2332" s="91" t="b">
        <v>0</v>
      </c>
      <c r="H2332" s="91" t="b">
        <v>0</v>
      </c>
      <c r="I2332" s="91" t="b">
        <v>0</v>
      </c>
      <c r="J2332" s="91" t="b">
        <v>0</v>
      </c>
      <c r="K2332" s="91" t="b">
        <v>0</v>
      </c>
      <c r="L2332" s="91" t="b">
        <v>0</v>
      </c>
    </row>
    <row r="2333" spans="1:12" ht="15">
      <c r="A2333" s="92" t="s">
        <v>3062</v>
      </c>
      <c r="B2333" s="91" t="s">
        <v>3063</v>
      </c>
      <c r="C2333" s="91">
        <v>3</v>
      </c>
      <c r="D2333" s="114">
        <v>0</v>
      </c>
      <c r="E2333" s="114">
        <v>1.3617278360175928</v>
      </c>
      <c r="F2333" s="91" t="s">
        <v>2530</v>
      </c>
      <c r="G2333" s="91" t="b">
        <v>0</v>
      </c>
      <c r="H2333" s="91" t="b">
        <v>0</v>
      </c>
      <c r="I2333" s="91" t="b">
        <v>0</v>
      </c>
      <c r="J2333" s="91" t="b">
        <v>0</v>
      </c>
      <c r="K2333" s="91" t="b">
        <v>0</v>
      </c>
      <c r="L2333" s="91" t="b">
        <v>0</v>
      </c>
    </row>
    <row r="2334" spans="1:12" ht="15">
      <c r="A2334" s="92" t="s">
        <v>3063</v>
      </c>
      <c r="B2334" s="91" t="s">
        <v>3064</v>
      </c>
      <c r="C2334" s="91">
        <v>3</v>
      </c>
      <c r="D2334" s="114">
        <v>0</v>
      </c>
      <c r="E2334" s="114">
        <v>1.3617278360175928</v>
      </c>
      <c r="F2334" s="91" t="s">
        <v>2530</v>
      </c>
      <c r="G2334" s="91" t="b">
        <v>0</v>
      </c>
      <c r="H2334" s="91" t="b">
        <v>0</v>
      </c>
      <c r="I2334" s="91" t="b">
        <v>0</v>
      </c>
      <c r="J2334" s="91" t="b">
        <v>0</v>
      </c>
      <c r="K2334" s="91" t="b">
        <v>0</v>
      </c>
      <c r="L2334" s="91" t="b">
        <v>0</v>
      </c>
    </row>
    <row r="2335" spans="1:12" ht="15">
      <c r="A2335" s="92" t="s">
        <v>3064</v>
      </c>
      <c r="B2335" s="91" t="s">
        <v>2612</v>
      </c>
      <c r="C2335" s="91">
        <v>3</v>
      </c>
      <c r="D2335" s="114">
        <v>0</v>
      </c>
      <c r="E2335" s="114">
        <v>1.3617278360175928</v>
      </c>
      <c r="F2335" s="91" t="s">
        <v>2530</v>
      </c>
      <c r="G2335" s="91" t="b">
        <v>0</v>
      </c>
      <c r="H2335" s="91" t="b">
        <v>0</v>
      </c>
      <c r="I2335" s="91" t="b">
        <v>0</v>
      </c>
      <c r="J2335" s="91" t="b">
        <v>0</v>
      </c>
      <c r="K2335" s="91" t="b">
        <v>0</v>
      </c>
      <c r="L2335" s="91" t="b">
        <v>0</v>
      </c>
    </row>
    <row r="2336" spans="1:12" ht="15">
      <c r="A2336" s="92" t="s">
        <v>2612</v>
      </c>
      <c r="B2336" s="91" t="s">
        <v>2892</v>
      </c>
      <c r="C2336" s="91">
        <v>3</v>
      </c>
      <c r="D2336" s="114">
        <v>0</v>
      </c>
      <c r="E2336" s="114">
        <v>1.3617278360175928</v>
      </c>
      <c r="F2336" s="91" t="s">
        <v>2530</v>
      </c>
      <c r="G2336" s="91" t="b">
        <v>0</v>
      </c>
      <c r="H2336" s="91" t="b">
        <v>0</v>
      </c>
      <c r="I2336" s="91" t="b">
        <v>0</v>
      </c>
      <c r="J2336" s="91" t="b">
        <v>0</v>
      </c>
      <c r="K2336" s="91" t="b">
        <v>0</v>
      </c>
      <c r="L2336" s="91" t="b">
        <v>0</v>
      </c>
    </row>
    <row r="2337" spans="1:12" ht="15">
      <c r="A2337" s="92" t="s">
        <v>2892</v>
      </c>
      <c r="B2337" s="91" t="s">
        <v>2731</v>
      </c>
      <c r="C2337" s="91">
        <v>3</v>
      </c>
      <c r="D2337" s="114">
        <v>0</v>
      </c>
      <c r="E2337" s="114">
        <v>1.3617278360175928</v>
      </c>
      <c r="F2337" s="91" t="s">
        <v>2530</v>
      </c>
      <c r="G2337" s="91" t="b">
        <v>0</v>
      </c>
      <c r="H2337" s="91" t="b">
        <v>0</v>
      </c>
      <c r="I2337" s="91" t="b">
        <v>0</v>
      </c>
      <c r="J2337" s="91" t="b">
        <v>0</v>
      </c>
      <c r="K2337" s="91" t="b">
        <v>0</v>
      </c>
      <c r="L2337" s="91" t="b">
        <v>0</v>
      </c>
    </row>
    <row r="2338" spans="1:12" ht="15">
      <c r="A2338" s="92" t="s">
        <v>2731</v>
      </c>
      <c r="B2338" s="91" t="s">
        <v>2643</v>
      </c>
      <c r="C2338" s="91">
        <v>3</v>
      </c>
      <c r="D2338" s="114">
        <v>0</v>
      </c>
      <c r="E2338" s="114">
        <v>1.3617278360175928</v>
      </c>
      <c r="F2338" s="91" t="s">
        <v>2530</v>
      </c>
      <c r="G2338" s="91" t="b">
        <v>0</v>
      </c>
      <c r="H2338" s="91" t="b">
        <v>0</v>
      </c>
      <c r="I2338" s="91" t="b">
        <v>0</v>
      </c>
      <c r="J2338" s="91" t="b">
        <v>0</v>
      </c>
      <c r="K2338" s="91" t="b">
        <v>0</v>
      </c>
      <c r="L2338" s="91" t="b">
        <v>0</v>
      </c>
    </row>
    <row r="2339" spans="1:12" ht="15">
      <c r="A2339" s="92" t="s">
        <v>2643</v>
      </c>
      <c r="B2339" s="91" t="s">
        <v>3065</v>
      </c>
      <c r="C2339" s="91">
        <v>3</v>
      </c>
      <c r="D2339" s="114">
        <v>0</v>
      </c>
      <c r="E2339" s="114">
        <v>1.3617278360175928</v>
      </c>
      <c r="F2339" s="91" t="s">
        <v>2530</v>
      </c>
      <c r="G2339" s="91" t="b">
        <v>0</v>
      </c>
      <c r="H2339" s="91" t="b">
        <v>0</v>
      </c>
      <c r="I2339" s="91" t="b">
        <v>0</v>
      </c>
      <c r="J2339" s="91" t="b">
        <v>0</v>
      </c>
      <c r="K2339" s="91" t="b">
        <v>0</v>
      </c>
      <c r="L2339" s="91" t="b">
        <v>0</v>
      </c>
    </row>
    <row r="2340" spans="1:12" ht="15">
      <c r="A2340" s="92" t="s">
        <v>3065</v>
      </c>
      <c r="B2340" s="91" t="s">
        <v>3066</v>
      </c>
      <c r="C2340" s="91">
        <v>3</v>
      </c>
      <c r="D2340" s="114">
        <v>0</v>
      </c>
      <c r="E2340" s="114">
        <v>1.3617278360175928</v>
      </c>
      <c r="F2340" s="91" t="s">
        <v>2530</v>
      </c>
      <c r="G2340" s="91" t="b">
        <v>0</v>
      </c>
      <c r="H2340" s="91" t="b">
        <v>0</v>
      </c>
      <c r="I2340" s="91" t="b">
        <v>0</v>
      </c>
      <c r="J2340" s="91" t="b">
        <v>0</v>
      </c>
      <c r="K2340" s="91" t="b">
        <v>0</v>
      </c>
      <c r="L2340" s="91" t="b">
        <v>0</v>
      </c>
    </row>
    <row r="2341" spans="1:12" ht="15">
      <c r="A2341" s="92" t="s">
        <v>3066</v>
      </c>
      <c r="B2341" s="91" t="s">
        <v>3067</v>
      </c>
      <c r="C2341" s="91">
        <v>3</v>
      </c>
      <c r="D2341" s="114">
        <v>0</v>
      </c>
      <c r="E2341" s="114">
        <v>1.3617278360175928</v>
      </c>
      <c r="F2341" s="91" t="s">
        <v>2530</v>
      </c>
      <c r="G2341" s="91" t="b">
        <v>0</v>
      </c>
      <c r="H2341" s="91" t="b">
        <v>0</v>
      </c>
      <c r="I2341" s="91" t="b">
        <v>0</v>
      </c>
      <c r="J2341" s="91" t="b">
        <v>0</v>
      </c>
      <c r="K2341" s="91" t="b">
        <v>0</v>
      </c>
      <c r="L2341" s="91" t="b">
        <v>0</v>
      </c>
    </row>
    <row r="2342" spans="1:12" ht="15">
      <c r="A2342" s="92" t="s">
        <v>3067</v>
      </c>
      <c r="B2342" s="91" t="s">
        <v>2585</v>
      </c>
      <c r="C2342" s="91">
        <v>3</v>
      </c>
      <c r="D2342" s="114">
        <v>0</v>
      </c>
      <c r="E2342" s="114">
        <v>1.3617278360175928</v>
      </c>
      <c r="F2342" s="91" t="s">
        <v>2530</v>
      </c>
      <c r="G2342" s="91" t="b">
        <v>0</v>
      </c>
      <c r="H2342" s="91" t="b">
        <v>0</v>
      </c>
      <c r="I2342" s="91" t="b">
        <v>0</v>
      </c>
      <c r="J2342" s="91" t="b">
        <v>0</v>
      </c>
      <c r="K2342" s="91" t="b">
        <v>0</v>
      </c>
      <c r="L2342" s="91" t="b">
        <v>0</v>
      </c>
    </row>
    <row r="2343" spans="1:12" ht="15">
      <c r="A2343" s="92" t="s">
        <v>2585</v>
      </c>
      <c r="B2343" s="91" t="s">
        <v>2802</v>
      </c>
      <c r="C2343" s="91">
        <v>3</v>
      </c>
      <c r="D2343" s="114">
        <v>0</v>
      </c>
      <c r="E2343" s="114">
        <v>1.3617278360175928</v>
      </c>
      <c r="F2343" s="91" t="s">
        <v>2530</v>
      </c>
      <c r="G2343" s="91" t="b">
        <v>0</v>
      </c>
      <c r="H2343" s="91" t="b">
        <v>0</v>
      </c>
      <c r="I2343" s="91" t="b">
        <v>0</v>
      </c>
      <c r="J2343" s="91" t="b">
        <v>0</v>
      </c>
      <c r="K2343" s="91" t="b">
        <v>0</v>
      </c>
      <c r="L2343" s="91" t="b">
        <v>0</v>
      </c>
    </row>
    <row r="2344" spans="1:12" ht="15">
      <c r="A2344" s="92" t="s">
        <v>2802</v>
      </c>
      <c r="B2344" s="91" t="s">
        <v>2800</v>
      </c>
      <c r="C2344" s="91">
        <v>3</v>
      </c>
      <c r="D2344" s="114">
        <v>0</v>
      </c>
      <c r="E2344" s="114">
        <v>1.3617278360175928</v>
      </c>
      <c r="F2344" s="91" t="s">
        <v>2530</v>
      </c>
      <c r="G2344" s="91" t="b">
        <v>0</v>
      </c>
      <c r="H2344" s="91" t="b">
        <v>0</v>
      </c>
      <c r="I2344" s="91" t="b">
        <v>0</v>
      </c>
      <c r="J2344" s="91" t="b">
        <v>0</v>
      </c>
      <c r="K2344" s="91" t="b">
        <v>0</v>
      </c>
      <c r="L2344" s="91" t="b">
        <v>0</v>
      </c>
    </row>
    <row r="2345" spans="1:12" ht="15">
      <c r="A2345" s="92" t="s">
        <v>2800</v>
      </c>
      <c r="B2345" s="91" t="s">
        <v>3068</v>
      </c>
      <c r="C2345" s="91">
        <v>3</v>
      </c>
      <c r="D2345" s="114">
        <v>0</v>
      </c>
      <c r="E2345" s="114">
        <v>1.3617278360175928</v>
      </c>
      <c r="F2345" s="91" t="s">
        <v>2530</v>
      </c>
      <c r="G2345" s="91" t="b">
        <v>0</v>
      </c>
      <c r="H2345" s="91" t="b">
        <v>0</v>
      </c>
      <c r="I2345" s="91" t="b">
        <v>0</v>
      </c>
      <c r="J2345" s="91" t="b">
        <v>0</v>
      </c>
      <c r="K2345" s="91" t="b">
        <v>0</v>
      </c>
      <c r="L2345" s="91" t="b">
        <v>0</v>
      </c>
    </row>
    <row r="2346" spans="1:12" ht="15">
      <c r="A2346" s="92" t="s">
        <v>3068</v>
      </c>
      <c r="B2346" s="91" t="s">
        <v>2620</v>
      </c>
      <c r="C2346" s="91">
        <v>3</v>
      </c>
      <c r="D2346" s="114">
        <v>0</v>
      </c>
      <c r="E2346" s="114">
        <v>1.3617278360175928</v>
      </c>
      <c r="F2346" s="91" t="s">
        <v>2530</v>
      </c>
      <c r="G2346" s="91" t="b">
        <v>0</v>
      </c>
      <c r="H2346" s="91" t="b">
        <v>0</v>
      </c>
      <c r="I2346" s="91" t="b">
        <v>0</v>
      </c>
      <c r="J2346" s="91" t="b">
        <v>0</v>
      </c>
      <c r="K2346" s="91" t="b">
        <v>0</v>
      </c>
      <c r="L2346" s="91" t="b">
        <v>0</v>
      </c>
    </row>
    <row r="2347" spans="1:12" ht="15">
      <c r="A2347" s="92" t="s">
        <v>2620</v>
      </c>
      <c r="B2347" s="91" t="s">
        <v>3069</v>
      </c>
      <c r="C2347" s="91">
        <v>3</v>
      </c>
      <c r="D2347" s="114">
        <v>0</v>
      </c>
      <c r="E2347" s="114">
        <v>1.3617278360175928</v>
      </c>
      <c r="F2347" s="91" t="s">
        <v>2530</v>
      </c>
      <c r="G2347" s="91" t="b">
        <v>0</v>
      </c>
      <c r="H2347" s="91" t="b">
        <v>0</v>
      </c>
      <c r="I2347" s="91" t="b">
        <v>0</v>
      </c>
      <c r="J2347" s="91" t="b">
        <v>0</v>
      </c>
      <c r="K2347" s="91" t="b">
        <v>0</v>
      </c>
      <c r="L2347" s="91" t="b">
        <v>0</v>
      </c>
    </row>
    <row r="2348" spans="1:12" ht="15">
      <c r="A2348" s="92" t="s">
        <v>3069</v>
      </c>
      <c r="B2348" s="91" t="s">
        <v>3070</v>
      </c>
      <c r="C2348" s="91">
        <v>3</v>
      </c>
      <c r="D2348" s="114">
        <v>0</v>
      </c>
      <c r="E2348" s="114">
        <v>1.3617278360175928</v>
      </c>
      <c r="F2348" s="91" t="s">
        <v>2530</v>
      </c>
      <c r="G2348" s="91" t="b">
        <v>0</v>
      </c>
      <c r="H2348" s="91" t="b">
        <v>0</v>
      </c>
      <c r="I2348" s="91" t="b">
        <v>0</v>
      </c>
      <c r="J2348" s="91" t="b">
        <v>0</v>
      </c>
      <c r="K2348" s="91" t="b">
        <v>0</v>
      </c>
      <c r="L2348" s="91" t="b">
        <v>0</v>
      </c>
    </row>
    <row r="2349" spans="1:12" ht="15">
      <c r="A2349" s="92" t="s">
        <v>3070</v>
      </c>
      <c r="B2349" s="91" t="s">
        <v>2564</v>
      </c>
      <c r="C2349" s="91">
        <v>3</v>
      </c>
      <c r="D2349" s="114">
        <v>0</v>
      </c>
      <c r="E2349" s="114">
        <v>1.3617278360175928</v>
      </c>
      <c r="F2349" s="91" t="s">
        <v>2530</v>
      </c>
      <c r="G2349" s="91" t="b">
        <v>0</v>
      </c>
      <c r="H2349" s="91" t="b">
        <v>0</v>
      </c>
      <c r="I2349" s="91" t="b">
        <v>0</v>
      </c>
      <c r="J2349" s="91" t="b">
        <v>0</v>
      </c>
      <c r="K2349" s="91" t="b">
        <v>0</v>
      </c>
      <c r="L2349" s="91" t="b">
        <v>0</v>
      </c>
    </row>
    <row r="2350" spans="1:12" ht="15">
      <c r="A2350" s="92" t="s">
        <v>2564</v>
      </c>
      <c r="B2350" s="91" t="s">
        <v>2728</v>
      </c>
      <c r="C2350" s="91">
        <v>3</v>
      </c>
      <c r="D2350" s="114">
        <v>0</v>
      </c>
      <c r="E2350" s="114">
        <v>1.3617278360175928</v>
      </c>
      <c r="F2350" s="91" t="s">
        <v>2530</v>
      </c>
      <c r="G2350" s="91" t="b">
        <v>0</v>
      </c>
      <c r="H2350" s="91" t="b">
        <v>0</v>
      </c>
      <c r="I2350" s="91" t="b">
        <v>0</v>
      </c>
      <c r="J2350" s="91" t="b">
        <v>0</v>
      </c>
      <c r="K2350" s="91" t="b">
        <v>0</v>
      </c>
      <c r="L2350" s="91" t="b">
        <v>0</v>
      </c>
    </row>
    <row r="2351" spans="1:12" ht="15">
      <c r="A2351" s="92" t="s">
        <v>2589</v>
      </c>
      <c r="B2351" s="91" t="s">
        <v>2776</v>
      </c>
      <c r="C2351" s="91">
        <v>4</v>
      </c>
      <c r="D2351" s="114">
        <v>0</v>
      </c>
      <c r="E2351" s="114">
        <v>0.9488474775526188</v>
      </c>
      <c r="F2351" s="91" t="s">
        <v>2531</v>
      </c>
      <c r="G2351" s="91" t="b">
        <v>0</v>
      </c>
      <c r="H2351" s="91" t="b">
        <v>0</v>
      </c>
      <c r="I2351" s="91" t="b">
        <v>0</v>
      </c>
      <c r="J2351" s="91" t="b">
        <v>0</v>
      </c>
      <c r="K2351" s="91" t="b">
        <v>0</v>
      </c>
      <c r="L2351" s="91" t="b">
        <v>0</v>
      </c>
    </row>
    <row r="2352" spans="1:12" ht="15">
      <c r="A2352" s="92" t="s">
        <v>3079</v>
      </c>
      <c r="B2352" s="91" t="s">
        <v>2773</v>
      </c>
      <c r="C2352" s="91">
        <v>2</v>
      </c>
      <c r="D2352" s="114">
        <v>0</v>
      </c>
      <c r="E2352" s="114">
        <v>1.6020599913279623</v>
      </c>
      <c r="F2352" s="91" t="s">
        <v>2531</v>
      </c>
      <c r="G2352" s="91" t="b">
        <v>0</v>
      </c>
      <c r="H2352" s="91" t="b">
        <v>0</v>
      </c>
      <c r="I2352" s="91" t="b">
        <v>0</v>
      </c>
      <c r="J2352" s="91" t="b">
        <v>0</v>
      </c>
      <c r="K2352" s="91" t="b">
        <v>0</v>
      </c>
      <c r="L2352" s="91" t="b">
        <v>0</v>
      </c>
    </row>
    <row r="2353" spans="1:12" ht="15">
      <c r="A2353" s="92" t="s">
        <v>2773</v>
      </c>
      <c r="B2353" s="91" t="s">
        <v>2893</v>
      </c>
      <c r="C2353" s="91">
        <v>2</v>
      </c>
      <c r="D2353" s="114">
        <v>0</v>
      </c>
      <c r="E2353" s="114">
        <v>1.6020599913279623</v>
      </c>
      <c r="F2353" s="91" t="s">
        <v>2531</v>
      </c>
      <c r="G2353" s="91" t="b">
        <v>0</v>
      </c>
      <c r="H2353" s="91" t="b">
        <v>0</v>
      </c>
      <c r="I2353" s="91" t="b">
        <v>0</v>
      </c>
      <c r="J2353" s="91" t="b">
        <v>0</v>
      </c>
      <c r="K2353" s="91" t="b">
        <v>0</v>
      </c>
      <c r="L2353" s="91" t="b">
        <v>0</v>
      </c>
    </row>
    <row r="2354" spans="1:12" ht="15">
      <c r="A2354" s="92" t="s">
        <v>2893</v>
      </c>
      <c r="B2354" s="91" t="s">
        <v>2589</v>
      </c>
      <c r="C2354" s="91">
        <v>2</v>
      </c>
      <c r="D2354" s="114">
        <v>0</v>
      </c>
      <c r="E2354" s="114">
        <v>1.1249387366083</v>
      </c>
      <c r="F2354" s="91" t="s">
        <v>2531</v>
      </c>
      <c r="G2354" s="91" t="b">
        <v>0</v>
      </c>
      <c r="H2354" s="91" t="b">
        <v>0</v>
      </c>
      <c r="I2354" s="91" t="b">
        <v>0</v>
      </c>
      <c r="J2354" s="91" t="b">
        <v>0</v>
      </c>
      <c r="K2354" s="91" t="b">
        <v>0</v>
      </c>
      <c r="L2354" s="91" t="b">
        <v>0</v>
      </c>
    </row>
    <row r="2355" spans="1:12" ht="15">
      <c r="A2355" s="92" t="s">
        <v>2776</v>
      </c>
      <c r="B2355" s="91" t="s">
        <v>2932</v>
      </c>
      <c r="C2355" s="91">
        <v>2</v>
      </c>
      <c r="D2355" s="114">
        <v>0</v>
      </c>
      <c r="E2355" s="114">
        <v>0.6478174818886375</v>
      </c>
      <c r="F2355" s="91" t="s">
        <v>2531</v>
      </c>
      <c r="G2355" s="91" t="b">
        <v>0</v>
      </c>
      <c r="H2355" s="91" t="b">
        <v>0</v>
      </c>
      <c r="I2355" s="91" t="b">
        <v>0</v>
      </c>
      <c r="J2355" s="91" t="b">
        <v>0</v>
      </c>
      <c r="K2355" s="91" t="b">
        <v>0</v>
      </c>
      <c r="L2355" s="91" t="b">
        <v>0</v>
      </c>
    </row>
    <row r="2356" spans="1:12" ht="15">
      <c r="A2356" s="92" t="s">
        <v>2932</v>
      </c>
      <c r="B2356" s="91" t="s">
        <v>3080</v>
      </c>
      <c r="C2356" s="91">
        <v>2</v>
      </c>
      <c r="D2356" s="114">
        <v>0</v>
      </c>
      <c r="E2356" s="114">
        <v>1.1249387366083</v>
      </c>
      <c r="F2356" s="91" t="s">
        <v>2531</v>
      </c>
      <c r="G2356" s="91" t="b">
        <v>0</v>
      </c>
      <c r="H2356" s="91" t="b">
        <v>0</v>
      </c>
      <c r="I2356" s="91" t="b">
        <v>0</v>
      </c>
      <c r="J2356" s="91" t="b">
        <v>0</v>
      </c>
      <c r="K2356" s="91" t="b">
        <v>0</v>
      </c>
      <c r="L2356" s="91" t="b">
        <v>0</v>
      </c>
    </row>
    <row r="2357" spans="1:12" ht="15">
      <c r="A2357" s="92" t="s">
        <v>3080</v>
      </c>
      <c r="B2357" s="91" t="s">
        <v>3081</v>
      </c>
      <c r="C2357" s="91">
        <v>2</v>
      </c>
      <c r="D2357" s="114">
        <v>0</v>
      </c>
      <c r="E2357" s="114">
        <v>1.6020599913279623</v>
      </c>
      <c r="F2357" s="91" t="s">
        <v>2531</v>
      </c>
      <c r="G2357" s="91" t="b">
        <v>0</v>
      </c>
      <c r="H2357" s="91" t="b">
        <v>0</v>
      </c>
      <c r="I2357" s="91" t="b">
        <v>0</v>
      </c>
      <c r="J2357" s="91" t="b">
        <v>0</v>
      </c>
      <c r="K2357" s="91" t="b">
        <v>0</v>
      </c>
      <c r="L2357" s="91" t="b">
        <v>0</v>
      </c>
    </row>
    <row r="2358" spans="1:12" ht="15">
      <c r="A2358" s="92" t="s">
        <v>3081</v>
      </c>
      <c r="B2358" s="91" t="s">
        <v>3082</v>
      </c>
      <c r="C2358" s="91">
        <v>2</v>
      </c>
      <c r="D2358" s="114">
        <v>0</v>
      </c>
      <c r="E2358" s="114">
        <v>1.6020599913279623</v>
      </c>
      <c r="F2358" s="91" t="s">
        <v>2531</v>
      </c>
      <c r="G2358" s="91" t="b">
        <v>0</v>
      </c>
      <c r="H2358" s="91" t="b">
        <v>0</v>
      </c>
      <c r="I2358" s="91" t="b">
        <v>0</v>
      </c>
      <c r="J2358" s="91" t="b">
        <v>0</v>
      </c>
      <c r="K2358" s="91" t="b">
        <v>0</v>
      </c>
      <c r="L2358" s="91" t="b">
        <v>0</v>
      </c>
    </row>
    <row r="2359" spans="1:12" ht="15">
      <c r="A2359" s="92" t="s">
        <v>3082</v>
      </c>
      <c r="B2359" s="91" t="s">
        <v>3083</v>
      </c>
      <c r="C2359" s="91">
        <v>2</v>
      </c>
      <c r="D2359" s="114">
        <v>0</v>
      </c>
      <c r="E2359" s="114">
        <v>1.6020599913279623</v>
      </c>
      <c r="F2359" s="91" t="s">
        <v>2531</v>
      </c>
      <c r="G2359" s="91" t="b">
        <v>0</v>
      </c>
      <c r="H2359" s="91" t="b">
        <v>0</v>
      </c>
      <c r="I2359" s="91" t="b">
        <v>0</v>
      </c>
      <c r="J2359" s="91" t="b">
        <v>0</v>
      </c>
      <c r="K2359" s="91" t="b">
        <v>0</v>
      </c>
      <c r="L2359" s="91" t="b">
        <v>0</v>
      </c>
    </row>
    <row r="2360" spans="1:12" ht="15">
      <c r="A2360" s="92" t="s">
        <v>3083</v>
      </c>
      <c r="B2360" s="91" t="s">
        <v>2663</v>
      </c>
      <c r="C2360" s="91">
        <v>2</v>
      </c>
      <c r="D2360" s="114">
        <v>0</v>
      </c>
      <c r="E2360" s="114">
        <v>1.6020599913279623</v>
      </c>
      <c r="F2360" s="91" t="s">
        <v>2531</v>
      </c>
      <c r="G2360" s="91" t="b">
        <v>0</v>
      </c>
      <c r="H2360" s="91" t="b">
        <v>0</v>
      </c>
      <c r="I2360" s="91" t="b">
        <v>0</v>
      </c>
      <c r="J2360" s="91" t="b">
        <v>0</v>
      </c>
      <c r="K2360" s="91" t="b">
        <v>0</v>
      </c>
      <c r="L2360" s="91" t="b">
        <v>0</v>
      </c>
    </row>
    <row r="2361" spans="1:12" ht="15">
      <c r="A2361" s="92" t="s">
        <v>2663</v>
      </c>
      <c r="B2361" s="91" t="s">
        <v>2568</v>
      </c>
      <c r="C2361" s="91">
        <v>2</v>
      </c>
      <c r="D2361" s="114">
        <v>0</v>
      </c>
      <c r="E2361" s="114">
        <v>1.6020599913279623</v>
      </c>
      <c r="F2361" s="91" t="s">
        <v>2531</v>
      </c>
      <c r="G2361" s="91" t="b">
        <v>0</v>
      </c>
      <c r="H2361" s="91" t="b">
        <v>0</v>
      </c>
      <c r="I2361" s="91" t="b">
        <v>0</v>
      </c>
      <c r="J2361" s="91" t="b">
        <v>0</v>
      </c>
      <c r="K2361" s="91" t="b">
        <v>0</v>
      </c>
      <c r="L2361" s="91" t="b">
        <v>0</v>
      </c>
    </row>
    <row r="2362" spans="1:12" ht="15">
      <c r="A2362" s="92" t="s">
        <v>2568</v>
      </c>
      <c r="B2362" s="91" t="s">
        <v>2589</v>
      </c>
      <c r="C2362" s="91">
        <v>2</v>
      </c>
      <c r="D2362" s="114">
        <v>0</v>
      </c>
      <c r="E2362" s="114">
        <v>1.1249387366083</v>
      </c>
      <c r="F2362" s="91" t="s">
        <v>2531</v>
      </c>
      <c r="G2362" s="91" t="b">
        <v>0</v>
      </c>
      <c r="H2362" s="91" t="b">
        <v>0</v>
      </c>
      <c r="I2362" s="91" t="b">
        <v>0</v>
      </c>
      <c r="J2362" s="91" t="b">
        <v>0</v>
      </c>
      <c r="K2362" s="91" t="b">
        <v>0</v>
      </c>
      <c r="L2362" s="91" t="b">
        <v>0</v>
      </c>
    </row>
    <row r="2363" spans="1:12" ht="15">
      <c r="A2363" s="92" t="s">
        <v>2589</v>
      </c>
      <c r="B2363" s="91" t="s">
        <v>2569</v>
      </c>
      <c r="C2363" s="91">
        <v>2</v>
      </c>
      <c r="D2363" s="114">
        <v>0</v>
      </c>
      <c r="E2363" s="114">
        <v>1.1249387366083</v>
      </c>
      <c r="F2363" s="91" t="s">
        <v>2531</v>
      </c>
      <c r="G2363" s="91" t="b">
        <v>0</v>
      </c>
      <c r="H2363" s="91" t="b">
        <v>0</v>
      </c>
      <c r="I2363" s="91" t="b">
        <v>0</v>
      </c>
      <c r="J2363" s="91" t="b">
        <v>0</v>
      </c>
      <c r="K2363" s="91" t="b">
        <v>0</v>
      </c>
      <c r="L2363" s="91" t="b">
        <v>0</v>
      </c>
    </row>
    <row r="2364" spans="1:12" ht="15">
      <c r="A2364" s="92" t="s">
        <v>2569</v>
      </c>
      <c r="B2364" s="91" t="s">
        <v>2572</v>
      </c>
      <c r="C2364" s="91">
        <v>2</v>
      </c>
      <c r="D2364" s="114">
        <v>0</v>
      </c>
      <c r="E2364" s="114">
        <v>1.6020599913279623</v>
      </c>
      <c r="F2364" s="91" t="s">
        <v>2531</v>
      </c>
      <c r="G2364" s="91" t="b">
        <v>0</v>
      </c>
      <c r="H2364" s="91" t="b">
        <v>0</v>
      </c>
      <c r="I2364" s="91" t="b">
        <v>0</v>
      </c>
      <c r="J2364" s="91" t="b">
        <v>0</v>
      </c>
      <c r="K2364" s="91" t="b">
        <v>0</v>
      </c>
      <c r="L2364" s="91" t="b">
        <v>0</v>
      </c>
    </row>
    <row r="2365" spans="1:12" ht="15">
      <c r="A2365" s="92" t="s">
        <v>2572</v>
      </c>
      <c r="B2365" s="91" t="s">
        <v>2767</v>
      </c>
      <c r="C2365" s="91">
        <v>2</v>
      </c>
      <c r="D2365" s="114">
        <v>0</v>
      </c>
      <c r="E2365" s="114">
        <v>1.6020599913279623</v>
      </c>
      <c r="F2365" s="91" t="s">
        <v>2531</v>
      </c>
      <c r="G2365" s="91" t="b">
        <v>0</v>
      </c>
      <c r="H2365" s="91" t="b">
        <v>0</v>
      </c>
      <c r="I2365" s="91" t="b">
        <v>0</v>
      </c>
      <c r="J2365" s="91" t="b">
        <v>0</v>
      </c>
      <c r="K2365" s="91" t="b">
        <v>0</v>
      </c>
      <c r="L2365" s="91" t="b">
        <v>0</v>
      </c>
    </row>
    <row r="2366" spans="1:12" ht="15">
      <c r="A2366" s="92" t="s">
        <v>2767</v>
      </c>
      <c r="B2366" s="91" t="s">
        <v>2932</v>
      </c>
      <c r="C2366" s="91">
        <v>2</v>
      </c>
      <c r="D2366" s="114">
        <v>0</v>
      </c>
      <c r="E2366" s="114">
        <v>1.1249387366083</v>
      </c>
      <c r="F2366" s="91" t="s">
        <v>2531</v>
      </c>
      <c r="G2366" s="91" t="b">
        <v>0</v>
      </c>
      <c r="H2366" s="91" t="b">
        <v>0</v>
      </c>
      <c r="I2366" s="91" t="b">
        <v>0</v>
      </c>
      <c r="J2366" s="91" t="b">
        <v>0</v>
      </c>
      <c r="K2366" s="91" t="b">
        <v>0</v>
      </c>
      <c r="L2366" s="91" t="b">
        <v>0</v>
      </c>
    </row>
    <row r="2367" spans="1:12" ht="15">
      <c r="A2367" s="92" t="s">
        <v>2932</v>
      </c>
      <c r="B2367" s="91" t="s">
        <v>3084</v>
      </c>
      <c r="C2367" s="91">
        <v>2</v>
      </c>
      <c r="D2367" s="114">
        <v>0</v>
      </c>
      <c r="E2367" s="114">
        <v>1.1249387366083</v>
      </c>
      <c r="F2367" s="91" t="s">
        <v>2531</v>
      </c>
      <c r="G2367" s="91" t="b">
        <v>0</v>
      </c>
      <c r="H2367" s="91" t="b">
        <v>0</v>
      </c>
      <c r="I2367" s="91" t="b">
        <v>0</v>
      </c>
      <c r="J2367" s="91" t="b">
        <v>0</v>
      </c>
      <c r="K2367" s="91" t="b">
        <v>0</v>
      </c>
      <c r="L2367" s="91" t="b">
        <v>0</v>
      </c>
    </row>
    <row r="2368" spans="1:12" ht="15">
      <c r="A2368" s="92" t="s">
        <v>3084</v>
      </c>
      <c r="B2368" s="91" t="s">
        <v>2933</v>
      </c>
      <c r="C2368" s="91">
        <v>2</v>
      </c>
      <c r="D2368" s="114">
        <v>0</v>
      </c>
      <c r="E2368" s="114">
        <v>1.6020599913279623</v>
      </c>
      <c r="F2368" s="91" t="s">
        <v>2531</v>
      </c>
      <c r="G2368" s="91" t="b">
        <v>0</v>
      </c>
      <c r="H2368" s="91" t="b">
        <v>0</v>
      </c>
      <c r="I2368" s="91" t="b">
        <v>0</v>
      </c>
      <c r="J2368" s="91" t="b">
        <v>0</v>
      </c>
      <c r="K2368" s="91" t="b">
        <v>0</v>
      </c>
      <c r="L2368" s="91" t="b">
        <v>0</v>
      </c>
    </row>
    <row r="2369" spans="1:12" ht="15">
      <c r="A2369" s="92" t="s">
        <v>2933</v>
      </c>
      <c r="B2369" s="91" t="s">
        <v>3085</v>
      </c>
      <c r="C2369" s="91">
        <v>2</v>
      </c>
      <c r="D2369" s="114">
        <v>0</v>
      </c>
      <c r="E2369" s="114">
        <v>1.6020599913279623</v>
      </c>
      <c r="F2369" s="91" t="s">
        <v>2531</v>
      </c>
      <c r="G2369" s="91" t="b">
        <v>0</v>
      </c>
      <c r="H2369" s="91" t="b">
        <v>0</v>
      </c>
      <c r="I2369" s="91" t="b">
        <v>0</v>
      </c>
      <c r="J2369" s="91" t="b">
        <v>0</v>
      </c>
      <c r="K2369" s="91" t="b">
        <v>0</v>
      </c>
      <c r="L2369" s="91" t="b">
        <v>0</v>
      </c>
    </row>
    <row r="2370" spans="1:12" ht="15">
      <c r="A2370" s="92" t="s">
        <v>3085</v>
      </c>
      <c r="B2370" s="91" t="s">
        <v>2772</v>
      </c>
      <c r="C2370" s="91">
        <v>2</v>
      </c>
      <c r="D2370" s="114">
        <v>0</v>
      </c>
      <c r="E2370" s="114">
        <v>1.6020599913279623</v>
      </c>
      <c r="F2370" s="91" t="s">
        <v>2531</v>
      </c>
      <c r="G2370" s="91" t="b">
        <v>0</v>
      </c>
      <c r="H2370" s="91" t="b">
        <v>0</v>
      </c>
      <c r="I2370" s="91" t="b">
        <v>0</v>
      </c>
      <c r="J2370" s="91" t="b">
        <v>0</v>
      </c>
      <c r="K2370" s="91" t="b">
        <v>0</v>
      </c>
      <c r="L2370" s="91" t="b">
        <v>0</v>
      </c>
    </row>
    <row r="2371" spans="1:12" ht="15">
      <c r="A2371" s="92" t="s">
        <v>2772</v>
      </c>
      <c r="B2371" s="91" t="s">
        <v>3086</v>
      </c>
      <c r="C2371" s="91">
        <v>2</v>
      </c>
      <c r="D2371" s="114">
        <v>0</v>
      </c>
      <c r="E2371" s="114">
        <v>1.6020599913279623</v>
      </c>
      <c r="F2371" s="91" t="s">
        <v>2531</v>
      </c>
      <c r="G2371" s="91" t="b">
        <v>0</v>
      </c>
      <c r="H2371" s="91" t="b">
        <v>0</v>
      </c>
      <c r="I2371" s="91" t="b">
        <v>0</v>
      </c>
      <c r="J2371" s="91" t="b">
        <v>0</v>
      </c>
      <c r="K2371" s="91" t="b">
        <v>0</v>
      </c>
      <c r="L2371" s="91" t="b">
        <v>0</v>
      </c>
    </row>
    <row r="2372" spans="1:12" ht="15">
      <c r="A2372" s="92" t="s">
        <v>3086</v>
      </c>
      <c r="B2372" s="91" t="s">
        <v>2776</v>
      </c>
      <c r="C2372" s="91">
        <v>2</v>
      </c>
      <c r="D2372" s="114">
        <v>0</v>
      </c>
      <c r="E2372" s="114">
        <v>1.1249387366083</v>
      </c>
      <c r="F2372" s="91" t="s">
        <v>2531</v>
      </c>
      <c r="G2372" s="91" t="b">
        <v>0</v>
      </c>
      <c r="H2372" s="91" t="b">
        <v>0</v>
      </c>
      <c r="I2372" s="91" t="b">
        <v>0</v>
      </c>
      <c r="J2372" s="91" t="b">
        <v>0</v>
      </c>
      <c r="K2372" s="91" t="b">
        <v>0</v>
      </c>
      <c r="L2372" s="91" t="b">
        <v>0</v>
      </c>
    </row>
    <row r="2373" spans="1:12" ht="15">
      <c r="A2373" s="92" t="s">
        <v>2776</v>
      </c>
      <c r="B2373" s="91" t="s">
        <v>2577</v>
      </c>
      <c r="C2373" s="91">
        <v>2</v>
      </c>
      <c r="D2373" s="114">
        <v>0</v>
      </c>
      <c r="E2373" s="114">
        <v>1.1249387366083</v>
      </c>
      <c r="F2373" s="91" t="s">
        <v>2531</v>
      </c>
      <c r="G2373" s="91" t="b">
        <v>0</v>
      </c>
      <c r="H2373" s="91" t="b">
        <v>0</v>
      </c>
      <c r="I2373" s="91" t="b">
        <v>0</v>
      </c>
      <c r="J2373" s="91" t="b">
        <v>0</v>
      </c>
      <c r="K2373" s="91" t="b">
        <v>0</v>
      </c>
      <c r="L2373" s="91" t="b">
        <v>0</v>
      </c>
    </row>
    <row r="2374" spans="1:12" ht="15">
      <c r="A2374" s="92" t="s">
        <v>2577</v>
      </c>
      <c r="B2374" s="91" t="s">
        <v>2610</v>
      </c>
      <c r="C2374" s="91">
        <v>2</v>
      </c>
      <c r="D2374" s="114">
        <v>0</v>
      </c>
      <c r="E2374" s="114">
        <v>1.6020599913279623</v>
      </c>
      <c r="F2374" s="91" t="s">
        <v>2531</v>
      </c>
      <c r="G2374" s="91" t="b">
        <v>0</v>
      </c>
      <c r="H2374" s="91" t="b">
        <v>0</v>
      </c>
      <c r="I2374" s="91" t="b">
        <v>0</v>
      </c>
      <c r="J2374" s="91" t="b">
        <v>0</v>
      </c>
      <c r="K2374" s="91" t="b">
        <v>0</v>
      </c>
      <c r="L2374" s="91" t="b">
        <v>0</v>
      </c>
    </row>
    <row r="2375" spans="1:12" ht="15">
      <c r="A2375" s="92" t="s">
        <v>2610</v>
      </c>
      <c r="B2375" s="91" t="s">
        <v>3087</v>
      </c>
      <c r="C2375" s="91">
        <v>2</v>
      </c>
      <c r="D2375" s="114">
        <v>0</v>
      </c>
      <c r="E2375" s="114">
        <v>1.6020599913279623</v>
      </c>
      <c r="F2375" s="91" t="s">
        <v>2531</v>
      </c>
      <c r="G2375" s="91" t="b">
        <v>0</v>
      </c>
      <c r="H2375" s="91" t="b">
        <v>0</v>
      </c>
      <c r="I2375" s="91" t="b">
        <v>0</v>
      </c>
      <c r="J2375" s="91" t="b">
        <v>0</v>
      </c>
      <c r="K2375" s="91" t="b">
        <v>0</v>
      </c>
      <c r="L2375" s="91" t="b">
        <v>0</v>
      </c>
    </row>
    <row r="2376" spans="1:12" ht="15">
      <c r="A2376" s="92" t="s">
        <v>3087</v>
      </c>
      <c r="B2376" s="91" t="s">
        <v>2589</v>
      </c>
      <c r="C2376" s="91">
        <v>2</v>
      </c>
      <c r="D2376" s="114">
        <v>0</v>
      </c>
      <c r="E2376" s="114">
        <v>1.1249387366083</v>
      </c>
      <c r="F2376" s="91" t="s">
        <v>2531</v>
      </c>
      <c r="G2376" s="91" t="b">
        <v>0</v>
      </c>
      <c r="H2376" s="91" t="b">
        <v>0</v>
      </c>
      <c r="I2376" s="91" t="b">
        <v>0</v>
      </c>
      <c r="J2376" s="91" t="b">
        <v>0</v>
      </c>
      <c r="K2376" s="91" t="b">
        <v>0</v>
      </c>
      <c r="L2376" s="91" t="b">
        <v>0</v>
      </c>
    </row>
    <row r="2377" spans="1:12" ht="15">
      <c r="A2377" s="92" t="s">
        <v>2776</v>
      </c>
      <c r="B2377" s="91" t="s">
        <v>3088</v>
      </c>
      <c r="C2377" s="91">
        <v>2</v>
      </c>
      <c r="D2377" s="114">
        <v>0</v>
      </c>
      <c r="E2377" s="114">
        <v>1.1249387366083</v>
      </c>
      <c r="F2377" s="91" t="s">
        <v>2531</v>
      </c>
      <c r="G2377" s="91" t="b">
        <v>0</v>
      </c>
      <c r="H2377" s="91" t="b">
        <v>0</v>
      </c>
      <c r="I2377" s="91" t="b">
        <v>0</v>
      </c>
      <c r="J2377" s="91" t="b">
        <v>0</v>
      </c>
      <c r="K2377" s="91" t="b">
        <v>0</v>
      </c>
      <c r="L2377" s="91" t="b">
        <v>0</v>
      </c>
    </row>
    <row r="2378" spans="1:12" ht="15">
      <c r="A2378" s="92" t="s">
        <v>3088</v>
      </c>
      <c r="B2378" s="91" t="s">
        <v>2590</v>
      </c>
      <c r="C2378" s="91">
        <v>2</v>
      </c>
      <c r="D2378" s="114">
        <v>0</v>
      </c>
      <c r="E2378" s="114">
        <v>1.6020599913279623</v>
      </c>
      <c r="F2378" s="91" t="s">
        <v>2531</v>
      </c>
      <c r="G2378" s="91" t="b">
        <v>0</v>
      </c>
      <c r="H2378" s="91" t="b">
        <v>0</v>
      </c>
      <c r="I2378" s="91" t="b">
        <v>0</v>
      </c>
      <c r="J2378" s="91" t="b">
        <v>0</v>
      </c>
      <c r="K2378" s="91" t="b">
        <v>0</v>
      </c>
      <c r="L2378" s="91" t="b">
        <v>0</v>
      </c>
    </row>
    <row r="2379" spans="1:12" ht="15">
      <c r="A2379" s="92" t="s">
        <v>2590</v>
      </c>
      <c r="B2379" s="91" t="s">
        <v>2607</v>
      </c>
      <c r="C2379" s="91">
        <v>2</v>
      </c>
      <c r="D2379" s="114">
        <v>0</v>
      </c>
      <c r="E2379" s="114">
        <v>1.301029995663981</v>
      </c>
      <c r="F2379" s="91" t="s">
        <v>2531</v>
      </c>
      <c r="G2379" s="91" t="b">
        <v>0</v>
      </c>
      <c r="H2379" s="91" t="b">
        <v>0</v>
      </c>
      <c r="I2379" s="91" t="b">
        <v>0</v>
      </c>
      <c r="J2379" s="91" t="b">
        <v>0</v>
      </c>
      <c r="K2379" s="91" t="b">
        <v>0</v>
      </c>
      <c r="L2379" s="91" t="b">
        <v>0</v>
      </c>
    </row>
    <row r="2380" spans="1:12" ht="15">
      <c r="A2380" s="92" t="s">
        <v>2607</v>
      </c>
      <c r="B2380" s="91" t="s">
        <v>3089</v>
      </c>
      <c r="C2380" s="91">
        <v>2</v>
      </c>
      <c r="D2380" s="114">
        <v>0</v>
      </c>
      <c r="E2380" s="114">
        <v>1.301029995663981</v>
      </c>
      <c r="F2380" s="91" t="s">
        <v>2531</v>
      </c>
      <c r="G2380" s="91" t="b">
        <v>0</v>
      </c>
      <c r="H2380" s="91" t="b">
        <v>0</v>
      </c>
      <c r="I2380" s="91" t="b">
        <v>0</v>
      </c>
      <c r="J2380" s="91" t="b">
        <v>0</v>
      </c>
      <c r="K2380" s="91" t="b">
        <v>0</v>
      </c>
      <c r="L2380" s="91" t="b">
        <v>0</v>
      </c>
    </row>
    <row r="2381" spans="1:12" ht="15">
      <c r="A2381" s="92" t="s">
        <v>3089</v>
      </c>
      <c r="B2381" s="91" t="s">
        <v>3090</v>
      </c>
      <c r="C2381" s="91">
        <v>2</v>
      </c>
      <c r="D2381" s="114">
        <v>0</v>
      </c>
      <c r="E2381" s="114">
        <v>1.6020599913279623</v>
      </c>
      <c r="F2381" s="91" t="s">
        <v>2531</v>
      </c>
      <c r="G2381" s="91" t="b">
        <v>0</v>
      </c>
      <c r="H2381" s="91" t="b">
        <v>0</v>
      </c>
      <c r="I2381" s="91" t="b">
        <v>0</v>
      </c>
      <c r="J2381" s="91" t="b">
        <v>0</v>
      </c>
      <c r="K2381" s="91" t="b">
        <v>0</v>
      </c>
      <c r="L2381" s="91" t="b">
        <v>0</v>
      </c>
    </row>
    <row r="2382" spans="1:12" ht="15">
      <c r="A2382" s="92" t="s">
        <v>3090</v>
      </c>
      <c r="B2382" s="91" t="s">
        <v>2637</v>
      </c>
      <c r="C2382" s="91">
        <v>2</v>
      </c>
      <c r="D2382" s="114">
        <v>0</v>
      </c>
      <c r="E2382" s="114">
        <v>1.6020599913279623</v>
      </c>
      <c r="F2382" s="91" t="s">
        <v>2531</v>
      </c>
      <c r="G2382" s="91" t="b">
        <v>0</v>
      </c>
      <c r="H2382" s="91" t="b">
        <v>0</v>
      </c>
      <c r="I2382" s="91" t="b">
        <v>0</v>
      </c>
      <c r="J2382" s="91" t="b">
        <v>0</v>
      </c>
      <c r="K2382" s="91" t="b">
        <v>0</v>
      </c>
      <c r="L2382" s="91" t="b">
        <v>0</v>
      </c>
    </row>
    <row r="2383" spans="1:12" ht="15">
      <c r="A2383" s="92" t="s">
        <v>2637</v>
      </c>
      <c r="B2383" s="91" t="s">
        <v>2607</v>
      </c>
      <c r="C2383" s="91">
        <v>2</v>
      </c>
      <c r="D2383" s="114">
        <v>0</v>
      </c>
      <c r="E2383" s="114">
        <v>1.301029995663981</v>
      </c>
      <c r="F2383" s="91" t="s">
        <v>2531</v>
      </c>
      <c r="G2383" s="91" t="b">
        <v>0</v>
      </c>
      <c r="H2383" s="91" t="b">
        <v>0</v>
      </c>
      <c r="I2383" s="91" t="b">
        <v>0</v>
      </c>
      <c r="J2383" s="91" t="b">
        <v>0</v>
      </c>
      <c r="K2383" s="91" t="b">
        <v>0</v>
      </c>
      <c r="L2383" s="91" t="b">
        <v>0</v>
      </c>
    </row>
    <row r="2384" spans="1:12" ht="15">
      <c r="A2384" s="92" t="s">
        <v>2607</v>
      </c>
      <c r="B2384" s="91" t="s">
        <v>3091</v>
      </c>
      <c r="C2384" s="91">
        <v>2</v>
      </c>
      <c r="D2384" s="114">
        <v>0</v>
      </c>
      <c r="E2384" s="114">
        <v>1.301029995663981</v>
      </c>
      <c r="F2384" s="91" t="s">
        <v>2531</v>
      </c>
      <c r="G2384" s="91" t="b">
        <v>0</v>
      </c>
      <c r="H2384" s="91" t="b">
        <v>0</v>
      </c>
      <c r="I2384" s="91" t="b">
        <v>0</v>
      </c>
      <c r="J2384" s="91" t="b">
        <v>0</v>
      </c>
      <c r="K2384" s="91" t="b">
        <v>0</v>
      </c>
      <c r="L2384" s="91" t="b">
        <v>0</v>
      </c>
    </row>
    <row r="2385" spans="1:12" ht="15">
      <c r="A2385" s="92" t="s">
        <v>3091</v>
      </c>
      <c r="B2385" s="91" t="s">
        <v>2576</v>
      </c>
      <c r="C2385" s="91">
        <v>2</v>
      </c>
      <c r="D2385" s="114">
        <v>0</v>
      </c>
      <c r="E2385" s="114">
        <v>1.6020599913279623</v>
      </c>
      <c r="F2385" s="91" t="s">
        <v>2531</v>
      </c>
      <c r="G2385" s="91" t="b">
        <v>0</v>
      </c>
      <c r="H2385" s="91" t="b">
        <v>0</v>
      </c>
      <c r="I2385" s="91" t="b">
        <v>0</v>
      </c>
      <c r="J2385" s="91" t="b">
        <v>0</v>
      </c>
      <c r="K2385" s="91" t="b">
        <v>0</v>
      </c>
      <c r="L2385" s="91" t="b">
        <v>0</v>
      </c>
    </row>
    <row r="2386" spans="1:12" ht="15">
      <c r="A2386" s="92" t="s">
        <v>2576</v>
      </c>
      <c r="B2386" s="91" t="s">
        <v>2932</v>
      </c>
      <c r="C2386" s="91">
        <v>2</v>
      </c>
      <c r="D2386" s="114">
        <v>0</v>
      </c>
      <c r="E2386" s="114">
        <v>1.1249387366083</v>
      </c>
      <c r="F2386" s="91" t="s">
        <v>2531</v>
      </c>
      <c r="G2386" s="91" t="b">
        <v>0</v>
      </c>
      <c r="H2386" s="91" t="b">
        <v>0</v>
      </c>
      <c r="I2386" s="91" t="b">
        <v>0</v>
      </c>
      <c r="J2386" s="91" t="b">
        <v>0</v>
      </c>
      <c r="K2386" s="91" t="b">
        <v>0</v>
      </c>
      <c r="L2386" s="91" t="b">
        <v>0</v>
      </c>
    </row>
    <row r="2387" spans="1:12" ht="15">
      <c r="A2387" s="92" t="s">
        <v>2932</v>
      </c>
      <c r="B2387" s="91" t="s">
        <v>3092</v>
      </c>
      <c r="C2387" s="91">
        <v>2</v>
      </c>
      <c r="D2387" s="114">
        <v>0</v>
      </c>
      <c r="E2387" s="114">
        <v>1.1249387366083</v>
      </c>
      <c r="F2387" s="91" t="s">
        <v>2531</v>
      </c>
      <c r="G2387" s="91" t="b">
        <v>0</v>
      </c>
      <c r="H2387" s="91" t="b">
        <v>0</v>
      </c>
      <c r="I2387" s="91" t="b">
        <v>0</v>
      </c>
      <c r="J2387" s="91" t="b">
        <v>0</v>
      </c>
      <c r="K2387" s="91" t="b">
        <v>0</v>
      </c>
      <c r="L2387" s="91" t="b">
        <v>0</v>
      </c>
    </row>
    <row r="2388" spans="1:12" ht="15">
      <c r="A2388" s="92" t="s">
        <v>3092</v>
      </c>
      <c r="B2388" s="91" t="s">
        <v>3093</v>
      </c>
      <c r="C2388" s="91">
        <v>2</v>
      </c>
      <c r="D2388" s="114">
        <v>0</v>
      </c>
      <c r="E2388" s="114">
        <v>1.6020599913279623</v>
      </c>
      <c r="F2388" s="91" t="s">
        <v>2531</v>
      </c>
      <c r="G2388" s="91" t="b">
        <v>0</v>
      </c>
      <c r="H2388" s="91" t="b">
        <v>0</v>
      </c>
      <c r="I2388" s="91" t="b">
        <v>0</v>
      </c>
      <c r="J2388" s="91" t="b">
        <v>0</v>
      </c>
      <c r="K2388" s="91" t="b">
        <v>0</v>
      </c>
      <c r="L2388" s="91" t="b">
        <v>0</v>
      </c>
    </row>
    <row r="2389" spans="1:12" ht="15">
      <c r="A2389" s="92" t="s">
        <v>3093</v>
      </c>
      <c r="B2389" s="91" t="s">
        <v>2564</v>
      </c>
      <c r="C2389" s="91">
        <v>2</v>
      </c>
      <c r="D2389" s="114">
        <v>0</v>
      </c>
      <c r="E2389" s="114">
        <v>1.6020599913279623</v>
      </c>
      <c r="F2389" s="91" t="s">
        <v>2531</v>
      </c>
      <c r="G2389" s="91" t="b">
        <v>0</v>
      </c>
      <c r="H2389" s="91" t="b">
        <v>0</v>
      </c>
      <c r="I2389" s="91" t="b">
        <v>0</v>
      </c>
      <c r="J2389" s="91" t="b">
        <v>0</v>
      </c>
      <c r="K2389" s="91" t="b">
        <v>0</v>
      </c>
      <c r="L2389" s="91" t="b">
        <v>0</v>
      </c>
    </row>
    <row r="2390" spans="1:12" ht="15">
      <c r="A2390" s="92" t="s">
        <v>2721</v>
      </c>
      <c r="B2390" s="91" t="s">
        <v>3094</v>
      </c>
      <c r="C2390" s="91">
        <v>2</v>
      </c>
      <c r="D2390" s="114">
        <v>0</v>
      </c>
      <c r="E2390" s="114">
        <v>1.255272505103306</v>
      </c>
      <c r="F2390" s="91" t="s">
        <v>2532</v>
      </c>
      <c r="G2390" s="91" t="b">
        <v>0</v>
      </c>
      <c r="H2390" s="91" t="b">
        <v>0</v>
      </c>
      <c r="I2390" s="91" t="b">
        <v>0</v>
      </c>
      <c r="J2390" s="91" t="b">
        <v>0</v>
      </c>
      <c r="K2390" s="91" t="b">
        <v>0</v>
      </c>
      <c r="L2390" s="91" t="b">
        <v>0</v>
      </c>
    </row>
    <row r="2391" spans="1:12" ht="15">
      <c r="A2391" s="92" t="s">
        <v>3094</v>
      </c>
      <c r="B2391" s="91" t="s">
        <v>3095</v>
      </c>
      <c r="C2391" s="91">
        <v>2</v>
      </c>
      <c r="D2391" s="114">
        <v>0</v>
      </c>
      <c r="E2391" s="114">
        <v>1.255272505103306</v>
      </c>
      <c r="F2391" s="91" t="s">
        <v>2532</v>
      </c>
      <c r="G2391" s="91" t="b">
        <v>0</v>
      </c>
      <c r="H2391" s="91" t="b">
        <v>0</v>
      </c>
      <c r="I2391" s="91" t="b">
        <v>0</v>
      </c>
      <c r="J2391" s="91" t="b">
        <v>0</v>
      </c>
      <c r="K2391" s="91" t="b">
        <v>0</v>
      </c>
      <c r="L2391" s="91" t="b">
        <v>0</v>
      </c>
    </row>
    <row r="2392" spans="1:12" ht="15">
      <c r="A2392" s="92" t="s">
        <v>3095</v>
      </c>
      <c r="B2392" s="91" t="s">
        <v>2569</v>
      </c>
      <c r="C2392" s="91">
        <v>2</v>
      </c>
      <c r="D2392" s="114">
        <v>0</v>
      </c>
      <c r="E2392" s="114">
        <v>1.255272505103306</v>
      </c>
      <c r="F2392" s="91" t="s">
        <v>2532</v>
      </c>
      <c r="G2392" s="91" t="b">
        <v>0</v>
      </c>
      <c r="H2392" s="91" t="b">
        <v>0</v>
      </c>
      <c r="I2392" s="91" t="b">
        <v>0</v>
      </c>
      <c r="J2392" s="91" t="b">
        <v>0</v>
      </c>
      <c r="K2392" s="91" t="b">
        <v>0</v>
      </c>
      <c r="L2392" s="91" t="b">
        <v>0</v>
      </c>
    </row>
    <row r="2393" spans="1:12" ht="15">
      <c r="A2393" s="92" t="s">
        <v>2569</v>
      </c>
      <c r="B2393" s="91" t="s">
        <v>2572</v>
      </c>
      <c r="C2393" s="91">
        <v>2</v>
      </c>
      <c r="D2393" s="114">
        <v>0</v>
      </c>
      <c r="E2393" s="114">
        <v>1.255272505103306</v>
      </c>
      <c r="F2393" s="91" t="s">
        <v>2532</v>
      </c>
      <c r="G2393" s="91" t="b">
        <v>0</v>
      </c>
      <c r="H2393" s="91" t="b">
        <v>0</v>
      </c>
      <c r="I2393" s="91" t="b">
        <v>0</v>
      </c>
      <c r="J2393" s="91" t="b">
        <v>0</v>
      </c>
      <c r="K2393" s="91" t="b">
        <v>0</v>
      </c>
      <c r="L2393" s="91" t="b">
        <v>0</v>
      </c>
    </row>
    <row r="2394" spans="1:12" ht="15">
      <c r="A2394" s="92" t="s">
        <v>2572</v>
      </c>
      <c r="B2394" s="91" t="s">
        <v>2590</v>
      </c>
      <c r="C2394" s="91">
        <v>2</v>
      </c>
      <c r="D2394" s="114">
        <v>0</v>
      </c>
      <c r="E2394" s="114">
        <v>1.255272505103306</v>
      </c>
      <c r="F2394" s="91" t="s">
        <v>2532</v>
      </c>
      <c r="G2394" s="91" t="b">
        <v>0</v>
      </c>
      <c r="H2394" s="91" t="b">
        <v>0</v>
      </c>
      <c r="I2394" s="91" t="b">
        <v>0</v>
      </c>
      <c r="J2394" s="91" t="b">
        <v>0</v>
      </c>
      <c r="K2394" s="91" t="b">
        <v>0</v>
      </c>
      <c r="L2394" s="91" t="b">
        <v>0</v>
      </c>
    </row>
    <row r="2395" spans="1:12" ht="15">
      <c r="A2395" s="92" t="s">
        <v>2590</v>
      </c>
      <c r="B2395" s="91" t="s">
        <v>2848</v>
      </c>
      <c r="C2395" s="91">
        <v>2</v>
      </c>
      <c r="D2395" s="114">
        <v>0</v>
      </c>
      <c r="E2395" s="114">
        <v>1.255272505103306</v>
      </c>
      <c r="F2395" s="91" t="s">
        <v>2532</v>
      </c>
      <c r="G2395" s="91" t="b">
        <v>0</v>
      </c>
      <c r="H2395" s="91" t="b">
        <v>0</v>
      </c>
      <c r="I2395" s="91" t="b">
        <v>0</v>
      </c>
      <c r="J2395" s="91" t="b">
        <v>0</v>
      </c>
      <c r="K2395" s="91" t="b">
        <v>0</v>
      </c>
      <c r="L2395" s="91" t="b">
        <v>0</v>
      </c>
    </row>
    <row r="2396" spans="1:12" ht="15">
      <c r="A2396" s="92" t="s">
        <v>2848</v>
      </c>
      <c r="B2396" s="91" t="s">
        <v>2849</v>
      </c>
      <c r="C2396" s="91">
        <v>2</v>
      </c>
      <c r="D2396" s="114">
        <v>0</v>
      </c>
      <c r="E2396" s="114">
        <v>1.255272505103306</v>
      </c>
      <c r="F2396" s="91" t="s">
        <v>2532</v>
      </c>
      <c r="G2396" s="91" t="b">
        <v>0</v>
      </c>
      <c r="H2396" s="91" t="b">
        <v>0</v>
      </c>
      <c r="I2396" s="91" t="b">
        <v>0</v>
      </c>
      <c r="J2396" s="91" t="b">
        <v>0</v>
      </c>
      <c r="K2396" s="91" t="b">
        <v>0</v>
      </c>
      <c r="L2396" s="91" t="b">
        <v>0</v>
      </c>
    </row>
    <row r="2397" spans="1:12" ht="15">
      <c r="A2397" s="92" t="s">
        <v>2849</v>
      </c>
      <c r="B2397" s="91" t="s">
        <v>2850</v>
      </c>
      <c r="C2397" s="91">
        <v>2</v>
      </c>
      <c r="D2397" s="114">
        <v>0</v>
      </c>
      <c r="E2397" s="114">
        <v>1.255272505103306</v>
      </c>
      <c r="F2397" s="91" t="s">
        <v>2532</v>
      </c>
      <c r="G2397" s="91" t="b">
        <v>0</v>
      </c>
      <c r="H2397" s="91" t="b">
        <v>0</v>
      </c>
      <c r="I2397" s="91" t="b">
        <v>0</v>
      </c>
      <c r="J2397" s="91" t="b">
        <v>0</v>
      </c>
      <c r="K2397" s="91" t="b">
        <v>0</v>
      </c>
      <c r="L2397" s="91" t="b">
        <v>0</v>
      </c>
    </row>
    <row r="2398" spans="1:12" ht="15">
      <c r="A2398" s="92" t="s">
        <v>2850</v>
      </c>
      <c r="B2398" s="91" t="s">
        <v>2718</v>
      </c>
      <c r="C2398" s="91">
        <v>2</v>
      </c>
      <c r="D2398" s="114">
        <v>0</v>
      </c>
      <c r="E2398" s="114">
        <v>1.255272505103306</v>
      </c>
      <c r="F2398" s="91" t="s">
        <v>2532</v>
      </c>
      <c r="G2398" s="91" t="b">
        <v>0</v>
      </c>
      <c r="H2398" s="91" t="b">
        <v>0</v>
      </c>
      <c r="I2398" s="91" t="b">
        <v>0</v>
      </c>
      <c r="J2398" s="91" t="b">
        <v>0</v>
      </c>
      <c r="K2398" s="91" t="b">
        <v>0</v>
      </c>
      <c r="L2398" s="91" t="b">
        <v>0</v>
      </c>
    </row>
    <row r="2399" spans="1:12" ht="15">
      <c r="A2399" s="92" t="s">
        <v>2718</v>
      </c>
      <c r="B2399" s="91" t="s">
        <v>3096</v>
      </c>
      <c r="C2399" s="91">
        <v>2</v>
      </c>
      <c r="D2399" s="114">
        <v>0</v>
      </c>
      <c r="E2399" s="114">
        <v>1.255272505103306</v>
      </c>
      <c r="F2399" s="91" t="s">
        <v>2532</v>
      </c>
      <c r="G2399" s="91" t="b">
        <v>0</v>
      </c>
      <c r="H2399" s="91" t="b">
        <v>0</v>
      </c>
      <c r="I2399" s="91" t="b">
        <v>0</v>
      </c>
      <c r="J2399" s="91" t="b">
        <v>0</v>
      </c>
      <c r="K2399" s="91" t="b">
        <v>0</v>
      </c>
      <c r="L2399" s="91" t="b">
        <v>0</v>
      </c>
    </row>
    <row r="2400" spans="1:12" ht="15">
      <c r="A2400" s="92" t="s">
        <v>3096</v>
      </c>
      <c r="B2400" s="91" t="s">
        <v>3097</v>
      </c>
      <c r="C2400" s="91">
        <v>2</v>
      </c>
      <c r="D2400" s="114">
        <v>0</v>
      </c>
      <c r="E2400" s="114">
        <v>1.255272505103306</v>
      </c>
      <c r="F2400" s="91" t="s">
        <v>2532</v>
      </c>
      <c r="G2400" s="91" t="b">
        <v>0</v>
      </c>
      <c r="H2400" s="91" t="b">
        <v>0</v>
      </c>
      <c r="I2400" s="91" t="b">
        <v>0</v>
      </c>
      <c r="J2400" s="91" t="b">
        <v>0</v>
      </c>
      <c r="K2400" s="91" t="b">
        <v>0</v>
      </c>
      <c r="L2400" s="91" t="b">
        <v>0</v>
      </c>
    </row>
    <row r="2401" spans="1:12" ht="15">
      <c r="A2401" s="92" t="s">
        <v>3097</v>
      </c>
      <c r="B2401" s="91" t="s">
        <v>3098</v>
      </c>
      <c r="C2401" s="91">
        <v>2</v>
      </c>
      <c r="D2401" s="114">
        <v>0</v>
      </c>
      <c r="E2401" s="114">
        <v>1.255272505103306</v>
      </c>
      <c r="F2401" s="91" t="s">
        <v>2532</v>
      </c>
      <c r="G2401" s="91" t="b">
        <v>0</v>
      </c>
      <c r="H2401" s="91" t="b">
        <v>0</v>
      </c>
      <c r="I2401" s="91" t="b">
        <v>0</v>
      </c>
      <c r="J2401" s="91" t="b">
        <v>0</v>
      </c>
      <c r="K2401" s="91" t="b">
        <v>0</v>
      </c>
      <c r="L2401" s="91" t="b">
        <v>0</v>
      </c>
    </row>
    <row r="2402" spans="1:12" ht="15">
      <c r="A2402" s="92" t="s">
        <v>3098</v>
      </c>
      <c r="B2402" s="91" t="s">
        <v>2661</v>
      </c>
      <c r="C2402" s="91">
        <v>2</v>
      </c>
      <c r="D2402" s="114">
        <v>0</v>
      </c>
      <c r="E2402" s="114">
        <v>1.255272505103306</v>
      </c>
      <c r="F2402" s="91" t="s">
        <v>2532</v>
      </c>
      <c r="G2402" s="91" t="b">
        <v>0</v>
      </c>
      <c r="H2402" s="91" t="b">
        <v>0</v>
      </c>
      <c r="I2402" s="91" t="b">
        <v>0</v>
      </c>
      <c r="J2402" s="91" t="b">
        <v>0</v>
      </c>
      <c r="K2402" s="91" t="b">
        <v>0</v>
      </c>
      <c r="L2402" s="91" t="b">
        <v>0</v>
      </c>
    </row>
    <row r="2403" spans="1:12" ht="15">
      <c r="A2403" s="92" t="s">
        <v>2661</v>
      </c>
      <c r="B2403" s="91" t="s">
        <v>3099</v>
      </c>
      <c r="C2403" s="91">
        <v>2</v>
      </c>
      <c r="D2403" s="114">
        <v>0</v>
      </c>
      <c r="E2403" s="114">
        <v>1.255272505103306</v>
      </c>
      <c r="F2403" s="91" t="s">
        <v>2532</v>
      </c>
      <c r="G2403" s="91" t="b">
        <v>0</v>
      </c>
      <c r="H2403" s="91" t="b">
        <v>0</v>
      </c>
      <c r="I2403" s="91" t="b">
        <v>0</v>
      </c>
      <c r="J2403" s="91" t="b">
        <v>0</v>
      </c>
      <c r="K2403" s="91" t="b">
        <v>0</v>
      </c>
      <c r="L2403" s="91" t="b">
        <v>0</v>
      </c>
    </row>
    <row r="2404" spans="1:12" ht="15">
      <c r="A2404" s="92" t="s">
        <v>3099</v>
      </c>
      <c r="B2404" s="91" t="s">
        <v>3100</v>
      </c>
      <c r="C2404" s="91">
        <v>2</v>
      </c>
      <c r="D2404" s="114">
        <v>0</v>
      </c>
      <c r="E2404" s="114">
        <v>1.255272505103306</v>
      </c>
      <c r="F2404" s="91" t="s">
        <v>2532</v>
      </c>
      <c r="G2404" s="91" t="b">
        <v>0</v>
      </c>
      <c r="H2404" s="91" t="b">
        <v>0</v>
      </c>
      <c r="I2404" s="91" t="b">
        <v>0</v>
      </c>
      <c r="J2404" s="91" t="b">
        <v>0</v>
      </c>
      <c r="K2404" s="91" t="b">
        <v>0</v>
      </c>
      <c r="L2404" s="91" t="b">
        <v>0</v>
      </c>
    </row>
    <row r="2405" spans="1:12" ht="15">
      <c r="A2405" s="92" t="s">
        <v>3100</v>
      </c>
      <c r="B2405" s="91" t="s">
        <v>2564</v>
      </c>
      <c r="C2405" s="91">
        <v>2</v>
      </c>
      <c r="D2405" s="114">
        <v>0</v>
      </c>
      <c r="E2405" s="114">
        <v>1.255272505103306</v>
      </c>
      <c r="F2405" s="91" t="s">
        <v>2532</v>
      </c>
      <c r="G2405" s="91" t="b">
        <v>0</v>
      </c>
      <c r="H2405" s="91" t="b">
        <v>0</v>
      </c>
      <c r="I2405" s="91" t="b">
        <v>0</v>
      </c>
      <c r="J2405" s="91" t="b">
        <v>0</v>
      </c>
      <c r="K2405" s="91" t="b">
        <v>0</v>
      </c>
      <c r="L2405" s="91" t="b">
        <v>0</v>
      </c>
    </row>
    <row r="2406" spans="1:12" ht="15">
      <c r="A2406" s="92" t="s">
        <v>2564</v>
      </c>
      <c r="B2406" s="91" t="s">
        <v>2594</v>
      </c>
      <c r="C2406" s="91">
        <v>2</v>
      </c>
      <c r="D2406" s="114">
        <v>0</v>
      </c>
      <c r="E2406" s="114">
        <v>1.255272505103306</v>
      </c>
      <c r="F2406" s="91" t="s">
        <v>2532</v>
      </c>
      <c r="G2406" s="91" t="b">
        <v>0</v>
      </c>
      <c r="H2406" s="91" t="b">
        <v>0</v>
      </c>
      <c r="I2406" s="91" t="b">
        <v>0</v>
      </c>
      <c r="J2406" s="91" t="b">
        <v>0</v>
      </c>
      <c r="K2406" s="91" t="b">
        <v>0</v>
      </c>
      <c r="L2406" s="91" t="b">
        <v>0</v>
      </c>
    </row>
    <row r="2407" spans="1:12" ht="15">
      <c r="A2407" s="92" t="s">
        <v>2594</v>
      </c>
      <c r="B2407" s="91" t="s">
        <v>2769</v>
      </c>
      <c r="C2407" s="91">
        <v>2</v>
      </c>
      <c r="D2407" s="114">
        <v>0</v>
      </c>
      <c r="E2407" s="114">
        <v>1.255272505103306</v>
      </c>
      <c r="F2407" s="91" t="s">
        <v>2532</v>
      </c>
      <c r="G2407" s="91" t="b">
        <v>0</v>
      </c>
      <c r="H2407" s="91" t="b">
        <v>0</v>
      </c>
      <c r="I2407" s="91" t="b">
        <v>0</v>
      </c>
      <c r="J2407" s="91" t="b">
        <v>0</v>
      </c>
      <c r="K2407" s="91" t="b">
        <v>0</v>
      </c>
      <c r="L2407" s="91" t="b">
        <v>0</v>
      </c>
    </row>
    <row r="2408" spans="1:12" ht="15">
      <c r="A2408" s="92" t="s">
        <v>2989</v>
      </c>
      <c r="B2408" s="91" t="s">
        <v>2590</v>
      </c>
      <c r="C2408" s="91">
        <v>4</v>
      </c>
      <c r="D2408" s="114">
        <v>0</v>
      </c>
      <c r="E2408" s="114">
        <v>1.2218487496163564</v>
      </c>
      <c r="F2408" s="91" t="s">
        <v>2533</v>
      </c>
      <c r="G2408" s="91" t="b">
        <v>0</v>
      </c>
      <c r="H2408" s="91" t="b">
        <v>0</v>
      </c>
      <c r="I2408" s="91" t="b">
        <v>0</v>
      </c>
      <c r="J2408" s="91" t="b">
        <v>0</v>
      </c>
      <c r="K2408" s="91" t="b">
        <v>0</v>
      </c>
      <c r="L2408" s="91" t="b">
        <v>0</v>
      </c>
    </row>
    <row r="2409" spans="1:12" ht="15">
      <c r="A2409" s="92" t="s">
        <v>2589</v>
      </c>
      <c r="B2409" s="91" t="s">
        <v>2569</v>
      </c>
      <c r="C2409" s="91">
        <v>2</v>
      </c>
      <c r="D2409" s="114">
        <v>0</v>
      </c>
      <c r="E2409" s="114">
        <v>1.2218487496163564</v>
      </c>
      <c r="F2409" s="91" t="s">
        <v>2533</v>
      </c>
      <c r="G2409" s="91" t="b">
        <v>0</v>
      </c>
      <c r="H2409" s="91" t="b">
        <v>0</v>
      </c>
      <c r="I2409" s="91" t="b">
        <v>0</v>
      </c>
      <c r="J2409" s="91" t="b">
        <v>0</v>
      </c>
      <c r="K2409" s="91" t="b">
        <v>0</v>
      </c>
      <c r="L2409" s="91" t="b">
        <v>0</v>
      </c>
    </row>
    <row r="2410" spans="1:12" ht="15">
      <c r="A2410" s="92" t="s">
        <v>2569</v>
      </c>
      <c r="B2410" s="91" t="s">
        <v>2572</v>
      </c>
      <c r="C2410" s="91">
        <v>2</v>
      </c>
      <c r="D2410" s="114">
        <v>0</v>
      </c>
      <c r="E2410" s="114">
        <v>1.6989700043360187</v>
      </c>
      <c r="F2410" s="91" t="s">
        <v>2533</v>
      </c>
      <c r="G2410" s="91" t="b">
        <v>0</v>
      </c>
      <c r="H2410" s="91" t="b">
        <v>0</v>
      </c>
      <c r="I2410" s="91" t="b">
        <v>0</v>
      </c>
      <c r="J2410" s="91" t="b">
        <v>0</v>
      </c>
      <c r="K2410" s="91" t="b">
        <v>0</v>
      </c>
      <c r="L2410" s="91" t="b">
        <v>0</v>
      </c>
    </row>
    <row r="2411" spans="1:12" ht="15">
      <c r="A2411" s="92" t="s">
        <v>2572</v>
      </c>
      <c r="B2411" s="91" t="s">
        <v>3102</v>
      </c>
      <c r="C2411" s="91">
        <v>2</v>
      </c>
      <c r="D2411" s="114">
        <v>0</v>
      </c>
      <c r="E2411" s="114">
        <v>1.6989700043360187</v>
      </c>
      <c r="F2411" s="91" t="s">
        <v>2533</v>
      </c>
      <c r="G2411" s="91" t="b">
        <v>0</v>
      </c>
      <c r="H2411" s="91" t="b">
        <v>0</v>
      </c>
      <c r="I2411" s="91" t="b">
        <v>0</v>
      </c>
      <c r="J2411" s="91" t="b">
        <v>0</v>
      </c>
      <c r="K2411" s="91" t="b">
        <v>0</v>
      </c>
      <c r="L2411" s="91" t="b">
        <v>0</v>
      </c>
    </row>
    <row r="2412" spans="1:12" ht="15">
      <c r="A2412" s="92" t="s">
        <v>3102</v>
      </c>
      <c r="B2412" s="91" t="s">
        <v>2989</v>
      </c>
      <c r="C2412" s="91">
        <v>2</v>
      </c>
      <c r="D2412" s="114">
        <v>0</v>
      </c>
      <c r="E2412" s="114">
        <v>1.3979400086720377</v>
      </c>
      <c r="F2412" s="91" t="s">
        <v>2533</v>
      </c>
      <c r="G2412" s="91" t="b">
        <v>0</v>
      </c>
      <c r="H2412" s="91" t="b">
        <v>0</v>
      </c>
      <c r="I2412" s="91" t="b">
        <v>0</v>
      </c>
      <c r="J2412" s="91" t="b">
        <v>0</v>
      </c>
      <c r="K2412" s="91" t="b">
        <v>0</v>
      </c>
      <c r="L2412" s="91" t="b">
        <v>0</v>
      </c>
    </row>
    <row r="2413" spans="1:12" ht="15">
      <c r="A2413" s="92" t="s">
        <v>2590</v>
      </c>
      <c r="B2413" s="91" t="s">
        <v>2578</v>
      </c>
      <c r="C2413" s="91">
        <v>2</v>
      </c>
      <c r="D2413" s="114">
        <v>0</v>
      </c>
      <c r="E2413" s="114">
        <v>0.9208187539523752</v>
      </c>
      <c r="F2413" s="91" t="s">
        <v>2533</v>
      </c>
      <c r="G2413" s="91" t="b">
        <v>0</v>
      </c>
      <c r="H2413" s="91" t="b">
        <v>0</v>
      </c>
      <c r="I2413" s="91" t="b">
        <v>0</v>
      </c>
      <c r="J2413" s="91" t="b">
        <v>0</v>
      </c>
      <c r="K2413" s="91" t="b">
        <v>0</v>
      </c>
      <c r="L2413" s="91" t="b">
        <v>0</v>
      </c>
    </row>
    <row r="2414" spans="1:12" ht="15">
      <c r="A2414" s="92" t="s">
        <v>2578</v>
      </c>
      <c r="B2414" s="91" t="s">
        <v>3103</v>
      </c>
      <c r="C2414" s="91">
        <v>2</v>
      </c>
      <c r="D2414" s="114">
        <v>0</v>
      </c>
      <c r="E2414" s="114">
        <v>1.3979400086720377</v>
      </c>
      <c r="F2414" s="91" t="s">
        <v>2533</v>
      </c>
      <c r="G2414" s="91" t="b">
        <v>0</v>
      </c>
      <c r="H2414" s="91" t="b">
        <v>0</v>
      </c>
      <c r="I2414" s="91" t="b">
        <v>0</v>
      </c>
      <c r="J2414" s="91" t="b">
        <v>0</v>
      </c>
      <c r="K2414" s="91" t="b">
        <v>0</v>
      </c>
      <c r="L2414" s="91" t="b">
        <v>0</v>
      </c>
    </row>
    <row r="2415" spans="1:12" ht="15">
      <c r="A2415" s="92" t="s">
        <v>3103</v>
      </c>
      <c r="B2415" s="91" t="s">
        <v>2580</v>
      </c>
      <c r="C2415" s="91">
        <v>2</v>
      </c>
      <c r="D2415" s="114">
        <v>0</v>
      </c>
      <c r="E2415" s="114">
        <v>1.3979400086720377</v>
      </c>
      <c r="F2415" s="91" t="s">
        <v>2533</v>
      </c>
      <c r="G2415" s="91" t="b">
        <v>0</v>
      </c>
      <c r="H2415" s="91" t="b">
        <v>0</v>
      </c>
      <c r="I2415" s="91" t="b">
        <v>0</v>
      </c>
      <c r="J2415" s="91" t="b">
        <v>0</v>
      </c>
      <c r="K2415" s="91" t="b">
        <v>0</v>
      </c>
      <c r="L2415" s="91" t="b">
        <v>0</v>
      </c>
    </row>
    <row r="2416" spans="1:12" ht="15">
      <c r="A2416" s="92" t="s">
        <v>2580</v>
      </c>
      <c r="B2416" s="91" t="s">
        <v>2734</v>
      </c>
      <c r="C2416" s="91">
        <v>2</v>
      </c>
      <c r="D2416" s="114">
        <v>0</v>
      </c>
      <c r="E2416" s="114">
        <v>1.3979400086720377</v>
      </c>
      <c r="F2416" s="91" t="s">
        <v>2533</v>
      </c>
      <c r="G2416" s="91" t="b">
        <v>0</v>
      </c>
      <c r="H2416" s="91" t="b">
        <v>0</v>
      </c>
      <c r="I2416" s="91" t="b">
        <v>0</v>
      </c>
      <c r="J2416" s="91" t="b">
        <v>0</v>
      </c>
      <c r="K2416" s="91" t="b">
        <v>0</v>
      </c>
      <c r="L2416" s="91" t="b">
        <v>0</v>
      </c>
    </row>
    <row r="2417" spans="1:12" ht="15">
      <c r="A2417" s="92" t="s">
        <v>2734</v>
      </c>
      <c r="B2417" s="91" t="s">
        <v>2730</v>
      </c>
      <c r="C2417" s="91">
        <v>2</v>
      </c>
      <c r="D2417" s="114">
        <v>0</v>
      </c>
      <c r="E2417" s="114">
        <v>1.6989700043360187</v>
      </c>
      <c r="F2417" s="91" t="s">
        <v>2533</v>
      </c>
      <c r="G2417" s="91" t="b">
        <v>0</v>
      </c>
      <c r="H2417" s="91" t="b">
        <v>0</v>
      </c>
      <c r="I2417" s="91" t="b">
        <v>0</v>
      </c>
      <c r="J2417" s="91" t="b">
        <v>0</v>
      </c>
      <c r="K2417" s="91" t="b">
        <v>0</v>
      </c>
      <c r="L2417" s="91" t="b">
        <v>0</v>
      </c>
    </row>
    <row r="2418" spans="1:12" ht="15">
      <c r="A2418" s="92" t="s">
        <v>2730</v>
      </c>
      <c r="B2418" s="91" t="s">
        <v>2893</v>
      </c>
      <c r="C2418" s="91">
        <v>2</v>
      </c>
      <c r="D2418" s="114">
        <v>0</v>
      </c>
      <c r="E2418" s="114">
        <v>1.6989700043360187</v>
      </c>
      <c r="F2418" s="91" t="s">
        <v>2533</v>
      </c>
      <c r="G2418" s="91" t="b">
        <v>0</v>
      </c>
      <c r="H2418" s="91" t="b">
        <v>0</v>
      </c>
      <c r="I2418" s="91" t="b">
        <v>0</v>
      </c>
      <c r="J2418" s="91" t="b">
        <v>0</v>
      </c>
      <c r="K2418" s="91" t="b">
        <v>0</v>
      </c>
      <c r="L2418" s="91" t="b">
        <v>0</v>
      </c>
    </row>
    <row r="2419" spans="1:12" ht="15">
      <c r="A2419" s="92" t="s">
        <v>2893</v>
      </c>
      <c r="B2419" s="91" t="s">
        <v>2589</v>
      </c>
      <c r="C2419" s="91">
        <v>2</v>
      </c>
      <c r="D2419" s="114">
        <v>0</v>
      </c>
      <c r="E2419" s="114">
        <v>1.3979400086720377</v>
      </c>
      <c r="F2419" s="91" t="s">
        <v>2533</v>
      </c>
      <c r="G2419" s="91" t="b">
        <v>0</v>
      </c>
      <c r="H2419" s="91" t="b">
        <v>0</v>
      </c>
      <c r="I2419" s="91" t="b">
        <v>0</v>
      </c>
      <c r="J2419" s="91" t="b">
        <v>0</v>
      </c>
      <c r="K2419" s="91" t="b">
        <v>0</v>
      </c>
      <c r="L2419" s="91" t="b">
        <v>0</v>
      </c>
    </row>
    <row r="2420" spans="1:12" ht="15">
      <c r="A2420" s="92" t="s">
        <v>2589</v>
      </c>
      <c r="B2420" s="91" t="s">
        <v>3104</v>
      </c>
      <c r="C2420" s="91">
        <v>2</v>
      </c>
      <c r="D2420" s="114">
        <v>0</v>
      </c>
      <c r="E2420" s="114">
        <v>1.2218487496163564</v>
      </c>
      <c r="F2420" s="91" t="s">
        <v>2533</v>
      </c>
      <c r="G2420" s="91" t="b">
        <v>0</v>
      </c>
      <c r="H2420" s="91" t="b">
        <v>0</v>
      </c>
      <c r="I2420" s="91" t="b">
        <v>0</v>
      </c>
      <c r="J2420" s="91" t="b">
        <v>0</v>
      </c>
      <c r="K2420" s="91" t="b">
        <v>0</v>
      </c>
      <c r="L2420" s="91" t="b">
        <v>0</v>
      </c>
    </row>
    <row r="2421" spans="1:12" ht="15">
      <c r="A2421" s="92" t="s">
        <v>3104</v>
      </c>
      <c r="B2421" s="91" t="s">
        <v>2668</v>
      </c>
      <c r="C2421" s="91">
        <v>2</v>
      </c>
      <c r="D2421" s="114">
        <v>0</v>
      </c>
      <c r="E2421" s="114">
        <v>1.6989700043360187</v>
      </c>
      <c r="F2421" s="91" t="s">
        <v>2533</v>
      </c>
      <c r="G2421" s="91" t="b">
        <v>0</v>
      </c>
      <c r="H2421" s="91" t="b">
        <v>0</v>
      </c>
      <c r="I2421" s="91" t="b">
        <v>0</v>
      </c>
      <c r="J2421" s="91" t="b">
        <v>0</v>
      </c>
      <c r="K2421" s="91" t="b">
        <v>0</v>
      </c>
      <c r="L2421" s="91" t="b">
        <v>0</v>
      </c>
    </row>
    <row r="2422" spans="1:12" ht="15">
      <c r="A2422" s="92" t="s">
        <v>2668</v>
      </c>
      <c r="B2422" s="91" t="s">
        <v>2729</v>
      </c>
      <c r="C2422" s="91">
        <v>2</v>
      </c>
      <c r="D2422" s="114">
        <v>0</v>
      </c>
      <c r="E2422" s="114">
        <v>1.3979400086720377</v>
      </c>
      <c r="F2422" s="91" t="s">
        <v>2533</v>
      </c>
      <c r="G2422" s="91" t="b">
        <v>0</v>
      </c>
      <c r="H2422" s="91" t="b">
        <v>0</v>
      </c>
      <c r="I2422" s="91" t="b">
        <v>0</v>
      </c>
      <c r="J2422" s="91" t="b">
        <v>0</v>
      </c>
      <c r="K2422" s="91" t="b">
        <v>0</v>
      </c>
      <c r="L2422" s="91" t="b">
        <v>0</v>
      </c>
    </row>
    <row r="2423" spans="1:12" ht="15">
      <c r="A2423" s="92" t="s">
        <v>2729</v>
      </c>
      <c r="B2423" s="91" t="s">
        <v>2989</v>
      </c>
      <c r="C2423" s="91">
        <v>2</v>
      </c>
      <c r="D2423" s="114">
        <v>0</v>
      </c>
      <c r="E2423" s="114">
        <v>1.0969100130080565</v>
      </c>
      <c r="F2423" s="91" t="s">
        <v>2533</v>
      </c>
      <c r="G2423" s="91" t="b">
        <v>0</v>
      </c>
      <c r="H2423" s="91" t="b">
        <v>0</v>
      </c>
      <c r="I2423" s="91" t="b">
        <v>0</v>
      </c>
      <c r="J2423" s="91" t="b">
        <v>0</v>
      </c>
      <c r="K2423" s="91" t="b">
        <v>0</v>
      </c>
      <c r="L2423" s="91" t="b">
        <v>0</v>
      </c>
    </row>
    <row r="2424" spans="1:12" ht="15">
      <c r="A2424" s="92" t="s">
        <v>2590</v>
      </c>
      <c r="B2424" s="91" t="s">
        <v>3105</v>
      </c>
      <c r="C2424" s="91">
        <v>2</v>
      </c>
      <c r="D2424" s="114">
        <v>0</v>
      </c>
      <c r="E2424" s="114">
        <v>1.2218487496163564</v>
      </c>
      <c r="F2424" s="91" t="s">
        <v>2533</v>
      </c>
      <c r="G2424" s="91" t="b">
        <v>0</v>
      </c>
      <c r="H2424" s="91" t="b">
        <v>0</v>
      </c>
      <c r="I2424" s="91" t="b">
        <v>0</v>
      </c>
      <c r="J2424" s="91" t="b">
        <v>0</v>
      </c>
      <c r="K2424" s="91" t="b">
        <v>0</v>
      </c>
      <c r="L2424" s="91" t="b">
        <v>0</v>
      </c>
    </row>
    <row r="2425" spans="1:12" ht="15">
      <c r="A2425" s="92" t="s">
        <v>3105</v>
      </c>
      <c r="B2425" s="91" t="s">
        <v>2721</v>
      </c>
      <c r="C2425" s="91">
        <v>2</v>
      </c>
      <c r="D2425" s="114">
        <v>0</v>
      </c>
      <c r="E2425" s="114">
        <v>1.6989700043360187</v>
      </c>
      <c r="F2425" s="91" t="s">
        <v>2533</v>
      </c>
      <c r="G2425" s="91" t="b">
        <v>0</v>
      </c>
      <c r="H2425" s="91" t="b">
        <v>0</v>
      </c>
      <c r="I2425" s="91" t="b">
        <v>0</v>
      </c>
      <c r="J2425" s="91" t="b">
        <v>0</v>
      </c>
      <c r="K2425" s="91" t="b">
        <v>0</v>
      </c>
      <c r="L2425" s="91" t="b">
        <v>0</v>
      </c>
    </row>
    <row r="2426" spans="1:12" ht="15">
      <c r="A2426" s="92" t="s">
        <v>2721</v>
      </c>
      <c r="B2426" s="91" t="s">
        <v>3106</v>
      </c>
      <c r="C2426" s="91">
        <v>2</v>
      </c>
      <c r="D2426" s="114">
        <v>0</v>
      </c>
      <c r="E2426" s="114">
        <v>1.6989700043360187</v>
      </c>
      <c r="F2426" s="91" t="s">
        <v>2533</v>
      </c>
      <c r="G2426" s="91" t="b">
        <v>0</v>
      </c>
      <c r="H2426" s="91" t="b">
        <v>0</v>
      </c>
      <c r="I2426" s="91" t="b">
        <v>0</v>
      </c>
      <c r="J2426" s="91" t="b">
        <v>0</v>
      </c>
      <c r="K2426" s="91" t="b">
        <v>0</v>
      </c>
      <c r="L2426" s="91" t="b">
        <v>0</v>
      </c>
    </row>
    <row r="2427" spans="1:12" ht="15">
      <c r="A2427" s="92" t="s">
        <v>3106</v>
      </c>
      <c r="B2427" s="91" t="s">
        <v>2589</v>
      </c>
      <c r="C2427" s="91">
        <v>2</v>
      </c>
      <c r="D2427" s="114">
        <v>0</v>
      </c>
      <c r="E2427" s="114">
        <v>1.3979400086720377</v>
      </c>
      <c r="F2427" s="91" t="s">
        <v>2533</v>
      </c>
      <c r="G2427" s="91" t="b">
        <v>0</v>
      </c>
      <c r="H2427" s="91" t="b">
        <v>0</v>
      </c>
      <c r="I2427" s="91" t="b">
        <v>0</v>
      </c>
      <c r="J2427" s="91" t="b">
        <v>0</v>
      </c>
      <c r="K2427" s="91" t="b">
        <v>0</v>
      </c>
      <c r="L2427" s="91" t="b">
        <v>0</v>
      </c>
    </row>
    <row r="2428" spans="1:12" ht="15">
      <c r="A2428" s="92" t="s">
        <v>2589</v>
      </c>
      <c r="B2428" s="91" t="s">
        <v>3107</v>
      </c>
      <c r="C2428" s="91">
        <v>2</v>
      </c>
      <c r="D2428" s="114">
        <v>0</v>
      </c>
      <c r="E2428" s="114">
        <v>1.2218487496163564</v>
      </c>
      <c r="F2428" s="91" t="s">
        <v>2533</v>
      </c>
      <c r="G2428" s="91" t="b">
        <v>0</v>
      </c>
      <c r="H2428" s="91" t="b">
        <v>0</v>
      </c>
      <c r="I2428" s="91" t="b">
        <v>0</v>
      </c>
      <c r="J2428" s="91" t="b">
        <v>0</v>
      </c>
      <c r="K2428" s="91" t="b">
        <v>0</v>
      </c>
      <c r="L2428" s="91" t="b">
        <v>0</v>
      </c>
    </row>
    <row r="2429" spans="1:12" ht="15">
      <c r="A2429" s="92" t="s">
        <v>3107</v>
      </c>
      <c r="B2429" s="91" t="s">
        <v>2568</v>
      </c>
      <c r="C2429" s="91">
        <v>2</v>
      </c>
      <c r="D2429" s="114">
        <v>0</v>
      </c>
      <c r="E2429" s="114">
        <v>1.6989700043360187</v>
      </c>
      <c r="F2429" s="91" t="s">
        <v>2533</v>
      </c>
      <c r="G2429" s="91" t="b">
        <v>0</v>
      </c>
      <c r="H2429" s="91" t="b">
        <v>0</v>
      </c>
      <c r="I2429" s="91" t="b">
        <v>0</v>
      </c>
      <c r="J2429" s="91" t="b">
        <v>0</v>
      </c>
      <c r="K2429" s="91" t="b">
        <v>0</v>
      </c>
      <c r="L2429" s="91" t="b">
        <v>0</v>
      </c>
    </row>
    <row r="2430" spans="1:12" ht="15">
      <c r="A2430" s="92" t="s">
        <v>2568</v>
      </c>
      <c r="B2430" s="91" t="s">
        <v>2753</v>
      </c>
      <c r="C2430" s="91">
        <v>2</v>
      </c>
      <c r="D2430" s="114">
        <v>0</v>
      </c>
      <c r="E2430" s="114">
        <v>1.6989700043360187</v>
      </c>
      <c r="F2430" s="91" t="s">
        <v>2533</v>
      </c>
      <c r="G2430" s="91" t="b">
        <v>0</v>
      </c>
      <c r="H2430" s="91" t="b">
        <v>0</v>
      </c>
      <c r="I2430" s="91" t="b">
        <v>0</v>
      </c>
      <c r="J2430" s="91" t="b">
        <v>0</v>
      </c>
      <c r="K2430" s="91" t="b">
        <v>0</v>
      </c>
      <c r="L2430" s="91" t="b">
        <v>0</v>
      </c>
    </row>
    <row r="2431" spans="1:12" ht="15">
      <c r="A2431" s="92" t="s">
        <v>2753</v>
      </c>
      <c r="B2431" s="91" t="s">
        <v>3040</v>
      </c>
      <c r="C2431" s="91">
        <v>2</v>
      </c>
      <c r="D2431" s="114">
        <v>0</v>
      </c>
      <c r="E2431" s="114">
        <v>1.6989700043360187</v>
      </c>
      <c r="F2431" s="91" t="s">
        <v>2533</v>
      </c>
      <c r="G2431" s="91" t="b">
        <v>0</v>
      </c>
      <c r="H2431" s="91" t="b">
        <v>0</v>
      </c>
      <c r="I2431" s="91" t="b">
        <v>0</v>
      </c>
      <c r="J2431" s="91" t="b">
        <v>0</v>
      </c>
      <c r="K2431" s="91" t="b">
        <v>0</v>
      </c>
      <c r="L2431" s="91" t="b">
        <v>0</v>
      </c>
    </row>
    <row r="2432" spans="1:12" ht="15">
      <c r="A2432" s="92" t="s">
        <v>3040</v>
      </c>
      <c r="B2432" s="91" t="s">
        <v>2661</v>
      </c>
      <c r="C2432" s="91">
        <v>2</v>
      </c>
      <c r="D2432" s="114">
        <v>0</v>
      </c>
      <c r="E2432" s="114">
        <v>1.3979400086720377</v>
      </c>
      <c r="F2432" s="91" t="s">
        <v>2533</v>
      </c>
      <c r="G2432" s="91" t="b">
        <v>0</v>
      </c>
      <c r="H2432" s="91" t="b">
        <v>0</v>
      </c>
      <c r="I2432" s="91" t="b">
        <v>0</v>
      </c>
      <c r="J2432" s="91" t="b">
        <v>0</v>
      </c>
      <c r="K2432" s="91" t="b">
        <v>0</v>
      </c>
      <c r="L2432" s="91" t="b">
        <v>0</v>
      </c>
    </row>
    <row r="2433" spans="1:12" ht="15">
      <c r="A2433" s="92" t="s">
        <v>2661</v>
      </c>
      <c r="B2433" s="91" t="s">
        <v>3108</v>
      </c>
      <c r="C2433" s="91">
        <v>2</v>
      </c>
      <c r="D2433" s="114">
        <v>0</v>
      </c>
      <c r="E2433" s="114">
        <v>1.3979400086720377</v>
      </c>
      <c r="F2433" s="91" t="s">
        <v>2533</v>
      </c>
      <c r="G2433" s="91" t="b">
        <v>0</v>
      </c>
      <c r="H2433" s="91" t="b">
        <v>0</v>
      </c>
      <c r="I2433" s="91" t="b">
        <v>0</v>
      </c>
      <c r="J2433" s="91" t="b">
        <v>0</v>
      </c>
      <c r="K2433" s="91" t="b">
        <v>0</v>
      </c>
      <c r="L2433" s="91" t="b">
        <v>0</v>
      </c>
    </row>
    <row r="2434" spans="1:12" ht="15">
      <c r="A2434" s="92" t="s">
        <v>3108</v>
      </c>
      <c r="B2434" s="91" t="s">
        <v>3109</v>
      </c>
      <c r="C2434" s="91">
        <v>2</v>
      </c>
      <c r="D2434" s="114">
        <v>0</v>
      </c>
      <c r="E2434" s="114">
        <v>1.6989700043360187</v>
      </c>
      <c r="F2434" s="91" t="s">
        <v>2533</v>
      </c>
      <c r="G2434" s="91" t="b">
        <v>0</v>
      </c>
      <c r="H2434" s="91" t="b">
        <v>0</v>
      </c>
      <c r="I2434" s="91" t="b">
        <v>0</v>
      </c>
      <c r="J2434" s="91" t="b">
        <v>0</v>
      </c>
      <c r="K2434" s="91" t="b">
        <v>0</v>
      </c>
      <c r="L2434" s="91" t="b">
        <v>0</v>
      </c>
    </row>
    <row r="2435" spans="1:12" ht="15">
      <c r="A2435" s="92" t="s">
        <v>3109</v>
      </c>
      <c r="B2435" s="91" t="s">
        <v>3110</v>
      </c>
      <c r="C2435" s="91">
        <v>2</v>
      </c>
      <c r="D2435" s="114">
        <v>0</v>
      </c>
      <c r="E2435" s="114">
        <v>1.6989700043360187</v>
      </c>
      <c r="F2435" s="91" t="s">
        <v>2533</v>
      </c>
      <c r="G2435" s="91" t="b">
        <v>0</v>
      </c>
      <c r="H2435" s="91" t="b">
        <v>0</v>
      </c>
      <c r="I2435" s="91" t="b">
        <v>0</v>
      </c>
      <c r="J2435" s="91" t="b">
        <v>0</v>
      </c>
      <c r="K2435" s="91" t="b">
        <v>0</v>
      </c>
      <c r="L2435" s="91" t="b">
        <v>0</v>
      </c>
    </row>
    <row r="2436" spans="1:12" ht="15">
      <c r="A2436" s="92" t="s">
        <v>3110</v>
      </c>
      <c r="B2436" s="91" t="s">
        <v>3111</v>
      </c>
      <c r="C2436" s="91">
        <v>2</v>
      </c>
      <c r="D2436" s="114">
        <v>0</v>
      </c>
      <c r="E2436" s="114">
        <v>1.6989700043360187</v>
      </c>
      <c r="F2436" s="91" t="s">
        <v>2533</v>
      </c>
      <c r="G2436" s="91" t="b">
        <v>0</v>
      </c>
      <c r="H2436" s="91" t="b">
        <v>0</v>
      </c>
      <c r="I2436" s="91" t="b">
        <v>0</v>
      </c>
      <c r="J2436" s="91" t="b">
        <v>0</v>
      </c>
      <c r="K2436" s="91" t="b">
        <v>0</v>
      </c>
      <c r="L2436" s="91" t="b">
        <v>0</v>
      </c>
    </row>
    <row r="2437" spans="1:12" ht="15">
      <c r="A2437" s="92" t="s">
        <v>3111</v>
      </c>
      <c r="B2437" s="91" t="s">
        <v>2578</v>
      </c>
      <c r="C2437" s="91">
        <v>2</v>
      </c>
      <c r="D2437" s="114">
        <v>0</v>
      </c>
      <c r="E2437" s="114">
        <v>1.3979400086720377</v>
      </c>
      <c r="F2437" s="91" t="s">
        <v>2533</v>
      </c>
      <c r="G2437" s="91" t="b">
        <v>0</v>
      </c>
      <c r="H2437" s="91" t="b">
        <v>0</v>
      </c>
      <c r="I2437" s="91" t="b">
        <v>0</v>
      </c>
      <c r="J2437" s="91" t="b">
        <v>0</v>
      </c>
      <c r="K2437" s="91" t="b">
        <v>0</v>
      </c>
      <c r="L2437" s="91" t="b">
        <v>0</v>
      </c>
    </row>
    <row r="2438" spans="1:12" ht="15">
      <c r="A2438" s="92" t="s">
        <v>2578</v>
      </c>
      <c r="B2438" s="91" t="s">
        <v>3112</v>
      </c>
      <c r="C2438" s="91">
        <v>2</v>
      </c>
      <c r="D2438" s="114">
        <v>0</v>
      </c>
      <c r="E2438" s="114">
        <v>1.3979400086720377</v>
      </c>
      <c r="F2438" s="91" t="s">
        <v>2533</v>
      </c>
      <c r="G2438" s="91" t="b">
        <v>0</v>
      </c>
      <c r="H2438" s="91" t="b">
        <v>0</v>
      </c>
      <c r="I2438" s="91" t="b">
        <v>0</v>
      </c>
      <c r="J2438" s="91" t="b">
        <v>0</v>
      </c>
      <c r="K2438" s="91" t="b">
        <v>0</v>
      </c>
      <c r="L2438" s="91" t="b">
        <v>0</v>
      </c>
    </row>
    <row r="2439" spans="1:12" ht="15">
      <c r="A2439" s="92" t="s">
        <v>3112</v>
      </c>
      <c r="B2439" s="91" t="s">
        <v>3113</v>
      </c>
      <c r="C2439" s="91">
        <v>2</v>
      </c>
      <c r="D2439" s="114">
        <v>0</v>
      </c>
      <c r="E2439" s="114">
        <v>1.6989700043360187</v>
      </c>
      <c r="F2439" s="91" t="s">
        <v>2533</v>
      </c>
      <c r="G2439" s="91" t="b">
        <v>0</v>
      </c>
      <c r="H2439" s="91" t="b">
        <v>0</v>
      </c>
      <c r="I2439" s="91" t="b">
        <v>0</v>
      </c>
      <c r="J2439" s="91" t="b">
        <v>0</v>
      </c>
      <c r="K2439" s="91" t="b">
        <v>0</v>
      </c>
      <c r="L2439" s="91" t="b">
        <v>0</v>
      </c>
    </row>
    <row r="2440" spans="1:12" ht="15">
      <c r="A2440" s="92" t="s">
        <v>3113</v>
      </c>
      <c r="B2440" s="91" t="s">
        <v>2577</v>
      </c>
      <c r="C2440" s="91">
        <v>2</v>
      </c>
      <c r="D2440" s="114">
        <v>0</v>
      </c>
      <c r="E2440" s="114">
        <v>1.6989700043360187</v>
      </c>
      <c r="F2440" s="91" t="s">
        <v>2533</v>
      </c>
      <c r="G2440" s="91" t="b">
        <v>0</v>
      </c>
      <c r="H2440" s="91" t="b">
        <v>0</v>
      </c>
      <c r="I2440" s="91" t="b">
        <v>0</v>
      </c>
      <c r="J2440" s="91" t="b">
        <v>0</v>
      </c>
      <c r="K2440" s="91" t="b">
        <v>0</v>
      </c>
      <c r="L2440" s="91" t="b">
        <v>0</v>
      </c>
    </row>
    <row r="2441" spans="1:12" ht="15">
      <c r="A2441" s="92" t="s">
        <v>2577</v>
      </c>
      <c r="B2441" s="91" t="s">
        <v>3024</v>
      </c>
      <c r="C2441" s="91">
        <v>2</v>
      </c>
      <c r="D2441" s="114">
        <v>0</v>
      </c>
      <c r="E2441" s="114">
        <v>1.6989700043360187</v>
      </c>
      <c r="F2441" s="91" t="s">
        <v>2533</v>
      </c>
      <c r="G2441" s="91" t="b">
        <v>0</v>
      </c>
      <c r="H2441" s="91" t="b">
        <v>0</v>
      </c>
      <c r="I2441" s="91" t="b">
        <v>0</v>
      </c>
      <c r="J2441" s="91" t="b">
        <v>0</v>
      </c>
      <c r="K2441" s="91" t="b">
        <v>0</v>
      </c>
      <c r="L2441" s="91" t="b">
        <v>0</v>
      </c>
    </row>
    <row r="2442" spans="1:12" ht="15">
      <c r="A2442" s="92" t="s">
        <v>3024</v>
      </c>
      <c r="B2442" s="91" t="s">
        <v>2845</v>
      </c>
      <c r="C2442" s="91">
        <v>2</v>
      </c>
      <c r="D2442" s="114">
        <v>0</v>
      </c>
      <c r="E2442" s="114">
        <v>1.6989700043360187</v>
      </c>
      <c r="F2442" s="91" t="s">
        <v>2533</v>
      </c>
      <c r="G2442" s="91" t="b">
        <v>0</v>
      </c>
      <c r="H2442" s="91" t="b">
        <v>0</v>
      </c>
      <c r="I2442" s="91" t="b">
        <v>0</v>
      </c>
      <c r="J2442" s="91" t="b">
        <v>0</v>
      </c>
      <c r="K2442" s="91" t="b">
        <v>0</v>
      </c>
      <c r="L2442" s="91" t="b">
        <v>0</v>
      </c>
    </row>
    <row r="2443" spans="1:12" ht="15">
      <c r="A2443" s="92" t="s">
        <v>2845</v>
      </c>
      <c r="B2443" s="91" t="s">
        <v>2580</v>
      </c>
      <c r="C2443" s="91">
        <v>2</v>
      </c>
      <c r="D2443" s="114">
        <v>0</v>
      </c>
      <c r="E2443" s="114">
        <v>1.3979400086720377</v>
      </c>
      <c r="F2443" s="91" t="s">
        <v>2533</v>
      </c>
      <c r="G2443" s="91" t="b">
        <v>0</v>
      </c>
      <c r="H2443" s="91" t="b">
        <v>0</v>
      </c>
      <c r="I2443" s="91" t="b">
        <v>0</v>
      </c>
      <c r="J2443" s="91" t="b">
        <v>0</v>
      </c>
      <c r="K2443" s="91" t="b">
        <v>0</v>
      </c>
      <c r="L2443" s="91" t="b">
        <v>0</v>
      </c>
    </row>
    <row r="2444" spans="1:12" ht="15">
      <c r="A2444" s="92" t="s">
        <v>2580</v>
      </c>
      <c r="B2444" s="91" t="s">
        <v>3114</v>
      </c>
      <c r="C2444" s="91">
        <v>2</v>
      </c>
      <c r="D2444" s="114">
        <v>0</v>
      </c>
      <c r="E2444" s="114">
        <v>1.3979400086720377</v>
      </c>
      <c r="F2444" s="91" t="s">
        <v>2533</v>
      </c>
      <c r="G2444" s="91" t="b">
        <v>0</v>
      </c>
      <c r="H2444" s="91" t="b">
        <v>0</v>
      </c>
      <c r="I2444" s="91" t="b">
        <v>0</v>
      </c>
      <c r="J2444" s="91" t="b">
        <v>0</v>
      </c>
      <c r="K2444" s="91" t="b">
        <v>0</v>
      </c>
      <c r="L2444" s="91" t="b">
        <v>0</v>
      </c>
    </row>
    <row r="2445" spans="1:12" ht="15">
      <c r="A2445" s="92" t="s">
        <v>3114</v>
      </c>
      <c r="B2445" s="91" t="s">
        <v>2729</v>
      </c>
      <c r="C2445" s="91">
        <v>2</v>
      </c>
      <c r="D2445" s="114">
        <v>0</v>
      </c>
      <c r="E2445" s="114">
        <v>1.3979400086720377</v>
      </c>
      <c r="F2445" s="91" t="s">
        <v>2533</v>
      </c>
      <c r="G2445" s="91" t="b">
        <v>0</v>
      </c>
      <c r="H2445" s="91" t="b">
        <v>0</v>
      </c>
      <c r="I2445" s="91" t="b">
        <v>0</v>
      </c>
      <c r="J2445" s="91" t="b">
        <v>0</v>
      </c>
      <c r="K2445" s="91" t="b">
        <v>0</v>
      </c>
      <c r="L2445" s="91" t="b">
        <v>0</v>
      </c>
    </row>
    <row r="2446" spans="1:12" ht="15">
      <c r="A2446" s="92" t="s">
        <v>2729</v>
      </c>
      <c r="B2446" s="91" t="s">
        <v>2666</v>
      </c>
      <c r="C2446" s="91">
        <v>2</v>
      </c>
      <c r="D2446" s="114">
        <v>0</v>
      </c>
      <c r="E2446" s="114">
        <v>1.3979400086720377</v>
      </c>
      <c r="F2446" s="91" t="s">
        <v>2533</v>
      </c>
      <c r="G2446" s="91" t="b">
        <v>0</v>
      </c>
      <c r="H2446" s="91" t="b">
        <v>0</v>
      </c>
      <c r="I2446" s="91" t="b">
        <v>0</v>
      </c>
      <c r="J2446" s="91" t="b">
        <v>0</v>
      </c>
      <c r="K2446" s="91" t="b">
        <v>0</v>
      </c>
      <c r="L2446" s="91" t="b">
        <v>0</v>
      </c>
    </row>
    <row r="2447" spans="1:12" ht="15">
      <c r="A2447" s="92" t="s">
        <v>2666</v>
      </c>
      <c r="B2447" s="91" t="s">
        <v>3115</v>
      </c>
      <c r="C2447" s="91">
        <v>2</v>
      </c>
      <c r="D2447" s="114">
        <v>0</v>
      </c>
      <c r="E2447" s="114">
        <v>1.6989700043360187</v>
      </c>
      <c r="F2447" s="91" t="s">
        <v>2533</v>
      </c>
      <c r="G2447" s="91" t="b">
        <v>0</v>
      </c>
      <c r="H2447" s="91" t="b">
        <v>0</v>
      </c>
      <c r="I2447" s="91" t="b">
        <v>0</v>
      </c>
      <c r="J2447" s="91" t="b">
        <v>0</v>
      </c>
      <c r="K2447" s="91" t="b">
        <v>0</v>
      </c>
      <c r="L2447" s="91" t="b">
        <v>0</v>
      </c>
    </row>
    <row r="2448" spans="1:12" ht="15">
      <c r="A2448" s="92" t="s">
        <v>3115</v>
      </c>
      <c r="B2448" s="91" t="s">
        <v>2797</v>
      </c>
      <c r="C2448" s="91">
        <v>2</v>
      </c>
      <c r="D2448" s="114">
        <v>0</v>
      </c>
      <c r="E2448" s="114">
        <v>1.6989700043360187</v>
      </c>
      <c r="F2448" s="91" t="s">
        <v>2533</v>
      </c>
      <c r="G2448" s="91" t="b">
        <v>0</v>
      </c>
      <c r="H2448" s="91" t="b">
        <v>0</v>
      </c>
      <c r="I2448" s="91" t="b">
        <v>0</v>
      </c>
      <c r="J2448" s="91" t="b">
        <v>0</v>
      </c>
      <c r="K2448" s="91" t="b">
        <v>0</v>
      </c>
      <c r="L2448" s="91" t="b">
        <v>0</v>
      </c>
    </row>
    <row r="2449" spans="1:12" ht="15">
      <c r="A2449" s="92" t="s">
        <v>2797</v>
      </c>
      <c r="B2449" s="91" t="s">
        <v>2661</v>
      </c>
      <c r="C2449" s="91">
        <v>2</v>
      </c>
      <c r="D2449" s="114">
        <v>0</v>
      </c>
      <c r="E2449" s="114">
        <v>1.3979400086720377</v>
      </c>
      <c r="F2449" s="91" t="s">
        <v>2533</v>
      </c>
      <c r="G2449" s="91" t="b">
        <v>0</v>
      </c>
      <c r="H2449" s="91" t="b">
        <v>0</v>
      </c>
      <c r="I2449" s="91" t="b">
        <v>0</v>
      </c>
      <c r="J2449" s="91" t="b">
        <v>0</v>
      </c>
      <c r="K2449" s="91" t="b">
        <v>0</v>
      </c>
      <c r="L2449" s="91" t="b">
        <v>0</v>
      </c>
    </row>
    <row r="2450" spans="1:12" ht="15">
      <c r="A2450" s="92" t="s">
        <v>2661</v>
      </c>
      <c r="B2450" s="91" t="s">
        <v>2656</v>
      </c>
      <c r="C2450" s="91">
        <v>2</v>
      </c>
      <c r="D2450" s="114">
        <v>0</v>
      </c>
      <c r="E2450" s="114">
        <v>1.3979400086720377</v>
      </c>
      <c r="F2450" s="91" t="s">
        <v>2533</v>
      </c>
      <c r="G2450" s="91" t="b">
        <v>0</v>
      </c>
      <c r="H2450" s="91" t="b">
        <v>0</v>
      </c>
      <c r="I2450" s="91" t="b">
        <v>0</v>
      </c>
      <c r="J2450" s="91" t="b">
        <v>0</v>
      </c>
      <c r="K2450" s="91" t="b">
        <v>0</v>
      </c>
      <c r="L2450" s="91" t="b">
        <v>0</v>
      </c>
    </row>
    <row r="2451" spans="1:12" ht="15">
      <c r="A2451" s="92" t="s">
        <v>2656</v>
      </c>
      <c r="B2451" s="91" t="s">
        <v>3116</v>
      </c>
      <c r="C2451" s="91">
        <v>2</v>
      </c>
      <c r="D2451" s="114">
        <v>0</v>
      </c>
      <c r="E2451" s="114">
        <v>1.6989700043360187</v>
      </c>
      <c r="F2451" s="91" t="s">
        <v>2533</v>
      </c>
      <c r="G2451" s="91" t="b">
        <v>0</v>
      </c>
      <c r="H2451" s="91" t="b">
        <v>0</v>
      </c>
      <c r="I2451" s="91" t="b">
        <v>0</v>
      </c>
      <c r="J2451" s="91" t="b">
        <v>0</v>
      </c>
      <c r="K2451" s="91" t="b">
        <v>0</v>
      </c>
      <c r="L2451" s="91" t="b">
        <v>0</v>
      </c>
    </row>
    <row r="2452" spans="1:12" ht="15">
      <c r="A2452" s="92" t="s">
        <v>3116</v>
      </c>
      <c r="B2452" s="91" t="s">
        <v>2774</v>
      </c>
      <c r="C2452" s="91">
        <v>2</v>
      </c>
      <c r="D2452" s="114">
        <v>0</v>
      </c>
      <c r="E2452" s="114">
        <v>1.6989700043360187</v>
      </c>
      <c r="F2452" s="91" t="s">
        <v>2533</v>
      </c>
      <c r="G2452" s="91" t="b">
        <v>0</v>
      </c>
      <c r="H2452" s="91" t="b">
        <v>0</v>
      </c>
      <c r="I2452" s="91" t="b">
        <v>0</v>
      </c>
      <c r="J2452" s="91" t="b">
        <v>0</v>
      </c>
      <c r="K2452" s="91" t="b">
        <v>0</v>
      </c>
      <c r="L2452" s="91" t="b">
        <v>0</v>
      </c>
    </row>
    <row r="2453" spans="1:12" ht="15">
      <c r="A2453" s="92" t="s">
        <v>2774</v>
      </c>
      <c r="B2453" s="91" t="s">
        <v>2590</v>
      </c>
      <c r="C2453" s="91">
        <v>2</v>
      </c>
      <c r="D2453" s="114">
        <v>0</v>
      </c>
      <c r="E2453" s="114">
        <v>1.2218487496163564</v>
      </c>
      <c r="F2453" s="91" t="s">
        <v>2533</v>
      </c>
      <c r="G2453" s="91" t="b">
        <v>0</v>
      </c>
      <c r="H2453" s="91" t="b">
        <v>0</v>
      </c>
      <c r="I2453" s="91" t="b">
        <v>0</v>
      </c>
      <c r="J2453" s="91" t="b">
        <v>0</v>
      </c>
      <c r="K2453" s="91" t="b">
        <v>0</v>
      </c>
      <c r="L2453" s="91" t="b">
        <v>0</v>
      </c>
    </row>
    <row r="2454" spans="1:12" ht="15">
      <c r="A2454" s="92" t="s">
        <v>2590</v>
      </c>
      <c r="B2454" s="91" t="s">
        <v>2564</v>
      </c>
      <c r="C2454" s="91">
        <v>2</v>
      </c>
      <c r="D2454" s="114">
        <v>0</v>
      </c>
      <c r="E2454" s="114">
        <v>1.2218487496163564</v>
      </c>
      <c r="F2454" s="91" t="s">
        <v>2533</v>
      </c>
      <c r="G2454" s="91" t="b">
        <v>0</v>
      </c>
      <c r="H2454" s="91" t="b">
        <v>0</v>
      </c>
      <c r="I2454" s="91" t="b">
        <v>0</v>
      </c>
      <c r="J2454" s="91" t="b">
        <v>0</v>
      </c>
      <c r="K2454" s="91" t="b">
        <v>0</v>
      </c>
      <c r="L2454" s="91" t="b">
        <v>0</v>
      </c>
    </row>
    <row r="2455" spans="1:12" ht="15">
      <c r="A2455" s="92" t="s">
        <v>2564</v>
      </c>
      <c r="B2455" s="91" t="s">
        <v>3117</v>
      </c>
      <c r="C2455" s="91">
        <v>2</v>
      </c>
      <c r="D2455" s="114">
        <v>0</v>
      </c>
      <c r="E2455" s="114">
        <v>1.6989700043360187</v>
      </c>
      <c r="F2455" s="91" t="s">
        <v>2533</v>
      </c>
      <c r="G2455" s="91" t="b">
        <v>0</v>
      </c>
      <c r="H2455" s="91" t="b">
        <v>0</v>
      </c>
      <c r="I2455" s="91" t="b">
        <v>0</v>
      </c>
      <c r="J2455" s="91" t="b">
        <v>0</v>
      </c>
      <c r="K2455" s="91" t="b">
        <v>0</v>
      </c>
      <c r="L2455" s="91" t="b">
        <v>0</v>
      </c>
    </row>
    <row r="2456" spans="1:12" ht="15">
      <c r="A2456" s="92" t="s">
        <v>3117</v>
      </c>
      <c r="B2456" s="91" t="s">
        <v>3118</v>
      </c>
      <c r="C2456" s="91">
        <v>2</v>
      </c>
      <c r="D2456" s="114">
        <v>0</v>
      </c>
      <c r="E2456" s="114">
        <v>1.6989700043360187</v>
      </c>
      <c r="F2456" s="91" t="s">
        <v>2533</v>
      </c>
      <c r="G2456" s="91" t="b">
        <v>0</v>
      </c>
      <c r="H2456" s="91" t="b">
        <v>0</v>
      </c>
      <c r="I2456" s="91" t="b">
        <v>0</v>
      </c>
      <c r="J2456" s="91" t="b">
        <v>0</v>
      </c>
      <c r="K2456" s="91" t="b">
        <v>0</v>
      </c>
      <c r="L2456" s="91" t="b">
        <v>0</v>
      </c>
    </row>
    <row r="2457" spans="1:12" ht="15">
      <c r="A2457" s="92" t="s">
        <v>2612</v>
      </c>
      <c r="B2457" s="91" t="s">
        <v>3046</v>
      </c>
      <c r="C2457" s="91">
        <v>3</v>
      </c>
      <c r="D2457" s="114">
        <v>0</v>
      </c>
      <c r="E2457" s="114">
        <v>1.4313637641589874</v>
      </c>
      <c r="F2457" s="91" t="s">
        <v>2535</v>
      </c>
      <c r="G2457" s="91" t="b">
        <v>0</v>
      </c>
      <c r="H2457" s="91" t="b">
        <v>0</v>
      </c>
      <c r="I2457" s="91" t="b">
        <v>0</v>
      </c>
      <c r="J2457" s="91" t="b">
        <v>0</v>
      </c>
      <c r="K2457" s="91" t="b">
        <v>0</v>
      </c>
      <c r="L2457" s="91" t="b">
        <v>0</v>
      </c>
    </row>
    <row r="2458" spans="1:12" ht="15">
      <c r="A2458" s="92" t="s">
        <v>3046</v>
      </c>
      <c r="B2458" s="91" t="s">
        <v>3047</v>
      </c>
      <c r="C2458" s="91">
        <v>3</v>
      </c>
      <c r="D2458" s="114">
        <v>0</v>
      </c>
      <c r="E2458" s="114">
        <v>1.4313637641589874</v>
      </c>
      <c r="F2458" s="91" t="s">
        <v>2535</v>
      </c>
      <c r="G2458" s="91" t="b">
        <v>0</v>
      </c>
      <c r="H2458" s="91" t="b">
        <v>0</v>
      </c>
      <c r="I2458" s="91" t="b">
        <v>0</v>
      </c>
      <c r="J2458" s="91" t="b">
        <v>0</v>
      </c>
      <c r="K2458" s="91" t="b">
        <v>0</v>
      </c>
      <c r="L2458" s="91" t="b">
        <v>0</v>
      </c>
    </row>
    <row r="2459" spans="1:12" ht="15">
      <c r="A2459" s="92" t="s">
        <v>3047</v>
      </c>
      <c r="B2459" s="91" t="s">
        <v>3048</v>
      </c>
      <c r="C2459" s="91">
        <v>3</v>
      </c>
      <c r="D2459" s="114">
        <v>0</v>
      </c>
      <c r="E2459" s="114">
        <v>1.4313637641589874</v>
      </c>
      <c r="F2459" s="91" t="s">
        <v>2535</v>
      </c>
      <c r="G2459" s="91" t="b">
        <v>0</v>
      </c>
      <c r="H2459" s="91" t="b">
        <v>0</v>
      </c>
      <c r="I2459" s="91" t="b">
        <v>0</v>
      </c>
      <c r="J2459" s="91" t="b">
        <v>0</v>
      </c>
      <c r="K2459" s="91" t="b">
        <v>0</v>
      </c>
      <c r="L2459" s="91" t="b">
        <v>0</v>
      </c>
    </row>
    <row r="2460" spans="1:12" ht="15">
      <c r="A2460" s="92" t="s">
        <v>3048</v>
      </c>
      <c r="B2460" s="91" t="s">
        <v>3049</v>
      </c>
      <c r="C2460" s="91">
        <v>3</v>
      </c>
      <c r="D2460" s="114">
        <v>0</v>
      </c>
      <c r="E2460" s="114">
        <v>1.4313637641589874</v>
      </c>
      <c r="F2460" s="91" t="s">
        <v>2535</v>
      </c>
      <c r="G2460" s="91" t="b">
        <v>0</v>
      </c>
      <c r="H2460" s="91" t="b">
        <v>0</v>
      </c>
      <c r="I2460" s="91" t="b">
        <v>0</v>
      </c>
      <c r="J2460" s="91" t="b">
        <v>0</v>
      </c>
      <c r="K2460" s="91" t="b">
        <v>0</v>
      </c>
      <c r="L2460" s="91" t="b">
        <v>0</v>
      </c>
    </row>
    <row r="2461" spans="1:12" ht="15">
      <c r="A2461" s="92" t="s">
        <v>3049</v>
      </c>
      <c r="B2461" s="91" t="s">
        <v>2585</v>
      </c>
      <c r="C2461" s="91">
        <v>3</v>
      </c>
      <c r="D2461" s="114">
        <v>0</v>
      </c>
      <c r="E2461" s="114">
        <v>1.4313637641589874</v>
      </c>
      <c r="F2461" s="91" t="s">
        <v>2535</v>
      </c>
      <c r="G2461" s="91" t="b">
        <v>0</v>
      </c>
      <c r="H2461" s="91" t="b">
        <v>0</v>
      </c>
      <c r="I2461" s="91" t="b">
        <v>0</v>
      </c>
      <c r="J2461" s="91" t="b">
        <v>0</v>
      </c>
      <c r="K2461" s="91" t="b">
        <v>0</v>
      </c>
      <c r="L2461" s="91" t="b">
        <v>0</v>
      </c>
    </row>
    <row r="2462" spans="1:12" ht="15">
      <c r="A2462" s="92" t="s">
        <v>2585</v>
      </c>
      <c r="B2462" s="91" t="s">
        <v>2566</v>
      </c>
      <c r="C2462" s="91">
        <v>3</v>
      </c>
      <c r="D2462" s="114">
        <v>0</v>
      </c>
      <c r="E2462" s="114">
        <v>1.4313637641589874</v>
      </c>
      <c r="F2462" s="91" t="s">
        <v>2535</v>
      </c>
      <c r="G2462" s="91" t="b">
        <v>0</v>
      </c>
      <c r="H2462" s="91" t="b">
        <v>0</v>
      </c>
      <c r="I2462" s="91" t="b">
        <v>0</v>
      </c>
      <c r="J2462" s="91" t="b">
        <v>0</v>
      </c>
      <c r="K2462" s="91" t="b">
        <v>0</v>
      </c>
      <c r="L2462" s="91" t="b">
        <v>0</v>
      </c>
    </row>
    <row r="2463" spans="1:12" ht="15">
      <c r="A2463" s="92" t="s">
        <v>2566</v>
      </c>
      <c r="B2463" s="91" t="s">
        <v>2747</v>
      </c>
      <c r="C2463" s="91">
        <v>3</v>
      </c>
      <c r="D2463" s="114">
        <v>0</v>
      </c>
      <c r="E2463" s="114">
        <v>1.4313637641589874</v>
      </c>
      <c r="F2463" s="91" t="s">
        <v>2535</v>
      </c>
      <c r="G2463" s="91" t="b">
        <v>0</v>
      </c>
      <c r="H2463" s="91" t="b">
        <v>0</v>
      </c>
      <c r="I2463" s="91" t="b">
        <v>0</v>
      </c>
      <c r="J2463" s="91" t="b">
        <v>0</v>
      </c>
      <c r="K2463" s="91" t="b">
        <v>0</v>
      </c>
      <c r="L2463" s="91" t="b">
        <v>0</v>
      </c>
    </row>
    <row r="2464" spans="1:12" ht="15">
      <c r="A2464" s="92" t="s">
        <v>2747</v>
      </c>
      <c r="B2464" s="91" t="s">
        <v>2564</v>
      </c>
      <c r="C2464" s="91">
        <v>3</v>
      </c>
      <c r="D2464" s="114">
        <v>0</v>
      </c>
      <c r="E2464" s="114">
        <v>1.4313637641589874</v>
      </c>
      <c r="F2464" s="91" t="s">
        <v>2535</v>
      </c>
      <c r="G2464" s="91" t="b">
        <v>0</v>
      </c>
      <c r="H2464" s="91" t="b">
        <v>0</v>
      </c>
      <c r="I2464" s="91" t="b">
        <v>0</v>
      </c>
      <c r="J2464" s="91" t="b">
        <v>0</v>
      </c>
      <c r="K2464" s="91" t="b">
        <v>0</v>
      </c>
      <c r="L2464" s="91" t="b">
        <v>0</v>
      </c>
    </row>
    <row r="2465" spans="1:12" ht="15">
      <c r="A2465" s="92" t="s">
        <v>2564</v>
      </c>
      <c r="B2465" s="91" t="s">
        <v>3050</v>
      </c>
      <c r="C2465" s="91">
        <v>3</v>
      </c>
      <c r="D2465" s="114">
        <v>0</v>
      </c>
      <c r="E2465" s="114">
        <v>1.4313637641589874</v>
      </c>
      <c r="F2465" s="91" t="s">
        <v>2535</v>
      </c>
      <c r="G2465" s="91" t="b">
        <v>0</v>
      </c>
      <c r="H2465" s="91" t="b">
        <v>0</v>
      </c>
      <c r="I2465" s="91" t="b">
        <v>0</v>
      </c>
      <c r="J2465" s="91" t="b">
        <v>0</v>
      </c>
      <c r="K2465" s="91" t="b">
        <v>0</v>
      </c>
      <c r="L2465" s="91" t="b">
        <v>0</v>
      </c>
    </row>
    <row r="2466" spans="1:12" ht="15">
      <c r="A2466" s="92" t="s">
        <v>3050</v>
      </c>
      <c r="B2466" s="91" t="s">
        <v>3051</v>
      </c>
      <c r="C2466" s="91">
        <v>3</v>
      </c>
      <c r="D2466" s="114">
        <v>0</v>
      </c>
      <c r="E2466" s="114">
        <v>1.4313637641589874</v>
      </c>
      <c r="F2466" s="91" t="s">
        <v>2535</v>
      </c>
      <c r="G2466" s="91" t="b">
        <v>0</v>
      </c>
      <c r="H2466" s="91" t="b">
        <v>0</v>
      </c>
      <c r="I2466" s="91" t="b">
        <v>0</v>
      </c>
      <c r="J2466" s="91" t="b">
        <v>0</v>
      </c>
      <c r="K2466" s="91" t="b">
        <v>0</v>
      </c>
      <c r="L2466" s="91" t="b">
        <v>0</v>
      </c>
    </row>
    <row r="2467" spans="1:12" ht="15">
      <c r="A2467" s="92" t="s">
        <v>3051</v>
      </c>
      <c r="B2467" s="91" t="s">
        <v>2717</v>
      </c>
      <c r="C2467" s="91">
        <v>3</v>
      </c>
      <c r="D2467" s="114">
        <v>0</v>
      </c>
      <c r="E2467" s="114">
        <v>1.4313637641589874</v>
      </c>
      <c r="F2467" s="91" t="s">
        <v>2535</v>
      </c>
      <c r="G2467" s="91" t="b">
        <v>0</v>
      </c>
      <c r="H2467" s="91" t="b">
        <v>0</v>
      </c>
      <c r="I2467" s="91" t="b">
        <v>0</v>
      </c>
      <c r="J2467" s="91" t="b">
        <v>0</v>
      </c>
      <c r="K2467" s="91" t="b">
        <v>0</v>
      </c>
      <c r="L2467" s="91" t="b">
        <v>0</v>
      </c>
    </row>
    <row r="2468" spans="1:12" ht="15">
      <c r="A2468" s="92" t="s">
        <v>2717</v>
      </c>
      <c r="B2468" s="91" t="s">
        <v>2643</v>
      </c>
      <c r="C2468" s="91">
        <v>3</v>
      </c>
      <c r="D2468" s="114">
        <v>0</v>
      </c>
      <c r="E2468" s="114">
        <v>1.4313637641589874</v>
      </c>
      <c r="F2468" s="91" t="s">
        <v>2535</v>
      </c>
      <c r="G2468" s="91" t="b">
        <v>0</v>
      </c>
      <c r="H2468" s="91" t="b">
        <v>0</v>
      </c>
      <c r="I2468" s="91" t="b">
        <v>0</v>
      </c>
      <c r="J2468" s="91" t="b">
        <v>0</v>
      </c>
      <c r="K2468" s="91" t="b">
        <v>0</v>
      </c>
      <c r="L2468" s="91" t="b">
        <v>0</v>
      </c>
    </row>
    <row r="2469" spans="1:12" ht="15">
      <c r="A2469" s="92" t="s">
        <v>2643</v>
      </c>
      <c r="B2469" s="91" t="s">
        <v>3052</v>
      </c>
      <c r="C2469" s="91">
        <v>3</v>
      </c>
      <c r="D2469" s="114">
        <v>0</v>
      </c>
      <c r="E2469" s="114">
        <v>1.4313637641589874</v>
      </c>
      <c r="F2469" s="91" t="s">
        <v>2535</v>
      </c>
      <c r="G2469" s="91" t="b">
        <v>0</v>
      </c>
      <c r="H2469" s="91" t="b">
        <v>0</v>
      </c>
      <c r="I2469" s="91" t="b">
        <v>0</v>
      </c>
      <c r="J2469" s="91" t="b">
        <v>0</v>
      </c>
      <c r="K2469" s="91" t="b">
        <v>0</v>
      </c>
      <c r="L2469" s="91" t="b">
        <v>0</v>
      </c>
    </row>
    <row r="2470" spans="1:12" ht="15">
      <c r="A2470" s="92" t="s">
        <v>3052</v>
      </c>
      <c r="B2470" s="91" t="s">
        <v>2728</v>
      </c>
      <c r="C2470" s="91">
        <v>3</v>
      </c>
      <c r="D2470" s="114">
        <v>0</v>
      </c>
      <c r="E2470" s="114">
        <v>1.4313637641589874</v>
      </c>
      <c r="F2470" s="91" t="s">
        <v>2535</v>
      </c>
      <c r="G2470" s="91" t="b">
        <v>0</v>
      </c>
      <c r="H2470" s="91" t="b">
        <v>0</v>
      </c>
      <c r="I2470" s="91" t="b">
        <v>0</v>
      </c>
      <c r="J2470" s="91" t="b">
        <v>0</v>
      </c>
      <c r="K2470" s="91" t="b">
        <v>0</v>
      </c>
      <c r="L2470" s="91" t="b">
        <v>0</v>
      </c>
    </row>
    <row r="2471" spans="1:12" ht="15">
      <c r="A2471" s="92" t="s">
        <v>2728</v>
      </c>
      <c r="B2471" s="91" t="s">
        <v>2890</v>
      </c>
      <c r="C2471" s="91">
        <v>3</v>
      </c>
      <c r="D2471" s="114">
        <v>0</v>
      </c>
      <c r="E2471" s="114">
        <v>1.4313637641589874</v>
      </c>
      <c r="F2471" s="91" t="s">
        <v>2535</v>
      </c>
      <c r="G2471" s="91" t="b">
        <v>0</v>
      </c>
      <c r="H2471" s="91" t="b">
        <v>0</v>
      </c>
      <c r="I2471" s="91" t="b">
        <v>0</v>
      </c>
      <c r="J2471" s="91" t="b">
        <v>0</v>
      </c>
      <c r="K2471" s="91" t="b">
        <v>0</v>
      </c>
      <c r="L2471" s="91" t="b">
        <v>0</v>
      </c>
    </row>
    <row r="2472" spans="1:12" ht="15">
      <c r="A2472" s="92" t="s">
        <v>2890</v>
      </c>
      <c r="B2472" s="91" t="s">
        <v>2891</v>
      </c>
      <c r="C2472" s="91">
        <v>3</v>
      </c>
      <c r="D2472" s="114">
        <v>0</v>
      </c>
      <c r="E2472" s="114">
        <v>1.4313637641589874</v>
      </c>
      <c r="F2472" s="91" t="s">
        <v>2535</v>
      </c>
      <c r="G2472" s="91" t="b">
        <v>0</v>
      </c>
      <c r="H2472" s="91" t="b">
        <v>0</v>
      </c>
      <c r="I2472" s="91" t="b">
        <v>0</v>
      </c>
      <c r="J2472" s="91" t="b">
        <v>0</v>
      </c>
      <c r="K2472" s="91" t="b">
        <v>0</v>
      </c>
      <c r="L2472" s="91" t="b">
        <v>0</v>
      </c>
    </row>
    <row r="2473" spans="1:12" ht="15">
      <c r="A2473" s="92" t="s">
        <v>2891</v>
      </c>
      <c r="B2473" s="91" t="s">
        <v>3053</v>
      </c>
      <c r="C2473" s="91">
        <v>3</v>
      </c>
      <c r="D2473" s="114">
        <v>0</v>
      </c>
      <c r="E2473" s="114">
        <v>1.4313637641589874</v>
      </c>
      <c r="F2473" s="91" t="s">
        <v>2535</v>
      </c>
      <c r="G2473" s="91" t="b">
        <v>0</v>
      </c>
      <c r="H2473" s="91" t="b">
        <v>0</v>
      </c>
      <c r="I2473" s="91" t="b">
        <v>0</v>
      </c>
      <c r="J2473" s="91" t="b">
        <v>0</v>
      </c>
      <c r="K2473" s="91" t="b">
        <v>0</v>
      </c>
      <c r="L2473" s="91" t="b">
        <v>0</v>
      </c>
    </row>
    <row r="2474" spans="1:12" ht="15">
      <c r="A2474" s="92" t="s">
        <v>3053</v>
      </c>
      <c r="B2474" s="91" t="s">
        <v>3054</v>
      </c>
      <c r="C2474" s="91">
        <v>3</v>
      </c>
      <c r="D2474" s="114">
        <v>0</v>
      </c>
      <c r="E2474" s="114">
        <v>1.4313637641589874</v>
      </c>
      <c r="F2474" s="91" t="s">
        <v>2535</v>
      </c>
      <c r="G2474" s="91" t="b">
        <v>0</v>
      </c>
      <c r="H2474" s="91" t="b">
        <v>0</v>
      </c>
      <c r="I2474" s="91" t="b">
        <v>0</v>
      </c>
      <c r="J2474" s="91" t="b">
        <v>0</v>
      </c>
      <c r="K2474" s="91" t="b">
        <v>0</v>
      </c>
      <c r="L2474" s="91" t="b">
        <v>0</v>
      </c>
    </row>
    <row r="2475" spans="1:12" ht="15">
      <c r="A2475" s="92" t="s">
        <v>3054</v>
      </c>
      <c r="B2475" s="91" t="s">
        <v>3055</v>
      </c>
      <c r="C2475" s="91">
        <v>3</v>
      </c>
      <c r="D2475" s="114">
        <v>0</v>
      </c>
      <c r="E2475" s="114">
        <v>1.4313637641589874</v>
      </c>
      <c r="F2475" s="91" t="s">
        <v>2535</v>
      </c>
      <c r="G2475" s="91" t="b">
        <v>0</v>
      </c>
      <c r="H2475" s="91" t="b">
        <v>0</v>
      </c>
      <c r="I2475" s="91" t="b">
        <v>0</v>
      </c>
      <c r="J2475" s="91" t="b">
        <v>0</v>
      </c>
      <c r="K2475" s="91" t="b">
        <v>0</v>
      </c>
      <c r="L2475" s="91" t="b">
        <v>0</v>
      </c>
    </row>
    <row r="2476" spans="1:12" ht="15">
      <c r="A2476" s="92" t="s">
        <v>3055</v>
      </c>
      <c r="B2476" s="91" t="s">
        <v>2731</v>
      </c>
      <c r="C2476" s="91">
        <v>3</v>
      </c>
      <c r="D2476" s="114">
        <v>0</v>
      </c>
      <c r="E2476" s="114">
        <v>1.4313637641589874</v>
      </c>
      <c r="F2476" s="91" t="s">
        <v>2535</v>
      </c>
      <c r="G2476" s="91" t="b">
        <v>0</v>
      </c>
      <c r="H2476" s="91" t="b">
        <v>0</v>
      </c>
      <c r="I2476" s="91" t="b">
        <v>0</v>
      </c>
      <c r="J2476" s="91" t="b">
        <v>0</v>
      </c>
      <c r="K2476" s="91" t="b">
        <v>0</v>
      </c>
      <c r="L2476" s="91" t="b">
        <v>0</v>
      </c>
    </row>
    <row r="2477" spans="1:12" ht="15">
      <c r="A2477" s="92" t="s">
        <v>2731</v>
      </c>
      <c r="B2477" s="91" t="s">
        <v>3056</v>
      </c>
      <c r="C2477" s="91">
        <v>3</v>
      </c>
      <c r="D2477" s="114">
        <v>0</v>
      </c>
      <c r="E2477" s="114">
        <v>1.4313637641589874</v>
      </c>
      <c r="F2477" s="91" t="s">
        <v>2535</v>
      </c>
      <c r="G2477" s="91" t="b">
        <v>0</v>
      </c>
      <c r="H2477" s="91" t="b">
        <v>0</v>
      </c>
      <c r="I2477" s="91" t="b">
        <v>0</v>
      </c>
      <c r="J2477" s="91" t="b">
        <v>0</v>
      </c>
      <c r="K2477" s="91" t="b">
        <v>0</v>
      </c>
      <c r="L2477" s="91" t="b">
        <v>0</v>
      </c>
    </row>
    <row r="2478" spans="1:12" ht="15">
      <c r="A2478" s="92" t="s">
        <v>3056</v>
      </c>
      <c r="B2478" s="91" t="s">
        <v>3057</v>
      </c>
      <c r="C2478" s="91">
        <v>3</v>
      </c>
      <c r="D2478" s="114">
        <v>0</v>
      </c>
      <c r="E2478" s="114">
        <v>1.4313637641589874</v>
      </c>
      <c r="F2478" s="91" t="s">
        <v>2535</v>
      </c>
      <c r="G2478" s="91" t="b">
        <v>0</v>
      </c>
      <c r="H2478" s="91" t="b">
        <v>0</v>
      </c>
      <c r="I2478" s="91" t="b">
        <v>0</v>
      </c>
      <c r="J2478" s="91" t="b">
        <v>0</v>
      </c>
      <c r="K2478" s="91" t="b">
        <v>0</v>
      </c>
      <c r="L2478" s="91" t="b">
        <v>0</v>
      </c>
    </row>
    <row r="2479" spans="1:12" ht="15">
      <c r="A2479" s="92" t="s">
        <v>3057</v>
      </c>
      <c r="B2479" s="91" t="s">
        <v>3058</v>
      </c>
      <c r="C2479" s="91">
        <v>3</v>
      </c>
      <c r="D2479" s="114">
        <v>0</v>
      </c>
      <c r="E2479" s="114">
        <v>1.4313637641589874</v>
      </c>
      <c r="F2479" s="91" t="s">
        <v>2535</v>
      </c>
      <c r="G2479" s="91" t="b">
        <v>0</v>
      </c>
      <c r="H2479" s="91" t="b">
        <v>0</v>
      </c>
      <c r="I2479" s="91" t="b">
        <v>0</v>
      </c>
      <c r="J2479" s="91" t="b">
        <v>0</v>
      </c>
      <c r="K2479" s="91" t="b">
        <v>0</v>
      </c>
      <c r="L2479" s="91" t="b">
        <v>0</v>
      </c>
    </row>
    <row r="2480" spans="1:12" ht="15">
      <c r="A2480" s="92" t="s">
        <v>3058</v>
      </c>
      <c r="B2480" s="91" t="s">
        <v>2645</v>
      </c>
      <c r="C2480" s="91">
        <v>3</v>
      </c>
      <c r="D2480" s="114">
        <v>0</v>
      </c>
      <c r="E2480" s="114">
        <v>1.4313637641589874</v>
      </c>
      <c r="F2480" s="91" t="s">
        <v>2535</v>
      </c>
      <c r="G2480" s="91" t="b">
        <v>0</v>
      </c>
      <c r="H2480" s="91" t="b">
        <v>0</v>
      </c>
      <c r="I2480" s="91" t="b">
        <v>0</v>
      </c>
      <c r="J2480" s="91" t="b">
        <v>0</v>
      </c>
      <c r="K2480" s="91" t="b">
        <v>0</v>
      </c>
      <c r="L2480" s="91" t="b">
        <v>0</v>
      </c>
    </row>
    <row r="2481" spans="1:12" ht="15">
      <c r="A2481" s="92" t="s">
        <v>2645</v>
      </c>
      <c r="B2481" s="91" t="s">
        <v>3059</v>
      </c>
      <c r="C2481" s="91">
        <v>3</v>
      </c>
      <c r="D2481" s="114">
        <v>0</v>
      </c>
      <c r="E2481" s="114">
        <v>1.4313637641589874</v>
      </c>
      <c r="F2481" s="91" t="s">
        <v>2535</v>
      </c>
      <c r="G2481" s="91" t="b">
        <v>0</v>
      </c>
      <c r="H2481" s="91" t="b">
        <v>0</v>
      </c>
      <c r="I2481" s="91" t="b">
        <v>0</v>
      </c>
      <c r="J2481" s="91" t="b">
        <v>0</v>
      </c>
      <c r="K2481" s="91" t="b">
        <v>0</v>
      </c>
      <c r="L2481" s="91" t="b">
        <v>0</v>
      </c>
    </row>
    <row r="2482" spans="1:12" ht="15">
      <c r="A2482" s="92" t="s">
        <v>2894</v>
      </c>
      <c r="B2482" s="91" t="s">
        <v>3120</v>
      </c>
      <c r="C2482" s="91">
        <v>2</v>
      </c>
      <c r="D2482" s="114">
        <v>0.004192649025135268</v>
      </c>
      <c r="E2482" s="114">
        <v>1.6074550232146687</v>
      </c>
      <c r="F2482" s="91" t="s">
        <v>2535</v>
      </c>
      <c r="G2482" s="91" t="b">
        <v>0</v>
      </c>
      <c r="H2482" s="91" t="b">
        <v>0</v>
      </c>
      <c r="I2482" s="91" t="b">
        <v>0</v>
      </c>
      <c r="J2482" s="91" t="b">
        <v>0</v>
      </c>
      <c r="K2482" s="91" t="b">
        <v>0</v>
      </c>
      <c r="L2482" s="91" t="b">
        <v>0</v>
      </c>
    </row>
    <row r="2483" spans="1:12" ht="15">
      <c r="A2483" s="92" t="s">
        <v>3120</v>
      </c>
      <c r="B2483" s="91" t="s">
        <v>2612</v>
      </c>
      <c r="C2483" s="91">
        <v>2</v>
      </c>
      <c r="D2483" s="114">
        <v>0.004192649025135268</v>
      </c>
      <c r="E2483" s="114">
        <v>1.4313637641589874</v>
      </c>
      <c r="F2483" s="91" t="s">
        <v>2535</v>
      </c>
      <c r="G2483" s="91" t="b">
        <v>0</v>
      </c>
      <c r="H2483" s="91" t="b">
        <v>0</v>
      </c>
      <c r="I2483" s="91" t="b">
        <v>0</v>
      </c>
      <c r="J2483" s="91" t="b">
        <v>0</v>
      </c>
      <c r="K2483" s="91" t="b">
        <v>0</v>
      </c>
      <c r="L2483" s="91" t="b">
        <v>0</v>
      </c>
    </row>
    <row r="2484" spans="1:12" ht="15">
      <c r="A2484" s="92" t="s">
        <v>3121</v>
      </c>
      <c r="B2484" s="91" t="s">
        <v>3122</v>
      </c>
      <c r="C2484" s="91">
        <v>2</v>
      </c>
      <c r="D2484" s="114">
        <v>0</v>
      </c>
      <c r="E2484" s="114">
        <v>1.6434526764861874</v>
      </c>
      <c r="F2484" s="91" t="s">
        <v>2536</v>
      </c>
      <c r="G2484" s="91" t="b">
        <v>0</v>
      </c>
      <c r="H2484" s="91" t="b">
        <v>0</v>
      </c>
      <c r="I2484" s="91" t="b">
        <v>0</v>
      </c>
      <c r="J2484" s="91" t="b">
        <v>0</v>
      </c>
      <c r="K2484" s="91" t="b">
        <v>0</v>
      </c>
      <c r="L2484" s="91" t="b">
        <v>0</v>
      </c>
    </row>
    <row r="2485" spans="1:12" ht="15">
      <c r="A2485" s="92" t="s">
        <v>3122</v>
      </c>
      <c r="B2485" s="91" t="s">
        <v>3071</v>
      </c>
      <c r="C2485" s="91">
        <v>2</v>
      </c>
      <c r="D2485" s="114">
        <v>0</v>
      </c>
      <c r="E2485" s="114">
        <v>1.6434526764861874</v>
      </c>
      <c r="F2485" s="91" t="s">
        <v>2536</v>
      </c>
      <c r="G2485" s="91" t="b">
        <v>0</v>
      </c>
      <c r="H2485" s="91" t="b">
        <v>0</v>
      </c>
      <c r="I2485" s="91" t="b">
        <v>0</v>
      </c>
      <c r="J2485" s="91" t="b">
        <v>0</v>
      </c>
      <c r="K2485" s="91" t="b">
        <v>0</v>
      </c>
      <c r="L2485" s="91" t="b">
        <v>0</v>
      </c>
    </row>
    <row r="2486" spans="1:12" ht="15">
      <c r="A2486" s="92" t="s">
        <v>3071</v>
      </c>
      <c r="B2486" s="91" t="s">
        <v>2568</v>
      </c>
      <c r="C2486" s="91">
        <v>2</v>
      </c>
      <c r="D2486" s="114">
        <v>0</v>
      </c>
      <c r="E2486" s="114">
        <v>1.166331421766525</v>
      </c>
      <c r="F2486" s="91" t="s">
        <v>2536</v>
      </c>
      <c r="G2486" s="91" t="b">
        <v>0</v>
      </c>
      <c r="H2486" s="91" t="b">
        <v>0</v>
      </c>
      <c r="I2486" s="91" t="b">
        <v>0</v>
      </c>
      <c r="J2486" s="91" t="b">
        <v>0</v>
      </c>
      <c r="K2486" s="91" t="b">
        <v>0</v>
      </c>
      <c r="L2486" s="91" t="b">
        <v>0</v>
      </c>
    </row>
    <row r="2487" spans="1:12" ht="15">
      <c r="A2487" s="92" t="s">
        <v>2568</v>
      </c>
      <c r="B2487" s="91" t="s">
        <v>3123</v>
      </c>
      <c r="C2487" s="91">
        <v>2</v>
      </c>
      <c r="D2487" s="114">
        <v>0</v>
      </c>
      <c r="E2487" s="114">
        <v>1.166331421766525</v>
      </c>
      <c r="F2487" s="91" t="s">
        <v>2536</v>
      </c>
      <c r="G2487" s="91" t="b">
        <v>0</v>
      </c>
      <c r="H2487" s="91" t="b">
        <v>0</v>
      </c>
      <c r="I2487" s="91" t="b">
        <v>0</v>
      </c>
      <c r="J2487" s="91" t="b">
        <v>0</v>
      </c>
      <c r="K2487" s="91" t="b">
        <v>0</v>
      </c>
      <c r="L2487" s="91" t="b">
        <v>0</v>
      </c>
    </row>
    <row r="2488" spans="1:12" ht="15">
      <c r="A2488" s="92" t="s">
        <v>3123</v>
      </c>
      <c r="B2488" s="91" t="s">
        <v>3124</v>
      </c>
      <c r="C2488" s="91">
        <v>2</v>
      </c>
      <c r="D2488" s="114">
        <v>0</v>
      </c>
      <c r="E2488" s="114">
        <v>1.6434526764861874</v>
      </c>
      <c r="F2488" s="91" t="s">
        <v>2536</v>
      </c>
      <c r="G2488" s="91" t="b">
        <v>0</v>
      </c>
      <c r="H2488" s="91" t="b">
        <v>0</v>
      </c>
      <c r="I2488" s="91" t="b">
        <v>0</v>
      </c>
      <c r="J2488" s="91" t="b">
        <v>0</v>
      </c>
      <c r="K2488" s="91" t="b">
        <v>0</v>
      </c>
      <c r="L2488" s="91" t="b">
        <v>0</v>
      </c>
    </row>
    <row r="2489" spans="1:12" ht="15">
      <c r="A2489" s="92" t="s">
        <v>3124</v>
      </c>
      <c r="B2489" s="91" t="s">
        <v>2589</v>
      </c>
      <c r="C2489" s="91">
        <v>2</v>
      </c>
      <c r="D2489" s="114">
        <v>0</v>
      </c>
      <c r="E2489" s="114">
        <v>1.166331421766525</v>
      </c>
      <c r="F2489" s="91" t="s">
        <v>2536</v>
      </c>
      <c r="G2489" s="91" t="b">
        <v>0</v>
      </c>
      <c r="H2489" s="91" t="b">
        <v>0</v>
      </c>
      <c r="I2489" s="91" t="b">
        <v>0</v>
      </c>
      <c r="J2489" s="91" t="b">
        <v>0</v>
      </c>
      <c r="K2489" s="91" t="b">
        <v>0</v>
      </c>
      <c r="L2489" s="91" t="b">
        <v>0</v>
      </c>
    </row>
    <row r="2490" spans="1:12" ht="15">
      <c r="A2490" s="92" t="s">
        <v>2589</v>
      </c>
      <c r="B2490" s="91" t="s">
        <v>2569</v>
      </c>
      <c r="C2490" s="91">
        <v>2</v>
      </c>
      <c r="D2490" s="114">
        <v>0</v>
      </c>
      <c r="E2490" s="114">
        <v>1.166331421766525</v>
      </c>
      <c r="F2490" s="91" t="s">
        <v>2536</v>
      </c>
      <c r="G2490" s="91" t="b">
        <v>0</v>
      </c>
      <c r="H2490" s="91" t="b">
        <v>0</v>
      </c>
      <c r="I2490" s="91" t="b">
        <v>0</v>
      </c>
      <c r="J2490" s="91" t="b">
        <v>0</v>
      </c>
      <c r="K2490" s="91" t="b">
        <v>0</v>
      </c>
      <c r="L2490" s="91" t="b">
        <v>0</v>
      </c>
    </row>
    <row r="2491" spans="1:12" ht="15">
      <c r="A2491" s="92" t="s">
        <v>2569</v>
      </c>
      <c r="B2491" s="91" t="s">
        <v>3125</v>
      </c>
      <c r="C2491" s="91">
        <v>2</v>
      </c>
      <c r="D2491" s="114">
        <v>0</v>
      </c>
      <c r="E2491" s="114">
        <v>1.6434526764861874</v>
      </c>
      <c r="F2491" s="91" t="s">
        <v>2536</v>
      </c>
      <c r="G2491" s="91" t="b">
        <v>0</v>
      </c>
      <c r="H2491" s="91" t="b">
        <v>0</v>
      </c>
      <c r="I2491" s="91" t="b">
        <v>0</v>
      </c>
      <c r="J2491" s="91" t="b">
        <v>0</v>
      </c>
      <c r="K2491" s="91" t="b">
        <v>0</v>
      </c>
      <c r="L2491" s="91" t="b">
        <v>0</v>
      </c>
    </row>
    <row r="2492" spans="1:12" ht="15">
      <c r="A2492" s="92" t="s">
        <v>3125</v>
      </c>
      <c r="B2492" s="91" t="s">
        <v>3126</v>
      </c>
      <c r="C2492" s="91">
        <v>2</v>
      </c>
      <c r="D2492" s="114">
        <v>0</v>
      </c>
      <c r="E2492" s="114">
        <v>1.6434526764861874</v>
      </c>
      <c r="F2492" s="91" t="s">
        <v>2536</v>
      </c>
      <c r="G2492" s="91" t="b">
        <v>0</v>
      </c>
      <c r="H2492" s="91" t="b">
        <v>0</v>
      </c>
      <c r="I2492" s="91" t="b">
        <v>0</v>
      </c>
      <c r="J2492" s="91" t="b">
        <v>0</v>
      </c>
      <c r="K2492" s="91" t="b">
        <v>0</v>
      </c>
      <c r="L2492" s="91" t="b">
        <v>0</v>
      </c>
    </row>
    <row r="2493" spans="1:12" ht="15">
      <c r="A2493" s="92" t="s">
        <v>3126</v>
      </c>
      <c r="B2493" s="91" t="s">
        <v>3127</v>
      </c>
      <c r="C2493" s="91">
        <v>2</v>
      </c>
      <c r="D2493" s="114">
        <v>0</v>
      </c>
      <c r="E2493" s="114">
        <v>1.6434526764861874</v>
      </c>
      <c r="F2493" s="91" t="s">
        <v>2536</v>
      </c>
      <c r="G2493" s="91" t="b">
        <v>0</v>
      </c>
      <c r="H2493" s="91" t="b">
        <v>0</v>
      </c>
      <c r="I2493" s="91" t="b">
        <v>0</v>
      </c>
      <c r="J2493" s="91" t="b">
        <v>0</v>
      </c>
      <c r="K2493" s="91" t="b">
        <v>0</v>
      </c>
      <c r="L2493" s="91" t="b">
        <v>0</v>
      </c>
    </row>
    <row r="2494" spans="1:12" ht="15">
      <c r="A2494" s="92" t="s">
        <v>3127</v>
      </c>
      <c r="B2494" s="91" t="s">
        <v>3072</v>
      </c>
      <c r="C2494" s="91">
        <v>2</v>
      </c>
      <c r="D2494" s="114">
        <v>0</v>
      </c>
      <c r="E2494" s="114">
        <v>1.6434526764861874</v>
      </c>
      <c r="F2494" s="91" t="s">
        <v>2536</v>
      </c>
      <c r="G2494" s="91" t="b">
        <v>0</v>
      </c>
      <c r="H2494" s="91" t="b">
        <v>0</v>
      </c>
      <c r="I2494" s="91" t="b">
        <v>0</v>
      </c>
      <c r="J2494" s="91" t="b">
        <v>0</v>
      </c>
      <c r="K2494" s="91" t="b">
        <v>0</v>
      </c>
      <c r="L2494" s="91" t="b">
        <v>0</v>
      </c>
    </row>
    <row r="2495" spans="1:12" ht="15">
      <c r="A2495" s="92" t="s">
        <v>3072</v>
      </c>
      <c r="B2495" s="91" t="s">
        <v>2647</v>
      </c>
      <c r="C2495" s="91">
        <v>2</v>
      </c>
      <c r="D2495" s="114">
        <v>0</v>
      </c>
      <c r="E2495" s="114">
        <v>1.6434526764861874</v>
      </c>
      <c r="F2495" s="91" t="s">
        <v>2536</v>
      </c>
      <c r="G2495" s="91" t="b">
        <v>0</v>
      </c>
      <c r="H2495" s="91" t="b">
        <v>0</v>
      </c>
      <c r="I2495" s="91" t="b">
        <v>0</v>
      </c>
      <c r="J2495" s="91" t="b">
        <v>0</v>
      </c>
      <c r="K2495" s="91" t="b">
        <v>0</v>
      </c>
      <c r="L2495" s="91" t="b">
        <v>0</v>
      </c>
    </row>
    <row r="2496" spans="1:12" ht="15">
      <c r="A2496" s="92" t="s">
        <v>2647</v>
      </c>
      <c r="B2496" s="91" t="s">
        <v>3128</v>
      </c>
      <c r="C2496" s="91">
        <v>2</v>
      </c>
      <c r="D2496" s="114">
        <v>0</v>
      </c>
      <c r="E2496" s="114">
        <v>1.6434526764861874</v>
      </c>
      <c r="F2496" s="91" t="s">
        <v>2536</v>
      </c>
      <c r="G2496" s="91" t="b">
        <v>0</v>
      </c>
      <c r="H2496" s="91" t="b">
        <v>0</v>
      </c>
      <c r="I2496" s="91" t="b">
        <v>0</v>
      </c>
      <c r="J2496" s="91" t="b">
        <v>0</v>
      </c>
      <c r="K2496" s="91" t="b">
        <v>0</v>
      </c>
      <c r="L2496" s="91" t="b">
        <v>0</v>
      </c>
    </row>
    <row r="2497" spans="1:12" ht="15">
      <c r="A2497" s="92" t="s">
        <v>3128</v>
      </c>
      <c r="B2497" s="91" t="s">
        <v>2775</v>
      </c>
      <c r="C2497" s="91">
        <v>2</v>
      </c>
      <c r="D2497" s="114">
        <v>0</v>
      </c>
      <c r="E2497" s="114">
        <v>1.6434526764861874</v>
      </c>
      <c r="F2497" s="91" t="s">
        <v>2536</v>
      </c>
      <c r="G2497" s="91" t="b">
        <v>0</v>
      </c>
      <c r="H2497" s="91" t="b">
        <v>0</v>
      </c>
      <c r="I2497" s="91" t="b">
        <v>0</v>
      </c>
      <c r="J2497" s="91" t="b">
        <v>0</v>
      </c>
      <c r="K2497" s="91" t="b">
        <v>0</v>
      </c>
      <c r="L2497" s="91" t="b">
        <v>0</v>
      </c>
    </row>
    <row r="2498" spans="1:12" ht="15">
      <c r="A2498" s="92" t="s">
        <v>2775</v>
      </c>
      <c r="B2498" s="91" t="s">
        <v>2589</v>
      </c>
      <c r="C2498" s="91">
        <v>2</v>
      </c>
      <c r="D2498" s="114">
        <v>0</v>
      </c>
      <c r="E2498" s="114">
        <v>1.166331421766525</v>
      </c>
      <c r="F2498" s="91" t="s">
        <v>2536</v>
      </c>
      <c r="G2498" s="91" t="b">
        <v>0</v>
      </c>
      <c r="H2498" s="91" t="b">
        <v>0</v>
      </c>
      <c r="I2498" s="91" t="b">
        <v>0</v>
      </c>
      <c r="J2498" s="91" t="b">
        <v>0</v>
      </c>
      <c r="K2498" s="91" t="b">
        <v>0</v>
      </c>
      <c r="L2498" s="91" t="b">
        <v>0</v>
      </c>
    </row>
    <row r="2499" spans="1:12" ht="15">
      <c r="A2499" s="92" t="s">
        <v>2589</v>
      </c>
      <c r="B2499" s="91" t="s">
        <v>3129</v>
      </c>
      <c r="C2499" s="91">
        <v>2</v>
      </c>
      <c r="D2499" s="114">
        <v>0</v>
      </c>
      <c r="E2499" s="114">
        <v>1.166331421766525</v>
      </c>
      <c r="F2499" s="91" t="s">
        <v>2536</v>
      </c>
      <c r="G2499" s="91" t="b">
        <v>0</v>
      </c>
      <c r="H2499" s="91" t="b">
        <v>0</v>
      </c>
      <c r="I2499" s="91" t="b">
        <v>0</v>
      </c>
      <c r="J2499" s="91" t="b">
        <v>0</v>
      </c>
      <c r="K2499" s="91" t="b">
        <v>0</v>
      </c>
      <c r="L2499" s="91" t="b">
        <v>0</v>
      </c>
    </row>
    <row r="2500" spans="1:12" ht="15">
      <c r="A2500" s="92" t="s">
        <v>3129</v>
      </c>
      <c r="B2500" s="91" t="s">
        <v>3130</v>
      </c>
      <c r="C2500" s="91">
        <v>2</v>
      </c>
      <c r="D2500" s="114">
        <v>0</v>
      </c>
      <c r="E2500" s="114">
        <v>1.6434526764861874</v>
      </c>
      <c r="F2500" s="91" t="s">
        <v>2536</v>
      </c>
      <c r="G2500" s="91" t="b">
        <v>0</v>
      </c>
      <c r="H2500" s="91" t="b">
        <v>0</v>
      </c>
      <c r="I2500" s="91" t="b">
        <v>0</v>
      </c>
      <c r="J2500" s="91" t="b">
        <v>0</v>
      </c>
      <c r="K2500" s="91" t="b">
        <v>0</v>
      </c>
      <c r="L2500" s="91" t="b">
        <v>0</v>
      </c>
    </row>
    <row r="2501" spans="1:12" ht="15">
      <c r="A2501" s="92" t="s">
        <v>3130</v>
      </c>
      <c r="B2501" s="91" t="s">
        <v>3131</v>
      </c>
      <c r="C2501" s="91">
        <v>2</v>
      </c>
      <c r="D2501" s="114">
        <v>0</v>
      </c>
      <c r="E2501" s="114">
        <v>1.6434526764861874</v>
      </c>
      <c r="F2501" s="91" t="s">
        <v>2536</v>
      </c>
      <c r="G2501" s="91" t="b">
        <v>0</v>
      </c>
      <c r="H2501" s="91" t="b">
        <v>0</v>
      </c>
      <c r="I2501" s="91" t="b">
        <v>0</v>
      </c>
      <c r="J2501" s="91" t="b">
        <v>0</v>
      </c>
      <c r="K2501" s="91" t="b">
        <v>0</v>
      </c>
      <c r="L2501" s="91" t="b">
        <v>0</v>
      </c>
    </row>
    <row r="2502" spans="1:12" ht="15">
      <c r="A2502" s="92" t="s">
        <v>3131</v>
      </c>
      <c r="B2502" s="91" t="s">
        <v>2577</v>
      </c>
      <c r="C2502" s="91">
        <v>2</v>
      </c>
      <c r="D2502" s="114">
        <v>0</v>
      </c>
      <c r="E2502" s="114">
        <v>1.166331421766525</v>
      </c>
      <c r="F2502" s="91" t="s">
        <v>2536</v>
      </c>
      <c r="G2502" s="91" t="b">
        <v>0</v>
      </c>
      <c r="H2502" s="91" t="b">
        <v>0</v>
      </c>
      <c r="I2502" s="91" t="b">
        <v>0</v>
      </c>
      <c r="J2502" s="91" t="b">
        <v>0</v>
      </c>
      <c r="K2502" s="91" t="b">
        <v>0</v>
      </c>
      <c r="L2502" s="91" t="b">
        <v>0</v>
      </c>
    </row>
    <row r="2503" spans="1:12" ht="15">
      <c r="A2503" s="92" t="s">
        <v>2577</v>
      </c>
      <c r="B2503" s="91" t="s">
        <v>3132</v>
      </c>
      <c r="C2503" s="91">
        <v>2</v>
      </c>
      <c r="D2503" s="114">
        <v>0</v>
      </c>
      <c r="E2503" s="114">
        <v>1.166331421766525</v>
      </c>
      <c r="F2503" s="91" t="s">
        <v>2536</v>
      </c>
      <c r="G2503" s="91" t="b">
        <v>0</v>
      </c>
      <c r="H2503" s="91" t="b">
        <v>0</v>
      </c>
      <c r="I2503" s="91" t="b">
        <v>0</v>
      </c>
      <c r="J2503" s="91" t="b">
        <v>0</v>
      </c>
      <c r="K2503" s="91" t="b">
        <v>0</v>
      </c>
      <c r="L2503" s="91" t="b">
        <v>0</v>
      </c>
    </row>
    <row r="2504" spans="1:12" ht="15">
      <c r="A2504" s="92" t="s">
        <v>3132</v>
      </c>
      <c r="B2504" s="91" t="s">
        <v>3133</v>
      </c>
      <c r="C2504" s="91">
        <v>2</v>
      </c>
      <c r="D2504" s="114">
        <v>0</v>
      </c>
      <c r="E2504" s="114">
        <v>1.6434526764861874</v>
      </c>
      <c r="F2504" s="91" t="s">
        <v>2536</v>
      </c>
      <c r="G2504" s="91" t="b">
        <v>0</v>
      </c>
      <c r="H2504" s="91" t="b">
        <v>0</v>
      </c>
      <c r="I2504" s="91" t="b">
        <v>0</v>
      </c>
      <c r="J2504" s="91" t="b">
        <v>0</v>
      </c>
      <c r="K2504" s="91" t="b">
        <v>0</v>
      </c>
      <c r="L2504" s="91" t="b">
        <v>0</v>
      </c>
    </row>
    <row r="2505" spans="1:12" ht="15">
      <c r="A2505" s="92" t="s">
        <v>3133</v>
      </c>
      <c r="B2505" s="91" t="s">
        <v>2720</v>
      </c>
      <c r="C2505" s="91">
        <v>2</v>
      </c>
      <c r="D2505" s="114">
        <v>0</v>
      </c>
      <c r="E2505" s="114">
        <v>1.6434526764861874</v>
      </c>
      <c r="F2505" s="91" t="s">
        <v>2536</v>
      </c>
      <c r="G2505" s="91" t="b">
        <v>0</v>
      </c>
      <c r="H2505" s="91" t="b">
        <v>0</v>
      </c>
      <c r="I2505" s="91" t="b">
        <v>0</v>
      </c>
      <c r="J2505" s="91" t="b">
        <v>0</v>
      </c>
      <c r="K2505" s="91" t="b">
        <v>0</v>
      </c>
      <c r="L2505" s="91" t="b">
        <v>0</v>
      </c>
    </row>
    <row r="2506" spans="1:12" ht="15">
      <c r="A2506" s="92" t="s">
        <v>2720</v>
      </c>
      <c r="B2506" s="91" t="s">
        <v>3134</v>
      </c>
      <c r="C2506" s="91">
        <v>2</v>
      </c>
      <c r="D2506" s="114">
        <v>0</v>
      </c>
      <c r="E2506" s="114">
        <v>1.6434526764861874</v>
      </c>
      <c r="F2506" s="91" t="s">
        <v>2536</v>
      </c>
      <c r="G2506" s="91" t="b">
        <v>0</v>
      </c>
      <c r="H2506" s="91" t="b">
        <v>0</v>
      </c>
      <c r="I2506" s="91" t="b">
        <v>0</v>
      </c>
      <c r="J2506" s="91" t="b">
        <v>0</v>
      </c>
      <c r="K2506" s="91" t="b">
        <v>0</v>
      </c>
      <c r="L2506" s="91" t="b">
        <v>0</v>
      </c>
    </row>
    <row r="2507" spans="1:12" ht="15">
      <c r="A2507" s="92" t="s">
        <v>3134</v>
      </c>
      <c r="B2507" s="91" t="s">
        <v>2568</v>
      </c>
      <c r="C2507" s="91">
        <v>2</v>
      </c>
      <c r="D2507" s="114">
        <v>0</v>
      </c>
      <c r="E2507" s="114">
        <v>1.166331421766525</v>
      </c>
      <c r="F2507" s="91" t="s">
        <v>2536</v>
      </c>
      <c r="G2507" s="91" t="b">
        <v>0</v>
      </c>
      <c r="H2507" s="91" t="b">
        <v>0</v>
      </c>
      <c r="I2507" s="91" t="b">
        <v>0</v>
      </c>
      <c r="J2507" s="91" t="b">
        <v>0</v>
      </c>
      <c r="K2507" s="91" t="b">
        <v>0</v>
      </c>
      <c r="L2507" s="91" t="b">
        <v>0</v>
      </c>
    </row>
    <row r="2508" spans="1:12" ht="15">
      <c r="A2508" s="92" t="s">
        <v>2568</v>
      </c>
      <c r="B2508" s="91" t="s">
        <v>2589</v>
      </c>
      <c r="C2508" s="91">
        <v>2</v>
      </c>
      <c r="D2508" s="114">
        <v>0</v>
      </c>
      <c r="E2508" s="114">
        <v>0.6892101670468627</v>
      </c>
      <c r="F2508" s="91" t="s">
        <v>2536</v>
      </c>
      <c r="G2508" s="91" t="b">
        <v>0</v>
      </c>
      <c r="H2508" s="91" t="b">
        <v>0</v>
      </c>
      <c r="I2508" s="91" t="b">
        <v>0</v>
      </c>
      <c r="J2508" s="91" t="b">
        <v>0</v>
      </c>
      <c r="K2508" s="91" t="b">
        <v>0</v>
      </c>
      <c r="L2508" s="91" t="b">
        <v>0</v>
      </c>
    </row>
    <row r="2509" spans="1:12" ht="15">
      <c r="A2509" s="92" t="s">
        <v>2589</v>
      </c>
      <c r="B2509" s="91" t="s">
        <v>2671</v>
      </c>
      <c r="C2509" s="91">
        <v>2</v>
      </c>
      <c r="D2509" s="114">
        <v>0</v>
      </c>
      <c r="E2509" s="114">
        <v>1.166331421766525</v>
      </c>
      <c r="F2509" s="91" t="s">
        <v>2536</v>
      </c>
      <c r="G2509" s="91" t="b">
        <v>0</v>
      </c>
      <c r="H2509" s="91" t="b">
        <v>0</v>
      </c>
      <c r="I2509" s="91" t="b">
        <v>0</v>
      </c>
      <c r="J2509" s="91" t="b">
        <v>0</v>
      </c>
      <c r="K2509" s="91" t="b">
        <v>0</v>
      </c>
      <c r="L2509" s="91" t="b">
        <v>0</v>
      </c>
    </row>
    <row r="2510" spans="1:12" ht="15">
      <c r="A2510" s="92" t="s">
        <v>2671</v>
      </c>
      <c r="B2510" s="91" t="s">
        <v>3135</v>
      </c>
      <c r="C2510" s="91">
        <v>2</v>
      </c>
      <c r="D2510" s="114">
        <v>0</v>
      </c>
      <c r="E2510" s="114">
        <v>1.6434526764861874</v>
      </c>
      <c r="F2510" s="91" t="s">
        <v>2536</v>
      </c>
      <c r="G2510" s="91" t="b">
        <v>0</v>
      </c>
      <c r="H2510" s="91" t="b">
        <v>0</v>
      </c>
      <c r="I2510" s="91" t="b">
        <v>0</v>
      </c>
      <c r="J2510" s="91" t="b">
        <v>0</v>
      </c>
      <c r="K2510" s="91" t="b">
        <v>0</v>
      </c>
      <c r="L2510" s="91" t="b">
        <v>0</v>
      </c>
    </row>
    <row r="2511" spans="1:12" ht="15">
      <c r="A2511" s="92" t="s">
        <v>3135</v>
      </c>
      <c r="B2511" s="91" t="s">
        <v>2652</v>
      </c>
      <c r="C2511" s="91">
        <v>2</v>
      </c>
      <c r="D2511" s="114">
        <v>0</v>
      </c>
      <c r="E2511" s="114">
        <v>1.6434526764861874</v>
      </c>
      <c r="F2511" s="91" t="s">
        <v>2536</v>
      </c>
      <c r="G2511" s="91" t="b">
        <v>0</v>
      </c>
      <c r="H2511" s="91" t="b">
        <v>0</v>
      </c>
      <c r="I2511" s="91" t="b">
        <v>0</v>
      </c>
      <c r="J2511" s="91" t="b">
        <v>0</v>
      </c>
      <c r="K2511" s="91" t="b">
        <v>0</v>
      </c>
      <c r="L2511" s="91" t="b">
        <v>0</v>
      </c>
    </row>
    <row r="2512" spans="1:12" ht="15">
      <c r="A2512" s="92" t="s">
        <v>2652</v>
      </c>
      <c r="B2512" s="91" t="s">
        <v>3136</v>
      </c>
      <c r="C2512" s="91">
        <v>2</v>
      </c>
      <c r="D2512" s="114">
        <v>0</v>
      </c>
      <c r="E2512" s="114">
        <v>1.6434526764861874</v>
      </c>
      <c r="F2512" s="91" t="s">
        <v>2536</v>
      </c>
      <c r="G2512" s="91" t="b">
        <v>0</v>
      </c>
      <c r="H2512" s="91" t="b">
        <v>0</v>
      </c>
      <c r="I2512" s="91" t="b">
        <v>0</v>
      </c>
      <c r="J2512" s="91" t="b">
        <v>0</v>
      </c>
      <c r="K2512" s="91" t="b">
        <v>0</v>
      </c>
      <c r="L2512" s="91" t="b">
        <v>0</v>
      </c>
    </row>
    <row r="2513" spans="1:12" ht="15">
      <c r="A2513" s="92" t="s">
        <v>3136</v>
      </c>
      <c r="B2513" s="91" t="s">
        <v>2577</v>
      </c>
      <c r="C2513" s="91">
        <v>2</v>
      </c>
      <c r="D2513" s="114">
        <v>0</v>
      </c>
      <c r="E2513" s="114">
        <v>1.166331421766525</v>
      </c>
      <c r="F2513" s="91" t="s">
        <v>2536</v>
      </c>
      <c r="G2513" s="91" t="b">
        <v>0</v>
      </c>
      <c r="H2513" s="91" t="b">
        <v>0</v>
      </c>
      <c r="I2513" s="91" t="b">
        <v>0</v>
      </c>
      <c r="J2513" s="91" t="b">
        <v>0</v>
      </c>
      <c r="K2513" s="91" t="b">
        <v>0</v>
      </c>
      <c r="L2513" s="91" t="b">
        <v>0</v>
      </c>
    </row>
    <row r="2514" spans="1:12" ht="15">
      <c r="A2514" s="92" t="s">
        <v>2577</v>
      </c>
      <c r="B2514" s="91" t="s">
        <v>2610</v>
      </c>
      <c r="C2514" s="91">
        <v>2</v>
      </c>
      <c r="D2514" s="114">
        <v>0</v>
      </c>
      <c r="E2514" s="114">
        <v>1.166331421766525</v>
      </c>
      <c r="F2514" s="91" t="s">
        <v>2536</v>
      </c>
      <c r="G2514" s="91" t="b">
        <v>0</v>
      </c>
      <c r="H2514" s="91" t="b">
        <v>0</v>
      </c>
      <c r="I2514" s="91" t="b">
        <v>0</v>
      </c>
      <c r="J2514" s="91" t="b">
        <v>0</v>
      </c>
      <c r="K2514" s="91" t="b">
        <v>0</v>
      </c>
      <c r="L2514" s="91" t="b">
        <v>0</v>
      </c>
    </row>
    <row r="2515" spans="1:12" ht="15">
      <c r="A2515" s="92" t="s">
        <v>2610</v>
      </c>
      <c r="B2515" s="91" t="s">
        <v>2798</v>
      </c>
      <c r="C2515" s="91">
        <v>2</v>
      </c>
      <c r="D2515" s="114">
        <v>0</v>
      </c>
      <c r="E2515" s="114">
        <v>1.6434526764861874</v>
      </c>
      <c r="F2515" s="91" t="s">
        <v>2536</v>
      </c>
      <c r="G2515" s="91" t="b">
        <v>0</v>
      </c>
      <c r="H2515" s="91" t="b">
        <v>0</v>
      </c>
      <c r="I2515" s="91" t="b">
        <v>0</v>
      </c>
      <c r="J2515" s="91" t="b">
        <v>0</v>
      </c>
      <c r="K2515" s="91" t="b">
        <v>0</v>
      </c>
      <c r="L2515" s="91" t="b">
        <v>0</v>
      </c>
    </row>
    <row r="2516" spans="1:12" ht="15">
      <c r="A2516" s="92" t="s">
        <v>2798</v>
      </c>
      <c r="B2516" s="91" t="s">
        <v>3137</v>
      </c>
      <c r="C2516" s="91">
        <v>2</v>
      </c>
      <c r="D2516" s="114">
        <v>0</v>
      </c>
      <c r="E2516" s="114">
        <v>1.6434526764861874</v>
      </c>
      <c r="F2516" s="91" t="s">
        <v>2536</v>
      </c>
      <c r="G2516" s="91" t="b">
        <v>0</v>
      </c>
      <c r="H2516" s="91" t="b">
        <v>0</v>
      </c>
      <c r="I2516" s="91" t="b">
        <v>0</v>
      </c>
      <c r="J2516" s="91" t="b">
        <v>0</v>
      </c>
      <c r="K2516" s="91" t="b">
        <v>0</v>
      </c>
      <c r="L2516" s="91" t="b">
        <v>0</v>
      </c>
    </row>
    <row r="2517" spans="1:12" ht="15">
      <c r="A2517" s="92" t="s">
        <v>3137</v>
      </c>
      <c r="B2517" s="91" t="s">
        <v>3138</v>
      </c>
      <c r="C2517" s="91">
        <v>2</v>
      </c>
      <c r="D2517" s="114">
        <v>0</v>
      </c>
      <c r="E2517" s="114">
        <v>1.6434526764861874</v>
      </c>
      <c r="F2517" s="91" t="s">
        <v>2536</v>
      </c>
      <c r="G2517" s="91" t="b">
        <v>0</v>
      </c>
      <c r="H2517" s="91" t="b">
        <v>0</v>
      </c>
      <c r="I2517" s="91" t="b">
        <v>0</v>
      </c>
      <c r="J2517" s="91" t="b">
        <v>0</v>
      </c>
      <c r="K2517" s="91" t="b">
        <v>0</v>
      </c>
      <c r="L2517" s="91" t="b">
        <v>0</v>
      </c>
    </row>
    <row r="2518" spans="1:12" ht="15">
      <c r="A2518" s="92" t="s">
        <v>3138</v>
      </c>
      <c r="B2518" s="91" t="s">
        <v>2844</v>
      </c>
      <c r="C2518" s="91">
        <v>2</v>
      </c>
      <c r="D2518" s="114">
        <v>0</v>
      </c>
      <c r="E2518" s="114">
        <v>1.6434526764861874</v>
      </c>
      <c r="F2518" s="91" t="s">
        <v>2536</v>
      </c>
      <c r="G2518" s="91" t="b">
        <v>0</v>
      </c>
      <c r="H2518" s="91" t="b">
        <v>0</v>
      </c>
      <c r="I2518" s="91" t="b">
        <v>0</v>
      </c>
      <c r="J2518" s="91" t="b">
        <v>0</v>
      </c>
      <c r="K2518" s="91" t="b">
        <v>0</v>
      </c>
      <c r="L2518" s="91" t="b">
        <v>0</v>
      </c>
    </row>
    <row r="2519" spans="1:12" ht="15">
      <c r="A2519" s="92" t="s">
        <v>2844</v>
      </c>
      <c r="B2519" s="91" t="s">
        <v>2564</v>
      </c>
      <c r="C2519" s="91">
        <v>2</v>
      </c>
      <c r="D2519" s="114">
        <v>0</v>
      </c>
      <c r="E2519" s="114">
        <v>1.6434526764861874</v>
      </c>
      <c r="F2519" s="91" t="s">
        <v>2536</v>
      </c>
      <c r="G2519" s="91" t="b">
        <v>0</v>
      </c>
      <c r="H2519" s="91" t="b">
        <v>0</v>
      </c>
      <c r="I2519" s="91" t="b">
        <v>0</v>
      </c>
      <c r="J2519" s="91" t="b">
        <v>0</v>
      </c>
      <c r="K2519" s="91" t="b">
        <v>0</v>
      </c>
      <c r="L2519" s="91" t="b">
        <v>0</v>
      </c>
    </row>
    <row r="2520" spans="1:12" ht="15">
      <c r="A2520" s="92" t="s">
        <v>2564</v>
      </c>
      <c r="B2520" s="91" t="s">
        <v>2621</v>
      </c>
      <c r="C2520" s="91">
        <v>2</v>
      </c>
      <c r="D2520" s="114">
        <v>0</v>
      </c>
      <c r="E2520" s="114">
        <v>1.6434526764861874</v>
      </c>
      <c r="F2520" s="91" t="s">
        <v>2536</v>
      </c>
      <c r="G2520" s="91" t="b">
        <v>0</v>
      </c>
      <c r="H2520" s="91" t="b">
        <v>0</v>
      </c>
      <c r="I2520" s="91" t="b">
        <v>0</v>
      </c>
      <c r="J2520" s="91" t="b">
        <v>0</v>
      </c>
      <c r="K2520" s="91" t="b">
        <v>0</v>
      </c>
      <c r="L2520" s="91" t="b">
        <v>0</v>
      </c>
    </row>
    <row r="2521" spans="1:12" ht="15">
      <c r="A2521" s="92" t="s">
        <v>2621</v>
      </c>
      <c r="B2521" s="91" t="s">
        <v>2577</v>
      </c>
      <c r="C2521" s="91">
        <v>2</v>
      </c>
      <c r="D2521" s="114">
        <v>0</v>
      </c>
      <c r="E2521" s="114">
        <v>1.166331421766525</v>
      </c>
      <c r="F2521" s="91" t="s">
        <v>2536</v>
      </c>
      <c r="G2521" s="91" t="b">
        <v>0</v>
      </c>
      <c r="H2521" s="91" t="b">
        <v>0</v>
      </c>
      <c r="I2521" s="91" t="b">
        <v>0</v>
      </c>
      <c r="J2521" s="91" t="b">
        <v>0</v>
      </c>
      <c r="K2521" s="91" t="b">
        <v>0</v>
      </c>
      <c r="L2521" s="91" t="b">
        <v>0</v>
      </c>
    </row>
    <row r="2522" spans="1:12" ht="15">
      <c r="A2522" s="92" t="s">
        <v>2577</v>
      </c>
      <c r="B2522" s="91" t="s">
        <v>3139</v>
      </c>
      <c r="C2522" s="91">
        <v>2</v>
      </c>
      <c r="D2522" s="114">
        <v>0</v>
      </c>
      <c r="E2522" s="114">
        <v>1.166331421766525</v>
      </c>
      <c r="F2522" s="91" t="s">
        <v>2536</v>
      </c>
      <c r="G2522" s="91" t="b">
        <v>0</v>
      </c>
      <c r="H2522" s="91" t="b">
        <v>0</v>
      </c>
      <c r="I2522" s="91" t="b">
        <v>0</v>
      </c>
      <c r="J2522" s="91" t="b">
        <v>0</v>
      </c>
      <c r="K2522" s="91" t="b">
        <v>0</v>
      </c>
      <c r="L2522" s="91" t="b">
        <v>0</v>
      </c>
    </row>
    <row r="2523" spans="1:12" ht="15">
      <c r="A2523" s="92" t="s">
        <v>3139</v>
      </c>
      <c r="B2523" s="91" t="s">
        <v>2934</v>
      </c>
      <c r="C2523" s="91">
        <v>2</v>
      </c>
      <c r="D2523" s="114">
        <v>0</v>
      </c>
      <c r="E2523" s="114">
        <v>1.6434526764861874</v>
      </c>
      <c r="F2523" s="91" t="s">
        <v>2536</v>
      </c>
      <c r="G2523" s="91" t="b">
        <v>0</v>
      </c>
      <c r="H2523" s="91" t="b">
        <v>0</v>
      </c>
      <c r="I2523" s="91" t="b">
        <v>0</v>
      </c>
      <c r="J2523" s="91" t="b">
        <v>0</v>
      </c>
      <c r="K2523" s="91" t="b">
        <v>0</v>
      </c>
      <c r="L2523" s="91" t="b">
        <v>0</v>
      </c>
    </row>
    <row r="2524" spans="1:12" ht="15">
      <c r="A2524" s="92" t="s">
        <v>2934</v>
      </c>
      <c r="B2524" s="91" t="s">
        <v>3140</v>
      </c>
      <c r="C2524" s="91">
        <v>2</v>
      </c>
      <c r="D2524" s="114">
        <v>0</v>
      </c>
      <c r="E2524" s="114">
        <v>1.6434526764861874</v>
      </c>
      <c r="F2524" s="91" t="s">
        <v>2536</v>
      </c>
      <c r="G2524" s="91" t="b">
        <v>0</v>
      </c>
      <c r="H2524" s="91" t="b">
        <v>0</v>
      </c>
      <c r="I2524" s="91" t="b">
        <v>0</v>
      </c>
      <c r="J2524" s="91" t="b">
        <v>0</v>
      </c>
      <c r="K2524" s="91" t="b">
        <v>0</v>
      </c>
      <c r="L2524" s="91" t="b">
        <v>0</v>
      </c>
    </row>
    <row r="2525" spans="1:12" ht="15">
      <c r="A2525" s="92" t="s">
        <v>3140</v>
      </c>
      <c r="B2525" s="91" t="s">
        <v>2568</v>
      </c>
      <c r="C2525" s="91">
        <v>2</v>
      </c>
      <c r="D2525" s="114">
        <v>0</v>
      </c>
      <c r="E2525" s="114">
        <v>1.166331421766525</v>
      </c>
      <c r="F2525" s="91" t="s">
        <v>2536</v>
      </c>
      <c r="G2525" s="91" t="b">
        <v>0</v>
      </c>
      <c r="H2525" s="91" t="b">
        <v>0</v>
      </c>
      <c r="I2525" s="91" t="b">
        <v>0</v>
      </c>
      <c r="J2525" s="91" t="b">
        <v>0</v>
      </c>
      <c r="K2525" s="91" t="b">
        <v>0</v>
      </c>
      <c r="L2525" s="91" t="b">
        <v>0</v>
      </c>
    </row>
    <row r="2526" spans="1:12" ht="15">
      <c r="A2526" s="92" t="s">
        <v>2568</v>
      </c>
      <c r="B2526" s="91" t="s">
        <v>3141</v>
      </c>
      <c r="C2526" s="91">
        <v>2</v>
      </c>
      <c r="D2526" s="114">
        <v>0</v>
      </c>
      <c r="E2526" s="114">
        <v>1.166331421766525</v>
      </c>
      <c r="F2526" s="91" t="s">
        <v>2536</v>
      </c>
      <c r="G2526" s="91" t="b">
        <v>0</v>
      </c>
      <c r="H2526" s="91" t="b">
        <v>0</v>
      </c>
      <c r="I2526" s="91" t="b">
        <v>0</v>
      </c>
      <c r="J2526" s="91" t="b">
        <v>0</v>
      </c>
      <c r="K2526" s="91" t="b">
        <v>0</v>
      </c>
      <c r="L2526" s="91" t="b">
        <v>0</v>
      </c>
    </row>
    <row r="2527" spans="1:12" ht="15">
      <c r="A2527" s="92" t="s">
        <v>3141</v>
      </c>
      <c r="B2527" s="91" t="s">
        <v>3142</v>
      </c>
      <c r="C2527" s="91">
        <v>2</v>
      </c>
      <c r="D2527" s="114">
        <v>0</v>
      </c>
      <c r="E2527" s="114">
        <v>1.6434526764861874</v>
      </c>
      <c r="F2527" s="91" t="s">
        <v>2536</v>
      </c>
      <c r="G2527" s="91" t="b">
        <v>0</v>
      </c>
      <c r="H2527" s="91" t="b">
        <v>0</v>
      </c>
      <c r="I2527" s="91" t="b">
        <v>0</v>
      </c>
      <c r="J2527" s="91" t="b">
        <v>0</v>
      </c>
      <c r="K2527" s="91" t="b">
        <v>0</v>
      </c>
      <c r="L2527" s="91" t="b">
        <v>0</v>
      </c>
    </row>
    <row r="2528" spans="1:12" ht="15">
      <c r="A2528" s="92" t="s">
        <v>2970</v>
      </c>
      <c r="B2528" s="91" t="s">
        <v>2658</v>
      </c>
      <c r="C2528" s="91">
        <v>2</v>
      </c>
      <c r="D2528" s="114">
        <v>0</v>
      </c>
      <c r="E2528" s="114">
        <v>1.505149978319906</v>
      </c>
      <c r="F2528" s="91" t="s">
        <v>2538</v>
      </c>
      <c r="G2528" s="91" t="b">
        <v>0</v>
      </c>
      <c r="H2528" s="91" t="b">
        <v>0</v>
      </c>
      <c r="I2528" s="91" t="b">
        <v>0</v>
      </c>
      <c r="J2528" s="91" t="b">
        <v>0</v>
      </c>
      <c r="K2528" s="91" t="b">
        <v>0</v>
      </c>
      <c r="L2528" s="91" t="b">
        <v>0</v>
      </c>
    </row>
    <row r="2529" spans="1:12" ht="15">
      <c r="A2529" s="92" t="s">
        <v>2658</v>
      </c>
      <c r="B2529" s="91" t="s">
        <v>2766</v>
      </c>
      <c r="C2529" s="91">
        <v>2</v>
      </c>
      <c r="D2529" s="114">
        <v>0</v>
      </c>
      <c r="E2529" s="114">
        <v>1.505149978319906</v>
      </c>
      <c r="F2529" s="91" t="s">
        <v>2538</v>
      </c>
      <c r="G2529" s="91" t="b">
        <v>0</v>
      </c>
      <c r="H2529" s="91" t="b">
        <v>0</v>
      </c>
      <c r="I2529" s="91" t="b">
        <v>0</v>
      </c>
      <c r="J2529" s="91" t="b">
        <v>0</v>
      </c>
      <c r="K2529" s="91" t="b">
        <v>0</v>
      </c>
      <c r="L2529" s="91" t="b">
        <v>0</v>
      </c>
    </row>
    <row r="2530" spans="1:12" ht="15">
      <c r="A2530" s="92" t="s">
        <v>2766</v>
      </c>
      <c r="B2530" s="91" t="s">
        <v>3014</v>
      </c>
      <c r="C2530" s="91">
        <v>2</v>
      </c>
      <c r="D2530" s="114">
        <v>0</v>
      </c>
      <c r="E2530" s="114">
        <v>1.2041199826559248</v>
      </c>
      <c r="F2530" s="91" t="s">
        <v>2538</v>
      </c>
      <c r="G2530" s="91" t="b">
        <v>0</v>
      </c>
      <c r="H2530" s="91" t="b">
        <v>0</v>
      </c>
      <c r="I2530" s="91" t="b">
        <v>0</v>
      </c>
      <c r="J2530" s="91" t="b">
        <v>0</v>
      </c>
      <c r="K2530" s="91" t="b">
        <v>0</v>
      </c>
      <c r="L2530" s="91" t="b">
        <v>0</v>
      </c>
    </row>
    <row r="2531" spans="1:12" ht="15">
      <c r="A2531" s="92" t="s">
        <v>3014</v>
      </c>
      <c r="B2531" s="91" t="s">
        <v>2576</v>
      </c>
      <c r="C2531" s="91">
        <v>2</v>
      </c>
      <c r="D2531" s="114">
        <v>0</v>
      </c>
      <c r="E2531" s="114">
        <v>0.9030899869919435</v>
      </c>
      <c r="F2531" s="91" t="s">
        <v>2538</v>
      </c>
      <c r="G2531" s="91" t="b">
        <v>0</v>
      </c>
      <c r="H2531" s="91" t="b">
        <v>0</v>
      </c>
      <c r="I2531" s="91" t="b">
        <v>0</v>
      </c>
      <c r="J2531" s="91" t="b">
        <v>0</v>
      </c>
      <c r="K2531" s="91" t="b">
        <v>0</v>
      </c>
      <c r="L2531" s="91" t="b">
        <v>0</v>
      </c>
    </row>
    <row r="2532" spans="1:12" ht="15">
      <c r="A2532" s="92" t="s">
        <v>2576</v>
      </c>
      <c r="B2532" s="91" t="s">
        <v>2589</v>
      </c>
      <c r="C2532" s="91">
        <v>2</v>
      </c>
      <c r="D2532" s="114">
        <v>0</v>
      </c>
      <c r="E2532" s="114">
        <v>0.7269987279362623</v>
      </c>
      <c r="F2532" s="91" t="s">
        <v>2538</v>
      </c>
      <c r="G2532" s="91" t="b">
        <v>0</v>
      </c>
      <c r="H2532" s="91" t="b">
        <v>0</v>
      </c>
      <c r="I2532" s="91" t="b">
        <v>0</v>
      </c>
      <c r="J2532" s="91" t="b">
        <v>0</v>
      </c>
      <c r="K2532" s="91" t="b">
        <v>0</v>
      </c>
      <c r="L2532" s="91" t="b">
        <v>0</v>
      </c>
    </row>
    <row r="2533" spans="1:12" ht="15">
      <c r="A2533" s="92" t="s">
        <v>2589</v>
      </c>
      <c r="B2533" s="91" t="s">
        <v>3143</v>
      </c>
      <c r="C2533" s="91">
        <v>2</v>
      </c>
      <c r="D2533" s="114">
        <v>0</v>
      </c>
      <c r="E2533" s="114">
        <v>1.0280287236002434</v>
      </c>
      <c r="F2533" s="91" t="s">
        <v>2538</v>
      </c>
      <c r="G2533" s="91" t="b">
        <v>0</v>
      </c>
      <c r="H2533" s="91" t="b">
        <v>0</v>
      </c>
      <c r="I2533" s="91" t="b">
        <v>0</v>
      </c>
      <c r="J2533" s="91" t="b">
        <v>0</v>
      </c>
      <c r="K2533" s="91" t="b">
        <v>0</v>
      </c>
      <c r="L2533" s="91" t="b">
        <v>0</v>
      </c>
    </row>
    <row r="2534" spans="1:12" ht="15">
      <c r="A2534" s="92" t="s">
        <v>3143</v>
      </c>
      <c r="B2534" s="91" t="s">
        <v>2577</v>
      </c>
      <c r="C2534" s="91">
        <v>2</v>
      </c>
      <c r="D2534" s="114">
        <v>0</v>
      </c>
      <c r="E2534" s="114">
        <v>1.505149978319906</v>
      </c>
      <c r="F2534" s="91" t="s">
        <v>2538</v>
      </c>
      <c r="G2534" s="91" t="b">
        <v>0</v>
      </c>
      <c r="H2534" s="91" t="b">
        <v>0</v>
      </c>
      <c r="I2534" s="91" t="b">
        <v>0</v>
      </c>
      <c r="J2534" s="91" t="b">
        <v>0</v>
      </c>
      <c r="K2534" s="91" t="b">
        <v>0</v>
      </c>
      <c r="L2534" s="91" t="b">
        <v>0</v>
      </c>
    </row>
    <row r="2535" spans="1:12" ht="15">
      <c r="A2535" s="92" t="s">
        <v>2577</v>
      </c>
      <c r="B2535" s="91" t="s">
        <v>3144</v>
      </c>
      <c r="C2535" s="91">
        <v>2</v>
      </c>
      <c r="D2535" s="114">
        <v>0</v>
      </c>
      <c r="E2535" s="114">
        <v>1.505149978319906</v>
      </c>
      <c r="F2535" s="91" t="s">
        <v>2538</v>
      </c>
      <c r="G2535" s="91" t="b">
        <v>0</v>
      </c>
      <c r="H2535" s="91" t="b">
        <v>0</v>
      </c>
      <c r="I2535" s="91" t="b">
        <v>0</v>
      </c>
      <c r="J2535" s="91" t="b">
        <v>0</v>
      </c>
      <c r="K2535" s="91" t="b">
        <v>0</v>
      </c>
      <c r="L2535" s="91" t="b">
        <v>0</v>
      </c>
    </row>
    <row r="2536" spans="1:12" ht="15">
      <c r="A2536" s="92" t="s">
        <v>3144</v>
      </c>
      <c r="B2536" s="91" t="s">
        <v>3145</v>
      </c>
      <c r="C2536" s="91">
        <v>2</v>
      </c>
      <c r="D2536" s="114">
        <v>0</v>
      </c>
      <c r="E2536" s="114">
        <v>1.505149978319906</v>
      </c>
      <c r="F2536" s="91" t="s">
        <v>2538</v>
      </c>
      <c r="G2536" s="91" t="b">
        <v>0</v>
      </c>
      <c r="H2536" s="91" t="b">
        <v>0</v>
      </c>
      <c r="I2536" s="91" t="b">
        <v>0</v>
      </c>
      <c r="J2536" s="91" t="b">
        <v>0</v>
      </c>
      <c r="K2536" s="91" t="b">
        <v>0</v>
      </c>
      <c r="L2536" s="91" t="b">
        <v>0</v>
      </c>
    </row>
    <row r="2537" spans="1:12" ht="15">
      <c r="A2537" s="92" t="s">
        <v>3145</v>
      </c>
      <c r="B2537" s="91" t="s">
        <v>2650</v>
      </c>
      <c r="C2537" s="91">
        <v>2</v>
      </c>
      <c r="D2537" s="114">
        <v>0</v>
      </c>
      <c r="E2537" s="114">
        <v>1.505149978319906</v>
      </c>
      <c r="F2537" s="91" t="s">
        <v>2538</v>
      </c>
      <c r="G2537" s="91" t="b">
        <v>0</v>
      </c>
      <c r="H2537" s="91" t="b">
        <v>0</v>
      </c>
      <c r="I2537" s="91" t="b">
        <v>0</v>
      </c>
      <c r="J2537" s="91" t="b">
        <v>0</v>
      </c>
      <c r="K2537" s="91" t="b">
        <v>0</v>
      </c>
      <c r="L2537" s="91" t="b">
        <v>0</v>
      </c>
    </row>
    <row r="2538" spans="1:12" ht="15">
      <c r="A2538" s="92" t="s">
        <v>2650</v>
      </c>
      <c r="B2538" s="91" t="s">
        <v>3146</v>
      </c>
      <c r="C2538" s="91">
        <v>2</v>
      </c>
      <c r="D2538" s="114">
        <v>0</v>
      </c>
      <c r="E2538" s="114">
        <v>1.505149978319906</v>
      </c>
      <c r="F2538" s="91" t="s">
        <v>2538</v>
      </c>
      <c r="G2538" s="91" t="b">
        <v>0</v>
      </c>
      <c r="H2538" s="91" t="b">
        <v>0</v>
      </c>
      <c r="I2538" s="91" t="b">
        <v>0</v>
      </c>
      <c r="J2538" s="91" t="b">
        <v>0</v>
      </c>
      <c r="K2538" s="91" t="b">
        <v>0</v>
      </c>
      <c r="L2538" s="91" t="b">
        <v>0</v>
      </c>
    </row>
    <row r="2539" spans="1:12" ht="15">
      <c r="A2539" s="92" t="s">
        <v>3146</v>
      </c>
      <c r="B2539" s="91" t="s">
        <v>586</v>
      </c>
      <c r="C2539" s="91">
        <v>2</v>
      </c>
      <c r="D2539" s="114">
        <v>0</v>
      </c>
      <c r="E2539" s="114">
        <v>1.505149978319906</v>
      </c>
      <c r="F2539" s="91" t="s">
        <v>2538</v>
      </c>
      <c r="G2539" s="91" t="b">
        <v>0</v>
      </c>
      <c r="H2539" s="91" t="b">
        <v>0</v>
      </c>
      <c r="I2539" s="91" t="b">
        <v>0</v>
      </c>
      <c r="J2539" s="91" t="b">
        <v>0</v>
      </c>
      <c r="K2539" s="91" t="b">
        <v>0</v>
      </c>
      <c r="L2539" s="91" t="b">
        <v>0</v>
      </c>
    </row>
    <row r="2540" spans="1:12" ht="15">
      <c r="A2540" s="92" t="s">
        <v>586</v>
      </c>
      <c r="B2540" s="91" t="s">
        <v>2576</v>
      </c>
      <c r="C2540" s="91">
        <v>2</v>
      </c>
      <c r="D2540" s="114">
        <v>0</v>
      </c>
      <c r="E2540" s="114">
        <v>1.2041199826559248</v>
      </c>
      <c r="F2540" s="91" t="s">
        <v>2538</v>
      </c>
      <c r="G2540" s="91" t="b">
        <v>0</v>
      </c>
      <c r="H2540" s="91" t="b">
        <v>0</v>
      </c>
      <c r="I2540" s="91" t="b">
        <v>0</v>
      </c>
      <c r="J2540" s="91" t="b">
        <v>0</v>
      </c>
      <c r="K2540" s="91" t="b">
        <v>0</v>
      </c>
      <c r="L2540" s="91" t="b">
        <v>0</v>
      </c>
    </row>
    <row r="2541" spans="1:12" ht="15">
      <c r="A2541" s="92" t="s">
        <v>2576</v>
      </c>
      <c r="B2541" s="91" t="s">
        <v>2871</v>
      </c>
      <c r="C2541" s="91">
        <v>2</v>
      </c>
      <c r="D2541" s="114">
        <v>0</v>
      </c>
      <c r="E2541" s="114">
        <v>1.2041199826559248</v>
      </c>
      <c r="F2541" s="91" t="s">
        <v>2538</v>
      </c>
      <c r="G2541" s="91" t="b">
        <v>0</v>
      </c>
      <c r="H2541" s="91" t="b">
        <v>0</v>
      </c>
      <c r="I2541" s="91" t="b">
        <v>0</v>
      </c>
      <c r="J2541" s="91" t="b">
        <v>0</v>
      </c>
      <c r="K2541" s="91" t="b">
        <v>0</v>
      </c>
      <c r="L2541" s="91" t="b">
        <v>0</v>
      </c>
    </row>
    <row r="2542" spans="1:12" ht="15">
      <c r="A2542" s="92" t="s">
        <v>2871</v>
      </c>
      <c r="B2542" s="91" t="s">
        <v>2872</v>
      </c>
      <c r="C2542" s="91">
        <v>2</v>
      </c>
      <c r="D2542" s="114">
        <v>0</v>
      </c>
      <c r="E2542" s="114">
        <v>1.505149978319906</v>
      </c>
      <c r="F2542" s="91" t="s">
        <v>2538</v>
      </c>
      <c r="G2542" s="91" t="b">
        <v>0</v>
      </c>
      <c r="H2542" s="91" t="b">
        <v>0</v>
      </c>
      <c r="I2542" s="91" t="b">
        <v>0</v>
      </c>
      <c r="J2542" s="91" t="b">
        <v>0</v>
      </c>
      <c r="K2542" s="91" t="b">
        <v>0</v>
      </c>
      <c r="L2542" s="91" t="b">
        <v>0</v>
      </c>
    </row>
    <row r="2543" spans="1:12" ht="15">
      <c r="A2543" s="92" t="s">
        <v>2872</v>
      </c>
      <c r="B2543" s="91" t="s">
        <v>2652</v>
      </c>
      <c r="C2543" s="91">
        <v>2</v>
      </c>
      <c r="D2543" s="114">
        <v>0</v>
      </c>
      <c r="E2543" s="114">
        <v>1.505149978319906</v>
      </c>
      <c r="F2543" s="91" t="s">
        <v>2538</v>
      </c>
      <c r="G2543" s="91" t="b">
        <v>0</v>
      </c>
      <c r="H2543" s="91" t="b">
        <v>0</v>
      </c>
      <c r="I2543" s="91" t="b">
        <v>0</v>
      </c>
      <c r="J2543" s="91" t="b">
        <v>0</v>
      </c>
      <c r="K2543" s="91" t="b">
        <v>0</v>
      </c>
      <c r="L2543" s="91" t="b">
        <v>0</v>
      </c>
    </row>
    <row r="2544" spans="1:12" ht="15">
      <c r="A2544" s="92" t="s">
        <v>2652</v>
      </c>
      <c r="B2544" s="91" t="s">
        <v>2589</v>
      </c>
      <c r="C2544" s="91">
        <v>2</v>
      </c>
      <c r="D2544" s="114">
        <v>0</v>
      </c>
      <c r="E2544" s="114">
        <v>1.0280287236002434</v>
      </c>
      <c r="F2544" s="91" t="s">
        <v>2538</v>
      </c>
      <c r="G2544" s="91" t="b">
        <v>0</v>
      </c>
      <c r="H2544" s="91" t="b">
        <v>0</v>
      </c>
      <c r="I2544" s="91" t="b">
        <v>0</v>
      </c>
      <c r="J2544" s="91" t="b">
        <v>0</v>
      </c>
      <c r="K2544" s="91" t="b">
        <v>0</v>
      </c>
      <c r="L2544" s="91" t="b">
        <v>0</v>
      </c>
    </row>
    <row r="2545" spans="1:12" ht="15">
      <c r="A2545" s="92" t="s">
        <v>2589</v>
      </c>
      <c r="B2545" s="91" t="s">
        <v>3147</v>
      </c>
      <c r="C2545" s="91">
        <v>2</v>
      </c>
      <c r="D2545" s="114">
        <v>0</v>
      </c>
      <c r="E2545" s="114">
        <v>1.0280287236002434</v>
      </c>
      <c r="F2545" s="91" t="s">
        <v>2538</v>
      </c>
      <c r="G2545" s="91" t="b">
        <v>0</v>
      </c>
      <c r="H2545" s="91" t="b">
        <v>0</v>
      </c>
      <c r="I2545" s="91" t="b">
        <v>0</v>
      </c>
      <c r="J2545" s="91" t="b">
        <v>0</v>
      </c>
      <c r="K2545" s="91" t="b">
        <v>0</v>
      </c>
      <c r="L2545" s="91" t="b">
        <v>0</v>
      </c>
    </row>
    <row r="2546" spans="1:12" ht="15">
      <c r="A2546" s="92" t="s">
        <v>3147</v>
      </c>
      <c r="B2546" s="91" t="s">
        <v>2580</v>
      </c>
      <c r="C2546" s="91">
        <v>2</v>
      </c>
      <c r="D2546" s="114">
        <v>0</v>
      </c>
      <c r="E2546" s="114">
        <v>1.505149978319906</v>
      </c>
      <c r="F2546" s="91" t="s">
        <v>2538</v>
      </c>
      <c r="G2546" s="91" t="b">
        <v>0</v>
      </c>
      <c r="H2546" s="91" t="b">
        <v>0</v>
      </c>
      <c r="I2546" s="91" t="b">
        <v>0</v>
      </c>
      <c r="J2546" s="91" t="b">
        <v>0</v>
      </c>
      <c r="K2546" s="91" t="b">
        <v>0</v>
      </c>
      <c r="L2546" s="91" t="b">
        <v>0</v>
      </c>
    </row>
    <row r="2547" spans="1:12" ht="15">
      <c r="A2547" s="92" t="s">
        <v>2580</v>
      </c>
      <c r="B2547" s="91" t="s">
        <v>3014</v>
      </c>
      <c r="C2547" s="91">
        <v>2</v>
      </c>
      <c r="D2547" s="114">
        <v>0</v>
      </c>
      <c r="E2547" s="114">
        <v>1.2041199826559248</v>
      </c>
      <c r="F2547" s="91" t="s">
        <v>2538</v>
      </c>
      <c r="G2547" s="91" t="b">
        <v>0</v>
      </c>
      <c r="H2547" s="91" t="b">
        <v>0</v>
      </c>
      <c r="I2547" s="91" t="b">
        <v>0</v>
      </c>
      <c r="J2547" s="91" t="b">
        <v>0</v>
      </c>
      <c r="K2547" s="91" t="b">
        <v>0</v>
      </c>
      <c r="L2547" s="91" t="b">
        <v>0</v>
      </c>
    </row>
    <row r="2548" spans="1:12" ht="15">
      <c r="A2548" s="92" t="s">
        <v>3014</v>
      </c>
      <c r="B2548" s="91" t="s">
        <v>2589</v>
      </c>
      <c r="C2548" s="91">
        <v>2</v>
      </c>
      <c r="D2548" s="114">
        <v>0</v>
      </c>
      <c r="E2548" s="114">
        <v>0.7269987279362623</v>
      </c>
      <c r="F2548" s="91" t="s">
        <v>2538</v>
      </c>
      <c r="G2548" s="91" t="b">
        <v>0</v>
      </c>
      <c r="H2548" s="91" t="b">
        <v>0</v>
      </c>
      <c r="I2548" s="91" t="b">
        <v>0</v>
      </c>
      <c r="J2548" s="91" t="b">
        <v>0</v>
      </c>
      <c r="K2548" s="91" t="b">
        <v>0</v>
      </c>
      <c r="L2548" s="91" t="b">
        <v>0</v>
      </c>
    </row>
    <row r="2549" spans="1:12" ht="15">
      <c r="A2549" s="92" t="s">
        <v>2589</v>
      </c>
      <c r="B2549" s="91" t="s">
        <v>3148</v>
      </c>
      <c r="C2549" s="91">
        <v>2</v>
      </c>
      <c r="D2549" s="114">
        <v>0</v>
      </c>
      <c r="E2549" s="114">
        <v>1.0280287236002434</v>
      </c>
      <c r="F2549" s="91" t="s">
        <v>2538</v>
      </c>
      <c r="G2549" s="91" t="b">
        <v>0</v>
      </c>
      <c r="H2549" s="91" t="b">
        <v>0</v>
      </c>
      <c r="I2549" s="91" t="b">
        <v>0</v>
      </c>
      <c r="J2549" s="91" t="b">
        <v>0</v>
      </c>
      <c r="K2549" s="91" t="b">
        <v>0</v>
      </c>
      <c r="L2549" s="91" t="b">
        <v>0</v>
      </c>
    </row>
    <row r="2550" spans="1:12" ht="15">
      <c r="A2550" s="92" t="s">
        <v>3148</v>
      </c>
      <c r="B2550" s="91" t="s">
        <v>2636</v>
      </c>
      <c r="C2550" s="91">
        <v>2</v>
      </c>
      <c r="D2550" s="114">
        <v>0</v>
      </c>
      <c r="E2550" s="114">
        <v>1.505149978319906</v>
      </c>
      <c r="F2550" s="91" t="s">
        <v>2538</v>
      </c>
      <c r="G2550" s="91" t="b">
        <v>0</v>
      </c>
      <c r="H2550" s="91" t="b">
        <v>0</v>
      </c>
      <c r="I2550" s="91" t="b">
        <v>0</v>
      </c>
      <c r="J2550" s="91" t="b">
        <v>0</v>
      </c>
      <c r="K2550" s="91" t="b">
        <v>0</v>
      </c>
      <c r="L2550" s="91" t="b">
        <v>0</v>
      </c>
    </row>
    <row r="2551" spans="1:12" ht="15">
      <c r="A2551" s="92" t="s">
        <v>2636</v>
      </c>
      <c r="B2551" s="91" t="s">
        <v>3149</v>
      </c>
      <c r="C2551" s="91">
        <v>2</v>
      </c>
      <c r="D2551" s="114">
        <v>0</v>
      </c>
      <c r="E2551" s="114">
        <v>1.505149978319906</v>
      </c>
      <c r="F2551" s="91" t="s">
        <v>2538</v>
      </c>
      <c r="G2551" s="91" t="b">
        <v>0</v>
      </c>
      <c r="H2551" s="91" t="b">
        <v>0</v>
      </c>
      <c r="I2551" s="91" t="b">
        <v>0</v>
      </c>
      <c r="J2551" s="91" t="b">
        <v>0</v>
      </c>
      <c r="K2551" s="91" t="b">
        <v>0</v>
      </c>
      <c r="L2551" s="91" t="b">
        <v>0</v>
      </c>
    </row>
    <row r="2552" spans="1:12" ht="15">
      <c r="A2552" s="92" t="s">
        <v>3149</v>
      </c>
      <c r="B2552" s="91" t="s">
        <v>2895</v>
      </c>
      <c r="C2552" s="91">
        <v>2</v>
      </c>
      <c r="D2552" s="114">
        <v>0</v>
      </c>
      <c r="E2552" s="114">
        <v>1.505149978319906</v>
      </c>
      <c r="F2552" s="91" t="s">
        <v>2538</v>
      </c>
      <c r="G2552" s="91" t="b">
        <v>0</v>
      </c>
      <c r="H2552" s="91" t="b">
        <v>0</v>
      </c>
      <c r="I2552" s="91" t="b">
        <v>0</v>
      </c>
      <c r="J2552" s="91" t="b">
        <v>0</v>
      </c>
      <c r="K2552" s="91" t="b">
        <v>0</v>
      </c>
      <c r="L2552" s="91" t="b">
        <v>0</v>
      </c>
    </row>
    <row r="2553" spans="1:12" ht="15">
      <c r="A2553" s="92" t="s">
        <v>2895</v>
      </c>
      <c r="B2553" s="91" t="s">
        <v>3150</v>
      </c>
      <c r="C2553" s="91">
        <v>2</v>
      </c>
      <c r="D2553" s="114">
        <v>0</v>
      </c>
      <c r="E2553" s="114">
        <v>1.505149978319906</v>
      </c>
      <c r="F2553" s="91" t="s">
        <v>2538</v>
      </c>
      <c r="G2553" s="91" t="b">
        <v>0</v>
      </c>
      <c r="H2553" s="91" t="b">
        <v>0</v>
      </c>
      <c r="I2553" s="91" t="b">
        <v>0</v>
      </c>
      <c r="J2553" s="91" t="b">
        <v>0</v>
      </c>
      <c r="K2553" s="91" t="b">
        <v>0</v>
      </c>
      <c r="L2553" s="91" t="b">
        <v>0</v>
      </c>
    </row>
    <row r="2554" spans="1:12" ht="15">
      <c r="A2554" s="92" t="s">
        <v>3150</v>
      </c>
      <c r="B2554" s="91" t="s">
        <v>2608</v>
      </c>
      <c r="C2554" s="91">
        <v>2</v>
      </c>
      <c r="D2554" s="114">
        <v>0</v>
      </c>
      <c r="E2554" s="114">
        <v>1.505149978319906</v>
      </c>
      <c r="F2554" s="91" t="s">
        <v>2538</v>
      </c>
      <c r="G2554" s="91" t="b">
        <v>0</v>
      </c>
      <c r="H2554" s="91" t="b">
        <v>0</v>
      </c>
      <c r="I2554" s="91" t="b">
        <v>0</v>
      </c>
      <c r="J2554" s="91" t="b">
        <v>0</v>
      </c>
      <c r="K2554" s="91" t="b">
        <v>0</v>
      </c>
      <c r="L2554" s="91" t="b">
        <v>0</v>
      </c>
    </row>
    <row r="2555" spans="1:12" ht="15">
      <c r="A2555" s="92" t="s">
        <v>2608</v>
      </c>
      <c r="B2555" s="91" t="s">
        <v>2573</v>
      </c>
      <c r="C2555" s="91">
        <v>2</v>
      </c>
      <c r="D2555" s="114">
        <v>0</v>
      </c>
      <c r="E2555" s="114">
        <v>1.505149978319906</v>
      </c>
      <c r="F2555" s="91" t="s">
        <v>2538</v>
      </c>
      <c r="G2555" s="91" t="b">
        <v>0</v>
      </c>
      <c r="H2555" s="91" t="b">
        <v>0</v>
      </c>
      <c r="I2555" s="91" t="b">
        <v>0</v>
      </c>
      <c r="J2555" s="91" t="b">
        <v>0</v>
      </c>
      <c r="K2555" s="91" t="b">
        <v>0</v>
      </c>
      <c r="L2555" s="91" t="b">
        <v>0</v>
      </c>
    </row>
    <row r="2556" spans="1:12" ht="15">
      <c r="A2556" s="92" t="s">
        <v>2573</v>
      </c>
      <c r="B2556" s="91" t="s">
        <v>3151</v>
      </c>
      <c r="C2556" s="91">
        <v>2</v>
      </c>
      <c r="D2556" s="114">
        <v>0</v>
      </c>
      <c r="E2556" s="114">
        <v>1.505149978319906</v>
      </c>
      <c r="F2556" s="91" t="s">
        <v>2538</v>
      </c>
      <c r="G2556" s="91" t="b">
        <v>0</v>
      </c>
      <c r="H2556" s="91" t="b">
        <v>0</v>
      </c>
      <c r="I2556" s="91" t="b">
        <v>0</v>
      </c>
      <c r="J2556" s="91" t="b">
        <v>0</v>
      </c>
      <c r="K2556" s="91" t="b">
        <v>0</v>
      </c>
      <c r="L2556" s="91" t="b">
        <v>0</v>
      </c>
    </row>
    <row r="2557" spans="1:12" ht="15">
      <c r="A2557" s="92" t="s">
        <v>3151</v>
      </c>
      <c r="B2557" s="91" t="s">
        <v>3152</v>
      </c>
      <c r="C2557" s="91">
        <v>2</v>
      </c>
      <c r="D2557" s="114">
        <v>0</v>
      </c>
      <c r="E2557" s="114">
        <v>1.505149978319906</v>
      </c>
      <c r="F2557" s="91" t="s">
        <v>2538</v>
      </c>
      <c r="G2557" s="91" t="b">
        <v>0</v>
      </c>
      <c r="H2557" s="91" t="b">
        <v>0</v>
      </c>
      <c r="I2557" s="91" t="b">
        <v>0</v>
      </c>
      <c r="J2557" s="91" t="b">
        <v>0</v>
      </c>
      <c r="K2557" s="91" t="b">
        <v>0</v>
      </c>
      <c r="L2557" s="91" t="b">
        <v>0</v>
      </c>
    </row>
    <row r="2558" spans="1:12" ht="15">
      <c r="A2558" s="92" t="s">
        <v>3152</v>
      </c>
      <c r="B2558" s="91" t="s">
        <v>2564</v>
      </c>
      <c r="C2558" s="91">
        <v>2</v>
      </c>
      <c r="D2558" s="114">
        <v>0</v>
      </c>
      <c r="E2558" s="114">
        <v>1.505149978319906</v>
      </c>
      <c r="F2558" s="91" t="s">
        <v>2538</v>
      </c>
      <c r="G2558" s="91" t="b">
        <v>0</v>
      </c>
      <c r="H2558" s="91" t="b">
        <v>0</v>
      </c>
      <c r="I2558" s="91" t="b">
        <v>0</v>
      </c>
      <c r="J2558" s="91" t="b">
        <v>0</v>
      </c>
      <c r="K2558" s="91" t="b">
        <v>0</v>
      </c>
      <c r="L2558" s="91" t="b">
        <v>0</v>
      </c>
    </row>
    <row r="2559" spans="1:12" ht="15">
      <c r="A2559" s="92" t="s">
        <v>2564</v>
      </c>
      <c r="B2559" s="91" t="s">
        <v>3153</v>
      </c>
      <c r="C2559" s="91">
        <v>2</v>
      </c>
      <c r="D2559" s="114">
        <v>0</v>
      </c>
      <c r="E2559" s="114">
        <v>1.505149978319906</v>
      </c>
      <c r="F2559" s="91" t="s">
        <v>2538</v>
      </c>
      <c r="G2559" s="91" t="b">
        <v>0</v>
      </c>
      <c r="H2559" s="91" t="b">
        <v>0</v>
      </c>
      <c r="I2559" s="91" t="b">
        <v>0</v>
      </c>
      <c r="J2559" s="91" t="b">
        <v>0</v>
      </c>
      <c r="K2559" s="91" t="b">
        <v>0</v>
      </c>
      <c r="L255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82B08AF-7520-44AE-8CA2-FE6B2C04CA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2020-09-15T17:19:50Z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